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2405" tabRatio="708"/>
  </bookViews>
  <sheets>
    <sheet name="LCO Vol Surf" sheetId="1" r:id="rId1"/>
    <sheet name="Rates" sheetId="2" r:id="rId2"/>
    <sheet name="Options 30C" sheetId="4" r:id="rId3"/>
  </sheets>
  <externalReferences>
    <externalReference r:id="rId4"/>
  </externalReferences>
  <definedNames>
    <definedName name="Futures">[1]Rates!#REF!</definedName>
    <definedName name="Fx_Forwards">[1]Rates!#REF!</definedName>
    <definedName name="Interest_Rates">[1]Rates!#REF!</definedName>
    <definedName name="_xlnm.Print_Area" localSheetId="2">'Options 30C'!$G$1:$N$1</definedName>
    <definedName name="Spot_Rates">[1]Rates!#REF!</definedName>
    <definedName name="Vols">[1]Rates!#REF!</definedName>
    <definedName name="Zar_Int_Rates">[1]Rates!#REF!</definedName>
  </definedNames>
  <calcPr calcId="145621"/>
</workbook>
</file>

<file path=xl/calcChain.xml><?xml version="1.0" encoding="utf-8"?>
<calcChain xmlns="http://schemas.openxmlformats.org/spreadsheetml/2006/main">
  <c r="P4" i="4" l="1"/>
  <c r="Q4" i="4"/>
  <c r="W6" i="1"/>
  <c r="L5" i="4"/>
  <c r="I39" i="4" l="1"/>
  <c r="I38" i="4"/>
  <c r="I37" i="4"/>
  <c r="I36" i="4"/>
  <c r="I35" i="4"/>
  <c r="I34" i="4"/>
  <c r="I33" i="4"/>
  <c r="I32" i="4"/>
  <c r="I31" i="4"/>
  <c r="I30" i="4"/>
  <c r="I29" i="4"/>
  <c r="H29" i="4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G29" i="4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F29" i="4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D29" i="4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I28" i="4"/>
  <c r="I26" i="4"/>
  <c r="I25" i="4"/>
  <c r="I24" i="4"/>
  <c r="I23" i="4"/>
  <c r="I22" i="4"/>
  <c r="I21" i="4"/>
  <c r="I20" i="4"/>
  <c r="I19" i="4"/>
  <c r="I18" i="4"/>
  <c r="I17" i="4"/>
  <c r="I16" i="4"/>
  <c r="H16" i="4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F16" i="4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D16" i="4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I15" i="4"/>
  <c r="N7" i="4"/>
  <c r="N19" i="4"/>
  <c r="N22" i="4"/>
  <c r="N6" i="4"/>
  <c r="N18" i="4"/>
  <c r="N30" i="4"/>
  <c r="N32" i="4"/>
  <c r="N25" i="4"/>
  <c r="N29" i="4"/>
  <c r="N17" i="4"/>
  <c r="N33" i="4"/>
  <c r="N13" i="4"/>
  <c r="N39" i="4"/>
  <c r="N3" i="4"/>
  <c r="N23" i="4"/>
  <c r="N35" i="4"/>
  <c r="N5" i="4"/>
  <c r="N11" i="4"/>
  <c r="N36" i="4"/>
  <c r="N10" i="4"/>
  <c r="N4" i="4"/>
  <c r="N9" i="4"/>
  <c r="N21" i="4"/>
  <c r="N31" i="4"/>
  <c r="N20" i="4"/>
  <c r="N24" i="4"/>
  <c r="N2" i="4"/>
  <c r="N15" i="4"/>
  <c r="N26" i="4"/>
  <c r="N38" i="4"/>
  <c r="N16" i="4"/>
  <c r="N28" i="4"/>
  <c r="N8" i="4"/>
  <c r="N34" i="4"/>
  <c r="N37" i="4"/>
  <c r="N12" i="4"/>
  <c r="P39" i="4" l="1"/>
  <c r="I3" i="4"/>
  <c r="I4" i="4"/>
  <c r="I5" i="4"/>
  <c r="I6" i="4"/>
  <c r="I7" i="4"/>
  <c r="I8" i="4"/>
  <c r="I9" i="4"/>
  <c r="I10" i="4"/>
  <c r="I11" i="4"/>
  <c r="I12" i="4"/>
  <c r="I13" i="4"/>
  <c r="I2" i="4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Q39" i="4"/>
  <c r="O31" i="4" l="1"/>
  <c r="O28" i="4"/>
  <c r="O32" i="4"/>
  <c r="O33" i="4"/>
  <c r="O30" i="4"/>
  <c r="O35" i="4"/>
  <c r="O39" i="4"/>
  <c r="P34" i="4"/>
  <c r="P36" i="4"/>
  <c r="O34" i="4"/>
  <c r="P31" i="4"/>
  <c r="P32" i="4"/>
  <c r="O37" i="4"/>
  <c r="O36" i="4"/>
  <c r="O38" i="4"/>
  <c r="O29" i="4"/>
  <c r="P29" i="4"/>
  <c r="P33" i="4"/>
  <c r="P30" i="4"/>
  <c r="P38" i="4"/>
  <c r="P37" i="4"/>
  <c r="P28" i="4"/>
  <c r="P35" i="4"/>
  <c r="O18" i="4"/>
  <c r="P19" i="4"/>
  <c r="O20" i="4"/>
  <c r="O24" i="4"/>
  <c r="O15" i="4"/>
  <c r="P23" i="4"/>
  <c r="O21" i="4"/>
  <c r="O22" i="4"/>
  <c r="O26" i="4"/>
  <c r="O17" i="4"/>
  <c r="O25" i="4"/>
  <c r="O19" i="4"/>
  <c r="P21" i="4"/>
  <c r="P25" i="4"/>
  <c r="P16" i="4"/>
  <c r="P18" i="4"/>
  <c r="O23" i="4"/>
  <c r="O16" i="4"/>
  <c r="P20" i="4"/>
  <c r="P17" i="4"/>
  <c r="P24" i="4"/>
  <c r="P26" i="4"/>
  <c r="P22" i="4"/>
  <c r="P15" i="4"/>
  <c r="O2" i="4"/>
  <c r="P7" i="4"/>
  <c r="P6" i="4"/>
  <c r="P13" i="4"/>
  <c r="P11" i="4"/>
  <c r="P9" i="4"/>
  <c r="P5" i="4"/>
  <c r="P12" i="4"/>
  <c r="P8" i="4"/>
  <c r="P10" i="4"/>
  <c r="P3" i="4"/>
  <c r="P2" i="4"/>
  <c r="O7" i="4"/>
  <c r="O11" i="4"/>
  <c r="O6" i="4"/>
  <c r="O10" i="4"/>
  <c r="O5" i="4"/>
  <c r="O13" i="4"/>
  <c r="O9" i="4"/>
  <c r="O4" i="4"/>
  <c r="O12" i="4"/>
  <c r="O8" i="4"/>
  <c r="O3" i="4"/>
  <c r="L31" i="4"/>
  <c r="Q36" i="4"/>
  <c r="Q29" i="4"/>
  <c r="Q19" i="4"/>
  <c r="L17" i="4"/>
  <c r="L16" i="4"/>
  <c r="Q7" i="4"/>
  <c r="Q2" i="4"/>
  <c r="L28" i="4"/>
  <c r="L34" i="4"/>
  <c r="Q33" i="4"/>
  <c r="L20" i="4"/>
  <c r="L25" i="4"/>
  <c r="Q20" i="4"/>
  <c r="Q6" i="4"/>
  <c r="Q10" i="4"/>
  <c r="Q11" i="4"/>
  <c r="L32" i="4"/>
  <c r="Q31" i="4"/>
  <c r="Q30" i="4"/>
  <c r="L24" i="4"/>
  <c r="L19" i="4"/>
  <c r="Q17" i="4"/>
  <c r="Q13" i="4"/>
  <c r="Q3" i="4"/>
  <c r="L33" i="4"/>
  <c r="Q32" i="4"/>
  <c r="Q38" i="4"/>
  <c r="L15" i="4"/>
  <c r="Q21" i="4"/>
  <c r="Q24" i="4"/>
  <c r="L30" i="4"/>
  <c r="L37" i="4"/>
  <c r="Q37" i="4"/>
  <c r="Q23" i="4"/>
  <c r="Q25" i="4"/>
  <c r="Q26" i="4"/>
  <c r="Q9" i="4"/>
  <c r="Q12" i="4"/>
  <c r="L35" i="4"/>
  <c r="L36" i="4"/>
  <c r="Q28" i="4"/>
  <c r="L21" i="4"/>
  <c r="Q16" i="4"/>
  <c r="Q22" i="4"/>
  <c r="Q5" i="4"/>
  <c r="L39" i="4"/>
  <c r="L38" i="4"/>
  <c r="Q35" i="4"/>
  <c r="L22" i="4"/>
  <c r="Q18" i="4"/>
  <c r="Q15" i="4"/>
  <c r="Q34" i="4"/>
  <c r="L29" i="4"/>
  <c r="L18" i="4"/>
  <c r="L26" i="4"/>
  <c r="L23" i="4"/>
  <c r="L2" i="4"/>
  <c r="Q8" i="4"/>
  <c r="F3" i="4" l="1"/>
  <c r="F4" i="4" s="1"/>
  <c r="F5" i="4" s="1"/>
  <c r="F6" i="4" s="1"/>
  <c r="F7" i="4" s="1"/>
  <c r="F8" i="4" s="1"/>
  <c r="F9" i="4" s="1"/>
  <c r="F10" i="4" s="1"/>
  <c r="F11" i="4" s="1"/>
  <c r="F12" i="4" s="1"/>
  <c r="F13" i="4" s="1"/>
  <c r="G3" i="4" l="1"/>
  <c r="G4" i="4" s="1"/>
  <c r="D3" i="4" l="1"/>
  <c r="G5" i="4"/>
  <c r="L3" i="4"/>
  <c r="D4" i="4" l="1"/>
  <c r="G6" i="4"/>
  <c r="L4" i="4"/>
  <c r="R32" i="4" l="1"/>
  <c r="R28" i="4"/>
  <c r="R29" i="4"/>
  <c r="R34" i="4"/>
  <c r="R35" i="4"/>
  <c r="R38" i="4"/>
  <c r="R31" i="4"/>
  <c r="R36" i="4"/>
  <c r="R33" i="4"/>
  <c r="R37" i="4"/>
  <c r="R30" i="4"/>
  <c r="R39" i="4"/>
  <c r="R15" i="4"/>
  <c r="R18" i="4"/>
  <c r="R24" i="4"/>
  <c r="R17" i="4"/>
  <c r="R20" i="4"/>
  <c r="R16" i="4"/>
  <c r="R22" i="4"/>
  <c r="R25" i="4"/>
  <c r="R19" i="4"/>
  <c r="R26" i="4"/>
  <c r="R23" i="4"/>
  <c r="R21" i="4"/>
  <c r="R8" i="4"/>
  <c r="R4" i="4"/>
  <c r="R13" i="4"/>
  <c r="R11" i="4"/>
  <c r="R9" i="4"/>
  <c r="R2" i="4"/>
  <c r="R6" i="4"/>
  <c r="R10" i="4"/>
  <c r="R5" i="4"/>
  <c r="R3" i="4"/>
  <c r="R7" i="4"/>
  <c r="R12" i="4"/>
  <c r="D5" i="4"/>
  <c r="G7" i="4"/>
  <c r="D6" i="4" l="1"/>
  <c r="G8" i="4"/>
  <c r="L6" i="4"/>
  <c r="D7" i="4" l="1"/>
  <c r="G9" i="4"/>
  <c r="L7" i="4"/>
  <c r="D8" i="4" l="1"/>
  <c r="G10" i="4"/>
  <c r="L8" i="4"/>
  <c r="D9" i="4" l="1"/>
  <c r="G11" i="4"/>
  <c r="L9" i="4"/>
  <c r="D10" i="4" l="1"/>
  <c r="G12" i="4"/>
  <c r="L10" i="4"/>
  <c r="D11" i="4" l="1"/>
  <c r="G13" i="4"/>
  <c r="L11" i="4"/>
  <c r="D12" i="4" l="1"/>
  <c r="L12" i="4"/>
  <c r="D13" i="4" l="1"/>
  <c r="L13" i="4"/>
  <c r="M4" i="4" l="1"/>
  <c r="M2" i="4"/>
  <c r="M3" i="4" l="1"/>
  <c r="K2" i="4"/>
  <c r="S2" i="4"/>
  <c r="K4" i="4"/>
  <c r="S4" i="4"/>
  <c r="T4" i="4" l="1"/>
  <c r="J4" i="4" s="1"/>
  <c r="B4" i="4" s="1"/>
  <c r="T2" i="4"/>
  <c r="J2" i="4" s="1"/>
  <c r="B2" i="4" s="1"/>
  <c r="M7" i="4"/>
  <c r="M5" i="4"/>
  <c r="K3" i="4"/>
  <c r="S3" i="4"/>
  <c r="M11" i="4" l="1"/>
  <c r="M8" i="4"/>
  <c r="M12" i="4"/>
  <c r="M10" i="4"/>
  <c r="M6" i="4"/>
  <c r="M13" i="4"/>
  <c r="T3" i="4"/>
  <c r="J3" i="4" s="1"/>
  <c r="M9" i="4"/>
  <c r="K7" i="4"/>
  <c r="S7" i="4"/>
  <c r="S5" i="4"/>
  <c r="K5" i="4"/>
  <c r="T7" i="4" l="1"/>
  <c r="J7" i="4" s="1"/>
  <c r="B7" i="4" s="1"/>
  <c r="T5" i="4"/>
  <c r="J5" i="4" s="1"/>
  <c r="B5" i="4" s="1"/>
  <c r="B3" i="4"/>
  <c r="A3" i="4" s="1"/>
  <c r="M23" i="4"/>
  <c r="M16" i="4"/>
  <c r="M36" i="4"/>
  <c r="M20" i="4"/>
  <c r="M30" i="4"/>
  <c r="M26" i="4"/>
  <c r="K12" i="4"/>
  <c r="S11" i="4"/>
  <c r="S12" i="4"/>
  <c r="S9" i="4"/>
  <c r="S8" i="4"/>
  <c r="K13" i="4"/>
  <c r="K11" i="4"/>
  <c r="K10" i="4"/>
  <c r="S13" i="4"/>
  <c r="S6" i="4"/>
  <c r="K8" i="4"/>
  <c r="K6" i="4"/>
  <c r="S10" i="4"/>
  <c r="K9" i="4"/>
  <c r="T6" i="4" l="1"/>
  <c r="J6" i="4" s="1"/>
  <c r="B6" i="4" s="1"/>
  <c r="T9" i="4"/>
  <c r="J9" i="4" s="1"/>
  <c r="B9" i="4" s="1"/>
  <c r="M39" i="4"/>
  <c r="M37" i="4"/>
  <c r="T11" i="4"/>
  <c r="J11" i="4" s="1"/>
  <c r="B11" i="4" s="1"/>
  <c r="M33" i="4"/>
  <c r="M22" i="4"/>
  <c r="M38" i="4"/>
  <c r="M34" i="4"/>
  <c r="M24" i="4"/>
  <c r="M19" i="4"/>
  <c r="M17" i="4"/>
  <c r="M29" i="4"/>
  <c r="A6" i="4"/>
  <c r="M18" i="4"/>
  <c r="T12" i="4"/>
  <c r="J12" i="4" s="1"/>
  <c r="B12" i="4" s="1"/>
  <c r="M31" i="4"/>
  <c r="M25" i="4"/>
  <c r="T10" i="4"/>
  <c r="J10" i="4" s="1"/>
  <c r="B10" i="4" s="1"/>
  <c r="M35" i="4"/>
  <c r="M21" i="4"/>
  <c r="T13" i="4"/>
  <c r="J13" i="4" s="1"/>
  <c r="B13" i="4" s="1"/>
  <c r="M28" i="4"/>
  <c r="T8" i="4"/>
  <c r="J8" i="4" s="1"/>
  <c r="B8" i="4" s="1"/>
  <c r="M32" i="4"/>
  <c r="M15" i="4"/>
  <c r="S20" i="4"/>
  <c r="K26" i="4"/>
  <c r="S23" i="4"/>
  <c r="K20" i="4"/>
  <c r="K23" i="4"/>
  <c r="S26" i="4"/>
  <c r="K30" i="4"/>
  <c r="K16" i="4"/>
  <c r="K36" i="4"/>
  <c r="S16" i="4"/>
  <c r="S30" i="4"/>
  <c r="S36" i="4"/>
  <c r="T16" i="4" l="1"/>
  <c r="J16" i="4" s="1"/>
  <c r="B16" i="4" s="1"/>
  <c r="T26" i="4"/>
  <c r="J26" i="4" s="1"/>
  <c r="B26" i="4" s="1"/>
  <c r="T36" i="4"/>
  <c r="J36" i="4" s="1"/>
  <c r="B36" i="4" s="1"/>
  <c r="T23" i="4"/>
  <c r="J23" i="4" s="1"/>
  <c r="B23" i="4" s="1"/>
  <c r="A9" i="4"/>
  <c r="T30" i="4"/>
  <c r="J30" i="4" s="1"/>
  <c r="B30" i="4" s="1"/>
  <c r="T20" i="4"/>
  <c r="J20" i="4" s="1"/>
  <c r="B20" i="4" s="1"/>
  <c r="A12" i="4"/>
  <c r="S37" i="4"/>
  <c r="S38" i="4"/>
  <c r="K37" i="4"/>
  <c r="K38" i="4"/>
  <c r="S28" i="4"/>
  <c r="S25" i="4"/>
  <c r="K39" i="4"/>
  <c r="K25" i="4"/>
  <c r="K35" i="4"/>
  <c r="K17" i="4"/>
  <c r="S34" i="4"/>
  <c r="K28" i="4"/>
  <c r="K34" i="4"/>
  <c r="S32" i="4"/>
  <c r="K31" i="4"/>
  <c r="S18" i="4"/>
  <c r="S17" i="4"/>
  <c r="S22" i="4"/>
  <c r="S33" i="4"/>
  <c r="S29" i="4"/>
  <c r="K29" i="4"/>
  <c r="S31" i="4"/>
  <c r="K19" i="4"/>
  <c r="S35" i="4"/>
  <c r="S24" i="4"/>
  <c r="S21" i="4"/>
  <c r="K24" i="4"/>
  <c r="K32" i="4"/>
  <c r="K33" i="4"/>
  <c r="K15" i="4"/>
  <c r="K22" i="4"/>
  <c r="K21" i="4"/>
  <c r="S39" i="4"/>
  <c r="K18" i="4"/>
  <c r="S19" i="4"/>
  <c r="S15" i="4"/>
  <c r="T29" i="4" l="1"/>
  <c r="J29" i="4" s="1"/>
  <c r="B29" i="4" s="1"/>
  <c r="T19" i="4"/>
  <c r="J19" i="4" s="1"/>
  <c r="B19" i="4" s="1"/>
  <c r="T22" i="4"/>
  <c r="J22" i="4" s="1"/>
  <c r="B22" i="4" s="1"/>
  <c r="T37" i="4"/>
  <c r="J37" i="4" s="1"/>
  <c r="B37" i="4" s="1"/>
  <c r="T34" i="4"/>
  <c r="J34" i="4" s="1"/>
  <c r="B34" i="4" s="1"/>
  <c r="T17" i="4"/>
  <c r="J17" i="4" s="1"/>
  <c r="B17" i="4" s="1"/>
  <c r="T24" i="4"/>
  <c r="J24" i="4" s="1"/>
  <c r="B24" i="4" s="1"/>
  <c r="T39" i="4"/>
  <c r="J39" i="4" s="1"/>
  <c r="B39" i="4" s="1"/>
  <c r="T33" i="4"/>
  <c r="J33" i="4" s="1"/>
  <c r="B33" i="4" s="1"/>
  <c r="T38" i="4"/>
  <c r="J38" i="4" s="1"/>
  <c r="B38" i="4" s="1"/>
  <c r="T15" i="4"/>
  <c r="J15" i="4" s="1"/>
  <c r="T31" i="4"/>
  <c r="J31" i="4" s="1"/>
  <c r="B31" i="4" s="1"/>
  <c r="T18" i="4"/>
  <c r="J18" i="4" s="1"/>
  <c r="B18" i="4" s="1"/>
  <c r="A19" i="4" s="1"/>
  <c r="T32" i="4"/>
  <c r="J32" i="4" s="1"/>
  <c r="B32" i="4" s="1"/>
  <c r="T35" i="4"/>
  <c r="J35" i="4" s="1"/>
  <c r="B35" i="4" s="1"/>
  <c r="A35" i="4" s="1"/>
  <c r="T21" i="4"/>
  <c r="J21" i="4" s="1"/>
  <c r="B21" i="4" s="1"/>
  <c r="A22" i="4" s="1"/>
  <c r="T28" i="4"/>
  <c r="J28" i="4" s="1"/>
  <c r="B28" i="4" s="1"/>
  <c r="A29" i="4" s="1"/>
  <c r="T25" i="4"/>
  <c r="J25" i="4" s="1"/>
  <c r="B25" i="4" s="1"/>
  <c r="A25" i="4" l="1"/>
  <c r="A38" i="4"/>
  <c r="A32" i="4"/>
  <c r="B15" i="4"/>
  <c r="A16" i="4" s="1"/>
  <c r="J40" i="4"/>
  <c r="J42" i="4" s="1"/>
</calcChain>
</file>

<file path=xl/sharedStrings.xml><?xml version="1.0" encoding="utf-8"?>
<sst xmlns="http://schemas.openxmlformats.org/spreadsheetml/2006/main" count="139" uniqueCount="99">
  <si>
    <t>10P</t>
  </si>
  <si>
    <t>15P</t>
  </si>
  <si>
    <t>20P</t>
  </si>
  <si>
    <t>25P</t>
  </si>
  <si>
    <t>30P</t>
  </si>
  <si>
    <t>35P</t>
  </si>
  <si>
    <t>40P</t>
  </si>
  <si>
    <t>45P</t>
  </si>
  <si>
    <t>ATM</t>
  </si>
  <si>
    <t>45C</t>
  </si>
  <si>
    <t>40C</t>
  </si>
  <si>
    <t>35C</t>
  </si>
  <si>
    <t>30C</t>
  </si>
  <si>
    <t>25C</t>
  </si>
  <si>
    <t>20C</t>
  </si>
  <si>
    <t>15C</t>
  </si>
  <si>
    <t>10C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</si>
  <si>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</si>
  <si>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</si>
  <si>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</si>
  <si>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</si>
  <si>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</si>
  <si>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</si>
  <si>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</si>
  <si>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</si>
  <si>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</si>
  <si>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</si>
  <si>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</si>
  <si>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</si>
  <si>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</si>
  <si>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</si>
  <si>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</si>
  <si>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</si>
  <si>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</si>
  <si>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</si>
  <si>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</si>
  <si>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</si>
  <si>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</si>
  <si>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</si>
  <si>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</si>
  <si>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</si>
  <si>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</si>
  <si>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</si>
  <si>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</si>
  <si>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USD</t>
  </si>
  <si>
    <t>days_ahead</t>
  </si>
  <si>
    <t>rate_price</t>
  </si>
  <si>
    <t>Maturity Date</t>
  </si>
  <si>
    <t xml:space="preserve"> Call / Put</t>
  </si>
  <si>
    <t>Currency</t>
  </si>
  <si>
    <t>Asset</t>
  </si>
  <si>
    <t>Strike Price</t>
  </si>
  <si>
    <t>Volume</t>
  </si>
  <si>
    <t>Settlement Date</t>
  </si>
  <si>
    <t>PV Deal Curr</t>
  </si>
  <si>
    <t>Delta using ATM</t>
  </si>
  <si>
    <t>Market Fwd</t>
  </si>
  <si>
    <t>Days To Maturity</t>
  </si>
  <si>
    <t>Days to settlement</t>
  </si>
  <si>
    <t>Usd Int to settlement</t>
  </si>
  <si>
    <t>Usd df to Settlement</t>
  </si>
  <si>
    <t>Forward Price</t>
  </si>
  <si>
    <t>Present Value</t>
  </si>
  <si>
    <t>P</t>
  </si>
  <si>
    <t>Vol</t>
  </si>
  <si>
    <t>/LCOc2</t>
  </si>
  <si>
    <t>/LCOc3</t>
  </si>
  <si>
    <t>/LCOc4</t>
  </si>
  <si>
    <t>/LCOc5</t>
  </si>
  <si>
    <t>/LCOc6</t>
  </si>
  <si>
    <t>/LCOc7</t>
  </si>
  <si>
    <t>/LCOc8</t>
  </si>
  <si>
    <t>/LCOc9</t>
  </si>
  <si>
    <t>/LCOc10</t>
  </si>
  <si>
    <t>/LCOc11</t>
  </si>
  <si>
    <t>/LCOc12</t>
  </si>
  <si>
    <t>/LCOc13</t>
  </si>
  <si>
    <t>/LCOc14</t>
  </si>
  <si>
    <t>/LCOc15</t>
  </si>
  <si>
    <t>/LCOc16</t>
  </si>
  <si>
    <t>/LCOc17</t>
  </si>
  <si>
    <t>/LCOc18</t>
  </si>
  <si>
    <t>/LCOc19</t>
  </si>
  <si>
    <t>/LCOc20</t>
  </si>
  <si>
    <t>/LCOc21</t>
  </si>
  <si>
    <t>/LCOc1</t>
  </si>
  <si>
    <t>/LCOc22</t>
  </si>
  <si>
    <t>/LCOc23</t>
  </si>
  <si>
    <t>/LCOc24</t>
  </si>
  <si>
    <t>/LCOc25</t>
  </si>
  <si>
    <t>/LCOc26</t>
  </si>
  <si>
    <t>/LCOc27</t>
  </si>
  <si>
    <t>/LCOc28</t>
  </si>
  <si>
    <t>/LCOc29</t>
  </si>
  <si>
    <t>/LCOc30</t>
  </si>
  <si>
    <t>/LCOc31</t>
  </si>
  <si>
    <t>/LCOc32</t>
  </si>
  <si>
    <t>/LCOc33</t>
  </si>
  <si>
    <t>ICE Brent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</si>
</sst>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0.0000"/>
    <numFmt numFmtId="166" formatCode="#,##0.0000"/>
    <numFmt numFmtId="167" formatCode="#,##0.00_ ;\-#,##0.00\ "/>
    <numFmt numFmtId="168" formatCode="&quot;R&quot;#,##0.0,,&quot;M&quot;_);[Red]\(&quot;R&quot;#,##0.0,,&quot;M&quot;\)"/>
    <numFmt numFmtId="169" formatCode="\ \ @"/>
    <numFmt numFmtId="170" formatCode="_ * #,##0.0000_ ;_ * \-#,##0.0000_ ;_ 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2"/>
      <name val="Calibri"/>
      <family val="2"/>
      <scheme val="minor"/>
    </font>
    <font>
      <sz val="10"/>
      <name val="Arial"/>
      <family val="2"/>
    </font>
    <font>
      <sz val="9"/>
      <name val="Book Antiqua"/>
      <family val="1"/>
    </font>
    <font>
      <sz val="10"/>
      <name val="Ottawa"/>
    </font>
    <font>
      <sz val="10"/>
      <color indexed="9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168" fontId="7" fillId="0" borderId="0" applyFont="0" applyFill="0" applyBorder="0" applyAlignment="0" applyProtection="0"/>
    <xf numFmtId="0" fontId="7" fillId="0" borderId="0"/>
    <xf numFmtId="0" fontId="7" fillId="0" borderId="0"/>
    <xf numFmtId="38" fontId="8" fillId="4" borderId="0">
      <protection locked="0"/>
    </xf>
    <xf numFmtId="40" fontId="8" fillId="4" borderId="0">
      <protection locked="0"/>
    </xf>
    <xf numFmtId="14" fontId="7" fillId="0" borderId="0"/>
    <xf numFmtId="169" fontId="9" fillId="0" borderId="0" applyFont="0" applyFill="0" applyBorder="0" applyAlignment="0" applyProtection="0"/>
    <xf numFmtId="37" fontId="7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4" applyNumberFormat="0" applyAlignment="0" applyProtection="0"/>
    <xf numFmtId="0" fontId="19" fillId="9" borderId="5" applyNumberFormat="0" applyAlignment="0" applyProtection="0"/>
    <xf numFmtId="0" fontId="20" fillId="9" borderId="4" applyNumberFormat="0" applyAlignment="0" applyProtection="0"/>
    <xf numFmtId="0" fontId="21" fillId="0" borderId="6" applyNumberFormat="0" applyFill="0" applyAlignment="0" applyProtection="0"/>
    <xf numFmtId="0" fontId="22" fillId="10" borderId="7" applyNumberFormat="0" applyAlignment="0" applyProtection="0"/>
    <xf numFmtId="0" fontId="23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164" fontId="4" fillId="0" borderId="0" xfId="1" applyFont="1"/>
    <xf numFmtId="0" fontId="2" fillId="0" borderId="0" xfId="0" applyFont="1" applyFill="1"/>
    <xf numFmtId="164" fontId="4" fillId="0" borderId="0" xfId="1" applyFont="1" applyFill="1"/>
    <xf numFmtId="0" fontId="0" fillId="0" borderId="0" xfId="0" applyFont="1" applyFill="1" applyBorder="1" applyAlignment="1">
      <alignment horizontal="centerContinuous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"/>
    </xf>
    <xf numFmtId="0" fontId="0" fillId="0" borderId="0" xfId="0" applyBorder="1"/>
    <xf numFmtId="14" fontId="0" fillId="0" borderId="0" xfId="0" applyNumberFormat="1" applyFont="1" applyFill="1" applyBorder="1" applyAlignment="1">
      <alignment horizontal="center"/>
    </xf>
    <xf numFmtId="0" fontId="4" fillId="0" borderId="0" xfId="2" applyFont="1" applyFill="1"/>
    <xf numFmtId="14" fontId="4" fillId="0" borderId="0" xfId="2" applyNumberFormat="1" applyFont="1" applyFill="1"/>
    <xf numFmtId="4" fontId="4" fillId="0" borderId="0" xfId="2" applyNumberFormat="1" applyFont="1" applyFill="1"/>
    <xf numFmtId="165" fontId="4" fillId="0" borderId="0" xfId="2" applyNumberFormat="1" applyFont="1" applyFill="1"/>
    <xf numFmtId="0" fontId="2" fillId="0" borderId="0" xfId="2" applyFont="1" applyFill="1"/>
    <xf numFmtId="14" fontId="2" fillId="0" borderId="0" xfId="2" applyNumberFormat="1" applyFont="1" applyFill="1" applyAlignment="1">
      <alignment horizontal="center"/>
    </xf>
    <xf numFmtId="0" fontId="2" fillId="0" borderId="0" xfId="2" applyFont="1" applyFill="1" applyAlignment="1">
      <alignment horizontal="center"/>
    </xf>
    <xf numFmtId="4" fontId="2" fillId="0" borderId="0" xfId="2" applyNumberFormat="1" applyFont="1" applyFill="1" applyAlignment="1">
      <alignment horizontal="center"/>
    </xf>
    <xf numFmtId="166" fontId="2" fillId="2" borderId="0" xfId="2" applyNumberFormat="1" applyFont="1" applyFill="1"/>
    <xf numFmtId="3" fontId="2" fillId="0" borderId="0" xfId="2" applyNumberFormat="1" applyFont="1" applyFill="1" applyAlignment="1">
      <alignment horizontal="center" wrapText="1"/>
    </xf>
    <xf numFmtId="3" fontId="2" fillId="0" borderId="0" xfId="2" applyNumberFormat="1" applyFont="1" applyFill="1" applyAlignment="1">
      <alignment horizontal="center"/>
    </xf>
    <xf numFmtId="0" fontId="2" fillId="0" borderId="0" xfId="2" applyFont="1" applyAlignment="1">
      <alignment horizontal="center" wrapText="1"/>
    </xf>
    <xf numFmtId="14" fontId="4" fillId="0" borderId="0" xfId="2" applyNumberFormat="1" applyFont="1" applyFill="1" applyAlignment="1">
      <alignment horizontal="center"/>
    </xf>
    <xf numFmtId="4" fontId="4" fillId="0" borderId="0" xfId="2" applyNumberFormat="1" applyFont="1" applyFill="1" applyAlignment="1">
      <alignment horizontal="center"/>
    </xf>
    <xf numFmtId="0" fontId="4" fillId="0" borderId="0" xfId="5" applyFont="1"/>
    <xf numFmtId="14" fontId="4" fillId="0" borderId="0" xfId="2" applyNumberFormat="1" applyFont="1"/>
    <xf numFmtId="10" fontId="4" fillId="0" borderId="0" xfId="4" applyNumberFormat="1" applyFont="1" applyFill="1" applyAlignment="1">
      <alignment horizontal="center"/>
    </xf>
    <xf numFmtId="10" fontId="10" fillId="3" borderId="0" xfId="4" applyNumberFormat="1" applyFont="1" applyFill="1" applyAlignment="1">
      <alignment horizontal="center"/>
    </xf>
    <xf numFmtId="164" fontId="10" fillId="3" borderId="0" xfId="3" applyFont="1" applyFill="1" applyAlignment="1">
      <alignment horizontal="center"/>
    </xf>
    <xf numFmtId="165" fontId="4" fillId="0" borderId="0" xfId="2" quotePrefix="1" applyNumberFormat="1" applyFont="1" applyFill="1"/>
    <xf numFmtId="167" fontId="4" fillId="2" borderId="0" xfId="3" applyNumberFormat="1" applyFon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0" borderId="0" xfId="0"/>
    <xf numFmtId="164" fontId="0" fillId="0" borderId="0" xfId="1" applyFont="1"/>
    <xf numFmtId="164" fontId="0" fillId="36" borderId="0" xfId="1" applyFont="1" applyFill="1"/>
    <xf numFmtId="170" fontId="0" fillId="0" borderId="0" xfId="1" applyNumberFormat="1" applyFont="1"/>
    <xf numFmtId="0" fontId="0" fillId="0" borderId="0" xfId="0" quotePrefix="1"/>
    <xf numFmtId="14" fontId="0" fillId="0" borderId="0" xfId="0" applyNumberFormat="1" applyBorder="1"/>
    <xf numFmtId="14" fontId="0" fillId="0" borderId="0" xfId="1" applyNumberFormat="1" applyFont="1"/>
    <xf numFmtId="2" fontId="2" fillId="0" borderId="0" xfId="2" applyNumberFormat="1" applyFont="1" applyFill="1"/>
    <xf numFmtId="2" fontId="4" fillId="0" borderId="0" xfId="2" applyNumberFormat="1" applyFont="1" applyFill="1"/>
    <xf numFmtId="2" fontId="4" fillId="37" borderId="0" xfId="2" applyNumberFormat="1" applyFont="1" applyFill="1"/>
    <xf numFmtId="14" fontId="4" fillId="37" borderId="0" xfId="2" applyNumberFormat="1" applyFont="1" applyFill="1" applyAlignment="1">
      <alignment horizontal="center"/>
    </xf>
    <xf numFmtId="4" fontId="4" fillId="37" borderId="0" xfId="2" applyNumberFormat="1" applyFont="1" applyFill="1" applyAlignment="1">
      <alignment horizontal="center"/>
    </xf>
    <xf numFmtId="0" fontId="4" fillId="37" borderId="0" xfId="5" applyFont="1" applyFill="1"/>
    <xf numFmtId="14" fontId="4" fillId="37" borderId="0" xfId="2" applyNumberFormat="1" applyFont="1" applyFill="1"/>
    <xf numFmtId="4" fontId="4" fillId="37" borderId="0" xfId="2" applyNumberFormat="1" applyFont="1" applyFill="1"/>
    <xf numFmtId="10" fontId="4" fillId="37" borderId="0" xfId="4" applyNumberFormat="1" applyFont="1" applyFill="1" applyAlignment="1">
      <alignment horizontal="center"/>
    </xf>
    <xf numFmtId="165" fontId="4" fillId="37" borderId="0" xfId="2" quotePrefix="1" applyNumberFormat="1" applyFont="1" applyFill="1"/>
    <xf numFmtId="167" fontId="4" fillId="37" borderId="0" xfId="3" applyNumberFormat="1" applyFont="1" applyFill="1" applyAlignment="1">
      <alignment horizontal="right"/>
    </xf>
    <xf numFmtId="0" fontId="4" fillId="37" borderId="0" xfId="2" applyFont="1" applyFill="1"/>
    <xf numFmtId="164" fontId="0" fillId="0" borderId="0" xfId="0" applyNumberFormat="1"/>
  </cellXfs>
  <cellStyles count="57">
    <cellStyle name="$M" xfId="6"/>
    <cellStyle name="_Crushing" xfId="7"/>
    <cellStyle name="_Grinding" xfId="8"/>
    <cellStyle name="20% - Accent1" xfId="33" builtinId="30" customBuiltin="1"/>
    <cellStyle name="20% - Accent2" xfId="37" builtinId="34" customBuiltin="1"/>
    <cellStyle name="20% - Accent3" xfId="41" builtinId="38" customBuiltin="1"/>
    <cellStyle name="20% - Accent4" xfId="45" builtinId="42" customBuiltin="1"/>
    <cellStyle name="20% - Accent5" xfId="49" builtinId="46" customBuiltin="1"/>
    <cellStyle name="20% - Accent6" xfId="53" builtinId="50" customBuiltin="1"/>
    <cellStyle name="40% - Accent1" xfId="34" builtinId="31" customBuiltin="1"/>
    <cellStyle name="40% - Accent2" xfId="38" builtinId="35" customBuiltin="1"/>
    <cellStyle name="40% - Accent3" xfId="42" builtinId="39" customBuiltin="1"/>
    <cellStyle name="40% - Accent4" xfId="46" builtinId="43" customBuiltin="1"/>
    <cellStyle name="40% - Accent5" xfId="50" builtinId="47" customBuiltin="1"/>
    <cellStyle name="40% - Accent6" xfId="54" builtinId="51" customBuiltin="1"/>
    <cellStyle name="60% - Accent1" xfId="35" builtinId="32" customBuiltin="1"/>
    <cellStyle name="60% - Accent2" xfId="39" builtinId="36" customBuiltin="1"/>
    <cellStyle name="60% - Accent3" xfId="43" builtinId="40" customBuiltin="1"/>
    <cellStyle name="60% - Accent4" xfId="47" builtinId="44" customBuiltin="1"/>
    <cellStyle name="60% - Accent5" xfId="51" builtinId="48" customBuiltin="1"/>
    <cellStyle name="60% - Accent6" xfId="55" builtinId="52" customBuiltin="1"/>
    <cellStyle name="a_Input_0" xfId="9"/>
    <cellStyle name="a_Input_2" xfId="10"/>
    <cellStyle name="Accent1" xfId="32" builtinId="29" customBuiltin="1"/>
    <cellStyle name="Accent2" xfId="36" builtinId="33" customBuiltin="1"/>
    <cellStyle name="Accent3" xfId="40" builtinId="37" customBuiltin="1"/>
    <cellStyle name="Accent4" xfId="44" builtinId="41" customBuiltin="1"/>
    <cellStyle name="Accent5" xfId="48" builtinId="45" customBuiltin="1"/>
    <cellStyle name="Accent6" xfId="52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" xfId="1" builtinId="3"/>
    <cellStyle name="Comma 2" xfId="3"/>
    <cellStyle name="Comma 2 2" xfId="56"/>
    <cellStyle name="DateFormat" xfId="11"/>
    <cellStyle name="Explanatory Text" xfId="30" builtinId="53" customBuilti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indent_1" xfId="12"/>
    <cellStyle name="Input" xfId="23" builtinId="20" customBuiltin="1"/>
    <cellStyle name="Linked Cell" xfId="26" builtinId="24" customBuiltin="1"/>
    <cellStyle name="Neutral" xfId="22" builtinId="28" customBuiltin="1"/>
    <cellStyle name="Normal" xfId="0" builtinId="0"/>
    <cellStyle name="Normal 2" xfId="2"/>
    <cellStyle name="Normal_Options 30C" xfId="5"/>
    <cellStyle name="Note" xfId="29" builtinId="10" customBuiltin="1"/>
    <cellStyle name="NumberFormat" xfId="13"/>
    <cellStyle name="Output" xfId="24" builtinId="21" customBuiltin="1"/>
    <cellStyle name="Percent 2" xfId="4"/>
    <cellStyle name="Style 1" xfId="14"/>
    <cellStyle name="Title" xfId="15" builtinId="15" customBuiltin="1"/>
    <cellStyle name="Total" xfId="31" builtinId="25" customBuiltin="1"/>
    <cellStyle name="Warning Text" xfId="2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reirae/Desktop/Excel%20Files/Copper%20Pric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s &amp; Rates"/>
      <sheetName val="Rates"/>
      <sheetName val="Al Prices"/>
      <sheetName val="Al Intst Curve"/>
      <sheetName val="Vol Surface"/>
      <sheetName val="Commod Fwds"/>
      <sheetName val="Options 30C"/>
      <sheetName val="DLLs"/>
      <sheetName val="Fut Deliv Macro"/>
      <sheetName val="PLA Macro"/>
    </sheetNames>
    <sheetDataSet>
      <sheetData sheetId="0" refreshError="1"/>
      <sheetData sheetId="1">
        <row r="1">
          <cell r="B1">
            <v>42438</v>
          </cell>
        </row>
      </sheetData>
      <sheetData sheetId="2">
        <row r="4">
          <cell r="M4">
            <v>42440</v>
          </cell>
        </row>
      </sheetData>
      <sheetData sheetId="3" refreshError="1"/>
      <sheetData sheetId="4">
        <row r="2">
          <cell r="B2">
            <v>27.47</v>
          </cell>
        </row>
      </sheetData>
      <sheetData sheetId="5">
        <row r="2">
          <cell r="E2" t="e">
            <v>#VALUE!</v>
          </cell>
        </row>
      </sheetData>
      <sheetData sheetId="6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workbookViewId="0">
      <selection activeCell="W6" sqref="W6"/>
    </sheetView>
  </sheetViews>
  <sheetFormatPr defaultRowHeight="15"/>
  <cols>
    <col min="19" max="20" width="10.7109375" bestFit="1" customWidth="1"/>
  </cols>
  <sheetData>
    <row r="1" spans="1:2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>
        <v>42824</v>
      </c>
      <c r="T1" s="3"/>
    </row>
    <row r="2" spans="1:23">
      <c r="A2" s="1">
        <v>0</v>
      </c>
      <c r="B2" s="4">
        <v>28.29</v>
      </c>
      <c r="C2" s="4">
        <v>27.77</v>
      </c>
      <c r="D2" s="4">
        <v>27.41</v>
      </c>
      <c r="E2" s="4">
        <v>27.13</v>
      </c>
      <c r="F2" s="4">
        <v>26.92</v>
      </c>
      <c r="G2" s="4">
        <v>26.740000000000002</v>
      </c>
      <c r="H2" s="4">
        <v>26.59</v>
      </c>
      <c r="I2" s="4">
        <v>26.47</v>
      </c>
      <c r="J2" s="4">
        <v>26.37</v>
      </c>
      <c r="K2" s="4">
        <v>26.28</v>
      </c>
      <c r="L2" s="4">
        <v>26.21</v>
      </c>
      <c r="M2" s="4">
        <v>26.17</v>
      </c>
      <c r="N2" s="4">
        <v>26.14</v>
      </c>
      <c r="O2" s="4">
        <v>26.13</v>
      </c>
      <c r="P2" s="4">
        <v>26.150000000000002</v>
      </c>
      <c r="Q2" s="4">
        <v>26.22</v>
      </c>
      <c r="R2" s="4">
        <v>26.38</v>
      </c>
      <c r="S2" s="5">
        <v>0</v>
      </c>
      <c r="T2" s="3"/>
    </row>
    <row r="3" spans="1:23">
      <c r="A3" s="1" t="s">
        <v>17</v>
      </c>
      <c r="B3" s="6">
        <v>28.29</v>
      </c>
      <c r="C3" s="6">
        <v>27.77</v>
      </c>
      <c r="D3" s="6">
        <v>27.41</v>
      </c>
      <c r="E3" s="6">
        <v>27.13</v>
      </c>
      <c r="F3" s="6">
        <v>26.92</v>
      </c>
      <c r="G3" s="6">
        <v>26.740000000000002</v>
      </c>
      <c r="H3" s="6">
        <v>26.59</v>
      </c>
      <c r="I3" s="6">
        <v>26.47</v>
      </c>
      <c r="J3" s="6">
        <v>26.37</v>
      </c>
      <c r="K3" s="6">
        <v>26.28</v>
      </c>
      <c r="L3" s="6">
        <v>26.21</v>
      </c>
      <c r="M3" s="6">
        <v>26.17</v>
      </c>
      <c r="N3" s="6">
        <v>26.14</v>
      </c>
      <c r="O3" s="6">
        <v>26.13</v>
      </c>
      <c r="P3" s="6">
        <v>26.150000000000002</v>
      </c>
      <c r="Q3" s="6">
        <v>26.22</v>
      </c>
      <c r="R3" s="6">
        <v>26.38</v>
      </c>
      <c r="S3" s="5">
        <v>6</v>
      </c>
      <c r="T3" s="2">
        <v>42830</v>
      </c>
    </row>
    <row r="4" spans="1:23">
      <c r="A4" s="1" t="s">
        <v>18</v>
      </c>
      <c r="B4" s="6">
        <v>29.61</v>
      </c>
      <c r="C4" s="6">
        <v>28.68</v>
      </c>
      <c r="D4" s="6">
        <v>28.04</v>
      </c>
      <c r="E4" s="6">
        <v>27.57</v>
      </c>
      <c r="F4" s="6">
        <v>27.21</v>
      </c>
      <c r="G4" s="6">
        <v>26.92</v>
      </c>
      <c r="H4" s="6">
        <v>26.69</v>
      </c>
      <c r="I4" s="6">
        <v>26.5</v>
      </c>
      <c r="J4" s="6">
        <v>26.35</v>
      </c>
      <c r="K4" s="6">
        <v>26.240000000000002</v>
      </c>
      <c r="L4" s="6">
        <v>26.17</v>
      </c>
      <c r="M4" s="6">
        <v>26.13</v>
      </c>
      <c r="N4" s="6">
        <v>26.14</v>
      </c>
      <c r="O4" s="6">
        <v>26.19</v>
      </c>
      <c r="P4" s="6">
        <v>26.32</v>
      </c>
      <c r="Q4" s="6">
        <v>26.560000000000002</v>
      </c>
      <c r="R4" s="6">
        <v>27.01</v>
      </c>
      <c r="S4" s="5">
        <v>13</v>
      </c>
      <c r="T4" s="2">
        <v>42837</v>
      </c>
    </row>
    <row r="5" spans="1:23">
      <c r="A5" s="1" t="s">
        <v>19</v>
      </c>
      <c r="B5" s="6">
        <v>30.830000000000002</v>
      </c>
      <c r="C5" s="6">
        <v>29.5</v>
      </c>
      <c r="D5" s="6">
        <v>28.61</v>
      </c>
      <c r="E5" s="6">
        <v>27.96</v>
      </c>
      <c r="F5" s="6">
        <v>27.46</v>
      </c>
      <c r="G5" s="6">
        <v>27.07</v>
      </c>
      <c r="H5" s="6">
        <v>26.76</v>
      </c>
      <c r="I5" s="6">
        <v>26.52</v>
      </c>
      <c r="J5" s="6">
        <v>26.34</v>
      </c>
      <c r="K5" s="6">
        <v>26.21</v>
      </c>
      <c r="L5" s="6">
        <v>26.14</v>
      </c>
      <c r="M5" s="6">
        <v>26.13</v>
      </c>
      <c r="N5" s="6">
        <v>26.18</v>
      </c>
      <c r="O5" s="6">
        <v>26.32</v>
      </c>
      <c r="P5" s="6">
        <v>26.57</v>
      </c>
      <c r="Q5" s="6">
        <v>27.01</v>
      </c>
      <c r="R5" s="6">
        <v>27.78</v>
      </c>
      <c r="S5" s="5">
        <v>20</v>
      </c>
      <c r="T5" s="2">
        <v>42844</v>
      </c>
    </row>
    <row r="6" spans="1:23">
      <c r="A6" s="1" t="s">
        <v>20</v>
      </c>
      <c r="B6" s="6">
        <v>33.090000000000003</v>
      </c>
      <c r="C6" s="6">
        <v>31.57</v>
      </c>
      <c r="D6" s="6">
        <v>30.52</v>
      </c>
      <c r="E6" s="6">
        <v>29.73</v>
      </c>
      <c r="F6" s="6">
        <v>29.12</v>
      </c>
      <c r="G6" s="6">
        <v>28.63</v>
      </c>
      <c r="H6" s="6">
        <v>28.240000000000002</v>
      </c>
      <c r="I6" s="6">
        <v>27.92</v>
      </c>
      <c r="J6" s="6">
        <v>27.67</v>
      </c>
      <c r="K6" s="6">
        <v>27.490000000000002</v>
      </c>
      <c r="L6" s="6">
        <v>27.37</v>
      </c>
      <c r="M6" s="6">
        <v>27.310000000000002</v>
      </c>
      <c r="N6" s="6">
        <v>27.330000000000002</v>
      </c>
      <c r="O6" s="6">
        <v>27.43</v>
      </c>
      <c r="P6" s="6">
        <v>27.66</v>
      </c>
      <c r="Q6" s="6">
        <v>28.080000000000002</v>
      </c>
      <c r="R6" s="6">
        <v>28.85</v>
      </c>
      <c r="S6" s="5">
        <v>33</v>
      </c>
      <c r="T6" s="2">
        <v>42857</v>
      </c>
      <c r="W6">
        <f>_xll.BlackVolOffSurface("p",100,125,325,S2:S29,B30:R30,B2:R29,0.0001,"bicubic")</f>
        <v>0.25019944588015197</v>
      </c>
    </row>
    <row r="7" spans="1:23">
      <c r="A7" s="1" t="s">
        <v>21</v>
      </c>
      <c r="B7" s="6">
        <v>34.81</v>
      </c>
      <c r="C7" s="6">
        <v>33.53</v>
      </c>
      <c r="D7" s="6">
        <v>32.590000000000003</v>
      </c>
      <c r="E7" s="6">
        <v>31.85</v>
      </c>
      <c r="F7" s="6">
        <v>31.23</v>
      </c>
      <c r="G7" s="6">
        <v>30.69</v>
      </c>
      <c r="H7" s="6">
        <v>30.23</v>
      </c>
      <c r="I7" s="6">
        <v>29.810000000000002</v>
      </c>
      <c r="J7" s="6">
        <v>29.44</v>
      </c>
      <c r="K7" s="6">
        <v>29.11</v>
      </c>
      <c r="L7" s="6">
        <v>28.810000000000002</v>
      </c>
      <c r="M7" s="6">
        <v>28.55</v>
      </c>
      <c r="N7" s="6">
        <v>28.330000000000002</v>
      </c>
      <c r="O7" s="6">
        <v>28.150000000000002</v>
      </c>
      <c r="P7" s="6">
        <v>28.04</v>
      </c>
      <c r="Q7" s="6">
        <v>28.05</v>
      </c>
      <c r="R7" s="6">
        <v>28.310000000000002</v>
      </c>
      <c r="S7" s="5">
        <v>61</v>
      </c>
      <c r="T7" s="2">
        <v>42885</v>
      </c>
    </row>
    <row r="8" spans="1:23">
      <c r="A8" s="7" t="s">
        <v>22</v>
      </c>
      <c r="B8" s="8">
        <v>34.58</v>
      </c>
      <c r="C8" s="8">
        <v>33.33</v>
      </c>
      <c r="D8" s="8">
        <v>32.4</v>
      </c>
      <c r="E8" s="8">
        <v>31.650000000000002</v>
      </c>
      <c r="F8" s="8">
        <v>31.01</v>
      </c>
      <c r="G8" s="8">
        <v>30.45</v>
      </c>
      <c r="H8" s="8">
        <v>29.95</v>
      </c>
      <c r="I8" s="8">
        <v>29.5</v>
      </c>
      <c r="J8" s="8">
        <v>29.080000000000002</v>
      </c>
      <c r="K8" s="8">
        <v>28.69</v>
      </c>
      <c r="L8" s="8">
        <v>28.330000000000002</v>
      </c>
      <c r="M8" s="8">
        <v>27.990000000000002</v>
      </c>
      <c r="N8" s="8">
        <v>27.68</v>
      </c>
      <c r="O8" s="8">
        <v>27.400000000000002</v>
      </c>
      <c r="P8" s="8">
        <v>27.150000000000002</v>
      </c>
      <c r="Q8" s="8">
        <v>26.990000000000002</v>
      </c>
      <c r="R8" s="8">
        <v>26.98</v>
      </c>
      <c r="S8" s="5">
        <v>91</v>
      </c>
      <c r="T8" s="2">
        <v>42915</v>
      </c>
    </row>
    <row r="9" spans="1:23">
      <c r="A9" s="7" t="s">
        <v>23</v>
      </c>
      <c r="B9" s="8">
        <v>34.64</v>
      </c>
      <c r="C9" s="8">
        <v>33.54</v>
      </c>
      <c r="D9" s="8">
        <v>32.69</v>
      </c>
      <c r="E9" s="8">
        <v>31.990000000000002</v>
      </c>
      <c r="F9" s="8">
        <v>31.37</v>
      </c>
      <c r="G9" s="8">
        <v>30.82</v>
      </c>
      <c r="H9" s="8">
        <v>30.310000000000002</v>
      </c>
      <c r="I9" s="8">
        <v>29.830000000000002</v>
      </c>
      <c r="J9" s="8">
        <v>29.38</v>
      </c>
      <c r="K9" s="8">
        <v>28.95</v>
      </c>
      <c r="L9" s="8">
        <v>28.52</v>
      </c>
      <c r="M9" s="8">
        <v>28.11</v>
      </c>
      <c r="N9" s="8">
        <v>27.7</v>
      </c>
      <c r="O9" s="8">
        <v>27.310000000000002</v>
      </c>
      <c r="P9" s="8">
        <v>26.94</v>
      </c>
      <c r="Q9" s="8">
        <v>26.62</v>
      </c>
      <c r="R9" s="8">
        <v>26.48</v>
      </c>
      <c r="S9" s="5">
        <v>123</v>
      </c>
      <c r="T9" s="2">
        <v>42947</v>
      </c>
    </row>
    <row r="10" spans="1:23">
      <c r="A10" s="7" t="s">
        <v>24</v>
      </c>
      <c r="B10" s="8">
        <v>34.47</v>
      </c>
      <c r="C10" s="8">
        <v>33.4</v>
      </c>
      <c r="D10" s="8">
        <v>32.58</v>
      </c>
      <c r="E10" s="8">
        <v>31.89</v>
      </c>
      <c r="F10" s="8">
        <v>31.28</v>
      </c>
      <c r="G10" s="8">
        <v>30.73</v>
      </c>
      <c r="H10" s="8">
        <v>30.22</v>
      </c>
      <c r="I10" s="8">
        <v>29.740000000000002</v>
      </c>
      <c r="J10" s="8">
        <v>29.28</v>
      </c>
      <c r="K10" s="8">
        <v>28.830000000000002</v>
      </c>
      <c r="L10" s="8">
        <v>28.38</v>
      </c>
      <c r="M10" s="8">
        <v>27.94</v>
      </c>
      <c r="N10" s="8">
        <v>27.490000000000002</v>
      </c>
      <c r="O10" s="8">
        <v>27.04</v>
      </c>
      <c r="P10" s="8">
        <v>26.59</v>
      </c>
      <c r="Q10" s="8">
        <v>26.18</v>
      </c>
      <c r="R10" s="8">
        <v>25.97</v>
      </c>
      <c r="S10" s="5">
        <v>152</v>
      </c>
      <c r="T10" s="2">
        <v>42976</v>
      </c>
    </row>
    <row r="11" spans="1:23">
      <c r="A11" s="7" t="s">
        <v>25</v>
      </c>
      <c r="B11" s="8">
        <v>34.119999999999997</v>
      </c>
      <c r="C11" s="8">
        <v>33.06</v>
      </c>
      <c r="D11" s="8">
        <v>32.25</v>
      </c>
      <c r="E11" s="8">
        <v>31.560000000000002</v>
      </c>
      <c r="F11" s="8">
        <v>30.96</v>
      </c>
      <c r="G11" s="8">
        <v>30.42</v>
      </c>
      <c r="H11" s="8">
        <v>29.92</v>
      </c>
      <c r="I11" s="8">
        <v>29.44</v>
      </c>
      <c r="J11" s="8">
        <v>28.98</v>
      </c>
      <c r="K11" s="8">
        <v>28.53</v>
      </c>
      <c r="L11" s="8">
        <v>28.09</v>
      </c>
      <c r="M11" s="8">
        <v>27.650000000000002</v>
      </c>
      <c r="N11" s="8">
        <v>27.21</v>
      </c>
      <c r="O11" s="8">
        <v>26.76</v>
      </c>
      <c r="P11" s="8">
        <v>26.3</v>
      </c>
      <c r="Q11" s="8">
        <v>25.85</v>
      </c>
      <c r="R11" s="8">
        <v>25.51</v>
      </c>
      <c r="S11" s="5">
        <v>183</v>
      </c>
      <c r="T11" s="2">
        <v>43007</v>
      </c>
    </row>
    <row r="12" spans="1:23">
      <c r="A12" s="7" t="s">
        <v>26</v>
      </c>
      <c r="B12" s="8">
        <v>33.93</v>
      </c>
      <c r="C12" s="8">
        <v>32.869999999999997</v>
      </c>
      <c r="D12" s="8">
        <v>32.049999999999997</v>
      </c>
      <c r="E12" s="8">
        <v>31.37</v>
      </c>
      <c r="F12" s="8">
        <v>30.77</v>
      </c>
      <c r="G12" s="8">
        <v>30.22</v>
      </c>
      <c r="H12" s="8">
        <v>29.71</v>
      </c>
      <c r="I12" s="8">
        <v>29.23</v>
      </c>
      <c r="J12" s="8">
        <v>28.77</v>
      </c>
      <c r="K12" s="8">
        <v>28.32</v>
      </c>
      <c r="L12" s="8">
        <v>27.87</v>
      </c>
      <c r="M12" s="8">
        <v>27.42</v>
      </c>
      <c r="N12" s="8">
        <v>26.97</v>
      </c>
      <c r="O12" s="8">
        <v>26.51</v>
      </c>
      <c r="P12" s="8">
        <v>26.04</v>
      </c>
      <c r="Q12" s="8">
        <v>25.59</v>
      </c>
      <c r="R12" s="8">
        <v>25.3</v>
      </c>
      <c r="S12" s="5">
        <v>214</v>
      </c>
      <c r="T12" s="2">
        <v>43038</v>
      </c>
    </row>
    <row r="13" spans="1:23">
      <c r="A13" s="7" t="s">
        <v>27</v>
      </c>
      <c r="B13" s="8">
        <v>32.97</v>
      </c>
      <c r="C13" s="8">
        <v>31.98</v>
      </c>
      <c r="D13" s="8">
        <v>31.220000000000002</v>
      </c>
      <c r="E13" s="8">
        <v>30.59</v>
      </c>
      <c r="F13" s="8">
        <v>30.02</v>
      </c>
      <c r="G13" s="8">
        <v>29.52</v>
      </c>
      <c r="H13" s="8">
        <v>29.04</v>
      </c>
      <c r="I13" s="8">
        <v>28.59</v>
      </c>
      <c r="J13" s="8">
        <v>28.16</v>
      </c>
      <c r="K13" s="8">
        <v>27.740000000000002</v>
      </c>
      <c r="L13" s="8">
        <v>27.32</v>
      </c>
      <c r="M13" s="8">
        <v>26.91</v>
      </c>
      <c r="N13" s="8">
        <v>26.490000000000002</v>
      </c>
      <c r="O13" s="8">
        <v>26.060000000000002</v>
      </c>
      <c r="P13" s="8">
        <v>25.64</v>
      </c>
      <c r="Q13" s="8">
        <v>25.27</v>
      </c>
      <c r="R13" s="8">
        <v>25.14</v>
      </c>
      <c r="S13" s="5">
        <v>244</v>
      </c>
      <c r="T13" s="2">
        <v>43068</v>
      </c>
    </row>
    <row r="14" spans="1:23">
      <c r="A14" s="7" t="s">
        <v>28</v>
      </c>
      <c r="B14" s="8">
        <v>32.15</v>
      </c>
      <c r="C14" s="8">
        <v>31.23</v>
      </c>
      <c r="D14" s="8">
        <v>30.52</v>
      </c>
      <c r="E14" s="8">
        <v>29.93</v>
      </c>
      <c r="F14" s="8">
        <v>29.400000000000002</v>
      </c>
      <c r="G14" s="8">
        <v>28.92</v>
      </c>
      <c r="H14" s="8">
        <v>28.48</v>
      </c>
      <c r="I14" s="8">
        <v>28.060000000000002</v>
      </c>
      <c r="J14" s="8">
        <v>27.650000000000002</v>
      </c>
      <c r="K14" s="8">
        <v>27.26</v>
      </c>
      <c r="L14" s="8">
        <v>26.87</v>
      </c>
      <c r="M14" s="8">
        <v>26.48</v>
      </c>
      <c r="N14" s="8">
        <v>26.09</v>
      </c>
      <c r="O14" s="8">
        <v>25.7</v>
      </c>
      <c r="P14" s="8">
        <v>25.32</v>
      </c>
      <c r="Q14" s="8">
        <v>25.03</v>
      </c>
      <c r="R14" s="8">
        <v>25.080000000000002</v>
      </c>
      <c r="S14" s="5">
        <v>274</v>
      </c>
      <c r="T14" s="2">
        <v>43098</v>
      </c>
    </row>
    <row r="15" spans="1:23">
      <c r="A15" s="7" t="s">
        <v>29</v>
      </c>
      <c r="B15" s="8">
        <v>31.580000000000002</v>
      </c>
      <c r="C15" s="8">
        <v>30.71</v>
      </c>
      <c r="D15" s="8">
        <v>30.03</v>
      </c>
      <c r="E15" s="8">
        <v>29.47</v>
      </c>
      <c r="F15" s="8">
        <v>28.97</v>
      </c>
      <c r="G15" s="8">
        <v>28.51</v>
      </c>
      <c r="H15" s="8">
        <v>28.09</v>
      </c>
      <c r="I15" s="8">
        <v>27.69</v>
      </c>
      <c r="J15" s="8">
        <v>27.3</v>
      </c>
      <c r="K15" s="8">
        <v>26.93</v>
      </c>
      <c r="L15" s="8">
        <v>26.560000000000002</v>
      </c>
      <c r="M15" s="8">
        <v>26.19</v>
      </c>
      <c r="N15" s="8">
        <v>25.82</v>
      </c>
      <c r="O15" s="8">
        <v>25.45</v>
      </c>
      <c r="P15" s="8">
        <v>25.11</v>
      </c>
      <c r="Q15" s="8">
        <v>24.89</v>
      </c>
      <c r="R15" s="8">
        <v>25.07</v>
      </c>
      <c r="S15" s="5">
        <v>305</v>
      </c>
      <c r="T15" s="2">
        <v>43129</v>
      </c>
    </row>
    <row r="16" spans="1:23">
      <c r="A16" s="7" t="s">
        <v>30</v>
      </c>
      <c r="B16" s="8">
        <v>31.080000000000002</v>
      </c>
      <c r="C16" s="8">
        <v>30.25</v>
      </c>
      <c r="D16" s="8">
        <v>29.6</v>
      </c>
      <c r="E16" s="8">
        <v>29.060000000000002</v>
      </c>
      <c r="F16" s="8">
        <v>28.59</v>
      </c>
      <c r="G16" s="8">
        <v>28.150000000000002</v>
      </c>
      <c r="H16" s="8">
        <v>27.75</v>
      </c>
      <c r="I16" s="8">
        <v>27.37</v>
      </c>
      <c r="J16" s="8">
        <v>27</v>
      </c>
      <c r="K16" s="8">
        <v>26.64</v>
      </c>
      <c r="L16" s="8">
        <v>26.28</v>
      </c>
      <c r="M16" s="8">
        <v>25.93</v>
      </c>
      <c r="N16" s="8">
        <v>25.580000000000002</v>
      </c>
      <c r="O16" s="8">
        <v>25.240000000000002</v>
      </c>
      <c r="P16" s="8">
        <v>24.94</v>
      </c>
      <c r="Q16" s="8">
        <v>24.8</v>
      </c>
      <c r="R16" s="8">
        <v>25.080000000000002</v>
      </c>
      <c r="S16" s="5">
        <v>335</v>
      </c>
      <c r="T16" s="2">
        <v>43159</v>
      </c>
    </row>
    <row r="17" spans="1:20">
      <c r="A17" s="7" t="s">
        <v>31</v>
      </c>
      <c r="B17" s="8">
        <v>30.580000000000002</v>
      </c>
      <c r="C17" s="8">
        <v>29.79</v>
      </c>
      <c r="D17" s="8">
        <v>29.18</v>
      </c>
      <c r="E17" s="8">
        <v>28.66</v>
      </c>
      <c r="F17" s="8">
        <v>28.21</v>
      </c>
      <c r="G17" s="8">
        <v>27.8</v>
      </c>
      <c r="H17" s="8">
        <v>27.41</v>
      </c>
      <c r="I17" s="8">
        <v>27.05</v>
      </c>
      <c r="J17" s="8">
        <v>26.7</v>
      </c>
      <c r="K17" s="8">
        <v>26.36</v>
      </c>
      <c r="L17" s="8">
        <v>26.02</v>
      </c>
      <c r="M17" s="8">
        <v>25.69</v>
      </c>
      <c r="N17" s="8">
        <v>25.36</v>
      </c>
      <c r="O17" s="8">
        <v>25.04</v>
      </c>
      <c r="P17" s="8">
        <v>24.79</v>
      </c>
      <c r="Q17" s="8">
        <v>24.73</v>
      </c>
      <c r="R17" s="8">
        <v>25.11</v>
      </c>
      <c r="S17" s="5">
        <v>364</v>
      </c>
      <c r="T17" s="2">
        <v>43188</v>
      </c>
    </row>
    <row r="18" spans="1:20">
      <c r="A18" s="7" t="s">
        <v>32</v>
      </c>
      <c r="B18" s="8">
        <v>30.23</v>
      </c>
      <c r="C18" s="8">
        <v>29.48</v>
      </c>
      <c r="D18" s="8">
        <v>28.89</v>
      </c>
      <c r="E18" s="8">
        <v>28.39</v>
      </c>
      <c r="F18" s="8">
        <v>27.95</v>
      </c>
      <c r="G18" s="8">
        <v>27.560000000000002</v>
      </c>
      <c r="H18" s="8">
        <v>27.19</v>
      </c>
      <c r="I18" s="8">
        <v>26.830000000000002</v>
      </c>
      <c r="J18" s="8">
        <v>26.5</v>
      </c>
      <c r="K18" s="8">
        <v>26.17</v>
      </c>
      <c r="L18" s="8">
        <v>25.84</v>
      </c>
      <c r="M18" s="8">
        <v>25.52</v>
      </c>
      <c r="N18" s="8">
        <v>25.21</v>
      </c>
      <c r="O18" s="8">
        <v>24.91</v>
      </c>
      <c r="P18" s="8">
        <v>24.69</v>
      </c>
      <c r="Q18" s="8">
        <v>24.71</v>
      </c>
      <c r="R18" s="8">
        <v>25.13</v>
      </c>
      <c r="S18" s="5">
        <v>396</v>
      </c>
      <c r="T18" s="2">
        <v>43220</v>
      </c>
    </row>
    <row r="19" spans="1:20">
      <c r="A19" s="1" t="s">
        <v>33</v>
      </c>
      <c r="B19" s="6">
        <v>29.900000000000002</v>
      </c>
      <c r="C19" s="6">
        <v>29.17</v>
      </c>
      <c r="D19" s="6">
        <v>28.6</v>
      </c>
      <c r="E19" s="6">
        <v>28.12</v>
      </c>
      <c r="F19" s="6">
        <v>27.7</v>
      </c>
      <c r="G19" s="6">
        <v>27.32</v>
      </c>
      <c r="H19" s="6">
        <v>26.96</v>
      </c>
      <c r="I19" s="6">
        <v>26.63</v>
      </c>
      <c r="J19" s="6">
        <v>26.3</v>
      </c>
      <c r="K19" s="6">
        <v>25.98</v>
      </c>
      <c r="L19" s="6">
        <v>25.67</v>
      </c>
      <c r="M19" s="6">
        <v>25.36</v>
      </c>
      <c r="N19" s="6">
        <v>25.060000000000002</v>
      </c>
      <c r="O19" s="6">
        <v>24.79</v>
      </c>
      <c r="P19" s="6">
        <v>24.61</v>
      </c>
      <c r="Q19" s="6">
        <v>24.7</v>
      </c>
      <c r="R19" s="6">
        <v>25.16</v>
      </c>
      <c r="S19" s="5">
        <v>425</v>
      </c>
      <c r="T19" s="2">
        <v>43249</v>
      </c>
    </row>
    <row r="20" spans="1:20">
      <c r="A20" s="1" t="s">
        <v>34</v>
      </c>
      <c r="B20" s="6">
        <v>29.57</v>
      </c>
      <c r="C20" s="6">
        <v>28.87</v>
      </c>
      <c r="D20" s="6">
        <v>28.330000000000002</v>
      </c>
      <c r="E20" s="6">
        <v>27.87</v>
      </c>
      <c r="F20" s="6">
        <v>27.46</v>
      </c>
      <c r="G20" s="6">
        <v>27.09</v>
      </c>
      <c r="H20" s="6">
        <v>26.75</v>
      </c>
      <c r="I20" s="6">
        <v>26.42</v>
      </c>
      <c r="J20" s="6">
        <v>26.11</v>
      </c>
      <c r="K20" s="6">
        <v>25.810000000000002</v>
      </c>
      <c r="L20" s="6">
        <v>25.51</v>
      </c>
      <c r="M20" s="6">
        <v>25.21</v>
      </c>
      <c r="N20" s="6">
        <v>24.93</v>
      </c>
      <c r="O20" s="6">
        <v>24.68</v>
      </c>
      <c r="P20" s="6">
        <v>24.55</v>
      </c>
      <c r="Q20" s="6">
        <v>24.7</v>
      </c>
      <c r="R20" s="6">
        <v>25.18</v>
      </c>
      <c r="S20" s="5">
        <v>456</v>
      </c>
      <c r="T20" s="2">
        <v>43280</v>
      </c>
    </row>
    <row r="21" spans="1:20">
      <c r="A21" s="1" t="s">
        <v>35</v>
      </c>
      <c r="B21" s="6">
        <v>29.32</v>
      </c>
      <c r="C21" s="6">
        <v>28.650000000000002</v>
      </c>
      <c r="D21" s="6">
        <v>28.12</v>
      </c>
      <c r="E21" s="6">
        <v>27.67</v>
      </c>
      <c r="F21" s="6">
        <v>27.28</v>
      </c>
      <c r="G21" s="6">
        <v>26.92</v>
      </c>
      <c r="H21" s="6">
        <v>26.59</v>
      </c>
      <c r="I21" s="6">
        <v>26.27</v>
      </c>
      <c r="J21" s="6">
        <v>25.97</v>
      </c>
      <c r="K21" s="6">
        <v>25.67</v>
      </c>
      <c r="L21" s="6">
        <v>25.38</v>
      </c>
      <c r="M21" s="6">
        <v>25.1</v>
      </c>
      <c r="N21" s="6">
        <v>24.830000000000002</v>
      </c>
      <c r="O21" s="6">
        <v>24.6</v>
      </c>
      <c r="P21" s="6">
        <v>24.52</v>
      </c>
      <c r="Q21" s="6">
        <v>24.71</v>
      </c>
      <c r="R21" s="6">
        <v>25.2</v>
      </c>
      <c r="S21" s="5">
        <v>487</v>
      </c>
      <c r="T21" s="2">
        <v>43311</v>
      </c>
    </row>
    <row r="22" spans="1:20">
      <c r="A22" s="1" t="s">
        <v>36</v>
      </c>
      <c r="B22" s="6">
        <v>29.080000000000002</v>
      </c>
      <c r="C22" s="6">
        <v>28.42</v>
      </c>
      <c r="D22" s="6">
        <v>27.91</v>
      </c>
      <c r="E22" s="6">
        <v>27.48</v>
      </c>
      <c r="F22" s="6">
        <v>27.1</v>
      </c>
      <c r="G22" s="6">
        <v>26.76</v>
      </c>
      <c r="H22" s="6">
        <v>26.43</v>
      </c>
      <c r="I22" s="6">
        <v>26.13</v>
      </c>
      <c r="J22" s="6">
        <v>25.830000000000002</v>
      </c>
      <c r="K22" s="6">
        <v>25.54</v>
      </c>
      <c r="L22" s="6">
        <v>25.26</v>
      </c>
      <c r="M22" s="6">
        <v>24.990000000000002</v>
      </c>
      <c r="N22" s="6">
        <v>24.73</v>
      </c>
      <c r="O22" s="6">
        <v>24.53</v>
      </c>
      <c r="P22" s="6">
        <v>24.490000000000002</v>
      </c>
      <c r="Q22" s="6">
        <v>24.72</v>
      </c>
      <c r="R22" s="6">
        <v>25.22</v>
      </c>
      <c r="S22" s="5">
        <v>517</v>
      </c>
      <c r="T22" s="2">
        <v>43341</v>
      </c>
    </row>
    <row r="23" spans="1:20">
      <c r="A23" s="1" t="s">
        <v>37</v>
      </c>
      <c r="B23" s="6">
        <v>28.85</v>
      </c>
      <c r="C23" s="6">
        <v>28.22</v>
      </c>
      <c r="D23" s="6">
        <v>27.72</v>
      </c>
      <c r="E23" s="6">
        <v>27.3</v>
      </c>
      <c r="F23" s="6">
        <v>26.94</v>
      </c>
      <c r="G23" s="6">
        <v>26.6</v>
      </c>
      <c r="H23" s="6">
        <v>26.29</v>
      </c>
      <c r="I23" s="6">
        <v>25.990000000000002</v>
      </c>
      <c r="J23" s="6">
        <v>25.7</v>
      </c>
      <c r="K23" s="6">
        <v>25.43</v>
      </c>
      <c r="L23" s="6">
        <v>25.150000000000002</v>
      </c>
      <c r="M23" s="6">
        <v>24.89</v>
      </c>
      <c r="N23" s="6">
        <v>24.650000000000002</v>
      </c>
      <c r="O23" s="6">
        <v>24.47</v>
      </c>
      <c r="P23" s="6">
        <v>24.47</v>
      </c>
      <c r="Q23" s="6">
        <v>24.740000000000002</v>
      </c>
      <c r="R23" s="6">
        <v>25.240000000000002</v>
      </c>
      <c r="S23" s="5">
        <v>550</v>
      </c>
      <c r="T23" s="2">
        <v>43374</v>
      </c>
    </row>
    <row r="24" spans="1:20">
      <c r="A24" s="1" t="s">
        <v>38</v>
      </c>
      <c r="B24" s="6">
        <v>28.66</v>
      </c>
      <c r="C24" s="6">
        <v>28.05</v>
      </c>
      <c r="D24" s="6">
        <v>27.57</v>
      </c>
      <c r="E24" s="6">
        <v>27.16</v>
      </c>
      <c r="F24" s="6">
        <v>26.8</v>
      </c>
      <c r="G24" s="6">
        <v>26.47</v>
      </c>
      <c r="H24" s="6">
        <v>26.17</v>
      </c>
      <c r="I24" s="6">
        <v>25.88</v>
      </c>
      <c r="J24" s="6">
        <v>25.6</v>
      </c>
      <c r="K24" s="6">
        <v>25.330000000000002</v>
      </c>
      <c r="L24" s="6">
        <v>25.07</v>
      </c>
      <c r="M24" s="6">
        <v>24.810000000000002</v>
      </c>
      <c r="N24" s="6">
        <v>24.580000000000002</v>
      </c>
      <c r="O24" s="6">
        <v>24.43</v>
      </c>
      <c r="P24" s="6">
        <v>24.47</v>
      </c>
      <c r="Q24" s="6">
        <v>24.75</v>
      </c>
      <c r="R24" s="6">
        <v>25.25</v>
      </c>
      <c r="S24" s="5">
        <v>578</v>
      </c>
      <c r="T24" s="2">
        <v>43402</v>
      </c>
    </row>
    <row r="25" spans="1:20">
      <c r="A25" s="1" t="s">
        <v>39</v>
      </c>
      <c r="B25" s="6">
        <v>28.48</v>
      </c>
      <c r="C25" s="6">
        <v>27.88</v>
      </c>
      <c r="D25" s="6">
        <v>27.41</v>
      </c>
      <c r="E25" s="6">
        <v>27.02</v>
      </c>
      <c r="F25" s="6">
        <v>26.67</v>
      </c>
      <c r="G25" s="6">
        <v>26.35</v>
      </c>
      <c r="H25" s="6">
        <v>26.05</v>
      </c>
      <c r="I25" s="6">
        <v>25.77</v>
      </c>
      <c r="J25" s="6">
        <v>25.5</v>
      </c>
      <c r="K25" s="6">
        <v>25.240000000000002</v>
      </c>
      <c r="L25" s="6">
        <v>24.98</v>
      </c>
      <c r="M25" s="6">
        <v>24.740000000000002</v>
      </c>
      <c r="N25" s="6">
        <v>24.52</v>
      </c>
      <c r="O25" s="6">
        <v>24.39</v>
      </c>
      <c r="P25" s="6">
        <v>24.47</v>
      </c>
      <c r="Q25" s="6">
        <v>24.77</v>
      </c>
      <c r="R25" s="6">
        <v>25.26</v>
      </c>
      <c r="S25" s="5">
        <v>609</v>
      </c>
      <c r="T25" s="2">
        <v>43433</v>
      </c>
    </row>
    <row r="26" spans="1:20">
      <c r="A26" s="1" t="s">
        <v>40</v>
      </c>
      <c r="B26" s="6">
        <v>28.32</v>
      </c>
      <c r="C26" s="6">
        <v>27.73</v>
      </c>
      <c r="D26" s="6">
        <v>27.27</v>
      </c>
      <c r="E26" s="6">
        <v>26.89</v>
      </c>
      <c r="F26" s="6">
        <v>26.55</v>
      </c>
      <c r="G26" s="6">
        <v>26.240000000000002</v>
      </c>
      <c r="H26" s="6">
        <v>25.95</v>
      </c>
      <c r="I26" s="6">
        <v>25.67</v>
      </c>
      <c r="J26" s="6">
        <v>25.41</v>
      </c>
      <c r="K26" s="6">
        <v>25.150000000000002</v>
      </c>
      <c r="L26" s="6">
        <v>24.900000000000002</v>
      </c>
      <c r="M26" s="6">
        <v>24.67</v>
      </c>
      <c r="N26" s="6">
        <v>24.46</v>
      </c>
      <c r="O26" s="6">
        <v>24.36</v>
      </c>
      <c r="P26" s="6">
        <v>24.47</v>
      </c>
      <c r="Q26" s="6">
        <v>24.78</v>
      </c>
      <c r="R26" s="6">
        <v>25.27</v>
      </c>
      <c r="S26" s="5">
        <v>641</v>
      </c>
      <c r="T26" s="2">
        <v>43465</v>
      </c>
    </row>
    <row r="27" spans="1:20">
      <c r="A27" s="1" t="s">
        <v>41</v>
      </c>
      <c r="B27" s="6">
        <v>28.17</v>
      </c>
      <c r="C27" s="6">
        <v>27.59</v>
      </c>
      <c r="D27" s="6">
        <v>27.150000000000002</v>
      </c>
      <c r="E27" s="6">
        <v>26.77</v>
      </c>
      <c r="F27" s="6">
        <v>26.44</v>
      </c>
      <c r="G27" s="6">
        <v>26.14</v>
      </c>
      <c r="H27" s="6">
        <v>25.86</v>
      </c>
      <c r="I27" s="6">
        <v>25.59</v>
      </c>
      <c r="J27" s="6">
        <v>25.330000000000002</v>
      </c>
      <c r="K27" s="6">
        <v>25.080000000000002</v>
      </c>
      <c r="L27" s="6">
        <v>24.84</v>
      </c>
      <c r="M27" s="6">
        <v>24.61</v>
      </c>
      <c r="N27" s="6">
        <v>24.42</v>
      </c>
      <c r="O27" s="6">
        <v>24.34</v>
      </c>
      <c r="P27" s="6">
        <v>24.48</v>
      </c>
      <c r="Q27" s="6">
        <v>24.8</v>
      </c>
      <c r="R27" s="6">
        <v>25.28</v>
      </c>
      <c r="S27" s="5">
        <v>670</v>
      </c>
      <c r="T27" s="2">
        <v>43494</v>
      </c>
    </row>
    <row r="28" spans="1:20">
      <c r="A28" s="1" t="s">
        <v>42</v>
      </c>
      <c r="B28" s="6">
        <v>28.03</v>
      </c>
      <c r="C28" s="6">
        <v>27.47</v>
      </c>
      <c r="D28" s="6">
        <v>27.04</v>
      </c>
      <c r="E28" s="6">
        <v>26.67</v>
      </c>
      <c r="F28" s="6">
        <v>26.35</v>
      </c>
      <c r="G28" s="6">
        <v>26.05</v>
      </c>
      <c r="H28" s="6">
        <v>25.77</v>
      </c>
      <c r="I28" s="6">
        <v>25.51</v>
      </c>
      <c r="J28" s="6">
        <v>25.26</v>
      </c>
      <c r="K28" s="6">
        <v>25.01</v>
      </c>
      <c r="L28" s="6">
        <v>24.78</v>
      </c>
      <c r="M28" s="6">
        <v>24.560000000000002</v>
      </c>
      <c r="N28" s="6">
        <v>24.38</v>
      </c>
      <c r="O28" s="6">
        <v>24.330000000000002</v>
      </c>
      <c r="P28" s="6">
        <v>24.48</v>
      </c>
      <c r="Q28" s="6">
        <v>24.810000000000002</v>
      </c>
      <c r="R28" s="6">
        <v>25.28</v>
      </c>
      <c r="S28" s="5">
        <v>700</v>
      </c>
      <c r="T28" s="2">
        <v>43524</v>
      </c>
    </row>
    <row r="29" spans="1:20">
      <c r="A29" s="1" t="s">
        <v>43</v>
      </c>
      <c r="B29" s="6">
        <v>27.900000000000002</v>
      </c>
      <c r="C29" s="6">
        <v>27.35</v>
      </c>
      <c r="D29" s="6">
        <v>26.93</v>
      </c>
      <c r="E29" s="6">
        <v>26.57</v>
      </c>
      <c r="F29" s="6">
        <v>26.25</v>
      </c>
      <c r="G29" s="6">
        <v>25.96</v>
      </c>
      <c r="H29" s="6">
        <v>25.69</v>
      </c>
      <c r="I29" s="6">
        <v>25.43</v>
      </c>
      <c r="J29" s="6">
        <v>25.19</v>
      </c>
      <c r="K29" s="6">
        <v>24.95</v>
      </c>
      <c r="L29" s="6">
        <v>24.72</v>
      </c>
      <c r="M29" s="6">
        <v>24.5</v>
      </c>
      <c r="N29" s="6">
        <v>24.34</v>
      </c>
      <c r="O29" s="6">
        <v>24.32</v>
      </c>
      <c r="P29" s="6">
        <v>24.490000000000002</v>
      </c>
      <c r="Q29" s="6">
        <v>24.82</v>
      </c>
      <c r="R29" s="6">
        <v>25.29</v>
      </c>
      <c r="S29" s="5">
        <v>729</v>
      </c>
      <c r="T29" s="2">
        <v>43553</v>
      </c>
    </row>
    <row r="30" spans="1:20">
      <c r="A30" s="1"/>
      <c r="B30" s="5">
        <v>10</v>
      </c>
      <c r="C30" s="5">
        <v>15</v>
      </c>
      <c r="D30" s="5">
        <v>20</v>
      </c>
      <c r="E30" s="5">
        <v>25</v>
      </c>
      <c r="F30" s="5">
        <v>30</v>
      </c>
      <c r="G30" s="5">
        <v>35</v>
      </c>
      <c r="H30" s="5">
        <v>40</v>
      </c>
      <c r="I30" s="5">
        <v>45</v>
      </c>
      <c r="J30" s="5">
        <v>50</v>
      </c>
      <c r="K30" s="5">
        <v>55</v>
      </c>
      <c r="L30" s="5">
        <v>60</v>
      </c>
      <c r="M30" s="5">
        <v>65</v>
      </c>
      <c r="N30" s="5">
        <v>70</v>
      </c>
      <c r="O30" s="5">
        <v>75</v>
      </c>
      <c r="P30" s="5">
        <v>80</v>
      </c>
      <c r="Q30" s="5">
        <v>85</v>
      </c>
      <c r="R30" s="5">
        <v>90</v>
      </c>
      <c r="S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2" workbookViewId="0">
      <selection activeCell="C27" sqref="C27"/>
    </sheetView>
  </sheetViews>
  <sheetFormatPr defaultRowHeight="15"/>
  <cols>
    <col min="1" max="1" width="11.42578125" style="13" bestFit="1" customWidth="1"/>
    <col min="2" max="2" width="10" style="13" bestFit="1" customWidth="1"/>
    <col min="3" max="3" width="14.28515625" customWidth="1"/>
    <col min="4" max="4" width="12.28515625" style="16" customWidth="1"/>
    <col min="5" max="5" width="12.5703125" style="16" customWidth="1"/>
    <col min="7" max="7" width="9.140625" style="40"/>
    <col min="8" max="8" width="10.7109375" bestFit="1" customWidth="1"/>
    <col min="12" max="12" width="8.140625" style="40" bestFit="1" customWidth="1"/>
    <col min="13" max="13" width="6.42578125" bestFit="1" customWidth="1"/>
    <col min="14" max="14" width="6.42578125" style="40" customWidth="1"/>
    <col min="15" max="15" width="10.7109375" bestFit="1" customWidth="1"/>
  </cols>
  <sheetData>
    <row r="1" spans="1:16">
      <c r="A1" s="14" t="s">
        <v>44</v>
      </c>
      <c r="B1" s="9"/>
      <c r="D1" s="45">
        <v>42824</v>
      </c>
    </row>
    <row r="2" spans="1:16" ht="15.75">
      <c r="A2" s="15">
        <v>17</v>
      </c>
      <c r="B2" s="15"/>
      <c r="H2" s="2">
        <v>42824</v>
      </c>
    </row>
    <row r="3" spans="1:16">
      <c r="A3" s="10" t="s">
        <v>45</v>
      </c>
      <c r="B3" s="10" t="s">
        <v>46</v>
      </c>
    </row>
    <row r="4" spans="1:16">
      <c r="A4" s="11">
        <v>0</v>
      </c>
      <c r="B4" s="12">
        <v>1.0088000000000001</v>
      </c>
      <c r="D4" s="17">
        <v>42825</v>
      </c>
      <c r="E4" s="42">
        <v>52.39</v>
      </c>
      <c r="H4" s="2">
        <v>42825</v>
      </c>
      <c r="I4">
        <v>1</v>
      </c>
      <c r="J4" s="43">
        <v>1.0088000000000001</v>
      </c>
      <c r="L4" s="44" t="s">
        <v>85</v>
      </c>
      <c r="M4" s="41">
        <v>52.39</v>
      </c>
      <c r="N4" s="41">
        <v>52.42</v>
      </c>
      <c r="O4" s="46">
        <v>42825</v>
      </c>
      <c r="P4" s="59">
        <v>52.39</v>
      </c>
    </row>
    <row r="5" spans="1:16">
      <c r="A5" s="11">
        <v>1</v>
      </c>
      <c r="B5" s="12">
        <v>1.0088000000000001</v>
      </c>
      <c r="D5" s="17">
        <v>42853</v>
      </c>
      <c r="E5" s="42">
        <v>52.51</v>
      </c>
      <c r="H5" s="2">
        <v>42828</v>
      </c>
      <c r="I5" s="40">
        <v>4</v>
      </c>
      <c r="J5" s="43">
        <v>0.99340000000000006</v>
      </c>
      <c r="L5" s="44" t="s">
        <v>65</v>
      </c>
      <c r="M5" s="41">
        <v>52.52</v>
      </c>
      <c r="N5" s="41">
        <v>52.54</v>
      </c>
      <c r="O5" s="46">
        <v>42853</v>
      </c>
      <c r="P5" s="59">
        <v>52.51</v>
      </c>
    </row>
    <row r="6" spans="1:16">
      <c r="A6" s="11">
        <v>4</v>
      </c>
      <c r="B6" s="12">
        <v>0.99340000000000006</v>
      </c>
      <c r="D6" s="17">
        <v>42886</v>
      </c>
      <c r="E6" s="42">
        <v>52.75</v>
      </c>
      <c r="H6" s="2">
        <v>42835</v>
      </c>
      <c r="I6" s="40">
        <v>11</v>
      </c>
      <c r="J6" s="43">
        <v>1.0014000000000001</v>
      </c>
      <c r="L6" s="44" t="s">
        <v>66</v>
      </c>
      <c r="M6" s="41">
        <v>52.75</v>
      </c>
      <c r="N6" s="41">
        <v>52.78</v>
      </c>
      <c r="O6" s="46">
        <v>42886</v>
      </c>
      <c r="P6" s="59">
        <v>52.75</v>
      </c>
    </row>
    <row r="7" spans="1:16">
      <c r="A7" s="11">
        <v>11</v>
      </c>
      <c r="B7" s="12">
        <v>1.0014000000000001</v>
      </c>
      <c r="D7" s="17">
        <v>42916</v>
      </c>
      <c r="E7" s="42">
        <v>52.92</v>
      </c>
      <c r="H7" s="2">
        <v>42858</v>
      </c>
      <c r="I7" s="40">
        <v>34</v>
      </c>
      <c r="J7" s="43">
        <v>1.0573000000000001</v>
      </c>
      <c r="L7" s="44" t="s">
        <v>67</v>
      </c>
      <c r="M7" s="41">
        <v>52.93</v>
      </c>
      <c r="N7" s="41">
        <v>52.95</v>
      </c>
      <c r="O7" s="46">
        <v>42916</v>
      </c>
      <c r="P7" s="59">
        <v>52.92</v>
      </c>
    </row>
    <row r="8" spans="1:16">
      <c r="A8" s="11">
        <v>34</v>
      </c>
      <c r="B8" s="12">
        <v>1.0573000000000001</v>
      </c>
      <c r="D8" s="17">
        <v>42947</v>
      </c>
      <c r="E8" s="42">
        <v>53.03</v>
      </c>
      <c r="H8" s="2">
        <v>42891</v>
      </c>
      <c r="I8" s="40">
        <v>67</v>
      </c>
      <c r="J8" s="43">
        <v>1.123</v>
      </c>
      <c r="L8" s="44" t="s">
        <v>68</v>
      </c>
      <c r="M8" s="41">
        <v>53.04</v>
      </c>
      <c r="N8" s="41">
        <v>53.06</v>
      </c>
      <c r="O8" s="46">
        <v>42947</v>
      </c>
      <c r="P8" s="59">
        <v>53.03</v>
      </c>
    </row>
    <row r="9" spans="1:16">
      <c r="A9" s="11">
        <v>67</v>
      </c>
      <c r="B9" s="12">
        <v>1.123</v>
      </c>
      <c r="D9" s="17">
        <v>42978</v>
      </c>
      <c r="E9" s="42">
        <v>53.09</v>
      </c>
      <c r="H9" s="2">
        <v>42919</v>
      </c>
      <c r="I9" s="40">
        <v>95</v>
      </c>
      <c r="J9" s="43">
        <v>1.1607000000000001</v>
      </c>
      <c r="L9" s="44" t="s">
        <v>69</v>
      </c>
      <c r="M9" s="41">
        <v>53.09</v>
      </c>
      <c r="N9" s="41">
        <v>53.120000000000005</v>
      </c>
      <c r="O9" s="46">
        <v>42978</v>
      </c>
      <c r="P9" s="59">
        <v>53.09</v>
      </c>
    </row>
    <row r="10" spans="1:16">
      <c r="A10" s="11">
        <v>95</v>
      </c>
      <c r="B10" s="12">
        <v>1.1607000000000001</v>
      </c>
      <c r="D10" s="17">
        <v>43007</v>
      </c>
      <c r="E10" s="42">
        <v>53.11</v>
      </c>
      <c r="H10" s="2">
        <v>43011</v>
      </c>
      <c r="I10" s="40">
        <v>187</v>
      </c>
      <c r="J10" s="43">
        <v>1.2389000000000001</v>
      </c>
      <c r="L10" s="44" t="s">
        <v>70</v>
      </c>
      <c r="M10" s="41">
        <v>53.11</v>
      </c>
      <c r="N10" s="41">
        <v>53.14</v>
      </c>
      <c r="O10" s="46">
        <v>43007</v>
      </c>
      <c r="P10" s="59">
        <v>53.11</v>
      </c>
    </row>
    <row r="11" spans="1:16">
      <c r="A11" s="11">
        <v>187</v>
      </c>
      <c r="B11" s="12">
        <v>1.2389000000000001</v>
      </c>
      <c r="D11" s="17">
        <v>43039</v>
      </c>
      <c r="E11" s="42">
        <v>53.12</v>
      </c>
      <c r="H11" s="2">
        <v>43103</v>
      </c>
      <c r="I11" s="40">
        <v>279</v>
      </c>
      <c r="J11" s="43">
        <v>1.3131000000000002</v>
      </c>
      <c r="L11" s="44" t="s">
        <v>71</v>
      </c>
      <c r="M11" s="41">
        <v>53.11</v>
      </c>
      <c r="N11" s="41">
        <v>53.15</v>
      </c>
      <c r="O11" s="46">
        <v>43039</v>
      </c>
      <c r="P11" s="59">
        <v>53.12</v>
      </c>
    </row>
    <row r="12" spans="1:16">
      <c r="A12" s="11">
        <v>279</v>
      </c>
      <c r="B12" s="12">
        <v>1.3131000000000002</v>
      </c>
      <c r="D12" s="17">
        <v>43069</v>
      </c>
      <c r="E12" s="42">
        <v>53.12</v>
      </c>
      <c r="H12" s="2">
        <v>43193</v>
      </c>
      <c r="I12" s="40">
        <v>369</v>
      </c>
      <c r="J12" s="43">
        <v>1.3813</v>
      </c>
      <c r="L12" s="44" t="s">
        <v>72</v>
      </c>
      <c r="M12" s="41">
        <v>53.1</v>
      </c>
      <c r="N12" s="41">
        <v>53.15</v>
      </c>
      <c r="O12" s="46">
        <v>43069</v>
      </c>
      <c r="P12" s="59">
        <v>53.12</v>
      </c>
    </row>
    <row r="13" spans="1:16">
      <c r="A13" s="11">
        <v>369</v>
      </c>
      <c r="B13" s="12">
        <v>1.3813</v>
      </c>
      <c r="D13" s="17">
        <v>43097</v>
      </c>
      <c r="E13" s="42">
        <v>53.1</v>
      </c>
      <c r="H13" s="2">
        <v>43284</v>
      </c>
      <c r="I13" s="40">
        <v>460</v>
      </c>
      <c r="J13" s="43">
        <v>1.4442000000000002</v>
      </c>
      <c r="L13" s="44" t="s">
        <v>73</v>
      </c>
      <c r="M13" s="41">
        <v>0</v>
      </c>
      <c r="N13" s="41">
        <v>53.13</v>
      </c>
      <c r="O13" s="46">
        <v>43097</v>
      </c>
      <c r="P13" s="59">
        <v>53.1</v>
      </c>
    </row>
    <row r="14" spans="1:16">
      <c r="A14" s="11">
        <v>460</v>
      </c>
      <c r="B14" s="12">
        <v>1.4442000000000002</v>
      </c>
      <c r="D14" s="17">
        <v>43131</v>
      </c>
      <c r="E14" s="42">
        <v>53.07</v>
      </c>
      <c r="H14" s="2">
        <v>43376</v>
      </c>
      <c r="I14" s="40">
        <v>552</v>
      </c>
      <c r="J14" s="43">
        <v>1.5083</v>
      </c>
      <c r="L14" s="44" t="s">
        <v>74</v>
      </c>
      <c r="M14" s="41">
        <v>0</v>
      </c>
      <c r="N14" s="41">
        <v>53.1</v>
      </c>
      <c r="O14" s="46">
        <v>43131</v>
      </c>
      <c r="P14" s="59">
        <v>53.07</v>
      </c>
    </row>
    <row r="15" spans="1:16">
      <c r="A15" s="11">
        <v>552</v>
      </c>
      <c r="B15" s="12">
        <v>1.5083</v>
      </c>
      <c r="D15" s="17">
        <v>43159</v>
      </c>
      <c r="E15" s="42">
        <v>53.03</v>
      </c>
      <c r="H15" s="2">
        <v>43468</v>
      </c>
      <c r="I15" s="40">
        <v>644</v>
      </c>
      <c r="J15" s="43">
        <v>1.5713000000000001</v>
      </c>
      <c r="L15" s="44" t="s">
        <v>75</v>
      </c>
      <c r="M15" s="41">
        <v>0</v>
      </c>
      <c r="N15" s="41">
        <v>53.06</v>
      </c>
      <c r="O15" s="46">
        <v>43159</v>
      </c>
      <c r="P15" s="59">
        <v>53.03</v>
      </c>
    </row>
    <row r="16" spans="1:16">
      <c r="A16" s="11">
        <v>644</v>
      </c>
      <c r="B16" s="12">
        <v>1.5713000000000001</v>
      </c>
      <c r="D16" s="17">
        <v>43188</v>
      </c>
      <c r="E16" s="42">
        <v>52.98</v>
      </c>
      <c r="H16" s="2">
        <v>43558</v>
      </c>
      <c r="I16" s="40">
        <v>734</v>
      </c>
      <c r="J16" s="43">
        <v>1.6323000000000001</v>
      </c>
      <c r="L16" s="44" t="s">
        <v>76</v>
      </c>
      <c r="M16" s="41">
        <v>0</v>
      </c>
      <c r="N16" s="41">
        <v>53.01</v>
      </c>
      <c r="O16" s="46">
        <v>43188</v>
      </c>
      <c r="P16" s="59">
        <v>52.98</v>
      </c>
    </row>
    <row r="17" spans="1:16">
      <c r="A17" s="11">
        <v>734</v>
      </c>
      <c r="B17" s="12">
        <v>1.6323000000000001</v>
      </c>
      <c r="D17" s="17">
        <v>43220</v>
      </c>
      <c r="E17" s="42">
        <v>52.91</v>
      </c>
      <c r="H17" s="2">
        <v>43924</v>
      </c>
      <c r="I17" s="40">
        <v>1100</v>
      </c>
      <c r="J17" s="43">
        <v>1.8096000000000001</v>
      </c>
      <c r="L17" s="44" t="s">
        <v>77</v>
      </c>
      <c r="M17" s="41">
        <v>53.01</v>
      </c>
      <c r="N17" s="41">
        <v>52.94</v>
      </c>
      <c r="O17" s="46">
        <v>43220</v>
      </c>
      <c r="P17" s="59">
        <v>52.91</v>
      </c>
    </row>
    <row r="18" spans="1:16">
      <c r="A18" s="11">
        <v>1100</v>
      </c>
      <c r="B18" s="12">
        <v>1.8096000000000001</v>
      </c>
      <c r="D18" s="17">
        <v>43251</v>
      </c>
      <c r="E18" s="42">
        <v>52.86</v>
      </c>
      <c r="H18" s="2">
        <v>44291</v>
      </c>
      <c r="I18" s="40">
        <v>1467</v>
      </c>
      <c r="J18" s="43">
        <v>1.9528000000000001</v>
      </c>
      <c r="L18" s="44" t="s">
        <v>78</v>
      </c>
      <c r="M18" s="41">
        <v>0</v>
      </c>
      <c r="N18" s="41">
        <v>52.89</v>
      </c>
      <c r="O18" s="46">
        <v>43251</v>
      </c>
      <c r="P18" s="59">
        <v>52.86</v>
      </c>
    </row>
    <row r="19" spans="1:16">
      <c r="A19" s="11">
        <v>1467</v>
      </c>
      <c r="B19" s="12">
        <v>1.9528000000000001</v>
      </c>
      <c r="D19" s="17">
        <v>43280</v>
      </c>
      <c r="E19" s="42">
        <v>52.8</v>
      </c>
      <c r="H19" s="2">
        <v>44655</v>
      </c>
      <c r="I19" s="40">
        <v>1831</v>
      </c>
      <c r="J19" s="43">
        <v>2.0632000000000001</v>
      </c>
      <c r="L19" s="44" t="s">
        <v>79</v>
      </c>
      <c r="M19" s="41">
        <v>0</v>
      </c>
      <c r="N19" s="41">
        <v>52.83</v>
      </c>
      <c r="O19" s="46">
        <v>43280</v>
      </c>
      <c r="P19" s="59">
        <v>52.8</v>
      </c>
    </row>
    <row r="20" spans="1:16">
      <c r="A20" s="11">
        <v>1831</v>
      </c>
      <c r="B20" s="12">
        <v>2.0632000000000001</v>
      </c>
      <c r="D20" s="17">
        <v>43312</v>
      </c>
      <c r="E20" s="42">
        <v>52.74</v>
      </c>
      <c r="F20" s="40"/>
      <c r="L20" s="44" t="s">
        <v>80</v>
      </c>
      <c r="M20" s="41">
        <v>0</v>
      </c>
      <c r="N20" s="41">
        <v>52.77</v>
      </c>
      <c r="O20" s="46">
        <v>43312</v>
      </c>
      <c r="P20" s="59">
        <v>52.74</v>
      </c>
    </row>
    <row r="21" spans="1:16">
      <c r="A21" s="11"/>
      <c r="B21" s="12"/>
      <c r="D21" s="17">
        <v>43343</v>
      </c>
      <c r="E21" s="42">
        <v>52.66</v>
      </c>
      <c r="F21" s="40"/>
      <c r="L21" s="44" t="s">
        <v>81</v>
      </c>
      <c r="M21" s="41">
        <v>0</v>
      </c>
      <c r="N21" s="41">
        <v>52.69</v>
      </c>
      <c r="O21" s="46">
        <v>43343</v>
      </c>
      <c r="P21" s="59">
        <v>52.66</v>
      </c>
    </row>
    <row r="22" spans="1:16">
      <c r="A22" s="11"/>
      <c r="B22" s="12"/>
      <c r="D22" s="17">
        <v>43371</v>
      </c>
      <c r="E22" s="42">
        <v>52.58</v>
      </c>
      <c r="F22" s="40"/>
      <c r="L22" s="44" t="s">
        <v>82</v>
      </c>
      <c r="M22" s="41">
        <v>0</v>
      </c>
      <c r="N22" s="41">
        <v>52.61</v>
      </c>
      <c r="O22" s="46">
        <v>43371</v>
      </c>
      <c r="P22" s="59">
        <v>52.58</v>
      </c>
    </row>
    <row r="23" spans="1:16">
      <c r="A23" s="11"/>
      <c r="B23" s="12"/>
      <c r="D23" s="17">
        <v>43404</v>
      </c>
      <c r="E23" s="42">
        <v>52.53</v>
      </c>
      <c r="F23" s="40"/>
      <c r="L23" s="44" t="s">
        <v>83</v>
      </c>
      <c r="M23" s="41">
        <v>52.5</v>
      </c>
      <c r="N23" s="41">
        <v>52.56</v>
      </c>
      <c r="O23" s="46">
        <v>43404</v>
      </c>
      <c r="P23" s="59">
        <v>52.53</v>
      </c>
    </row>
    <row r="24" spans="1:16">
      <c r="A24" s="11"/>
      <c r="B24" s="12"/>
      <c r="D24" s="17">
        <v>43434</v>
      </c>
      <c r="E24" s="42">
        <v>52.51</v>
      </c>
      <c r="F24" s="40"/>
      <c r="L24" s="44" t="s">
        <v>84</v>
      </c>
      <c r="M24" s="41">
        <v>0</v>
      </c>
      <c r="N24" s="41">
        <v>52.54</v>
      </c>
      <c r="O24" s="46">
        <v>43434</v>
      </c>
      <c r="P24" s="59">
        <v>52.51</v>
      </c>
    </row>
    <row r="25" spans="1:16">
      <c r="A25" s="11"/>
      <c r="B25" s="12"/>
      <c r="D25" s="17">
        <v>43462</v>
      </c>
      <c r="E25" s="42">
        <v>52.49</v>
      </c>
      <c r="F25" s="40"/>
      <c r="L25" s="44" t="s">
        <v>86</v>
      </c>
      <c r="M25" s="41">
        <v>0</v>
      </c>
      <c r="N25" s="41">
        <v>52.52</v>
      </c>
      <c r="O25" s="46">
        <v>43462</v>
      </c>
      <c r="P25" s="59">
        <v>52.49</v>
      </c>
    </row>
    <row r="26" spans="1:16">
      <c r="A26" s="11"/>
      <c r="B26" s="12"/>
      <c r="D26" s="17">
        <v>43496</v>
      </c>
      <c r="E26" s="42">
        <v>52.47</v>
      </c>
      <c r="F26" s="40"/>
      <c r="L26" s="44" t="s">
        <v>87</v>
      </c>
      <c r="M26" s="41">
        <v>0</v>
      </c>
      <c r="N26" s="41">
        <v>52.5</v>
      </c>
      <c r="O26" s="46">
        <v>43496</v>
      </c>
      <c r="P26" s="59">
        <v>52.47</v>
      </c>
    </row>
    <row r="27" spans="1:16">
      <c r="A27" s="11"/>
      <c r="B27" s="12"/>
      <c r="D27" s="17">
        <v>43524</v>
      </c>
      <c r="E27" s="42">
        <v>52.45</v>
      </c>
      <c r="F27" s="40"/>
      <c r="L27" s="44" t="s">
        <v>88</v>
      </c>
      <c r="M27" s="41">
        <v>0</v>
      </c>
      <c r="N27" s="41">
        <v>52.480000000000004</v>
      </c>
      <c r="O27" s="46">
        <v>43524</v>
      </c>
      <c r="P27" s="59">
        <v>52.45</v>
      </c>
    </row>
    <row r="28" spans="1:16">
      <c r="A28" s="11"/>
      <c r="B28" s="12"/>
      <c r="D28" s="17">
        <v>43553</v>
      </c>
      <c r="E28" s="42">
        <v>52.43</v>
      </c>
      <c r="F28" s="40"/>
      <c r="L28" s="44" t="s">
        <v>89</v>
      </c>
      <c r="M28" s="41">
        <v>0</v>
      </c>
      <c r="N28" s="41">
        <v>52.46</v>
      </c>
      <c r="O28" s="46">
        <v>43553</v>
      </c>
      <c r="P28" s="59">
        <v>52.43</v>
      </c>
    </row>
    <row r="29" spans="1:16">
      <c r="A29" s="11"/>
      <c r="B29" s="12"/>
      <c r="D29" s="17">
        <v>43585</v>
      </c>
      <c r="E29" s="42">
        <v>52.41</v>
      </c>
      <c r="F29" s="40"/>
      <c r="L29" s="44" t="s">
        <v>90</v>
      </c>
      <c r="M29" s="41">
        <v>0</v>
      </c>
      <c r="N29" s="41">
        <v>52.44</v>
      </c>
      <c r="O29" s="46">
        <v>43585</v>
      </c>
      <c r="P29" s="59">
        <v>52.41</v>
      </c>
    </row>
    <row r="30" spans="1:16">
      <c r="A30" s="11"/>
      <c r="B30" s="12"/>
      <c r="D30" s="17">
        <v>43616</v>
      </c>
      <c r="E30" s="42">
        <v>52.4</v>
      </c>
      <c r="F30" s="40"/>
      <c r="L30" s="44" t="s">
        <v>91</v>
      </c>
      <c r="M30" s="41">
        <v>0</v>
      </c>
      <c r="N30" s="41">
        <v>52.43</v>
      </c>
      <c r="O30" s="46">
        <v>43616</v>
      </c>
      <c r="P30" s="59">
        <v>52.4</v>
      </c>
    </row>
    <row r="31" spans="1:16">
      <c r="A31" s="11"/>
      <c r="B31" s="12"/>
      <c r="D31" s="17">
        <v>43644</v>
      </c>
      <c r="E31" s="42">
        <v>52.38</v>
      </c>
      <c r="F31" s="40"/>
      <c r="L31" s="44" t="s">
        <v>92</v>
      </c>
      <c r="M31" s="41">
        <v>0</v>
      </c>
      <c r="N31" s="41">
        <v>52.410000000000004</v>
      </c>
      <c r="O31" s="46">
        <v>43644</v>
      </c>
      <c r="P31" s="59">
        <v>52.38</v>
      </c>
    </row>
    <row r="32" spans="1:16">
      <c r="A32" s="11"/>
      <c r="B32" s="12"/>
      <c r="D32" s="17">
        <v>43677</v>
      </c>
      <c r="E32" s="42">
        <v>52.36</v>
      </c>
      <c r="F32" s="40"/>
      <c r="L32" s="44" t="s">
        <v>93</v>
      </c>
      <c r="M32" s="41">
        <v>0</v>
      </c>
      <c r="N32" s="41">
        <v>52.39</v>
      </c>
      <c r="O32" s="46">
        <v>43677</v>
      </c>
      <c r="P32" s="59">
        <v>52.36</v>
      </c>
    </row>
    <row r="33" spans="1:16">
      <c r="A33" s="11"/>
      <c r="B33" s="12"/>
      <c r="D33" s="17">
        <v>43707</v>
      </c>
      <c r="E33" s="42">
        <v>52.34</v>
      </c>
      <c r="F33" s="40"/>
      <c r="L33" s="44" t="s">
        <v>94</v>
      </c>
      <c r="M33" s="41">
        <v>0</v>
      </c>
      <c r="N33" s="41">
        <v>52.370000000000005</v>
      </c>
      <c r="O33" s="46">
        <v>43707</v>
      </c>
      <c r="P33" s="59">
        <v>52.34</v>
      </c>
    </row>
    <row r="34" spans="1:16">
      <c r="A34" s="11"/>
      <c r="B34" s="12"/>
      <c r="D34" s="17">
        <v>43738</v>
      </c>
      <c r="E34" s="42">
        <v>52.31</v>
      </c>
      <c r="F34" s="40"/>
      <c r="L34" s="44" t="s">
        <v>95</v>
      </c>
      <c r="M34" s="41">
        <v>0</v>
      </c>
      <c r="N34" s="41">
        <v>52.34</v>
      </c>
      <c r="O34" s="46">
        <v>43738</v>
      </c>
      <c r="P34" s="59">
        <v>52.31</v>
      </c>
    </row>
    <row r="35" spans="1:16">
      <c r="A35" s="11"/>
      <c r="B35" s="12"/>
      <c r="D35" s="17">
        <v>43769</v>
      </c>
      <c r="E35" s="42">
        <v>52.29</v>
      </c>
      <c r="F35" s="40"/>
      <c r="L35" s="44" t="s">
        <v>96</v>
      </c>
      <c r="M35" s="41">
        <v>0</v>
      </c>
      <c r="N35" s="41">
        <v>52.32</v>
      </c>
      <c r="O35" s="46">
        <v>43769</v>
      </c>
      <c r="P35" s="59">
        <v>52.29</v>
      </c>
    </row>
    <row r="36" spans="1:16">
      <c r="A36" s="11"/>
      <c r="B36" s="12"/>
      <c r="D36" s="17">
        <v>43798</v>
      </c>
      <c r="E36" s="42">
        <v>52.35</v>
      </c>
      <c r="F36" s="40"/>
      <c r="L36" s="44" t="s">
        <v>97</v>
      </c>
      <c r="M36" s="41">
        <v>0</v>
      </c>
      <c r="N36" s="41">
        <v>52.38</v>
      </c>
      <c r="O36" s="46">
        <v>43798</v>
      </c>
      <c r="P36" s="59">
        <v>52.35</v>
      </c>
    </row>
    <row r="37" spans="1:16">
      <c r="A37" s="11"/>
      <c r="B37" s="12"/>
      <c r="L37" s="44"/>
      <c r="M37" s="41"/>
      <c r="N37" s="41"/>
    </row>
    <row r="38" spans="1:16">
      <c r="A38" s="11"/>
      <c r="B38" s="12"/>
    </row>
    <row r="39" spans="1:16">
      <c r="A39" s="11"/>
      <c r="B39" s="12"/>
    </row>
    <row r="40" spans="1:16">
      <c r="A40" s="11"/>
      <c r="B40" s="12"/>
    </row>
    <row r="41" spans="1:16">
      <c r="A41" s="11"/>
      <c r="B41" s="12"/>
    </row>
    <row r="42" spans="1:16">
      <c r="A42" s="11"/>
      <c r="B42" s="12"/>
    </row>
    <row r="43" spans="1:16">
      <c r="A43" s="11"/>
      <c r="B43" s="12"/>
    </row>
    <row r="44" spans="1:16">
      <c r="A44" s="11"/>
      <c r="B44" s="12"/>
    </row>
    <row r="45" spans="1:16">
      <c r="A45" s="11"/>
      <c r="B45" s="12"/>
    </row>
    <row r="46" spans="1:16">
      <c r="A46" s="11"/>
      <c r="B46" s="12"/>
    </row>
    <row r="47" spans="1:16">
      <c r="A47" s="11"/>
      <c r="B47" s="12"/>
    </row>
    <row r="48" spans="1:16">
      <c r="A48" s="11"/>
      <c r="B48" s="12"/>
    </row>
    <row r="49" spans="1:2">
      <c r="A49" s="11"/>
      <c r="B49" s="12"/>
    </row>
    <row r="50" spans="1:2">
      <c r="A50" s="11"/>
      <c r="B50" s="12"/>
    </row>
    <row r="51" spans="1:2">
      <c r="A51" s="11"/>
      <c r="B51" s="12"/>
    </row>
    <row r="52" spans="1:2">
      <c r="A52" s="11"/>
      <c r="B52" s="12"/>
    </row>
    <row r="53" spans="1:2">
      <c r="A53" s="11"/>
      <c r="B53" s="12"/>
    </row>
    <row r="54" spans="1:2">
      <c r="A54" s="11"/>
      <c r="B54" s="1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T42"/>
  <sheetViews>
    <sheetView zoomScale="90" zoomScaleNormal="90" workbookViewId="0">
      <pane ySplit="1" topLeftCell="A2" activePane="bottomLeft" state="frozen"/>
      <selection pane="bottomLeft" activeCell="L5" sqref="L5"/>
    </sheetView>
  </sheetViews>
  <sheetFormatPr defaultColWidth="7.5703125" defaultRowHeight="12.75"/>
  <cols>
    <col min="1" max="2" width="7.5703125" style="48"/>
    <col min="3" max="3" width="13.28515625" style="19" bestFit="1" customWidth="1"/>
    <col min="4" max="4" width="12.7109375" style="19" bestFit="1" customWidth="1"/>
    <col min="5" max="5" width="14.7109375" style="19" bestFit="1" customWidth="1"/>
    <col min="6" max="6" width="17.42578125" style="18" bestFit="1" customWidth="1"/>
    <col min="7" max="7" width="13.28515625" style="20" bestFit="1" customWidth="1"/>
    <col min="8" max="8" width="7.140625" style="20" bestFit="1" customWidth="1"/>
    <col min="9" max="9" width="19.42578125" style="19" customWidth="1"/>
    <col min="10" max="10" width="13.28515625" style="18" bestFit="1" customWidth="1"/>
    <col min="11" max="11" width="15.42578125" style="18" bestFit="1" customWidth="1"/>
    <col min="12" max="13" width="7.85546875" style="18" customWidth="1"/>
    <col min="14" max="14" width="8.7109375" style="18" bestFit="1" customWidth="1"/>
    <col min="15" max="15" width="10.5703125" style="18" customWidth="1"/>
    <col min="16" max="16" width="15.140625" style="18" customWidth="1"/>
    <col min="17" max="17" width="38.5703125" style="20" customWidth="1"/>
    <col min="18" max="18" width="15.7109375" style="20" customWidth="1"/>
    <col min="19" max="20" width="12.7109375" style="21" customWidth="1"/>
    <col min="21" max="251" width="7.5703125" style="18"/>
    <col min="252" max="252" width="12" style="18" bestFit="1" customWidth="1"/>
    <col min="253" max="253" width="14.42578125" style="18" bestFit="1" customWidth="1"/>
    <col min="254" max="254" width="10.7109375" style="18" bestFit="1" customWidth="1"/>
    <col min="255" max="255" width="15.5703125" style="18" bestFit="1" customWidth="1"/>
    <col min="256" max="256" width="8.85546875" style="18" bestFit="1" customWidth="1"/>
    <col min="257" max="257" width="14.42578125" style="18" bestFit="1" customWidth="1"/>
    <col min="258" max="258" width="14.140625" style="18" customWidth="1"/>
    <col min="259" max="259" width="16.5703125" style="18" bestFit="1" customWidth="1"/>
    <col min="260" max="260" width="15.5703125" style="18" bestFit="1" customWidth="1"/>
    <col min="261" max="261" width="17" style="18" bestFit="1" customWidth="1"/>
    <col min="262" max="262" width="9.85546875" style="18" bestFit="1" customWidth="1"/>
    <col min="263" max="263" width="13" style="18" bestFit="1" customWidth="1"/>
    <col min="264" max="264" width="15.7109375" style="18" bestFit="1" customWidth="1"/>
    <col min="265" max="265" width="10.5703125" style="18" bestFit="1" customWidth="1"/>
    <col min="266" max="266" width="10" style="18" bestFit="1" customWidth="1"/>
    <col min="267" max="267" width="9.42578125" style="18" bestFit="1" customWidth="1"/>
    <col min="268" max="269" width="11.28515625" style="18" bestFit="1" customWidth="1"/>
    <col min="270" max="270" width="11.5703125" style="18" bestFit="1" customWidth="1"/>
    <col min="271" max="271" width="14.28515625" style="18" bestFit="1" customWidth="1"/>
    <col min="272" max="272" width="14.5703125" style="18" bestFit="1" customWidth="1"/>
    <col min="273" max="273" width="9.42578125" style="18" customWidth="1"/>
    <col min="274" max="507" width="7.5703125" style="18"/>
    <col min="508" max="508" width="12" style="18" bestFit="1" customWidth="1"/>
    <col min="509" max="509" width="14.42578125" style="18" bestFit="1" customWidth="1"/>
    <col min="510" max="510" width="10.7109375" style="18" bestFit="1" customWidth="1"/>
    <col min="511" max="511" width="15.5703125" style="18" bestFit="1" customWidth="1"/>
    <col min="512" max="512" width="8.85546875" style="18" bestFit="1" customWidth="1"/>
    <col min="513" max="513" width="14.42578125" style="18" bestFit="1" customWidth="1"/>
    <col min="514" max="514" width="14.140625" style="18" customWidth="1"/>
    <col min="515" max="515" width="16.5703125" style="18" bestFit="1" customWidth="1"/>
    <col min="516" max="516" width="15.5703125" style="18" bestFit="1" customWidth="1"/>
    <col min="517" max="517" width="17" style="18" bestFit="1" customWidth="1"/>
    <col min="518" max="518" width="9.85546875" style="18" bestFit="1" customWidth="1"/>
    <col min="519" max="519" width="13" style="18" bestFit="1" customWidth="1"/>
    <col min="520" max="520" width="15.7109375" style="18" bestFit="1" customWidth="1"/>
    <col min="521" max="521" width="10.5703125" style="18" bestFit="1" customWidth="1"/>
    <col min="522" max="522" width="10" style="18" bestFit="1" customWidth="1"/>
    <col min="523" max="523" width="9.42578125" style="18" bestFit="1" customWidth="1"/>
    <col min="524" max="525" width="11.28515625" style="18" bestFit="1" customWidth="1"/>
    <col min="526" max="526" width="11.5703125" style="18" bestFit="1" customWidth="1"/>
    <col min="527" max="527" width="14.28515625" style="18" bestFit="1" customWidth="1"/>
    <col min="528" max="528" width="14.5703125" style="18" bestFit="1" customWidth="1"/>
    <col min="529" max="529" width="9.42578125" style="18" customWidth="1"/>
    <col min="530" max="763" width="7.5703125" style="18"/>
    <col min="764" max="764" width="12" style="18" bestFit="1" customWidth="1"/>
    <col min="765" max="765" width="14.42578125" style="18" bestFit="1" customWidth="1"/>
    <col min="766" max="766" width="10.7109375" style="18" bestFit="1" customWidth="1"/>
    <col min="767" max="767" width="15.5703125" style="18" bestFit="1" customWidth="1"/>
    <col min="768" max="768" width="8.85546875" style="18" bestFit="1" customWidth="1"/>
    <col min="769" max="769" width="14.42578125" style="18" bestFit="1" customWidth="1"/>
    <col min="770" max="770" width="14.140625" style="18" customWidth="1"/>
    <col min="771" max="771" width="16.5703125" style="18" bestFit="1" customWidth="1"/>
    <col min="772" max="772" width="15.5703125" style="18" bestFit="1" customWidth="1"/>
    <col min="773" max="773" width="17" style="18" bestFit="1" customWidth="1"/>
    <col min="774" max="774" width="9.85546875" style="18" bestFit="1" customWidth="1"/>
    <col min="775" max="775" width="13" style="18" bestFit="1" customWidth="1"/>
    <col min="776" max="776" width="15.7109375" style="18" bestFit="1" customWidth="1"/>
    <col min="777" max="777" width="10.5703125" style="18" bestFit="1" customWidth="1"/>
    <col min="778" max="778" width="10" style="18" bestFit="1" customWidth="1"/>
    <col min="779" max="779" width="9.42578125" style="18" bestFit="1" customWidth="1"/>
    <col min="780" max="781" width="11.28515625" style="18" bestFit="1" customWidth="1"/>
    <col min="782" max="782" width="11.5703125" style="18" bestFit="1" customWidth="1"/>
    <col min="783" max="783" width="14.28515625" style="18" bestFit="1" customWidth="1"/>
    <col min="784" max="784" width="14.5703125" style="18" bestFit="1" customWidth="1"/>
    <col min="785" max="785" width="9.42578125" style="18" customWidth="1"/>
    <col min="786" max="1019" width="7.5703125" style="18"/>
    <col min="1020" max="1020" width="12" style="18" bestFit="1" customWidth="1"/>
    <col min="1021" max="1021" width="14.42578125" style="18" bestFit="1" customWidth="1"/>
    <col min="1022" max="1022" width="10.7109375" style="18" bestFit="1" customWidth="1"/>
    <col min="1023" max="1023" width="15.5703125" style="18" bestFit="1" customWidth="1"/>
    <col min="1024" max="1024" width="8.85546875" style="18" bestFit="1" customWidth="1"/>
    <col min="1025" max="1025" width="14.42578125" style="18" bestFit="1" customWidth="1"/>
    <col min="1026" max="1026" width="14.140625" style="18" customWidth="1"/>
    <col min="1027" max="1027" width="16.5703125" style="18" bestFit="1" customWidth="1"/>
    <col min="1028" max="1028" width="15.5703125" style="18" bestFit="1" customWidth="1"/>
    <col min="1029" max="1029" width="17" style="18" bestFit="1" customWidth="1"/>
    <col min="1030" max="1030" width="9.85546875" style="18" bestFit="1" customWidth="1"/>
    <col min="1031" max="1031" width="13" style="18" bestFit="1" customWidth="1"/>
    <col min="1032" max="1032" width="15.7109375" style="18" bestFit="1" customWidth="1"/>
    <col min="1033" max="1033" width="10.5703125" style="18" bestFit="1" customWidth="1"/>
    <col min="1034" max="1034" width="10" style="18" bestFit="1" customWidth="1"/>
    <col min="1035" max="1035" width="9.42578125" style="18" bestFit="1" customWidth="1"/>
    <col min="1036" max="1037" width="11.28515625" style="18" bestFit="1" customWidth="1"/>
    <col min="1038" max="1038" width="11.5703125" style="18" bestFit="1" customWidth="1"/>
    <col min="1039" max="1039" width="14.28515625" style="18" bestFit="1" customWidth="1"/>
    <col min="1040" max="1040" width="14.5703125" style="18" bestFit="1" customWidth="1"/>
    <col min="1041" max="1041" width="9.42578125" style="18" customWidth="1"/>
    <col min="1042" max="1275" width="7.5703125" style="18"/>
    <col min="1276" max="1276" width="12" style="18" bestFit="1" customWidth="1"/>
    <col min="1277" max="1277" width="14.42578125" style="18" bestFit="1" customWidth="1"/>
    <col min="1278" max="1278" width="10.7109375" style="18" bestFit="1" customWidth="1"/>
    <col min="1279" max="1279" width="15.5703125" style="18" bestFit="1" customWidth="1"/>
    <col min="1280" max="1280" width="8.85546875" style="18" bestFit="1" customWidth="1"/>
    <col min="1281" max="1281" width="14.42578125" style="18" bestFit="1" customWidth="1"/>
    <col min="1282" max="1282" width="14.140625" style="18" customWidth="1"/>
    <col min="1283" max="1283" width="16.5703125" style="18" bestFit="1" customWidth="1"/>
    <col min="1284" max="1284" width="15.5703125" style="18" bestFit="1" customWidth="1"/>
    <col min="1285" max="1285" width="17" style="18" bestFit="1" customWidth="1"/>
    <col min="1286" max="1286" width="9.85546875" style="18" bestFit="1" customWidth="1"/>
    <col min="1287" max="1287" width="13" style="18" bestFit="1" customWidth="1"/>
    <col min="1288" max="1288" width="15.7109375" style="18" bestFit="1" customWidth="1"/>
    <col min="1289" max="1289" width="10.5703125" style="18" bestFit="1" customWidth="1"/>
    <col min="1290" max="1290" width="10" style="18" bestFit="1" customWidth="1"/>
    <col min="1291" max="1291" width="9.42578125" style="18" bestFit="1" customWidth="1"/>
    <col min="1292" max="1293" width="11.28515625" style="18" bestFit="1" customWidth="1"/>
    <col min="1294" max="1294" width="11.5703125" style="18" bestFit="1" customWidth="1"/>
    <col min="1295" max="1295" width="14.28515625" style="18" bestFit="1" customWidth="1"/>
    <col min="1296" max="1296" width="14.5703125" style="18" bestFit="1" customWidth="1"/>
    <col min="1297" max="1297" width="9.42578125" style="18" customWidth="1"/>
    <col min="1298" max="1531" width="7.5703125" style="18"/>
    <col min="1532" max="1532" width="12" style="18" bestFit="1" customWidth="1"/>
    <col min="1533" max="1533" width="14.42578125" style="18" bestFit="1" customWidth="1"/>
    <col min="1534" max="1534" width="10.7109375" style="18" bestFit="1" customWidth="1"/>
    <col min="1535" max="1535" width="15.5703125" style="18" bestFit="1" customWidth="1"/>
    <col min="1536" max="1536" width="8.85546875" style="18" bestFit="1" customWidth="1"/>
    <col min="1537" max="1537" width="14.42578125" style="18" bestFit="1" customWidth="1"/>
    <col min="1538" max="1538" width="14.140625" style="18" customWidth="1"/>
    <col min="1539" max="1539" width="16.5703125" style="18" bestFit="1" customWidth="1"/>
    <col min="1540" max="1540" width="15.5703125" style="18" bestFit="1" customWidth="1"/>
    <col min="1541" max="1541" width="17" style="18" bestFit="1" customWidth="1"/>
    <col min="1542" max="1542" width="9.85546875" style="18" bestFit="1" customWidth="1"/>
    <col min="1543" max="1543" width="13" style="18" bestFit="1" customWidth="1"/>
    <col min="1544" max="1544" width="15.7109375" style="18" bestFit="1" customWidth="1"/>
    <col min="1545" max="1545" width="10.5703125" style="18" bestFit="1" customWidth="1"/>
    <col min="1546" max="1546" width="10" style="18" bestFit="1" customWidth="1"/>
    <col min="1547" max="1547" width="9.42578125" style="18" bestFit="1" customWidth="1"/>
    <col min="1548" max="1549" width="11.28515625" style="18" bestFit="1" customWidth="1"/>
    <col min="1550" max="1550" width="11.5703125" style="18" bestFit="1" customWidth="1"/>
    <col min="1551" max="1551" width="14.28515625" style="18" bestFit="1" customWidth="1"/>
    <col min="1552" max="1552" width="14.5703125" style="18" bestFit="1" customWidth="1"/>
    <col min="1553" max="1553" width="9.42578125" style="18" customWidth="1"/>
    <col min="1554" max="1787" width="7.5703125" style="18"/>
    <col min="1788" max="1788" width="12" style="18" bestFit="1" customWidth="1"/>
    <col min="1789" max="1789" width="14.42578125" style="18" bestFit="1" customWidth="1"/>
    <col min="1790" max="1790" width="10.7109375" style="18" bestFit="1" customWidth="1"/>
    <col min="1791" max="1791" width="15.5703125" style="18" bestFit="1" customWidth="1"/>
    <col min="1792" max="1792" width="8.85546875" style="18" bestFit="1" customWidth="1"/>
    <col min="1793" max="1793" width="14.42578125" style="18" bestFit="1" customWidth="1"/>
    <col min="1794" max="1794" width="14.140625" style="18" customWidth="1"/>
    <col min="1795" max="1795" width="16.5703125" style="18" bestFit="1" customWidth="1"/>
    <col min="1796" max="1796" width="15.5703125" style="18" bestFit="1" customWidth="1"/>
    <col min="1797" max="1797" width="17" style="18" bestFit="1" customWidth="1"/>
    <col min="1798" max="1798" width="9.85546875" style="18" bestFit="1" customWidth="1"/>
    <col min="1799" max="1799" width="13" style="18" bestFit="1" customWidth="1"/>
    <col min="1800" max="1800" width="15.7109375" style="18" bestFit="1" customWidth="1"/>
    <col min="1801" max="1801" width="10.5703125" style="18" bestFit="1" customWidth="1"/>
    <col min="1802" max="1802" width="10" style="18" bestFit="1" customWidth="1"/>
    <col min="1803" max="1803" width="9.42578125" style="18" bestFit="1" customWidth="1"/>
    <col min="1804" max="1805" width="11.28515625" style="18" bestFit="1" customWidth="1"/>
    <col min="1806" max="1806" width="11.5703125" style="18" bestFit="1" customWidth="1"/>
    <col min="1807" max="1807" width="14.28515625" style="18" bestFit="1" customWidth="1"/>
    <col min="1808" max="1808" width="14.5703125" style="18" bestFit="1" customWidth="1"/>
    <col min="1809" max="1809" width="9.42578125" style="18" customWidth="1"/>
    <col min="1810" max="2043" width="7.5703125" style="18"/>
    <col min="2044" max="2044" width="12" style="18" bestFit="1" customWidth="1"/>
    <col min="2045" max="2045" width="14.42578125" style="18" bestFit="1" customWidth="1"/>
    <col min="2046" max="2046" width="10.7109375" style="18" bestFit="1" customWidth="1"/>
    <col min="2047" max="2047" width="15.5703125" style="18" bestFit="1" customWidth="1"/>
    <col min="2048" max="2048" width="8.85546875" style="18" bestFit="1" customWidth="1"/>
    <col min="2049" max="2049" width="14.42578125" style="18" bestFit="1" customWidth="1"/>
    <col min="2050" max="2050" width="14.140625" style="18" customWidth="1"/>
    <col min="2051" max="2051" width="16.5703125" style="18" bestFit="1" customWidth="1"/>
    <col min="2052" max="2052" width="15.5703125" style="18" bestFit="1" customWidth="1"/>
    <col min="2053" max="2053" width="17" style="18" bestFit="1" customWidth="1"/>
    <col min="2054" max="2054" width="9.85546875" style="18" bestFit="1" customWidth="1"/>
    <col min="2055" max="2055" width="13" style="18" bestFit="1" customWidth="1"/>
    <col min="2056" max="2056" width="15.7109375" style="18" bestFit="1" customWidth="1"/>
    <col min="2057" max="2057" width="10.5703125" style="18" bestFit="1" customWidth="1"/>
    <col min="2058" max="2058" width="10" style="18" bestFit="1" customWidth="1"/>
    <col min="2059" max="2059" width="9.42578125" style="18" bestFit="1" customWidth="1"/>
    <col min="2060" max="2061" width="11.28515625" style="18" bestFit="1" customWidth="1"/>
    <col min="2062" max="2062" width="11.5703125" style="18" bestFit="1" customWidth="1"/>
    <col min="2063" max="2063" width="14.28515625" style="18" bestFit="1" customWidth="1"/>
    <col min="2064" max="2064" width="14.5703125" style="18" bestFit="1" customWidth="1"/>
    <col min="2065" max="2065" width="9.42578125" style="18" customWidth="1"/>
    <col min="2066" max="2299" width="7.5703125" style="18"/>
    <col min="2300" max="2300" width="12" style="18" bestFit="1" customWidth="1"/>
    <col min="2301" max="2301" width="14.42578125" style="18" bestFit="1" customWidth="1"/>
    <col min="2302" max="2302" width="10.7109375" style="18" bestFit="1" customWidth="1"/>
    <col min="2303" max="2303" width="15.5703125" style="18" bestFit="1" customWidth="1"/>
    <col min="2304" max="2304" width="8.85546875" style="18" bestFit="1" customWidth="1"/>
    <col min="2305" max="2305" width="14.42578125" style="18" bestFit="1" customWidth="1"/>
    <col min="2306" max="2306" width="14.140625" style="18" customWidth="1"/>
    <col min="2307" max="2307" width="16.5703125" style="18" bestFit="1" customWidth="1"/>
    <col min="2308" max="2308" width="15.5703125" style="18" bestFit="1" customWidth="1"/>
    <col min="2309" max="2309" width="17" style="18" bestFit="1" customWidth="1"/>
    <col min="2310" max="2310" width="9.85546875" style="18" bestFit="1" customWidth="1"/>
    <col min="2311" max="2311" width="13" style="18" bestFit="1" customWidth="1"/>
    <col min="2312" max="2312" width="15.7109375" style="18" bestFit="1" customWidth="1"/>
    <col min="2313" max="2313" width="10.5703125" style="18" bestFit="1" customWidth="1"/>
    <col min="2314" max="2314" width="10" style="18" bestFit="1" customWidth="1"/>
    <col min="2315" max="2315" width="9.42578125" style="18" bestFit="1" customWidth="1"/>
    <col min="2316" max="2317" width="11.28515625" style="18" bestFit="1" customWidth="1"/>
    <col min="2318" max="2318" width="11.5703125" style="18" bestFit="1" customWidth="1"/>
    <col min="2319" max="2319" width="14.28515625" style="18" bestFit="1" customWidth="1"/>
    <col min="2320" max="2320" width="14.5703125" style="18" bestFit="1" customWidth="1"/>
    <col min="2321" max="2321" width="9.42578125" style="18" customWidth="1"/>
    <col min="2322" max="2555" width="7.5703125" style="18"/>
    <col min="2556" max="2556" width="12" style="18" bestFit="1" customWidth="1"/>
    <col min="2557" max="2557" width="14.42578125" style="18" bestFit="1" customWidth="1"/>
    <col min="2558" max="2558" width="10.7109375" style="18" bestFit="1" customWidth="1"/>
    <col min="2559" max="2559" width="15.5703125" style="18" bestFit="1" customWidth="1"/>
    <col min="2560" max="2560" width="8.85546875" style="18" bestFit="1" customWidth="1"/>
    <col min="2561" max="2561" width="14.42578125" style="18" bestFit="1" customWidth="1"/>
    <col min="2562" max="2562" width="14.140625" style="18" customWidth="1"/>
    <col min="2563" max="2563" width="16.5703125" style="18" bestFit="1" customWidth="1"/>
    <col min="2564" max="2564" width="15.5703125" style="18" bestFit="1" customWidth="1"/>
    <col min="2565" max="2565" width="17" style="18" bestFit="1" customWidth="1"/>
    <col min="2566" max="2566" width="9.85546875" style="18" bestFit="1" customWidth="1"/>
    <col min="2567" max="2567" width="13" style="18" bestFit="1" customWidth="1"/>
    <col min="2568" max="2568" width="15.7109375" style="18" bestFit="1" customWidth="1"/>
    <col min="2569" max="2569" width="10.5703125" style="18" bestFit="1" customWidth="1"/>
    <col min="2570" max="2570" width="10" style="18" bestFit="1" customWidth="1"/>
    <col min="2571" max="2571" width="9.42578125" style="18" bestFit="1" customWidth="1"/>
    <col min="2572" max="2573" width="11.28515625" style="18" bestFit="1" customWidth="1"/>
    <col min="2574" max="2574" width="11.5703125" style="18" bestFit="1" customWidth="1"/>
    <col min="2575" max="2575" width="14.28515625" style="18" bestFit="1" customWidth="1"/>
    <col min="2576" max="2576" width="14.5703125" style="18" bestFit="1" customWidth="1"/>
    <col min="2577" max="2577" width="9.42578125" style="18" customWidth="1"/>
    <col min="2578" max="2811" width="7.5703125" style="18"/>
    <col min="2812" max="2812" width="12" style="18" bestFit="1" customWidth="1"/>
    <col min="2813" max="2813" width="14.42578125" style="18" bestFit="1" customWidth="1"/>
    <col min="2814" max="2814" width="10.7109375" style="18" bestFit="1" customWidth="1"/>
    <col min="2815" max="2815" width="15.5703125" style="18" bestFit="1" customWidth="1"/>
    <col min="2816" max="2816" width="8.85546875" style="18" bestFit="1" customWidth="1"/>
    <col min="2817" max="2817" width="14.42578125" style="18" bestFit="1" customWidth="1"/>
    <col min="2818" max="2818" width="14.140625" style="18" customWidth="1"/>
    <col min="2819" max="2819" width="16.5703125" style="18" bestFit="1" customWidth="1"/>
    <col min="2820" max="2820" width="15.5703125" style="18" bestFit="1" customWidth="1"/>
    <col min="2821" max="2821" width="17" style="18" bestFit="1" customWidth="1"/>
    <col min="2822" max="2822" width="9.85546875" style="18" bestFit="1" customWidth="1"/>
    <col min="2823" max="2823" width="13" style="18" bestFit="1" customWidth="1"/>
    <col min="2824" max="2824" width="15.7109375" style="18" bestFit="1" customWidth="1"/>
    <col min="2825" max="2825" width="10.5703125" style="18" bestFit="1" customWidth="1"/>
    <col min="2826" max="2826" width="10" style="18" bestFit="1" customWidth="1"/>
    <col min="2827" max="2827" width="9.42578125" style="18" bestFit="1" customWidth="1"/>
    <col min="2828" max="2829" width="11.28515625" style="18" bestFit="1" customWidth="1"/>
    <col min="2830" max="2830" width="11.5703125" style="18" bestFit="1" customWidth="1"/>
    <col min="2831" max="2831" width="14.28515625" style="18" bestFit="1" customWidth="1"/>
    <col min="2832" max="2832" width="14.5703125" style="18" bestFit="1" customWidth="1"/>
    <col min="2833" max="2833" width="9.42578125" style="18" customWidth="1"/>
    <col min="2834" max="3067" width="7.5703125" style="18"/>
    <col min="3068" max="3068" width="12" style="18" bestFit="1" customWidth="1"/>
    <col min="3069" max="3069" width="14.42578125" style="18" bestFit="1" customWidth="1"/>
    <col min="3070" max="3070" width="10.7109375" style="18" bestFit="1" customWidth="1"/>
    <col min="3071" max="3071" width="15.5703125" style="18" bestFit="1" customWidth="1"/>
    <col min="3072" max="3072" width="8.85546875" style="18" bestFit="1" customWidth="1"/>
    <col min="3073" max="3073" width="14.42578125" style="18" bestFit="1" customWidth="1"/>
    <col min="3074" max="3074" width="14.140625" style="18" customWidth="1"/>
    <col min="3075" max="3075" width="16.5703125" style="18" bestFit="1" customWidth="1"/>
    <col min="3076" max="3076" width="15.5703125" style="18" bestFit="1" customWidth="1"/>
    <col min="3077" max="3077" width="17" style="18" bestFit="1" customWidth="1"/>
    <col min="3078" max="3078" width="9.85546875" style="18" bestFit="1" customWidth="1"/>
    <col min="3079" max="3079" width="13" style="18" bestFit="1" customWidth="1"/>
    <col min="3080" max="3080" width="15.7109375" style="18" bestFit="1" customWidth="1"/>
    <col min="3081" max="3081" width="10.5703125" style="18" bestFit="1" customWidth="1"/>
    <col min="3082" max="3082" width="10" style="18" bestFit="1" customWidth="1"/>
    <col min="3083" max="3083" width="9.42578125" style="18" bestFit="1" customWidth="1"/>
    <col min="3084" max="3085" width="11.28515625" style="18" bestFit="1" customWidth="1"/>
    <col min="3086" max="3086" width="11.5703125" style="18" bestFit="1" customWidth="1"/>
    <col min="3087" max="3087" width="14.28515625" style="18" bestFit="1" customWidth="1"/>
    <col min="3088" max="3088" width="14.5703125" style="18" bestFit="1" customWidth="1"/>
    <col min="3089" max="3089" width="9.42578125" style="18" customWidth="1"/>
    <col min="3090" max="3323" width="7.5703125" style="18"/>
    <col min="3324" max="3324" width="12" style="18" bestFit="1" customWidth="1"/>
    <col min="3325" max="3325" width="14.42578125" style="18" bestFit="1" customWidth="1"/>
    <col min="3326" max="3326" width="10.7109375" style="18" bestFit="1" customWidth="1"/>
    <col min="3327" max="3327" width="15.5703125" style="18" bestFit="1" customWidth="1"/>
    <col min="3328" max="3328" width="8.85546875" style="18" bestFit="1" customWidth="1"/>
    <col min="3329" max="3329" width="14.42578125" style="18" bestFit="1" customWidth="1"/>
    <col min="3330" max="3330" width="14.140625" style="18" customWidth="1"/>
    <col min="3331" max="3331" width="16.5703125" style="18" bestFit="1" customWidth="1"/>
    <col min="3332" max="3332" width="15.5703125" style="18" bestFit="1" customWidth="1"/>
    <col min="3333" max="3333" width="17" style="18" bestFit="1" customWidth="1"/>
    <col min="3334" max="3334" width="9.85546875" style="18" bestFit="1" customWidth="1"/>
    <col min="3335" max="3335" width="13" style="18" bestFit="1" customWidth="1"/>
    <col min="3336" max="3336" width="15.7109375" style="18" bestFit="1" customWidth="1"/>
    <col min="3337" max="3337" width="10.5703125" style="18" bestFit="1" customWidth="1"/>
    <col min="3338" max="3338" width="10" style="18" bestFit="1" customWidth="1"/>
    <col min="3339" max="3339" width="9.42578125" style="18" bestFit="1" customWidth="1"/>
    <col min="3340" max="3341" width="11.28515625" style="18" bestFit="1" customWidth="1"/>
    <col min="3342" max="3342" width="11.5703125" style="18" bestFit="1" customWidth="1"/>
    <col min="3343" max="3343" width="14.28515625" style="18" bestFit="1" customWidth="1"/>
    <col min="3344" max="3344" width="14.5703125" style="18" bestFit="1" customWidth="1"/>
    <col min="3345" max="3345" width="9.42578125" style="18" customWidth="1"/>
    <col min="3346" max="3579" width="7.5703125" style="18"/>
    <col min="3580" max="3580" width="12" style="18" bestFit="1" customWidth="1"/>
    <col min="3581" max="3581" width="14.42578125" style="18" bestFit="1" customWidth="1"/>
    <col min="3582" max="3582" width="10.7109375" style="18" bestFit="1" customWidth="1"/>
    <col min="3583" max="3583" width="15.5703125" style="18" bestFit="1" customWidth="1"/>
    <col min="3584" max="3584" width="8.85546875" style="18" bestFit="1" customWidth="1"/>
    <col min="3585" max="3585" width="14.42578125" style="18" bestFit="1" customWidth="1"/>
    <col min="3586" max="3586" width="14.140625" style="18" customWidth="1"/>
    <col min="3587" max="3587" width="16.5703125" style="18" bestFit="1" customWidth="1"/>
    <col min="3588" max="3588" width="15.5703125" style="18" bestFit="1" customWidth="1"/>
    <col min="3589" max="3589" width="17" style="18" bestFit="1" customWidth="1"/>
    <col min="3590" max="3590" width="9.85546875" style="18" bestFit="1" customWidth="1"/>
    <col min="3591" max="3591" width="13" style="18" bestFit="1" customWidth="1"/>
    <col min="3592" max="3592" width="15.7109375" style="18" bestFit="1" customWidth="1"/>
    <col min="3593" max="3593" width="10.5703125" style="18" bestFit="1" customWidth="1"/>
    <col min="3594" max="3594" width="10" style="18" bestFit="1" customWidth="1"/>
    <col min="3595" max="3595" width="9.42578125" style="18" bestFit="1" customWidth="1"/>
    <col min="3596" max="3597" width="11.28515625" style="18" bestFit="1" customWidth="1"/>
    <col min="3598" max="3598" width="11.5703125" style="18" bestFit="1" customWidth="1"/>
    <col min="3599" max="3599" width="14.28515625" style="18" bestFit="1" customWidth="1"/>
    <col min="3600" max="3600" width="14.5703125" style="18" bestFit="1" customWidth="1"/>
    <col min="3601" max="3601" width="9.42578125" style="18" customWidth="1"/>
    <col min="3602" max="3835" width="7.5703125" style="18"/>
    <col min="3836" max="3836" width="12" style="18" bestFit="1" customWidth="1"/>
    <col min="3837" max="3837" width="14.42578125" style="18" bestFit="1" customWidth="1"/>
    <col min="3838" max="3838" width="10.7109375" style="18" bestFit="1" customWidth="1"/>
    <col min="3839" max="3839" width="15.5703125" style="18" bestFit="1" customWidth="1"/>
    <col min="3840" max="3840" width="8.85546875" style="18" bestFit="1" customWidth="1"/>
    <col min="3841" max="3841" width="14.42578125" style="18" bestFit="1" customWidth="1"/>
    <col min="3842" max="3842" width="14.140625" style="18" customWidth="1"/>
    <col min="3843" max="3843" width="16.5703125" style="18" bestFit="1" customWidth="1"/>
    <col min="3844" max="3844" width="15.5703125" style="18" bestFit="1" customWidth="1"/>
    <col min="3845" max="3845" width="17" style="18" bestFit="1" customWidth="1"/>
    <col min="3846" max="3846" width="9.85546875" style="18" bestFit="1" customWidth="1"/>
    <col min="3847" max="3847" width="13" style="18" bestFit="1" customWidth="1"/>
    <col min="3848" max="3848" width="15.7109375" style="18" bestFit="1" customWidth="1"/>
    <col min="3849" max="3849" width="10.5703125" style="18" bestFit="1" customWidth="1"/>
    <col min="3850" max="3850" width="10" style="18" bestFit="1" customWidth="1"/>
    <col min="3851" max="3851" width="9.42578125" style="18" bestFit="1" customWidth="1"/>
    <col min="3852" max="3853" width="11.28515625" style="18" bestFit="1" customWidth="1"/>
    <col min="3854" max="3854" width="11.5703125" style="18" bestFit="1" customWidth="1"/>
    <col min="3855" max="3855" width="14.28515625" style="18" bestFit="1" customWidth="1"/>
    <col min="3856" max="3856" width="14.5703125" style="18" bestFit="1" customWidth="1"/>
    <col min="3857" max="3857" width="9.42578125" style="18" customWidth="1"/>
    <col min="3858" max="4091" width="7.5703125" style="18"/>
    <col min="4092" max="4092" width="12" style="18" bestFit="1" customWidth="1"/>
    <col min="4093" max="4093" width="14.42578125" style="18" bestFit="1" customWidth="1"/>
    <col min="4094" max="4094" width="10.7109375" style="18" bestFit="1" customWidth="1"/>
    <col min="4095" max="4095" width="15.5703125" style="18" bestFit="1" customWidth="1"/>
    <col min="4096" max="4096" width="8.85546875" style="18" bestFit="1" customWidth="1"/>
    <col min="4097" max="4097" width="14.42578125" style="18" bestFit="1" customWidth="1"/>
    <col min="4098" max="4098" width="14.140625" style="18" customWidth="1"/>
    <col min="4099" max="4099" width="16.5703125" style="18" bestFit="1" customWidth="1"/>
    <col min="4100" max="4100" width="15.5703125" style="18" bestFit="1" customWidth="1"/>
    <col min="4101" max="4101" width="17" style="18" bestFit="1" customWidth="1"/>
    <col min="4102" max="4102" width="9.85546875" style="18" bestFit="1" customWidth="1"/>
    <col min="4103" max="4103" width="13" style="18" bestFit="1" customWidth="1"/>
    <col min="4104" max="4104" width="15.7109375" style="18" bestFit="1" customWidth="1"/>
    <col min="4105" max="4105" width="10.5703125" style="18" bestFit="1" customWidth="1"/>
    <col min="4106" max="4106" width="10" style="18" bestFit="1" customWidth="1"/>
    <col min="4107" max="4107" width="9.42578125" style="18" bestFit="1" customWidth="1"/>
    <col min="4108" max="4109" width="11.28515625" style="18" bestFit="1" customWidth="1"/>
    <col min="4110" max="4110" width="11.5703125" style="18" bestFit="1" customWidth="1"/>
    <col min="4111" max="4111" width="14.28515625" style="18" bestFit="1" customWidth="1"/>
    <col min="4112" max="4112" width="14.5703125" style="18" bestFit="1" customWidth="1"/>
    <col min="4113" max="4113" width="9.42578125" style="18" customWidth="1"/>
    <col min="4114" max="4347" width="7.5703125" style="18"/>
    <col min="4348" max="4348" width="12" style="18" bestFit="1" customWidth="1"/>
    <col min="4349" max="4349" width="14.42578125" style="18" bestFit="1" customWidth="1"/>
    <col min="4350" max="4350" width="10.7109375" style="18" bestFit="1" customWidth="1"/>
    <col min="4351" max="4351" width="15.5703125" style="18" bestFit="1" customWidth="1"/>
    <col min="4352" max="4352" width="8.85546875" style="18" bestFit="1" customWidth="1"/>
    <col min="4353" max="4353" width="14.42578125" style="18" bestFit="1" customWidth="1"/>
    <col min="4354" max="4354" width="14.140625" style="18" customWidth="1"/>
    <col min="4355" max="4355" width="16.5703125" style="18" bestFit="1" customWidth="1"/>
    <col min="4356" max="4356" width="15.5703125" style="18" bestFit="1" customWidth="1"/>
    <col min="4357" max="4357" width="17" style="18" bestFit="1" customWidth="1"/>
    <col min="4358" max="4358" width="9.85546875" style="18" bestFit="1" customWidth="1"/>
    <col min="4359" max="4359" width="13" style="18" bestFit="1" customWidth="1"/>
    <col min="4360" max="4360" width="15.7109375" style="18" bestFit="1" customWidth="1"/>
    <col min="4361" max="4361" width="10.5703125" style="18" bestFit="1" customWidth="1"/>
    <col min="4362" max="4362" width="10" style="18" bestFit="1" customWidth="1"/>
    <col min="4363" max="4363" width="9.42578125" style="18" bestFit="1" customWidth="1"/>
    <col min="4364" max="4365" width="11.28515625" style="18" bestFit="1" customWidth="1"/>
    <col min="4366" max="4366" width="11.5703125" style="18" bestFit="1" customWidth="1"/>
    <col min="4367" max="4367" width="14.28515625" style="18" bestFit="1" customWidth="1"/>
    <col min="4368" max="4368" width="14.5703125" style="18" bestFit="1" customWidth="1"/>
    <col min="4369" max="4369" width="9.42578125" style="18" customWidth="1"/>
    <col min="4370" max="4603" width="7.5703125" style="18"/>
    <col min="4604" max="4604" width="12" style="18" bestFit="1" customWidth="1"/>
    <col min="4605" max="4605" width="14.42578125" style="18" bestFit="1" customWidth="1"/>
    <col min="4606" max="4606" width="10.7109375" style="18" bestFit="1" customWidth="1"/>
    <col min="4607" max="4607" width="15.5703125" style="18" bestFit="1" customWidth="1"/>
    <col min="4608" max="4608" width="8.85546875" style="18" bestFit="1" customWidth="1"/>
    <col min="4609" max="4609" width="14.42578125" style="18" bestFit="1" customWidth="1"/>
    <col min="4610" max="4610" width="14.140625" style="18" customWidth="1"/>
    <col min="4611" max="4611" width="16.5703125" style="18" bestFit="1" customWidth="1"/>
    <col min="4612" max="4612" width="15.5703125" style="18" bestFit="1" customWidth="1"/>
    <col min="4613" max="4613" width="17" style="18" bestFit="1" customWidth="1"/>
    <col min="4614" max="4614" width="9.85546875" style="18" bestFit="1" customWidth="1"/>
    <col min="4615" max="4615" width="13" style="18" bestFit="1" customWidth="1"/>
    <col min="4616" max="4616" width="15.7109375" style="18" bestFit="1" customWidth="1"/>
    <col min="4617" max="4617" width="10.5703125" style="18" bestFit="1" customWidth="1"/>
    <col min="4618" max="4618" width="10" style="18" bestFit="1" customWidth="1"/>
    <col min="4619" max="4619" width="9.42578125" style="18" bestFit="1" customWidth="1"/>
    <col min="4620" max="4621" width="11.28515625" style="18" bestFit="1" customWidth="1"/>
    <col min="4622" max="4622" width="11.5703125" style="18" bestFit="1" customWidth="1"/>
    <col min="4623" max="4623" width="14.28515625" style="18" bestFit="1" customWidth="1"/>
    <col min="4624" max="4624" width="14.5703125" style="18" bestFit="1" customWidth="1"/>
    <col min="4625" max="4625" width="9.42578125" style="18" customWidth="1"/>
    <col min="4626" max="4859" width="7.5703125" style="18"/>
    <col min="4860" max="4860" width="12" style="18" bestFit="1" customWidth="1"/>
    <col min="4861" max="4861" width="14.42578125" style="18" bestFit="1" customWidth="1"/>
    <col min="4862" max="4862" width="10.7109375" style="18" bestFit="1" customWidth="1"/>
    <col min="4863" max="4863" width="15.5703125" style="18" bestFit="1" customWidth="1"/>
    <col min="4864" max="4864" width="8.85546875" style="18" bestFit="1" customWidth="1"/>
    <col min="4865" max="4865" width="14.42578125" style="18" bestFit="1" customWidth="1"/>
    <col min="4866" max="4866" width="14.140625" style="18" customWidth="1"/>
    <col min="4867" max="4867" width="16.5703125" style="18" bestFit="1" customWidth="1"/>
    <col min="4868" max="4868" width="15.5703125" style="18" bestFit="1" customWidth="1"/>
    <col min="4869" max="4869" width="17" style="18" bestFit="1" customWidth="1"/>
    <col min="4870" max="4870" width="9.85546875" style="18" bestFit="1" customWidth="1"/>
    <col min="4871" max="4871" width="13" style="18" bestFit="1" customWidth="1"/>
    <col min="4872" max="4872" width="15.7109375" style="18" bestFit="1" customWidth="1"/>
    <col min="4873" max="4873" width="10.5703125" style="18" bestFit="1" customWidth="1"/>
    <col min="4874" max="4874" width="10" style="18" bestFit="1" customWidth="1"/>
    <col min="4875" max="4875" width="9.42578125" style="18" bestFit="1" customWidth="1"/>
    <col min="4876" max="4877" width="11.28515625" style="18" bestFit="1" customWidth="1"/>
    <col min="4878" max="4878" width="11.5703125" style="18" bestFit="1" customWidth="1"/>
    <col min="4879" max="4879" width="14.28515625" style="18" bestFit="1" customWidth="1"/>
    <col min="4880" max="4880" width="14.5703125" style="18" bestFit="1" customWidth="1"/>
    <col min="4881" max="4881" width="9.42578125" style="18" customWidth="1"/>
    <col min="4882" max="5115" width="7.5703125" style="18"/>
    <col min="5116" max="5116" width="12" style="18" bestFit="1" customWidth="1"/>
    <col min="5117" max="5117" width="14.42578125" style="18" bestFit="1" customWidth="1"/>
    <col min="5118" max="5118" width="10.7109375" style="18" bestFit="1" customWidth="1"/>
    <col min="5119" max="5119" width="15.5703125" style="18" bestFit="1" customWidth="1"/>
    <col min="5120" max="5120" width="8.85546875" style="18" bestFit="1" customWidth="1"/>
    <col min="5121" max="5121" width="14.42578125" style="18" bestFit="1" customWidth="1"/>
    <col min="5122" max="5122" width="14.140625" style="18" customWidth="1"/>
    <col min="5123" max="5123" width="16.5703125" style="18" bestFit="1" customWidth="1"/>
    <col min="5124" max="5124" width="15.5703125" style="18" bestFit="1" customWidth="1"/>
    <col min="5125" max="5125" width="17" style="18" bestFit="1" customWidth="1"/>
    <col min="5126" max="5126" width="9.85546875" style="18" bestFit="1" customWidth="1"/>
    <col min="5127" max="5127" width="13" style="18" bestFit="1" customWidth="1"/>
    <col min="5128" max="5128" width="15.7109375" style="18" bestFit="1" customWidth="1"/>
    <col min="5129" max="5129" width="10.5703125" style="18" bestFit="1" customWidth="1"/>
    <col min="5130" max="5130" width="10" style="18" bestFit="1" customWidth="1"/>
    <col min="5131" max="5131" width="9.42578125" style="18" bestFit="1" customWidth="1"/>
    <col min="5132" max="5133" width="11.28515625" style="18" bestFit="1" customWidth="1"/>
    <col min="5134" max="5134" width="11.5703125" style="18" bestFit="1" customWidth="1"/>
    <col min="5135" max="5135" width="14.28515625" style="18" bestFit="1" customWidth="1"/>
    <col min="5136" max="5136" width="14.5703125" style="18" bestFit="1" customWidth="1"/>
    <col min="5137" max="5137" width="9.42578125" style="18" customWidth="1"/>
    <col min="5138" max="5371" width="7.5703125" style="18"/>
    <col min="5372" max="5372" width="12" style="18" bestFit="1" customWidth="1"/>
    <col min="5373" max="5373" width="14.42578125" style="18" bestFit="1" customWidth="1"/>
    <col min="5374" max="5374" width="10.7109375" style="18" bestFit="1" customWidth="1"/>
    <col min="5375" max="5375" width="15.5703125" style="18" bestFit="1" customWidth="1"/>
    <col min="5376" max="5376" width="8.85546875" style="18" bestFit="1" customWidth="1"/>
    <col min="5377" max="5377" width="14.42578125" style="18" bestFit="1" customWidth="1"/>
    <col min="5378" max="5378" width="14.140625" style="18" customWidth="1"/>
    <col min="5379" max="5379" width="16.5703125" style="18" bestFit="1" customWidth="1"/>
    <col min="5380" max="5380" width="15.5703125" style="18" bestFit="1" customWidth="1"/>
    <col min="5381" max="5381" width="17" style="18" bestFit="1" customWidth="1"/>
    <col min="5382" max="5382" width="9.85546875" style="18" bestFit="1" customWidth="1"/>
    <col min="5383" max="5383" width="13" style="18" bestFit="1" customWidth="1"/>
    <col min="5384" max="5384" width="15.7109375" style="18" bestFit="1" customWidth="1"/>
    <col min="5385" max="5385" width="10.5703125" style="18" bestFit="1" customWidth="1"/>
    <col min="5386" max="5386" width="10" style="18" bestFit="1" customWidth="1"/>
    <col min="5387" max="5387" width="9.42578125" style="18" bestFit="1" customWidth="1"/>
    <col min="5388" max="5389" width="11.28515625" style="18" bestFit="1" customWidth="1"/>
    <col min="5390" max="5390" width="11.5703125" style="18" bestFit="1" customWidth="1"/>
    <col min="5391" max="5391" width="14.28515625" style="18" bestFit="1" customWidth="1"/>
    <col min="5392" max="5392" width="14.5703125" style="18" bestFit="1" customWidth="1"/>
    <col min="5393" max="5393" width="9.42578125" style="18" customWidth="1"/>
    <col min="5394" max="5627" width="7.5703125" style="18"/>
    <col min="5628" max="5628" width="12" style="18" bestFit="1" customWidth="1"/>
    <col min="5629" max="5629" width="14.42578125" style="18" bestFit="1" customWidth="1"/>
    <col min="5630" max="5630" width="10.7109375" style="18" bestFit="1" customWidth="1"/>
    <col min="5631" max="5631" width="15.5703125" style="18" bestFit="1" customWidth="1"/>
    <col min="5632" max="5632" width="8.85546875" style="18" bestFit="1" customWidth="1"/>
    <col min="5633" max="5633" width="14.42578125" style="18" bestFit="1" customWidth="1"/>
    <col min="5634" max="5634" width="14.140625" style="18" customWidth="1"/>
    <col min="5635" max="5635" width="16.5703125" style="18" bestFit="1" customWidth="1"/>
    <col min="5636" max="5636" width="15.5703125" style="18" bestFit="1" customWidth="1"/>
    <col min="5637" max="5637" width="17" style="18" bestFit="1" customWidth="1"/>
    <col min="5638" max="5638" width="9.85546875" style="18" bestFit="1" customWidth="1"/>
    <col min="5639" max="5639" width="13" style="18" bestFit="1" customWidth="1"/>
    <col min="5640" max="5640" width="15.7109375" style="18" bestFit="1" customWidth="1"/>
    <col min="5641" max="5641" width="10.5703125" style="18" bestFit="1" customWidth="1"/>
    <col min="5642" max="5642" width="10" style="18" bestFit="1" customWidth="1"/>
    <col min="5643" max="5643" width="9.42578125" style="18" bestFit="1" customWidth="1"/>
    <col min="5644" max="5645" width="11.28515625" style="18" bestFit="1" customWidth="1"/>
    <col min="5646" max="5646" width="11.5703125" style="18" bestFit="1" customWidth="1"/>
    <col min="5647" max="5647" width="14.28515625" style="18" bestFit="1" customWidth="1"/>
    <col min="5648" max="5648" width="14.5703125" style="18" bestFit="1" customWidth="1"/>
    <col min="5649" max="5649" width="9.42578125" style="18" customWidth="1"/>
    <col min="5650" max="5883" width="7.5703125" style="18"/>
    <col min="5884" max="5884" width="12" style="18" bestFit="1" customWidth="1"/>
    <col min="5885" max="5885" width="14.42578125" style="18" bestFit="1" customWidth="1"/>
    <col min="5886" max="5886" width="10.7109375" style="18" bestFit="1" customWidth="1"/>
    <col min="5887" max="5887" width="15.5703125" style="18" bestFit="1" customWidth="1"/>
    <col min="5888" max="5888" width="8.85546875" style="18" bestFit="1" customWidth="1"/>
    <col min="5889" max="5889" width="14.42578125" style="18" bestFit="1" customWidth="1"/>
    <col min="5890" max="5890" width="14.140625" style="18" customWidth="1"/>
    <col min="5891" max="5891" width="16.5703125" style="18" bestFit="1" customWidth="1"/>
    <col min="5892" max="5892" width="15.5703125" style="18" bestFit="1" customWidth="1"/>
    <col min="5893" max="5893" width="17" style="18" bestFit="1" customWidth="1"/>
    <col min="5894" max="5894" width="9.85546875" style="18" bestFit="1" customWidth="1"/>
    <col min="5895" max="5895" width="13" style="18" bestFit="1" customWidth="1"/>
    <col min="5896" max="5896" width="15.7109375" style="18" bestFit="1" customWidth="1"/>
    <col min="5897" max="5897" width="10.5703125" style="18" bestFit="1" customWidth="1"/>
    <col min="5898" max="5898" width="10" style="18" bestFit="1" customWidth="1"/>
    <col min="5899" max="5899" width="9.42578125" style="18" bestFit="1" customWidth="1"/>
    <col min="5900" max="5901" width="11.28515625" style="18" bestFit="1" customWidth="1"/>
    <col min="5902" max="5902" width="11.5703125" style="18" bestFit="1" customWidth="1"/>
    <col min="5903" max="5903" width="14.28515625" style="18" bestFit="1" customWidth="1"/>
    <col min="5904" max="5904" width="14.5703125" style="18" bestFit="1" customWidth="1"/>
    <col min="5905" max="5905" width="9.42578125" style="18" customWidth="1"/>
    <col min="5906" max="6139" width="7.5703125" style="18"/>
    <col min="6140" max="6140" width="12" style="18" bestFit="1" customWidth="1"/>
    <col min="6141" max="6141" width="14.42578125" style="18" bestFit="1" customWidth="1"/>
    <col min="6142" max="6142" width="10.7109375" style="18" bestFit="1" customWidth="1"/>
    <col min="6143" max="6143" width="15.5703125" style="18" bestFit="1" customWidth="1"/>
    <col min="6144" max="6144" width="8.85546875" style="18" bestFit="1" customWidth="1"/>
    <col min="6145" max="6145" width="14.42578125" style="18" bestFit="1" customWidth="1"/>
    <col min="6146" max="6146" width="14.140625" style="18" customWidth="1"/>
    <col min="6147" max="6147" width="16.5703125" style="18" bestFit="1" customWidth="1"/>
    <col min="6148" max="6148" width="15.5703125" style="18" bestFit="1" customWidth="1"/>
    <col min="6149" max="6149" width="17" style="18" bestFit="1" customWidth="1"/>
    <col min="6150" max="6150" width="9.85546875" style="18" bestFit="1" customWidth="1"/>
    <col min="6151" max="6151" width="13" style="18" bestFit="1" customWidth="1"/>
    <col min="6152" max="6152" width="15.7109375" style="18" bestFit="1" customWidth="1"/>
    <col min="6153" max="6153" width="10.5703125" style="18" bestFit="1" customWidth="1"/>
    <col min="6154" max="6154" width="10" style="18" bestFit="1" customWidth="1"/>
    <col min="6155" max="6155" width="9.42578125" style="18" bestFit="1" customWidth="1"/>
    <col min="6156" max="6157" width="11.28515625" style="18" bestFit="1" customWidth="1"/>
    <col min="6158" max="6158" width="11.5703125" style="18" bestFit="1" customWidth="1"/>
    <col min="6159" max="6159" width="14.28515625" style="18" bestFit="1" customWidth="1"/>
    <col min="6160" max="6160" width="14.5703125" style="18" bestFit="1" customWidth="1"/>
    <col min="6161" max="6161" width="9.42578125" style="18" customWidth="1"/>
    <col min="6162" max="6395" width="7.5703125" style="18"/>
    <col min="6396" max="6396" width="12" style="18" bestFit="1" customWidth="1"/>
    <col min="6397" max="6397" width="14.42578125" style="18" bestFit="1" customWidth="1"/>
    <col min="6398" max="6398" width="10.7109375" style="18" bestFit="1" customWidth="1"/>
    <col min="6399" max="6399" width="15.5703125" style="18" bestFit="1" customWidth="1"/>
    <col min="6400" max="6400" width="8.85546875" style="18" bestFit="1" customWidth="1"/>
    <col min="6401" max="6401" width="14.42578125" style="18" bestFit="1" customWidth="1"/>
    <col min="6402" max="6402" width="14.140625" style="18" customWidth="1"/>
    <col min="6403" max="6403" width="16.5703125" style="18" bestFit="1" customWidth="1"/>
    <col min="6404" max="6404" width="15.5703125" style="18" bestFit="1" customWidth="1"/>
    <col min="6405" max="6405" width="17" style="18" bestFit="1" customWidth="1"/>
    <col min="6406" max="6406" width="9.85546875" style="18" bestFit="1" customWidth="1"/>
    <col min="6407" max="6407" width="13" style="18" bestFit="1" customWidth="1"/>
    <col min="6408" max="6408" width="15.7109375" style="18" bestFit="1" customWidth="1"/>
    <col min="6409" max="6409" width="10.5703125" style="18" bestFit="1" customWidth="1"/>
    <col min="6410" max="6410" width="10" style="18" bestFit="1" customWidth="1"/>
    <col min="6411" max="6411" width="9.42578125" style="18" bestFit="1" customWidth="1"/>
    <col min="6412" max="6413" width="11.28515625" style="18" bestFit="1" customWidth="1"/>
    <col min="6414" max="6414" width="11.5703125" style="18" bestFit="1" customWidth="1"/>
    <col min="6415" max="6415" width="14.28515625" style="18" bestFit="1" customWidth="1"/>
    <col min="6416" max="6416" width="14.5703125" style="18" bestFit="1" customWidth="1"/>
    <col min="6417" max="6417" width="9.42578125" style="18" customWidth="1"/>
    <col min="6418" max="6651" width="7.5703125" style="18"/>
    <col min="6652" max="6652" width="12" style="18" bestFit="1" customWidth="1"/>
    <col min="6653" max="6653" width="14.42578125" style="18" bestFit="1" customWidth="1"/>
    <col min="6654" max="6654" width="10.7109375" style="18" bestFit="1" customWidth="1"/>
    <col min="6655" max="6655" width="15.5703125" style="18" bestFit="1" customWidth="1"/>
    <col min="6656" max="6656" width="8.85546875" style="18" bestFit="1" customWidth="1"/>
    <col min="6657" max="6657" width="14.42578125" style="18" bestFit="1" customWidth="1"/>
    <col min="6658" max="6658" width="14.140625" style="18" customWidth="1"/>
    <col min="6659" max="6659" width="16.5703125" style="18" bestFit="1" customWidth="1"/>
    <col min="6660" max="6660" width="15.5703125" style="18" bestFit="1" customWidth="1"/>
    <col min="6661" max="6661" width="17" style="18" bestFit="1" customWidth="1"/>
    <col min="6662" max="6662" width="9.85546875" style="18" bestFit="1" customWidth="1"/>
    <col min="6663" max="6663" width="13" style="18" bestFit="1" customWidth="1"/>
    <col min="6664" max="6664" width="15.7109375" style="18" bestFit="1" customWidth="1"/>
    <col min="6665" max="6665" width="10.5703125" style="18" bestFit="1" customWidth="1"/>
    <col min="6666" max="6666" width="10" style="18" bestFit="1" customWidth="1"/>
    <col min="6667" max="6667" width="9.42578125" style="18" bestFit="1" customWidth="1"/>
    <col min="6668" max="6669" width="11.28515625" style="18" bestFit="1" customWidth="1"/>
    <col min="6670" max="6670" width="11.5703125" style="18" bestFit="1" customWidth="1"/>
    <col min="6671" max="6671" width="14.28515625" style="18" bestFit="1" customWidth="1"/>
    <col min="6672" max="6672" width="14.5703125" style="18" bestFit="1" customWidth="1"/>
    <col min="6673" max="6673" width="9.42578125" style="18" customWidth="1"/>
    <col min="6674" max="6907" width="7.5703125" style="18"/>
    <col min="6908" max="6908" width="12" style="18" bestFit="1" customWidth="1"/>
    <col min="6909" max="6909" width="14.42578125" style="18" bestFit="1" customWidth="1"/>
    <col min="6910" max="6910" width="10.7109375" style="18" bestFit="1" customWidth="1"/>
    <col min="6911" max="6911" width="15.5703125" style="18" bestFit="1" customWidth="1"/>
    <col min="6912" max="6912" width="8.85546875" style="18" bestFit="1" customWidth="1"/>
    <col min="6913" max="6913" width="14.42578125" style="18" bestFit="1" customWidth="1"/>
    <col min="6914" max="6914" width="14.140625" style="18" customWidth="1"/>
    <col min="6915" max="6915" width="16.5703125" style="18" bestFit="1" customWidth="1"/>
    <col min="6916" max="6916" width="15.5703125" style="18" bestFit="1" customWidth="1"/>
    <col min="6917" max="6917" width="17" style="18" bestFit="1" customWidth="1"/>
    <col min="6918" max="6918" width="9.85546875" style="18" bestFit="1" customWidth="1"/>
    <col min="6919" max="6919" width="13" style="18" bestFit="1" customWidth="1"/>
    <col min="6920" max="6920" width="15.7109375" style="18" bestFit="1" customWidth="1"/>
    <col min="6921" max="6921" width="10.5703125" style="18" bestFit="1" customWidth="1"/>
    <col min="6922" max="6922" width="10" style="18" bestFit="1" customWidth="1"/>
    <col min="6923" max="6923" width="9.42578125" style="18" bestFit="1" customWidth="1"/>
    <col min="6924" max="6925" width="11.28515625" style="18" bestFit="1" customWidth="1"/>
    <col min="6926" max="6926" width="11.5703125" style="18" bestFit="1" customWidth="1"/>
    <col min="6927" max="6927" width="14.28515625" style="18" bestFit="1" customWidth="1"/>
    <col min="6928" max="6928" width="14.5703125" style="18" bestFit="1" customWidth="1"/>
    <col min="6929" max="6929" width="9.42578125" style="18" customWidth="1"/>
    <col min="6930" max="7163" width="7.5703125" style="18"/>
    <col min="7164" max="7164" width="12" style="18" bestFit="1" customWidth="1"/>
    <col min="7165" max="7165" width="14.42578125" style="18" bestFit="1" customWidth="1"/>
    <col min="7166" max="7166" width="10.7109375" style="18" bestFit="1" customWidth="1"/>
    <col min="7167" max="7167" width="15.5703125" style="18" bestFit="1" customWidth="1"/>
    <col min="7168" max="7168" width="8.85546875" style="18" bestFit="1" customWidth="1"/>
    <col min="7169" max="7169" width="14.42578125" style="18" bestFit="1" customWidth="1"/>
    <col min="7170" max="7170" width="14.140625" style="18" customWidth="1"/>
    <col min="7171" max="7171" width="16.5703125" style="18" bestFit="1" customWidth="1"/>
    <col min="7172" max="7172" width="15.5703125" style="18" bestFit="1" customWidth="1"/>
    <col min="7173" max="7173" width="17" style="18" bestFit="1" customWidth="1"/>
    <col min="7174" max="7174" width="9.85546875" style="18" bestFit="1" customWidth="1"/>
    <col min="7175" max="7175" width="13" style="18" bestFit="1" customWidth="1"/>
    <col min="7176" max="7176" width="15.7109375" style="18" bestFit="1" customWidth="1"/>
    <col min="7177" max="7177" width="10.5703125" style="18" bestFit="1" customWidth="1"/>
    <col min="7178" max="7178" width="10" style="18" bestFit="1" customWidth="1"/>
    <col min="7179" max="7179" width="9.42578125" style="18" bestFit="1" customWidth="1"/>
    <col min="7180" max="7181" width="11.28515625" style="18" bestFit="1" customWidth="1"/>
    <col min="7182" max="7182" width="11.5703125" style="18" bestFit="1" customWidth="1"/>
    <col min="7183" max="7183" width="14.28515625" style="18" bestFit="1" customWidth="1"/>
    <col min="7184" max="7184" width="14.5703125" style="18" bestFit="1" customWidth="1"/>
    <col min="7185" max="7185" width="9.42578125" style="18" customWidth="1"/>
    <col min="7186" max="7419" width="7.5703125" style="18"/>
    <col min="7420" max="7420" width="12" style="18" bestFit="1" customWidth="1"/>
    <col min="7421" max="7421" width="14.42578125" style="18" bestFit="1" customWidth="1"/>
    <col min="7422" max="7422" width="10.7109375" style="18" bestFit="1" customWidth="1"/>
    <col min="7423" max="7423" width="15.5703125" style="18" bestFit="1" customWidth="1"/>
    <col min="7424" max="7424" width="8.85546875" style="18" bestFit="1" customWidth="1"/>
    <col min="7425" max="7425" width="14.42578125" style="18" bestFit="1" customWidth="1"/>
    <col min="7426" max="7426" width="14.140625" style="18" customWidth="1"/>
    <col min="7427" max="7427" width="16.5703125" style="18" bestFit="1" customWidth="1"/>
    <col min="7428" max="7428" width="15.5703125" style="18" bestFit="1" customWidth="1"/>
    <col min="7429" max="7429" width="17" style="18" bestFit="1" customWidth="1"/>
    <col min="7430" max="7430" width="9.85546875" style="18" bestFit="1" customWidth="1"/>
    <col min="7431" max="7431" width="13" style="18" bestFit="1" customWidth="1"/>
    <col min="7432" max="7432" width="15.7109375" style="18" bestFit="1" customWidth="1"/>
    <col min="7433" max="7433" width="10.5703125" style="18" bestFit="1" customWidth="1"/>
    <col min="7434" max="7434" width="10" style="18" bestFit="1" customWidth="1"/>
    <col min="7435" max="7435" width="9.42578125" style="18" bestFit="1" customWidth="1"/>
    <col min="7436" max="7437" width="11.28515625" style="18" bestFit="1" customWidth="1"/>
    <col min="7438" max="7438" width="11.5703125" style="18" bestFit="1" customWidth="1"/>
    <col min="7439" max="7439" width="14.28515625" style="18" bestFit="1" customWidth="1"/>
    <col min="7440" max="7440" width="14.5703125" style="18" bestFit="1" customWidth="1"/>
    <col min="7441" max="7441" width="9.42578125" style="18" customWidth="1"/>
    <col min="7442" max="7675" width="7.5703125" style="18"/>
    <col min="7676" max="7676" width="12" style="18" bestFit="1" customWidth="1"/>
    <col min="7677" max="7677" width="14.42578125" style="18" bestFit="1" customWidth="1"/>
    <col min="7678" max="7678" width="10.7109375" style="18" bestFit="1" customWidth="1"/>
    <col min="7679" max="7679" width="15.5703125" style="18" bestFit="1" customWidth="1"/>
    <col min="7680" max="7680" width="8.85546875" style="18" bestFit="1" customWidth="1"/>
    <col min="7681" max="7681" width="14.42578125" style="18" bestFit="1" customWidth="1"/>
    <col min="7682" max="7682" width="14.140625" style="18" customWidth="1"/>
    <col min="7683" max="7683" width="16.5703125" style="18" bestFit="1" customWidth="1"/>
    <col min="7684" max="7684" width="15.5703125" style="18" bestFit="1" customWidth="1"/>
    <col min="7685" max="7685" width="17" style="18" bestFit="1" customWidth="1"/>
    <col min="7686" max="7686" width="9.85546875" style="18" bestFit="1" customWidth="1"/>
    <col min="7687" max="7687" width="13" style="18" bestFit="1" customWidth="1"/>
    <col min="7688" max="7688" width="15.7109375" style="18" bestFit="1" customWidth="1"/>
    <col min="7689" max="7689" width="10.5703125" style="18" bestFit="1" customWidth="1"/>
    <col min="7690" max="7690" width="10" style="18" bestFit="1" customWidth="1"/>
    <col min="7691" max="7691" width="9.42578125" style="18" bestFit="1" customWidth="1"/>
    <col min="7692" max="7693" width="11.28515625" style="18" bestFit="1" customWidth="1"/>
    <col min="7694" max="7694" width="11.5703125" style="18" bestFit="1" customWidth="1"/>
    <col min="7695" max="7695" width="14.28515625" style="18" bestFit="1" customWidth="1"/>
    <col min="7696" max="7696" width="14.5703125" style="18" bestFit="1" customWidth="1"/>
    <col min="7697" max="7697" width="9.42578125" style="18" customWidth="1"/>
    <col min="7698" max="7931" width="7.5703125" style="18"/>
    <col min="7932" max="7932" width="12" style="18" bestFit="1" customWidth="1"/>
    <col min="7933" max="7933" width="14.42578125" style="18" bestFit="1" customWidth="1"/>
    <col min="7934" max="7934" width="10.7109375" style="18" bestFit="1" customWidth="1"/>
    <col min="7935" max="7935" width="15.5703125" style="18" bestFit="1" customWidth="1"/>
    <col min="7936" max="7936" width="8.85546875" style="18" bestFit="1" customWidth="1"/>
    <col min="7937" max="7937" width="14.42578125" style="18" bestFit="1" customWidth="1"/>
    <col min="7938" max="7938" width="14.140625" style="18" customWidth="1"/>
    <col min="7939" max="7939" width="16.5703125" style="18" bestFit="1" customWidth="1"/>
    <col min="7940" max="7940" width="15.5703125" style="18" bestFit="1" customWidth="1"/>
    <col min="7941" max="7941" width="17" style="18" bestFit="1" customWidth="1"/>
    <col min="7942" max="7942" width="9.85546875" style="18" bestFit="1" customWidth="1"/>
    <col min="7943" max="7943" width="13" style="18" bestFit="1" customWidth="1"/>
    <col min="7944" max="7944" width="15.7109375" style="18" bestFit="1" customWidth="1"/>
    <col min="7945" max="7945" width="10.5703125" style="18" bestFit="1" customWidth="1"/>
    <col min="7946" max="7946" width="10" style="18" bestFit="1" customWidth="1"/>
    <col min="7947" max="7947" width="9.42578125" style="18" bestFit="1" customWidth="1"/>
    <col min="7948" max="7949" width="11.28515625" style="18" bestFit="1" customWidth="1"/>
    <col min="7950" max="7950" width="11.5703125" style="18" bestFit="1" customWidth="1"/>
    <col min="7951" max="7951" width="14.28515625" style="18" bestFit="1" customWidth="1"/>
    <col min="7952" max="7952" width="14.5703125" style="18" bestFit="1" customWidth="1"/>
    <col min="7953" max="7953" width="9.42578125" style="18" customWidth="1"/>
    <col min="7954" max="8187" width="7.5703125" style="18"/>
    <col min="8188" max="8188" width="12" style="18" bestFit="1" customWidth="1"/>
    <col min="8189" max="8189" width="14.42578125" style="18" bestFit="1" customWidth="1"/>
    <col min="8190" max="8190" width="10.7109375" style="18" bestFit="1" customWidth="1"/>
    <col min="8191" max="8191" width="15.5703125" style="18" bestFit="1" customWidth="1"/>
    <col min="8192" max="8192" width="8.85546875" style="18" bestFit="1" customWidth="1"/>
    <col min="8193" max="8193" width="14.42578125" style="18" bestFit="1" customWidth="1"/>
    <col min="8194" max="8194" width="14.140625" style="18" customWidth="1"/>
    <col min="8195" max="8195" width="16.5703125" style="18" bestFit="1" customWidth="1"/>
    <col min="8196" max="8196" width="15.5703125" style="18" bestFit="1" customWidth="1"/>
    <col min="8197" max="8197" width="17" style="18" bestFit="1" customWidth="1"/>
    <col min="8198" max="8198" width="9.85546875" style="18" bestFit="1" customWidth="1"/>
    <col min="8199" max="8199" width="13" style="18" bestFit="1" customWidth="1"/>
    <col min="8200" max="8200" width="15.7109375" style="18" bestFit="1" customWidth="1"/>
    <col min="8201" max="8201" width="10.5703125" style="18" bestFit="1" customWidth="1"/>
    <col min="8202" max="8202" width="10" style="18" bestFit="1" customWidth="1"/>
    <col min="8203" max="8203" width="9.42578125" style="18" bestFit="1" customWidth="1"/>
    <col min="8204" max="8205" width="11.28515625" style="18" bestFit="1" customWidth="1"/>
    <col min="8206" max="8206" width="11.5703125" style="18" bestFit="1" customWidth="1"/>
    <col min="8207" max="8207" width="14.28515625" style="18" bestFit="1" customWidth="1"/>
    <col min="8208" max="8208" width="14.5703125" style="18" bestFit="1" customWidth="1"/>
    <col min="8209" max="8209" width="9.42578125" style="18" customWidth="1"/>
    <col min="8210" max="8443" width="7.5703125" style="18"/>
    <col min="8444" max="8444" width="12" style="18" bestFit="1" customWidth="1"/>
    <col min="8445" max="8445" width="14.42578125" style="18" bestFit="1" customWidth="1"/>
    <col min="8446" max="8446" width="10.7109375" style="18" bestFit="1" customWidth="1"/>
    <col min="8447" max="8447" width="15.5703125" style="18" bestFit="1" customWidth="1"/>
    <col min="8448" max="8448" width="8.85546875" style="18" bestFit="1" customWidth="1"/>
    <col min="8449" max="8449" width="14.42578125" style="18" bestFit="1" customWidth="1"/>
    <col min="8450" max="8450" width="14.140625" style="18" customWidth="1"/>
    <col min="8451" max="8451" width="16.5703125" style="18" bestFit="1" customWidth="1"/>
    <col min="8452" max="8452" width="15.5703125" style="18" bestFit="1" customWidth="1"/>
    <col min="8453" max="8453" width="17" style="18" bestFit="1" customWidth="1"/>
    <col min="8454" max="8454" width="9.85546875" style="18" bestFit="1" customWidth="1"/>
    <col min="8455" max="8455" width="13" style="18" bestFit="1" customWidth="1"/>
    <col min="8456" max="8456" width="15.7109375" style="18" bestFit="1" customWidth="1"/>
    <col min="8457" max="8457" width="10.5703125" style="18" bestFit="1" customWidth="1"/>
    <col min="8458" max="8458" width="10" style="18" bestFit="1" customWidth="1"/>
    <col min="8459" max="8459" width="9.42578125" style="18" bestFit="1" customWidth="1"/>
    <col min="8460" max="8461" width="11.28515625" style="18" bestFit="1" customWidth="1"/>
    <col min="8462" max="8462" width="11.5703125" style="18" bestFit="1" customWidth="1"/>
    <col min="8463" max="8463" width="14.28515625" style="18" bestFit="1" customWidth="1"/>
    <col min="8464" max="8464" width="14.5703125" style="18" bestFit="1" customWidth="1"/>
    <col min="8465" max="8465" width="9.42578125" style="18" customWidth="1"/>
    <col min="8466" max="8699" width="7.5703125" style="18"/>
    <col min="8700" max="8700" width="12" style="18" bestFit="1" customWidth="1"/>
    <col min="8701" max="8701" width="14.42578125" style="18" bestFit="1" customWidth="1"/>
    <col min="8702" max="8702" width="10.7109375" style="18" bestFit="1" customWidth="1"/>
    <col min="8703" max="8703" width="15.5703125" style="18" bestFit="1" customWidth="1"/>
    <col min="8704" max="8704" width="8.85546875" style="18" bestFit="1" customWidth="1"/>
    <col min="8705" max="8705" width="14.42578125" style="18" bestFit="1" customWidth="1"/>
    <col min="8706" max="8706" width="14.140625" style="18" customWidth="1"/>
    <col min="8707" max="8707" width="16.5703125" style="18" bestFit="1" customWidth="1"/>
    <col min="8708" max="8708" width="15.5703125" style="18" bestFit="1" customWidth="1"/>
    <col min="8709" max="8709" width="17" style="18" bestFit="1" customWidth="1"/>
    <col min="8710" max="8710" width="9.85546875" style="18" bestFit="1" customWidth="1"/>
    <col min="8711" max="8711" width="13" style="18" bestFit="1" customWidth="1"/>
    <col min="8712" max="8712" width="15.7109375" style="18" bestFit="1" customWidth="1"/>
    <col min="8713" max="8713" width="10.5703125" style="18" bestFit="1" customWidth="1"/>
    <col min="8714" max="8714" width="10" style="18" bestFit="1" customWidth="1"/>
    <col min="8715" max="8715" width="9.42578125" style="18" bestFit="1" customWidth="1"/>
    <col min="8716" max="8717" width="11.28515625" style="18" bestFit="1" customWidth="1"/>
    <col min="8718" max="8718" width="11.5703125" style="18" bestFit="1" customWidth="1"/>
    <col min="8719" max="8719" width="14.28515625" style="18" bestFit="1" customWidth="1"/>
    <col min="8720" max="8720" width="14.5703125" style="18" bestFit="1" customWidth="1"/>
    <col min="8721" max="8721" width="9.42578125" style="18" customWidth="1"/>
    <col min="8722" max="8955" width="7.5703125" style="18"/>
    <col min="8956" max="8956" width="12" style="18" bestFit="1" customWidth="1"/>
    <col min="8957" max="8957" width="14.42578125" style="18" bestFit="1" customWidth="1"/>
    <col min="8958" max="8958" width="10.7109375" style="18" bestFit="1" customWidth="1"/>
    <col min="8959" max="8959" width="15.5703125" style="18" bestFit="1" customWidth="1"/>
    <col min="8960" max="8960" width="8.85546875" style="18" bestFit="1" customWidth="1"/>
    <col min="8961" max="8961" width="14.42578125" style="18" bestFit="1" customWidth="1"/>
    <col min="8962" max="8962" width="14.140625" style="18" customWidth="1"/>
    <col min="8963" max="8963" width="16.5703125" style="18" bestFit="1" customWidth="1"/>
    <col min="8964" max="8964" width="15.5703125" style="18" bestFit="1" customWidth="1"/>
    <col min="8965" max="8965" width="17" style="18" bestFit="1" customWidth="1"/>
    <col min="8966" max="8966" width="9.85546875" style="18" bestFit="1" customWidth="1"/>
    <col min="8967" max="8967" width="13" style="18" bestFit="1" customWidth="1"/>
    <col min="8968" max="8968" width="15.7109375" style="18" bestFit="1" customWidth="1"/>
    <col min="8969" max="8969" width="10.5703125" style="18" bestFit="1" customWidth="1"/>
    <col min="8970" max="8970" width="10" style="18" bestFit="1" customWidth="1"/>
    <col min="8971" max="8971" width="9.42578125" style="18" bestFit="1" customWidth="1"/>
    <col min="8972" max="8973" width="11.28515625" style="18" bestFit="1" customWidth="1"/>
    <col min="8974" max="8974" width="11.5703125" style="18" bestFit="1" customWidth="1"/>
    <col min="8975" max="8975" width="14.28515625" style="18" bestFit="1" customWidth="1"/>
    <col min="8976" max="8976" width="14.5703125" style="18" bestFit="1" customWidth="1"/>
    <col min="8977" max="8977" width="9.42578125" style="18" customWidth="1"/>
    <col min="8978" max="9211" width="7.5703125" style="18"/>
    <col min="9212" max="9212" width="12" style="18" bestFit="1" customWidth="1"/>
    <col min="9213" max="9213" width="14.42578125" style="18" bestFit="1" customWidth="1"/>
    <col min="9214" max="9214" width="10.7109375" style="18" bestFit="1" customWidth="1"/>
    <col min="9215" max="9215" width="15.5703125" style="18" bestFit="1" customWidth="1"/>
    <col min="9216" max="9216" width="8.85546875" style="18" bestFit="1" customWidth="1"/>
    <col min="9217" max="9217" width="14.42578125" style="18" bestFit="1" customWidth="1"/>
    <col min="9218" max="9218" width="14.140625" style="18" customWidth="1"/>
    <col min="9219" max="9219" width="16.5703125" style="18" bestFit="1" customWidth="1"/>
    <col min="9220" max="9220" width="15.5703125" style="18" bestFit="1" customWidth="1"/>
    <col min="9221" max="9221" width="17" style="18" bestFit="1" customWidth="1"/>
    <col min="9222" max="9222" width="9.85546875" style="18" bestFit="1" customWidth="1"/>
    <col min="9223" max="9223" width="13" style="18" bestFit="1" customWidth="1"/>
    <col min="9224" max="9224" width="15.7109375" style="18" bestFit="1" customWidth="1"/>
    <col min="9225" max="9225" width="10.5703125" style="18" bestFit="1" customWidth="1"/>
    <col min="9226" max="9226" width="10" style="18" bestFit="1" customWidth="1"/>
    <col min="9227" max="9227" width="9.42578125" style="18" bestFit="1" customWidth="1"/>
    <col min="9228" max="9229" width="11.28515625" style="18" bestFit="1" customWidth="1"/>
    <col min="9230" max="9230" width="11.5703125" style="18" bestFit="1" customWidth="1"/>
    <col min="9231" max="9231" width="14.28515625" style="18" bestFit="1" customWidth="1"/>
    <col min="9232" max="9232" width="14.5703125" style="18" bestFit="1" customWidth="1"/>
    <col min="9233" max="9233" width="9.42578125" style="18" customWidth="1"/>
    <col min="9234" max="9467" width="7.5703125" style="18"/>
    <col min="9468" max="9468" width="12" style="18" bestFit="1" customWidth="1"/>
    <col min="9469" max="9469" width="14.42578125" style="18" bestFit="1" customWidth="1"/>
    <col min="9470" max="9470" width="10.7109375" style="18" bestFit="1" customWidth="1"/>
    <col min="9471" max="9471" width="15.5703125" style="18" bestFit="1" customWidth="1"/>
    <col min="9472" max="9472" width="8.85546875" style="18" bestFit="1" customWidth="1"/>
    <col min="9473" max="9473" width="14.42578125" style="18" bestFit="1" customWidth="1"/>
    <col min="9474" max="9474" width="14.140625" style="18" customWidth="1"/>
    <col min="9475" max="9475" width="16.5703125" style="18" bestFit="1" customWidth="1"/>
    <col min="9476" max="9476" width="15.5703125" style="18" bestFit="1" customWidth="1"/>
    <col min="9477" max="9477" width="17" style="18" bestFit="1" customWidth="1"/>
    <col min="9478" max="9478" width="9.85546875" style="18" bestFit="1" customWidth="1"/>
    <col min="9479" max="9479" width="13" style="18" bestFit="1" customWidth="1"/>
    <col min="9480" max="9480" width="15.7109375" style="18" bestFit="1" customWidth="1"/>
    <col min="9481" max="9481" width="10.5703125" style="18" bestFit="1" customWidth="1"/>
    <col min="9482" max="9482" width="10" style="18" bestFit="1" customWidth="1"/>
    <col min="9483" max="9483" width="9.42578125" style="18" bestFit="1" customWidth="1"/>
    <col min="9484" max="9485" width="11.28515625" style="18" bestFit="1" customWidth="1"/>
    <col min="9486" max="9486" width="11.5703125" style="18" bestFit="1" customWidth="1"/>
    <col min="9487" max="9487" width="14.28515625" style="18" bestFit="1" customWidth="1"/>
    <col min="9488" max="9488" width="14.5703125" style="18" bestFit="1" customWidth="1"/>
    <col min="9489" max="9489" width="9.42578125" style="18" customWidth="1"/>
    <col min="9490" max="9723" width="7.5703125" style="18"/>
    <col min="9724" max="9724" width="12" style="18" bestFit="1" customWidth="1"/>
    <col min="9725" max="9725" width="14.42578125" style="18" bestFit="1" customWidth="1"/>
    <col min="9726" max="9726" width="10.7109375" style="18" bestFit="1" customWidth="1"/>
    <col min="9727" max="9727" width="15.5703125" style="18" bestFit="1" customWidth="1"/>
    <col min="9728" max="9728" width="8.85546875" style="18" bestFit="1" customWidth="1"/>
    <col min="9729" max="9729" width="14.42578125" style="18" bestFit="1" customWidth="1"/>
    <col min="9730" max="9730" width="14.140625" style="18" customWidth="1"/>
    <col min="9731" max="9731" width="16.5703125" style="18" bestFit="1" customWidth="1"/>
    <col min="9732" max="9732" width="15.5703125" style="18" bestFit="1" customWidth="1"/>
    <col min="9733" max="9733" width="17" style="18" bestFit="1" customWidth="1"/>
    <col min="9734" max="9734" width="9.85546875" style="18" bestFit="1" customWidth="1"/>
    <col min="9735" max="9735" width="13" style="18" bestFit="1" customWidth="1"/>
    <col min="9736" max="9736" width="15.7109375" style="18" bestFit="1" customWidth="1"/>
    <col min="9737" max="9737" width="10.5703125" style="18" bestFit="1" customWidth="1"/>
    <col min="9738" max="9738" width="10" style="18" bestFit="1" customWidth="1"/>
    <col min="9739" max="9739" width="9.42578125" style="18" bestFit="1" customWidth="1"/>
    <col min="9740" max="9741" width="11.28515625" style="18" bestFit="1" customWidth="1"/>
    <col min="9742" max="9742" width="11.5703125" style="18" bestFit="1" customWidth="1"/>
    <col min="9743" max="9743" width="14.28515625" style="18" bestFit="1" customWidth="1"/>
    <col min="9744" max="9744" width="14.5703125" style="18" bestFit="1" customWidth="1"/>
    <col min="9745" max="9745" width="9.42578125" style="18" customWidth="1"/>
    <col min="9746" max="9979" width="7.5703125" style="18"/>
    <col min="9980" max="9980" width="12" style="18" bestFit="1" customWidth="1"/>
    <col min="9981" max="9981" width="14.42578125" style="18" bestFit="1" customWidth="1"/>
    <col min="9982" max="9982" width="10.7109375" style="18" bestFit="1" customWidth="1"/>
    <col min="9983" max="9983" width="15.5703125" style="18" bestFit="1" customWidth="1"/>
    <col min="9984" max="9984" width="8.85546875" style="18" bestFit="1" customWidth="1"/>
    <col min="9985" max="9985" width="14.42578125" style="18" bestFit="1" customWidth="1"/>
    <col min="9986" max="9986" width="14.140625" style="18" customWidth="1"/>
    <col min="9987" max="9987" width="16.5703125" style="18" bestFit="1" customWidth="1"/>
    <col min="9988" max="9988" width="15.5703125" style="18" bestFit="1" customWidth="1"/>
    <col min="9989" max="9989" width="17" style="18" bestFit="1" customWidth="1"/>
    <col min="9990" max="9990" width="9.85546875" style="18" bestFit="1" customWidth="1"/>
    <col min="9991" max="9991" width="13" style="18" bestFit="1" customWidth="1"/>
    <col min="9992" max="9992" width="15.7109375" style="18" bestFit="1" customWidth="1"/>
    <col min="9993" max="9993" width="10.5703125" style="18" bestFit="1" customWidth="1"/>
    <col min="9994" max="9994" width="10" style="18" bestFit="1" customWidth="1"/>
    <col min="9995" max="9995" width="9.42578125" style="18" bestFit="1" customWidth="1"/>
    <col min="9996" max="9997" width="11.28515625" style="18" bestFit="1" customWidth="1"/>
    <col min="9998" max="9998" width="11.5703125" style="18" bestFit="1" customWidth="1"/>
    <col min="9999" max="9999" width="14.28515625" style="18" bestFit="1" customWidth="1"/>
    <col min="10000" max="10000" width="14.5703125" style="18" bestFit="1" customWidth="1"/>
    <col min="10001" max="10001" width="9.42578125" style="18" customWidth="1"/>
    <col min="10002" max="10235" width="7.5703125" style="18"/>
    <col min="10236" max="10236" width="12" style="18" bestFit="1" customWidth="1"/>
    <col min="10237" max="10237" width="14.42578125" style="18" bestFit="1" customWidth="1"/>
    <col min="10238" max="10238" width="10.7109375" style="18" bestFit="1" customWidth="1"/>
    <col min="10239" max="10239" width="15.5703125" style="18" bestFit="1" customWidth="1"/>
    <col min="10240" max="10240" width="8.85546875" style="18" bestFit="1" customWidth="1"/>
    <col min="10241" max="10241" width="14.42578125" style="18" bestFit="1" customWidth="1"/>
    <col min="10242" max="10242" width="14.140625" style="18" customWidth="1"/>
    <col min="10243" max="10243" width="16.5703125" style="18" bestFit="1" customWidth="1"/>
    <col min="10244" max="10244" width="15.5703125" style="18" bestFit="1" customWidth="1"/>
    <col min="10245" max="10245" width="17" style="18" bestFit="1" customWidth="1"/>
    <col min="10246" max="10246" width="9.85546875" style="18" bestFit="1" customWidth="1"/>
    <col min="10247" max="10247" width="13" style="18" bestFit="1" customWidth="1"/>
    <col min="10248" max="10248" width="15.7109375" style="18" bestFit="1" customWidth="1"/>
    <col min="10249" max="10249" width="10.5703125" style="18" bestFit="1" customWidth="1"/>
    <col min="10250" max="10250" width="10" style="18" bestFit="1" customWidth="1"/>
    <col min="10251" max="10251" width="9.42578125" style="18" bestFit="1" customWidth="1"/>
    <col min="10252" max="10253" width="11.28515625" style="18" bestFit="1" customWidth="1"/>
    <col min="10254" max="10254" width="11.5703125" style="18" bestFit="1" customWidth="1"/>
    <col min="10255" max="10255" width="14.28515625" style="18" bestFit="1" customWidth="1"/>
    <col min="10256" max="10256" width="14.5703125" style="18" bestFit="1" customWidth="1"/>
    <col min="10257" max="10257" width="9.42578125" style="18" customWidth="1"/>
    <col min="10258" max="10491" width="7.5703125" style="18"/>
    <col min="10492" max="10492" width="12" style="18" bestFit="1" customWidth="1"/>
    <col min="10493" max="10493" width="14.42578125" style="18" bestFit="1" customWidth="1"/>
    <col min="10494" max="10494" width="10.7109375" style="18" bestFit="1" customWidth="1"/>
    <col min="10495" max="10495" width="15.5703125" style="18" bestFit="1" customWidth="1"/>
    <col min="10496" max="10496" width="8.85546875" style="18" bestFit="1" customWidth="1"/>
    <col min="10497" max="10497" width="14.42578125" style="18" bestFit="1" customWidth="1"/>
    <col min="10498" max="10498" width="14.140625" style="18" customWidth="1"/>
    <col min="10499" max="10499" width="16.5703125" style="18" bestFit="1" customWidth="1"/>
    <col min="10500" max="10500" width="15.5703125" style="18" bestFit="1" customWidth="1"/>
    <col min="10501" max="10501" width="17" style="18" bestFit="1" customWidth="1"/>
    <col min="10502" max="10502" width="9.85546875" style="18" bestFit="1" customWidth="1"/>
    <col min="10503" max="10503" width="13" style="18" bestFit="1" customWidth="1"/>
    <col min="10504" max="10504" width="15.7109375" style="18" bestFit="1" customWidth="1"/>
    <col min="10505" max="10505" width="10.5703125" style="18" bestFit="1" customWidth="1"/>
    <col min="10506" max="10506" width="10" style="18" bestFit="1" customWidth="1"/>
    <col min="10507" max="10507" width="9.42578125" style="18" bestFit="1" customWidth="1"/>
    <col min="10508" max="10509" width="11.28515625" style="18" bestFit="1" customWidth="1"/>
    <col min="10510" max="10510" width="11.5703125" style="18" bestFit="1" customWidth="1"/>
    <col min="10511" max="10511" width="14.28515625" style="18" bestFit="1" customWidth="1"/>
    <col min="10512" max="10512" width="14.5703125" style="18" bestFit="1" customWidth="1"/>
    <col min="10513" max="10513" width="9.42578125" style="18" customWidth="1"/>
    <col min="10514" max="10747" width="7.5703125" style="18"/>
    <col min="10748" max="10748" width="12" style="18" bestFit="1" customWidth="1"/>
    <col min="10749" max="10749" width="14.42578125" style="18" bestFit="1" customWidth="1"/>
    <col min="10750" max="10750" width="10.7109375" style="18" bestFit="1" customWidth="1"/>
    <col min="10751" max="10751" width="15.5703125" style="18" bestFit="1" customWidth="1"/>
    <col min="10752" max="10752" width="8.85546875" style="18" bestFit="1" customWidth="1"/>
    <col min="10753" max="10753" width="14.42578125" style="18" bestFit="1" customWidth="1"/>
    <col min="10754" max="10754" width="14.140625" style="18" customWidth="1"/>
    <col min="10755" max="10755" width="16.5703125" style="18" bestFit="1" customWidth="1"/>
    <col min="10756" max="10756" width="15.5703125" style="18" bestFit="1" customWidth="1"/>
    <col min="10757" max="10757" width="17" style="18" bestFit="1" customWidth="1"/>
    <col min="10758" max="10758" width="9.85546875" style="18" bestFit="1" customWidth="1"/>
    <col min="10759" max="10759" width="13" style="18" bestFit="1" customWidth="1"/>
    <col min="10760" max="10760" width="15.7109375" style="18" bestFit="1" customWidth="1"/>
    <col min="10761" max="10761" width="10.5703125" style="18" bestFit="1" customWidth="1"/>
    <col min="10762" max="10762" width="10" style="18" bestFit="1" customWidth="1"/>
    <col min="10763" max="10763" width="9.42578125" style="18" bestFit="1" customWidth="1"/>
    <col min="10764" max="10765" width="11.28515625" style="18" bestFit="1" customWidth="1"/>
    <col min="10766" max="10766" width="11.5703125" style="18" bestFit="1" customWidth="1"/>
    <col min="10767" max="10767" width="14.28515625" style="18" bestFit="1" customWidth="1"/>
    <col min="10768" max="10768" width="14.5703125" style="18" bestFit="1" customWidth="1"/>
    <col min="10769" max="10769" width="9.42578125" style="18" customWidth="1"/>
    <col min="10770" max="11003" width="7.5703125" style="18"/>
    <col min="11004" max="11004" width="12" style="18" bestFit="1" customWidth="1"/>
    <col min="11005" max="11005" width="14.42578125" style="18" bestFit="1" customWidth="1"/>
    <col min="11006" max="11006" width="10.7109375" style="18" bestFit="1" customWidth="1"/>
    <col min="11007" max="11007" width="15.5703125" style="18" bestFit="1" customWidth="1"/>
    <col min="11008" max="11008" width="8.85546875" style="18" bestFit="1" customWidth="1"/>
    <col min="11009" max="11009" width="14.42578125" style="18" bestFit="1" customWidth="1"/>
    <col min="11010" max="11010" width="14.140625" style="18" customWidth="1"/>
    <col min="11011" max="11011" width="16.5703125" style="18" bestFit="1" customWidth="1"/>
    <col min="11012" max="11012" width="15.5703125" style="18" bestFit="1" customWidth="1"/>
    <col min="11013" max="11013" width="17" style="18" bestFit="1" customWidth="1"/>
    <col min="11014" max="11014" width="9.85546875" style="18" bestFit="1" customWidth="1"/>
    <col min="11015" max="11015" width="13" style="18" bestFit="1" customWidth="1"/>
    <col min="11016" max="11016" width="15.7109375" style="18" bestFit="1" customWidth="1"/>
    <col min="11017" max="11017" width="10.5703125" style="18" bestFit="1" customWidth="1"/>
    <col min="11018" max="11018" width="10" style="18" bestFit="1" customWidth="1"/>
    <col min="11019" max="11019" width="9.42578125" style="18" bestFit="1" customWidth="1"/>
    <col min="11020" max="11021" width="11.28515625" style="18" bestFit="1" customWidth="1"/>
    <col min="11022" max="11022" width="11.5703125" style="18" bestFit="1" customWidth="1"/>
    <col min="11023" max="11023" width="14.28515625" style="18" bestFit="1" customWidth="1"/>
    <col min="11024" max="11024" width="14.5703125" style="18" bestFit="1" customWidth="1"/>
    <col min="11025" max="11025" width="9.42578125" style="18" customWidth="1"/>
    <col min="11026" max="11259" width="7.5703125" style="18"/>
    <col min="11260" max="11260" width="12" style="18" bestFit="1" customWidth="1"/>
    <col min="11261" max="11261" width="14.42578125" style="18" bestFit="1" customWidth="1"/>
    <col min="11262" max="11262" width="10.7109375" style="18" bestFit="1" customWidth="1"/>
    <col min="11263" max="11263" width="15.5703125" style="18" bestFit="1" customWidth="1"/>
    <col min="11264" max="11264" width="8.85546875" style="18" bestFit="1" customWidth="1"/>
    <col min="11265" max="11265" width="14.42578125" style="18" bestFit="1" customWidth="1"/>
    <col min="11266" max="11266" width="14.140625" style="18" customWidth="1"/>
    <col min="11267" max="11267" width="16.5703125" style="18" bestFit="1" customWidth="1"/>
    <col min="11268" max="11268" width="15.5703125" style="18" bestFit="1" customWidth="1"/>
    <col min="11269" max="11269" width="17" style="18" bestFit="1" customWidth="1"/>
    <col min="11270" max="11270" width="9.85546875" style="18" bestFit="1" customWidth="1"/>
    <col min="11271" max="11271" width="13" style="18" bestFit="1" customWidth="1"/>
    <col min="11272" max="11272" width="15.7109375" style="18" bestFit="1" customWidth="1"/>
    <col min="11273" max="11273" width="10.5703125" style="18" bestFit="1" customWidth="1"/>
    <col min="11274" max="11274" width="10" style="18" bestFit="1" customWidth="1"/>
    <col min="11275" max="11275" width="9.42578125" style="18" bestFit="1" customWidth="1"/>
    <col min="11276" max="11277" width="11.28515625" style="18" bestFit="1" customWidth="1"/>
    <col min="11278" max="11278" width="11.5703125" style="18" bestFit="1" customWidth="1"/>
    <col min="11279" max="11279" width="14.28515625" style="18" bestFit="1" customWidth="1"/>
    <col min="11280" max="11280" width="14.5703125" style="18" bestFit="1" customWidth="1"/>
    <col min="11281" max="11281" width="9.42578125" style="18" customWidth="1"/>
    <col min="11282" max="11515" width="7.5703125" style="18"/>
    <col min="11516" max="11516" width="12" style="18" bestFit="1" customWidth="1"/>
    <col min="11517" max="11517" width="14.42578125" style="18" bestFit="1" customWidth="1"/>
    <col min="11518" max="11518" width="10.7109375" style="18" bestFit="1" customWidth="1"/>
    <col min="11519" max="11519" width="15.5703125" style="18" bestFit="1" customWidth="1"/>
    <col min="11520" max="11520" width="8.85546875" style="18" bestFit="1" customWidth="1"/>
    <col min="11521" max="11521" width="14.42578125" style="18" bestFit="1" customWidth="1"/>
    <col min="11522" max="11522" width="14.140625" style="18" customWidth="1"/>
    <col min="11523" max="11523" width="16.5703125" style="18" bestFit="1" customWidth="1"/>
    <col min="11524" max="11524" width="15.5703125" style="18" bestFit="1" customWidth="1"/>
    <col min="11525" max="11525" width="17" style="18" bestFit="1" customWidth="1"/>
    <col min="11526" max="11526" width="9.85546875" style="18" bestFit="1" customWidth="1"/>
    <col min="11527" max="11527" width="13" style="18" bestFit="1" customWidth="1"/>
    <col min="11528" max="11528" width="15.7109375" style="18" bestFit="1" customWidth="1"/>
    <col min="11529" max="11529" width="10.5703125" style="18" bestFit="1" customWidth="1"/>
    <col min="11530" max="11530" width="10" style="18" bestFit="1" customWidth="1"/>
    <col min="11531" max="11531" width="9.42578125" style="18" bestFit="1" customWidth="1"/>
    <col min="11532" max="11533" width="11.28515625" style="18" bestFit="1" customWidth="1"/>
    <col min="11534" max="11534" width="11.5703125" style="18" bestFit="1" customWidth="1"/>
    <col min="11535" max="11535" width="14.28515625" style="18" bestFit="1" customWidth="1"/>
    <col min="11536" max="11536" width="14.5703125" style="18" bestFit="1" customWidth="1"/>
    <col min="11537" max="11537" width="9.42578125" style="18" customWidth="1"/>
    <col min="11538" max="11771" width="7.5703125" style="18"/>
    <col min="11772" max="11772" width="12" style="18" bestFit="1" customWidth="1"/>
    <col min="11773" max="11773" width="14.42578125" style="18" bestFit="1" customWidth="1"/>
    <col min="11774" max="11774" width="10.7109375" style="18" bestFit="1" customWidth="1"/>
    <col min="11775" max="11775" width="15.5703125" style="18" bestFit="1" customWidth="1"/>
    <col min="11776" max="11776" width="8.85546875" style="18" bestFit="1" customWidth="1"/>
    <col min="11777" max="11777" width="14.42578125" style="18" bestFit="1" customWidth="1"/>
    <col min="11778" max="11778" width="14.140625" style="18" customWidth="1"/>
    <col min="11779" max="11779" width="16.5703125" style="18" bestFit="1" customWidth="1"/>
    <col min="11780" max="11780" width="15.5703125" style="18" bestFit="1" customWidth="1"/>
    <col min="11781" max="11781" width="17" style="18" bestFit="1" customWidth="1"/>
    <col min="11782" max="11782" width="9.85546875" style="18" bestFit="1" customWidth="1"/>
    <col min="11783" max="11783" width="13" style="18" bestFit="1" customWidth="1"/>
    <col min="11784" max="11784" width="15.7109375" style="18" bestFit="1" customWidth="1"/>
    <col min="11785" max="11785" width="10.5703125" style="18" bestFit="1" customWidth="1"/>
    <col min="11786" max="11786" width="10" style="18" bestFit="1" customWidth="1"/>
    <col min="11787" max="11787" width="9.42578125" style="18" bestFit="1" customWidth="1"/>
    <col min="11788" max="11789" width="11.28515625" style="18" bestFit="1" customWidth="1"/>
    <col min="11790" max="11790" width="11.5703125" style="18" bestFit="1" customWidth="1"/>
    <col min="11791" max="11791" width="14.28515625" style="18" bestFit="1" customWidth="1"/>
    <col min="11792" max="11792" width="14.5703125" style="18" bestFit="1" customWidth="1"/>
    <col min="11793" max="11793" width="9.42578125" style="18" customWidth="1"/>
    <col min="11794" max="12027" width="7.5703125" style="18"/>
    <col min="12028" max="12028" width="12" style="18" bestFit="1" customWidth="1"/>
    <col min="12029" max="12029" width="14.42578125" style="18" bestFit="1" customWidth="1"/>
    <col min="12030" max="12030" width="10.7109375" style="18" bestFit="1" customWidth="1"/>
    <col min="12031" max="12031" width="15.5703125" style="18" bestFit="1" customWidth="1"/>
    <col min="12032" max="12032" width="8.85546875" style="18" bestFit="1" customWidth="1"/>
    <col min="12033" max="12033" width="14.42578125" style="18" bestFit="1" customWidth="1"/>
    <col min="12034" max="12034" width="14.140625" style="18" customWidth="1"/>
    <col min="12035" max="12035" width="16.5703125" style="18" bestFit="1" customWidth="1"/>
    <col min="12036" max="12036" width="15.5703125" style="18" bestFit="1" customWidth="1"/>
    <col min="12037" max="12037" width="17" style="18" bestFit="1" customWidth="1"/>
    <col min="12038" max="12038" width="9.85546875" style="18" bestFit="1" customWidth="1"/>
    <col min="12039" max="12039" width="13" style="18" bestFit="1" customWidth="1"/>
    <col min="12040" max="12040" width="15.7109375" style="18" bestFit="1" customWidth="1"/>
    <col min="12041" max="12041" width="10.5703125" style="18" bestFit="1" customWidth="1"/>
    <col min="12042" max="12042" width="10" style="18" bestFit="1" customWidth="1"/>
    <col min="12043" max="12043" width="9.42578125" style="18" bestFit="1" customWidth="1"/>
    <col min="12044" max="12045" width="11.28515625" style="18" bestFit="1" customWidth="1"/>
    <col min="12046" max="12046" width="11.5703125" style="18" bestFit="1" customWidth="1"/>
    <col min="12047" max="12047" width="14.28515625" style="18" bestFit="1" customWidth="1"/>
    <col min="12048" max="12048" width="14.5703125" style="18" bestFit="1" customWidth="1"/>
    <col min="12049" max="12049" width="9.42578125" style="18" customWidth="1"/>
    <col min="12050" max="12283" width="7.5703125" style="18"/>
    <col min="12284" max="12284" width="12" style="18" bestFit="1" customWidth="1"/>
    <col min="12285" max="12285" width="14.42578125" style="18" bestFit="1" customWidth="1"/>
    <col min="12286" max="12286" width="10.7109375" style="18" bestFit="1" customWidth="1"/>
    <col min="12287" max="12287" width="15.5703125" style="18" bestFit="1" customWidth="1"/>
    <col min="12288" max="12288" width="8.85546875" style="18" bestFit="1" customWidth="1"/>
    <col min="12289" max="12289" width="14.42578125" style="18" bestFit="1" customWidth="1"/>
    <col min="12290" max="12290" width="14.140625" style="18" customWidth="1"/>
    <col min="12291" max="12291" width="16.5703125" style="18" bestFit="1" customWidth="1"/>
    <col min="12292" max="12292" width="15.5703125" style="18" bestFit="1" customWidth="1"/>
    <col min="12293" max="12293" width="17" style="18" bestFit="1" customWidth="1"/>
    <col min="12294" max="12294" width="9.85546875" style="18" bestFit="1" customWidth="1"/>
    <col min="12295" max="12295" width="13" style="18" bestFit="1" customWidth="1"/>
    <col min="12296" max="12296" width="15.7109375" style="18" bestFit="1" customWidth="1"/>
    <col min="12297" max="12297" width="10.5703125" style="18" bestFit="1" customWidth="1"/>
    <col min="12298" max="12298" width="10" style="18" bestFit="1" customWidth="1"/>
    <col min="12299" max="12299" width="9.42578125" style="18" bestFit="1" customWidth="1"/>
    <col min="12300" max="12301" width="11.28515625" style="18" bestFit="1" customWidth="1"/>
    <col min="12302" max="12302" width="11.5703125" style="18" bestFit="1" customWidth="1"/>
    <col min="12303" max="12303" width="14.28515625" style="18" bestFit="1" customWidth="1"/>
    <col min="12304" max="12304" width="14.5703125" style="18" bestFit="1" customWidth="1"/>
    <col min="12305" max="12305" width="9.42578125" style="18" customWidth="1"/>
    <col min="12306" max="12539" width="7.5703125" style="18"/>
    <col min="12540" max="12540" width="12" style="18" bestFit="1" customWidth="1"/>
    <col min="12541" max="12541" width="14.42578125" style="18" bestFit="1" customWidth="1"/>
    <col min="12542" max="12542" width="10.7109375" style="18" bestFit="1" customWidth="1"/>
    <col min="12543" max="12543" width="15.5703125" style="18" bestFit="1" customWidth="1"/>
    <col min="12544" max="12544" width="8.85546875" style="18" bestFit="1" customWidth="1"/>
    <col min="12545" max="12545" width="14.42578125" style="18" bestFit="1" customWidth="1"/>
    <col min="12546" max="12546" width="14.140625" style="18" customWidth="1"/>
    <col min="12547" max="12547" width="16.5703125" style="18" bestFit="1" customWidth="1"/>
    <col min="12548" max="12548" width="15.5703125" style="18" bestFit="1" customWidth="1"/>
    <col min="12549" max="12549" width="17" style="18" bestFit="1" customWidth="1"/>
    <col min="12550" max="12550" width="9.85546875" style="18" bestFit="1" customWidth="1"/>
    <col min="12551" max="12551" width="13" style="18" bestFit="1" customWidth="1"/>
    <col min="12552" max="12552" width="15.7109375" style="18" bestFit="1" customWidth="1"/>
    <col min="12553" max="12553" width="10.5703125" style="18" bestFit="1" customWidth="1"/>
    <col min="12554" max="12554" width="10" style="18" bestFit="1" customWidth="1"/>
    <col min="12555" max="12555" width="9.42578125" style="18" bestFit="1" customWidth="1"/>
    <col min="12556" max="12557" width="11.28515625" style="18" bestFit="1" customWidth="1"/>
    <col min="12558" max="12558" width="11.5703125" style="18" bestFit="1" customWidth="1"/>
    <col min="12559" max="12559" width="14.28515625" style="18" bestFit="1" customWidth="1"/>
    <col min="12560" max="12560" width="14.5703125" style="18" bestFit="1" customWidth="1"/>
    <col min="12561" max="12561" width="9.42578125" style="18" customWidth="1"/>
    <col min="12562" max="12795" width="7.5703125" style="18"/>
    <col min="12796" max="12796" width="12" style="18" bestFit="1" customWidth="1"/>
    <col min="12797" max="12797" width="14.42578125" style="18" bestFit="1" customWidth="1"/>
    <col min="12798" max="12798" width="10.7109375" style="18" bestFit="1" customWidth="1"/>
    <col min="12799" max="12799" width="15.5703125" style="18" bestFit="1" customWidth="1"/>
    <col min="12800" max="12800" width="8.85546875" style="18" bestFit="1" customWidth="1"/>
    <col min="12801" max="12801" width="14.42578125" style="18" bestFit="1" customWidth="1"/>
    <col min="12802" max="12802" width="14.140625" style="18" customWidth="1"/>
    <col min="12803" max="12803" width="16.5703125" style="18" bestFit="1" customWidth="1"/>
    <col min="12804" max="12804" width="15.5703125" style="18" bestFit="1" customWidth="1"/>
    <col min="12805" max="12805" width="17" style="18" bestFit="1" customWidth="1"/>
    <col min="12806" max="12806" width="9.85546875" style="18" bestFit="1" customWidth="1"/>
    <col min="12807" max="12807" width="13" style="18" bestFit="1" customWidth="1"/>
    <col min="12808" max="12808" width="15.7109375" style="18" bestFit="1" customWidth="1"/>
    <col min="12809" max="12809" width="10.5703125" style="18" bestFit="1" customWidth="1"/>
    <col min="12810" max="12810" width="10" style="18" bestFit="1" customWidth="1"/>
    <col min="12811" max="12811" width="9.42578125" style="18" bestFit="1" customWidth="1"/>
    <col min="12812" max="12813" width="11.28515625" style="18" bestFit="1" customWidth="1"/>
    <col min="12814" max="12814" width="11.5703125" style="18" bestFit="1" customWidth="1"/>
    <col min="12815" max="12815" width="14.28515625" style="18" bestFit="1" customWidth="1"/>
    <col min="12816" max="12816" width="14.5703125" style="18" bestFit="1" customWidth="1"/>
    <col min="12817" max="12817" width="9.42578125" style="18" customWidth="1"/>
    <col min="12818" max="13051" width="7.5703125" style="18"/>
    <col min="13052" max="13052" width="12" style="18" bestFit="1" customWidth="1"/>
    <col min="13053" max="13053" width="14.42578125" style="18" bestFit="1" customWidth="1"/>
    <col min="13054" max="13054" width="10.7109375" style="18" bestFit="1" customWidth="1"/>
    <col min="13055" max="13055" width="15.5703125" style="18" bestFit="1" customWidth="1"/>
    <col min="13056" max="13056" width="8.85546875" style="18" bestFit="1" customWidth="1"/>
    <col min="13057" max="13057" width="14.42578125" style="18" bestFit="1" customWidth="1"/>
    <col min="13058" max="13058" width="14.140625" style="18" customWidth="1"/>
    <col min="13059" max="13059" width="16.5703125" style="18" bestFit="1" customWidth="1"/>
    <col min="13060" max="13060" width="15.5703125" style="18" bestFit="1" customWidth="1"/>
    <col min="13061" max="13061" width="17" style="18" bestFit="1" customWidth="1"/>
    <col min="13062" max="13062" width="9.85546875" style="18" bestFit="1" customWidth="1"/>
    <col min="13063" max="13063" width="13" style="18" bestFit="1" customWidth="1"/>
    <col min="13064" max="13064" width="15.7109375" style="18" bestFit="1" customWidth="1"/>
    <col min="13065" max="13065" width="10.5703125" style="18" bestFit="1" customWidth="1"/>
    <col min="13066" max="13066" width="10" style="18" bestFit="1" customWidth="1"/>
    <col min="13067" max="13067" width="9.42578125" style="18" bestFit="1" customWidth="1"/>
    <col min="13068" max="13069" width="11.28515625" style="18" bestFit="1" customWidth="1"/>
    <col min="13070" max="13070" width="11.5703125" style="18" bestFit="1" customWidth="1"/>
    <col min="13071" max="13071" width="14.28515625" style="18" bestFit="1" customWidth="1"/>
    <col min="13072" max="13072" width="14.5703125" style="18" bestFit="1" customWidth="1"/>
    <col min="13073" max="13073" width="9.42578125" style="18" customWidth="1"/>
    <col min="13074" max="13307" width="7.5703125" style="18"/>
    <col min="13308" max="13308" width="12" style="18" bestFit="1" customWidth="1"/>
    <col min="13309" max="13309" width="14.42578125" style="18" bestFit="1" customWidth="1"/>
    <col min="13310" max="13310" width="10.7109375" style="18" bestFit="1" customWidth="1"/>
    <col min="13311" max="13311" width="15.5703125" style="18" bestFit="1" customWidth="1"/>
    <col min="13312" max="13312" width="8.85546875" style="18" bestFit="1" customWidth="1"/>
    <col min="13313" max="13313" width="14.42578125" style="18" bestFit="1" customWidth="1"/>
    <col min="13314" max="13314" width="14.140625" style="18" customWidth="1"/>
    <col min="13315" max="13315" width="16.5703125" style="18" bestFit="1" customWidth="1"/>
    <col min="13316" max="13316" width="15.5703125" style="18" bestFit="1" customWidth="1"/>
    <col min="13317" max="13317" width="17" style="18" bestFit="1" customWidth="1"/>
    <col min="13318" max="13318" width="9.85546875" style="18" bestFit="1" customWidth="1"/>
    <col min="13319" max="13319" width="13" style="18" bestFit="1" customWidth="1"/>
    <col min="13320" max="13320" width="15.7109375" style="18" bestFit="1" customWidth="1"/>
    <col min="13321" max="13321" width="10.5703125" style="18" bestFit="1" customWidth="1"/>
    <col min="13322" max="13322" width="10" style="18" bestFit="1" customWidth="1"/>
    <col min="13323" max="13323" width="9.42578125" style="18" bestFit="1" customWidth="1"/>
    <col min="13324" max="13325" width="11.28515625" style="18" bestFit="1" customWidth="1"/>
    <col min="13326" max="13326" width="11.5703125" style="18" bestFit="1" customWidth="1"/>
    <col min="13327" max="13327" width="14.28515625" style="18" bestFit="1" customWidth="1"/>
    <col min="13328" max="13328" width="14.5703125" style="18" bestFit="1" customWidth="1"/>
    <col min="13329" max="13329" width="9.42578125" style="18" customWidth="1"/>
    <col min="13330" max="13563" width="7.5703125" style="18"/>
    <col min="13564" max="13564" width="12" style="18" bestFit="1" customWidth="1"/>
    <col min="13565" max="13565" width="14.42578125" style="18" bestFit="1" customWidth="1"/>
    <col min="13566" max="13566" width="10.7109375" style="18" bestFit="1" customWidth="1"/>
    <col min="13567" max="13567" width="15.5703125" style="18" bestFit="1" customWidth="1"/>
    <col min="13568" max="13568" width="8.85546875" style="18" bestFit="1" customWidth="1"/>
    <col min="13569" max="13569" width="14.42578125" style="18" bestFit="1" customWidth="1"/>
    <col min="13570" max="13570" width="14.140625" style="18" customWidth="1"/>
    <col min="13571" max="13571" width="16.5703125" style="18" bestFit="1" customWidth="1"/>
    <col min="13572" max="13572" width="15.5703125" style="18" bestFit="1" customWidth="1"/>
    <col min="13573" max="13573" width="17" style="18" bestFit="1" customWidth="1"/>
    <col min="13574" max="13574" width="9.85546875" style="18" bestFit="1" customWidth="1"/>
    <col min="13575" max="13575" width="13" style="18" bestFit="1" customWidth="1"/>
    <col min="13576" max="13576" width="15.7109375" style="18" bestFit="1" customWidth="1"/>
    <col min="13577" max="13577" width="10.5703125" style="18" bestFit="1" customWidth="1"/>
    <col min="13578" max="13578" width="10" style="18" bestFit="1" customWidth="1"/>
    <col min="13579" max="13579" width="9.42578125" style="18" bestFit="1" customWidth="1"/>
    <col min="13580" max="13581" width="11.28515625" style="18" bestFit="1" customWidth="1"/>
    <col min="13582" max="13582" width="11.5703125" style="18" bestFit="1" customWidth="1"/>
    <col min="13583" max="13583" width="14.28515625" style="18" bestFit="1" customWidth="1"/>
    <col min="13584" max="13584" width="14.5703125" style="18" bestFit="1" customWidth="1"/>
    <col min="13585" max="13585" width="9.42578125" style="18" customWidth="1"/>
    <col min="13586" max="13819" width="7.5703125" style="18"/>
    <col min="13820" max="13820" width="12" style="18" bestFit="1" customWidth="1"/>
    <col min="13821" max="13821" width="14.42578125" style="18" bestFit="1" customWidth="1"/>
    <col min="13822" max="13822" width="10.7109375" style="18" bestFit="1" customWidth="1"/>
    <col min="13823" max="13823" width="15.5703125" style="18" bestFit="1" customWidth="1"/>
    <col min="13824" max="13824" width="8.85546875" style="18" bestFit="1" customWidth="1"/>
    <col min="13825" max="13825" width="14.42578125" style="18" bestFit="1" customWidth="1"/>
    <col min="13826" max="13826" width="14.140625" style="18" customWidth="1"/>
    <col min="13827" max="13827" width="16.5703125" style="18" bestFit="1" customWidth="1"/>
    <col min="13828" max="13828" width="15.5703125" style="18" bestFit="1" customWidth="1"/>
    <col min="13829" max="13829" width="17" style="18" bestFit="1" customWidth="1"/>
    <col min="13830" max="13830" width="9.85546875" style="18" bestFit="1" customWidth="1"/>
    <col min="13831" max="13831" width="13" style="18" bestFit="1" customWidth="1"/>
    <col min="13832" max="13832" width="15.7109375" style="18" bestFit="1" customWidth="1"/>
    <col min="13833" max="13833" width="10.5703125" style="18" bestFit="1" customWidth="1"/>
    <col min="13834" max="13834" width="10" style="18" bestFit="1" customWidth="1"/>
    <col min="13835" max="13835" width="9.42578125" style="18" bestFit="1" customWidth="1"/>
    <col min="13836" max="13837" width="11.28515625" style="18" bestFit="1" customWidth="1"/>
    <col min="13838" max="13838" width="11.5703125" style="18" bestFit="1" customWidth="1"/>
    <col min="13839" max="13839" width="14.28515625" style="18" bestFit="1" customWidth="1"/>
    <col min="13840" max="13840" width="14.5703125" style="18" bestFit="1" customWidth="1"/>
    <col min="13841" max="13841" width="9.42578125" style="18" customWidth="1"/>
    <col min="13842" max="14075" width="7.5703125" style="18"/>
    <col min="14076" max="14076" width="12" style="18" bestFit="1" customWidth="1"/>
    <col min="14077" max="14077" width="14.42578125" style="18" bestFit="1" customWidth="1"/>
    <col min="14078" max="14078" width="10.7109375" style="18" bestFit="1" customWidth="1"/>
    <col min="14079" max="14079" width="15.5703125" style="18" bestFit="1" customWidth="1"/>
    <col min="14080" max="14080" width="8.85546875" style="18" bestFit="1" customWidth="1"/>
    <col min="14081" max="14081" width="14.42578125" style="18" bestFit="1" customWidth="1"/>
    <col min="14082" max="14082" width="14.140625" style="18" customWidth="1"/>
    <col min="14083" max="14083" width="16.5703125" style="18" bestFit="1" customWidth="1"/>
    <col min="14084" max="14084" width="15.5703125" style="18" bestFit="1" customWidth="1"/>
    <col min="14085" max="14085" width="17" style="18" bestFit="1" customWidth="1"/>
    <col min="14086" max="14086" width="9.85546875" style="18" bestFit="1" customWidth="1"/>
    <col min="14087" max="14087" width="13" style="18" bestFit="1" customWidth="1"/>
    <col min="14088" max="14088" width="15.7109375" style="18" bestFit="1" customWidth="1"/>
    <col min="14089" max="14089" width="10.5703125" style="18" bestFit="1" customWidth="1"/>
    <col min="14090" max="14090" width="10" style="18" bestFit="1" customWidth="1"/>
    <col min="14091" max="14091" width="9.42578125" style="18" bestFit="1" customWidth="1"/>
    <col min="14092" max="14093" width="11.28515625" style="18" bestFit="1" customWidth="1"/>
    <col min="14094" max="14094" width="11.5703125" style="18" bestFit="1" customWidth="1"/>
    <col min="14095" max="14095" width="14.28515625" style="18" bestFit="1" customWidth="1"/>
    <col min="14096" max="14096" width="14.5703125" style="18" bestFit="1" customWidth="1"/>
    <col min="14097" max="14097" width="9.42578125" style="18" customWidth="1"/>
    <col min="14098" max="14331" width="7.5703125" style="18"/>
    <col min="14332" max="14332" width="12" style="18" bestFit="1" customWidth="1"/>
    <col min="14333" max="14333" width="14.42578125" style="18" bestFit="1" customWidth="1"/>
    <col min="14334" max="14334" width="10.7109375" style="18" bestFit="1" customWidth="1"/>
    <col min="14335" max="14335" width="15.5703125" style="18" bestFit="1" customWidth="1"/>
    <col min="14336" max="14336" width="8.85546875" style="18" bestFit="1" customWidth="1"/>
    <col min="14337" max="14337" width="14.42578125" style="18" bestFit="1" customWidth="1"/>
    <col min="14338" max="14338" width="14.140625" style="18" customWidth="1"/>
    <col min="14339" max="14339" width="16.5703125" style="18" bestFit="1" customWidth="1"/>
    <col min="14340" max="14340" width="15.5703125" style="18" bestFit="1" customWidth="1"/>
    <col min="14341" max="14341" width="17" style="18" bestFit="1" customWidth="1"/>
    <col min="14342" max="14342" width="9.85546875" style="18" bestFit="1" customWidth="1"/>
    <col min="14343" max="14343" width="13" style="18" bestFit="1" customWidth="1"/>
    <col min="14344" max="14344" width="15.7109375" style="18" bestFit="1" customWidth="1"/>
    <col min="14345" max="14345" width="10.5703125" style="18" bestFit="1" customWidth="1"/>
    <col min="14346" max="14346" width="10" style="18" bestFit="1" customWidth="1"/>
    <col min="14347" max="14347" width="9.42578125" style="18" bestFit="1" customWidth="1"/>
    <col min="14348" max="14349" width="11.28515625" style="18" bestFit="1" customWidth="1"/>
    <col min="14350" max="14350" width="11.5703125" style="18" bestFit="1" customWidth="1"/>
    <col min="14351" max="14351" width="14.28515625" style="18" bestFit="1" customWidth="1"/>
    <col min="14352" max="14352" width="14.5703125" style="18" bestFit="1" customWidth="1"/>
    <col min="14353" max="14353" width="9.42578125" style="18" customWidth="1"/>
    <col min="14354" max="14587" width="7.5703125" style="18"/>
    <col min="14588" max="14588" width="12" style="18" bestFit="1" customWidth="1"/>
    <col min="14589" max="14589" width="14.42578125" style="18" bestFit="1" customWidth="1"/>
    <col min="14590" max="14590" width="10.7109375" style="18" bestFit="1" customWidth="1"/>
    <col min="14591" max="14591" width="15.5703125" style="18" bestFit="1" customWidth="1"/>
    <col min="14592" max="14592" width="8.85546875" style="18" bestFit="1" customWidth="1"/>
    <col min="14593" max="14593" width="14.42578125" style="18" bestFit="1" customWidth="1"/>
    <col min="14594" max="14594" width="14.140625" style="18" customWidth="1"/>
    <col min="14595" max="14595" width="16.5703125" style="18" bestFit="1" customWidth="1"/>
    <col min="14596" max="14596" width="15.5703125" style="18" bestFit="1" customWidth="1"/>
    <col min="14597" max="14597" width="17" style="18" bestFit="1" customWidth="1"/>
    <col min="14598" max="14598" width="9.85546875" style="18" bestFit="1" customWidth="1"/>
    <col min="14599" max="14599" width="13" style="18" bestFit="1" customWidth="1"/>
    <col min="14600" max="14600" width="15.7109375" style="18" bestFit="1" customWidth="1"/>
    <col min="14601" max="14601" width="10.5703125" style="18" bestFit="1" customWidth="1"/>
    <col min="14602" max="14602" width="10" style="18" bestFit="1" customWidth="1"/>
    <col min="14603" max="14603" width="9.42578125" style="18" bestFit="1" customWidth="1"/>
    <col min="14604" max="14605" width="11.28515625" style="18" bestFit="1" customWidth="1"/>
    <col min="14606" max="14606" width="11.5703125" style="18" bestFit="1" customWidth="1"/>
    <col min="14607" max="14607" width="14.28515625" style="18" bestFit="1" customWidth="1"/>
    <col min="14608" max="14608" width="14.5703125" style="18" bestFit="1" customWidth="1"/>
    <col min="14609" max="14609" width="9.42578125" style="18" customWidth="1"/>
    <col min="14610" max="14843" width="7.5703125" style="18"/>
    <col min="14844" max="14844" width="12" style="18" bestFit="1" customWidth="1"/>
    <col min="14845" max="14845" width="14.42578125" style="18" bestFit="1" customWidth="1"/>
    <col min="14846" max="14846" width="10.7109375" style="18" bestFit="1" customWidth="1"/>
    <col min="14847" max="14847" width="15.5703125" style="18" bestFit="1" customWidth="1"/>
    <col min="14848" max="14848" width="8.85546875" style="18" bestFit="1" customWidth="1"/>
    <col min="14849" max="14849" width="14.42578125" style="18" bestFit="1" customWidth="1"/>
    <col min="14850" max="14850" width="14.140625" style="18" customWidth="1"/>
    <col min="14851" max="14851" width="16.5703125" style="18" bestFit="1" customWidth="1"/>
    <col min="14852" max="14852" width="15.5703125" style="18" bestFit="1" customWidth="1"/>
    <col min="14853" max="14853" width="17" style="18" bestFit="1" customWidth="1"/>
    <col min="14854" max="14854" width="9.85546875" style="18" bestFit="1" customWidth="1"/>
    <col min="14855" max="14855" width="13" style="18" bestFit="1" customWidth="1"/>
    <col min="14856" max="14856" width="15.7109375" style="18" bestFit="1" customWidth="1"/>
    <col min="14857" max="14857" width="10.5703125" style="18" bestFit="1" customWidth="1"/>
    <col min="14858" max="14858" width="10" style="18" bestFit="1" customWidth="1"/>
    <col min="14859" max="14859" width="9.42578125" style="18" bestFit="1" customWidth="1"/>
    <col min="14860" max="14861" width="11.28515625" style="18" bestFit="1" customWidth="1"/>
    <col min="14862" max="14862" width="11.5703125" style="18" bestFit="1" customWidth="1"/>
    <col min="14863" max="14863" width="14.28515625" style="18" bestFit="1" customWidth="1"/>
    <col min="14864" max="14864" width="14.5703125" style="18" bestFit="1" customWidth="1"/>
    <col min="14865" max="14865" width="9.42578125" style="18" customWidth="1"/>
    <col min="14866" max="15099" width="7.5703125" style="18"/>
    <col min="15100" max="15100" width="12" style="18" bestFit="1" customWidth="1"/>
    <col min="15101" max="15101" width="14.42578125" style="18" bestFit="1" customWidth="1"/>
    <col min="15102" max="15102" width="10.7109375" style="18" bestFit="1" customWidth="1"/>
    <col min="15103" max="15103" width="15.5703125" style="18" bestFit="1" customWidth="1"/>
    <col min="15104" max="15104" width="8.85546875" style="18" bestFit="1" customWidth="1"/>
    <col min="15105" max="15105" width="14.42578125" style="18" bestFit="1" customWidth="1"/>
    <col min="15106" max="15106" width="14.140625" style="18" customWidth="1"/>
    <col min="15107" max="15107" width="16.5703125" style="18" bestFit="1" customWidth="1"/>
    <col min="15108" max="15108" width="15.5703125" style="18" bestFit="1" customWidth="1"/>
    <col min="15109" max="15109" width="17" style="18" bestFit="1" customWidth="1"/>
    <col min="15110" max="15110" width="9.85546875" style="18" bestFit="1" customWidth="1"/>
    <col min="15111" max="15111" width="13" style="18" bestFit="1" customWidth="1"/>
    <col min="15112" max="15112" width="15.7109375" style="18" bestFit="1" customWidth="1"/>
    <col min="15113" max="15113" width="10.5703125" style="18" bestFit="1" customWidth="1"/>
    <col min="15114" max="15114" width="10" style="18" bestFit="1" customWidth="1"/>
    <col min="15115" max="15115" width="9.42578125" style="18" bestFit="1" customWidth="1"/>
    <col min="15116" max="15117" width="11.28515625" style="18" bestFit="1" customWidth="1"/>
    <col min="15118" max="15118" width="11.5703125" style="18" bestFit="1" customWidth="1"/>
    <col min="15119" max="15119" width="14.28515625" style="18" bestFit="1" customWidth="1"/>
    <col min="15120" max="15120" width="14.5703125" style="18" bestFit="1" customWidth="1"/>
    <col min="15121" max="15121" width="9.42578125" style="18" customWidth="1"/>
    <col min="15122" max="15355" width="7.5703125" style="18"/>
    <col min="15356" max="15356" width="12" style="18" bestFit="1" customWidth="1"/>
    <col min="15357" max="15357" width="14.42578125" style="18" bestFit="1" customWidth="1"/>
    <col min="15358" max="15358" width="10.7109375" style="18" bestFit="1" customWidth="1"/>
    <col min="15359" max="15359" width="15.5703125" style="18" bestFit="1" customWidth="1"/>
    <col min="15360" max="15360" width="8.85546875" style="18" bestFit="1" customWidth="1"/>
    <col min="15361" max="15361" width="14.42578125" style="18" bestFit="1" customWidth="1"/>
    <col min="15362" max="15362" width="14.140625" style="18" customWidth="1"/>
    <col min="15363" max="15363" width="16.5703125" style="18" bestFit="1" customWidth="1"/>
    <col min="15364" max="15364" width="15.5703125" style="18" bestFit="1" customWidth="1"/>
    <col min="15365" max="15365" width="17" style="18" bestFit="1" customWidth="1"/>
    <col min="15366" max="15366" width="9.85546875" style="18" bestFit="1" customWidth="1"/>
    <col min="15367" max="15367" width="13" style="18" bestFit="1" customWidth="1"/>
    <col min="15368" max="15368" width="15.7109375" style="18" bestFit="1" customWidth="1"/>
    <col min="15369" max="15369" width="10.5703125" style="18" bestFit="1" customWidth="1"/>
    <col min="15370" max="15370" width="10" style="18" bestFit="1" customWidth="1"/>
    <col min="15371" max="15371" width="9.42578125" style="18" bestFit="1" customWidth="1"/>
    <col min="15372" max="15373" width="11.28515625" style="18" bestFit="1" customWidth="1"/>
    <col min="15374" max="15374" width="11.5703125" style="18" bestFit="1" customWidth="1"/>
    <col min="15375" max="15375" width="14.28515625" style="18" bestFit="1" customWidth="1"/>
    <col min="15376" max="15376" width="14.5703125" style="18" bestFit="1" customWidth="1"/>
    <col min="15377" max="15377" width="9.42578125" style="18" customWidth="1"/>
    <col min="15378" max="15611" width="7.5703125" style="18"/>
    <col min="15612" max="15612" width="12" style="18" bestFit="1" customWidth="1"/>
    <col min="15613" max="15613" width="14.42578125" style="18" bestFit="1" customWidth="1"/>
    <col min="15614" max="15614" width="10.7109375" style="18" bestFit="1" customWidth="1"/>
    <col min="15615" max="15615" width="15.5703125" style="18" bestFit="1" customWidth="1"/>
    <col min="15616" max="15616" width="8.85546875" style="18" bestFit="1" customWidth="1"/>
    <col min="15617" max="15617" width="14.42578125" style="18" bestFit="1" customWidth="1"/>
    <col min="15618" max="15618" width="14.140625" style="18" customWidth="1"/>
    <col min="15619" max="15619" width="16.5703125" style="18" bestFit="1" customWidth="1"/>
    <col min="15620" max="15620" width="15.5703125" style="18" bestFit="1" customWidth="1"/>
    <col min="15621" max="15621" width="17" style="18" bestFit="1" customWidth="1"/>
    <col min="15622" max="15622" width="9.85546875" style="18" bestFit="1" customWidth="1"/>
    <col min="15623" max="15623" width="13" style="18" bestFit="1" customWidth="1"/>
    <col min="15624" max="15624" width="15.7109375" style="18" bestFit="1" customWidth="1"/>
    <col min="15625" max="15625" width="10.5703125" style="18" bestFit="1" customWidth="1"/>
    <col min="15626" max="15626" width="10" style="18" bestFit="1" customWidth="1"/>
    <col min="15627" max="15627" width="9.42578125" style="18" bestFit="1" customWidth="1"/>
    <col min="15628" max="15629" width="11.28515625" style="18" bestFit="1" customWidth="1"/>
    <col min="15630" max="15630" width="11.5703125" style="18" bestFit="1" customWidth="1"/>
    <col min="15631" max="15631" width="14.28515625" style="18" bestFit="1" customWidth="1"/>
    <col min="15632" max="15632" width="14.5703125" style="18" bestFit="1" customWidth="1"/>
    <col min="15633" max="15633" width="9.42578125" style="18" customWidth="1"/>
    <col min="15634" max="15867" width="7.5703125" style="18"/>
    <col min="15868" max="15868" width="12" style="18" bestFit="1" customWidth="1"/>
    <col min="15869" max="15869" width="14.42578125" style="18" bestFit="1" customWidth="1"/>
    <col min="15870" max="15870" width="10.7109375" style="18" bestFit="1" customWidth="1"/>
    <col min="15871" max="15871" width="15.5703125" style="18" bestFit="1" customWidth="1"/>
    <col min="15872" max="15872" width="8.85546875" style="18" bestFit="1" customWidth="1"/>
    <col min="15873" max="15873" width="14.42578125" style="18" bestFit="1" customWidth="1"/>
    <col min="15874" max="15874" width="14.140625" style="18" customWidth="1"/>
    <col min="15875" max="15875" width="16.5703125" style="18" bestFit="1" customWidth="1"/>
    <col min="15876" max="15876" width="15.5703125" style="18" bestFit="1" customWidth="1"/>
    <col min="15877" max="15877" width="17" style="18" bestFit="1" customWidth="1"/>
    <col min="15878" max="15878" width="9.85546875" style="18" bestFit="1" customWidth="1"/>
    <col min="15879" max="15879" width="13" style="18" bestFit="1" customWidth="1"/>
    <col min="15880" max="15880" width="15.7109375" style="18" bestFit="1" customWidth="1"/>
    <col min="15881" max="15881" width="10.5703125" style="18" bestFit="1" customWidth="1"/>
    <col min="15882" max="15882" width="10" style="18" bestFit="1" customWidth="1"/>
    <col min="15883" max="15883" width="9.42578125" style="18" bestFit="1" customWidth="1"/>
    <col min="15884" max="15885" width="11.28515625" style="18" bestFit="1" customWidth="1"/>
    <col min="15886" max="15886" width="11.5703125" style="18" bestFit="1" customWidth="1"/>
    <col min="15887" max="15887" width="14.28515625" style="18" bestFit="1" customWidth="1"/>
    <col min="15888" max="15888" width="14.5703125" style="18" bestFit="1" customWidth="1"/>
    <col min="15889" max="15889" width="9.42578125" style="18" customWidth="1"/>
    <col min="15890" max="16123" width="7.5703125" style="18"/>
    <col min="16124" max="16124" width="12" style="18" bestFit="1" customWidth="1"/>
    <col min="16125" max="16125" width="14.42578125" style="18" bestFit="1" customWidth="1"/>
    <col min="16126" max="16126" width="10.7109375" style="18" bestFit="1" customWidth="1"/>
    <col min="16127" max="16127" width="15.5703125" style="18" bestFit="1" customWidth="1"/>
    <col min="16128" max="16128" width="8.85546875" style="18" bestFit="1" customWidth="1"/>
    <col min="16129" max="16129" width="14.42578125" style="18" bestFit="1" customWidth="1"/>
    <col min="16130" max="16130" width="14.140625" style="18" customWidth="1"/>
    <col min="16131" max="16131" width="16.5703125" style="18" bestFit="1" customWidth="1"/>
    <col min="16132" max="16132" width="15.5703125" style="18" bestFit="1" customWidth="1"/>
    <col min="16133" max="16133" width="17" style="18" bestFit="1" customWidth="1"/>
    <col min="16134" max="16134" width="9.85546875" style="18" bestFit="1" customWidth="1"/>
    <col min="16135" max="16135" width="13" style="18" bestFit="1" customWidth="1"/>
    <col min="16136" max="16136" width="15.7109375" style="18" bestFit="1" customWidth="1"/>
    <col min="16137" max="16137" width="10.5703125" style="18" bestFit="1" customWidth="1"/>
    <col min="16138" max="16138" width="10" style="18" bestFit="1" customWidth="1"/>
    <col min="16139" max="16139" width="9.42578125" style="18" bestFit="1" customWidth="1"/>
    <col min="16140" max="16141" width="11.28515625" style="18" bestFit="1" customWidth="1"/>
    <col min="16142" max="16142" width="11.5703125" style="18" bestFit="1" customWidth="1"/>
    <col min="16143" max="16143" width="14.28515625" style="18" bestFit="1" customWidth="1"/>
    <col min="16144" max="16144" width="14.5703125" style="18" bestFit="1" customWidth="1"/>
    <col min="16145" max="16145" width="9.42578125" style="18" customWidth="1"/>
    <col min="16146" max="16384" width="7.5703125" style="18"/>
  </cols>
  <sheetData>
    <row r="1" spans="1:20" s="22" customFormat="1" ht="36.75" customHeight="1">
      <c r="A1" s="47"/>
      <c r="B1" s="47"/>
      <c r="C1" s="23" t="s">
        <v>47</v>
      </c>
      <c r="D1" s="24" t="s">
        <v>48</v>
      </c>
      <c r="E1" s="24" t="s">
        <v>49</v>
      </c>
      <c r="F1" s="24" t="s">
        <v>50</v>
      </c>
      <c r="G1" s="25" t="s">
        <v>51</v>
      </c>
      <c r="H1" s="25" t="s">
        <v>52</v>
      </c>
      <c r="I1" s="23" t="s">
        <v>53</v>
      </c>
      <c r="J1" s="26" t="s">
        <v>54</v>
      </c>
      <c r="K1" s="27" t="s">
        <v>55</v>
      </c>
      <c r="L1" s="27">
        <v>1E-4</v>
      </c>
      <c r="M1" s="28" t="s">
        <v>64</v>
      </c>
      <c r="N1" s="29" t="s">
        <v>56</v>
      </c>
      <c r="O1" s="29" t="s">
        <v>57</v>
      </c>
      <c r="P1" s="29" t="s">
        <v>58</v>
      </c>
      <c r="Q1" s="29" t="s">
        <v>59</v>
      </c>
      <c r="R1" s="29" t="s">
        <v>60</v>
      </c>
      <c r="S1" s="29" t="s">
        <v>61</v>
      </c>
      <c r="T1" s="29" t="s">
        <v>62</v>
      </c>
    </row>
    <row r="2" spans="1:20">
      <c r="B2" s="48">
        <f>J2/H2</f>
        <v>1.7662328205052362</v>
      </c>
      <c r="C2" s="30">
        <v>42947</v>
      </c>
      <c r="D2" s="30" t="s">
        <v>63</v>
      </c>
      <c r="E2" s="30" t="s">
        <v>44</v>
      </c>
      <c r="F2" s="30" t="s">
        <v>98</v>
      </c>
      <c r="G2" s="31">
        <v>48</v>
      </c>
      <c r="H2" s="32">
        <v>10000</v>
      </c>
      <c r="I2" s="33">
        <f>WORKDAY(EOMONTH(C2,0),5)</f>
        <v>42954</v>
      </c>
      <c r="J2" s="20">
        <f t="shared" ref="J2:J7" si="0">T2</f>
        <v>17662.328205052363</v>
      </c>
      <c r="K2" s="34">
        <f>_xll.BlackDelta(D2,N2,G2,O2,M2*SQRT(O2/365),1)</f>
        <v>-0.27010976321434743</v>
      </c>
      <c r="L2" s="34">
        <f>_xll.BlackVolOffSurface(D2,N2,G2,O2,'LCO Vol Surf'!$S$2:$S$29,'LCO Vol Surf'!$B$30:$R$30,'LCO Vol Surf'!$B$2:$R$29,$L$1)</f>
        <v>0.31740638936155174</v>
      </c>
      <c r="M2" s="35">
        <f>L2</f>
        <v>0.31740638936155174</v>
      </c>
      <c r="N2" s="36">
        <f>_xll.Interpolate(C2,Rates!$D$4:$D$36,Rates!$E$4:$E$36,COUNT(Rates!$D$4:$D$36))-0.2</f>
        <v>52.83</v>
      </c>
      <c r="O2" s="31">
        <f>C2-Rates!$D$1</f>
        <v>123</v>
      </c>
      <c r="P2" s="31">
        <f>I2-Rates!$D$1</f>
        <v>130</v>
      </c>
      <c r="Q2" s="37">
        <f>_xll.Interpolate(P2,Rates!$A$4:$A$54,Rates!$B$4:$B$54,Rates!$A$2)/100</f>
        <v>1.19045E-2</v>
      </c>
      <c r="R2" s="37">
        <f t="shared" ref="R2:R7" si="1">(1+Q2)^(-P2/360)</f>
        <v>0.99573565755343896</v>
      </c>
      <c r="S2" s="38">
        <f>_xll.Black(D2,N2,G2,O2,M2*SQRT(O2/365),1)*H2</f>
        <v>17737.968979085661</v>
      </c>
      <c r="T2" s="39">
        <f t="shared" ref="T2:T7" si="2">S2*R2</f>
        <v>17662.328205052363</v>
      </c>
    </row>
    <row r="3" spans="1:20">
      <c r="A3" s="48">
        <f>AVERAGE(B2:B4)</f>
        <v>2.0810087329266431</v>
      </c>
      <c r="B3" s="48">
        <f t="shared" ref="B3:B13" si="3">J3/H3</f>
        <v>2.1030879788711618</v>
      </c>
      <c r="C3" s="30">
        <v>42978</v>
      </c>
      <c r="D3" s="30" t="str">
        <f>D2</f>
        <v>P</v>
      </c>
      <c r="E3" s="30" t="s">
        <v>44</v>
      </c>
      <c r="F3" s="30" t="str">
        <f t="shared" ref="F3:F13" si="4">F2</f>
        <v>ICE Brent</v>
      </c>
      <c r="G3" s="31">
        <f t="shared" ref="G3:H4" si="5">G2</f>
        <v>48</v>
      </c>
      <c r="H3" s="32">
        <f>H2</f>
        <v>10000</v>
      </c>
      <c r="I3" s="33">
        <f t="shared" ref="I3:I13" si="6">WORKDAY(EOMONTH(C3,0),5)</f>
        <v>42985</v>
      </c>
      <c r="J3" s="20">
        <f t="shared" si="0"/>
        <v>21030.879788711616</v>
      </c>
      <c r="K3" s="34">
        <f>_xll.BlackDelta(D3,N3,G3,O3,M3*SQRT(O3/365),1)</f>
        <v>-0.28206908288853993</v>
      </c>
      <c r="L3" s="34">
        <f>_xll.BlackVolOffSurface(D3,N3,G3,O3,'LCO Vol Surf'!$S$2:$S$29,'LCO Vol Surf'!$B$30:$R$30,'LCO Vol Surf'!$B$2:$R$29,$L$1)</f>
        <v>0.31477880660800961</v>
      </c>
      <c r="M3" s="35">
        <f t="shared" ref="M3:M4" si="7">L3</f>
        <v>0.31477880660800961</v>
      </c>
      <c r="N3" s="36">
        <f>_xll.Interpolate(C3,Rates!$D$4:$D$36,Rates!$E$4:$E$36,COUNT(Rates!$D$4:$D$36))-0.2</f>
        <v>52.89</v>
      </c>
      <c r="O3" s="31">
        <f>C3-Rates!$D$1</f>
        <v>154</v>
      </c>
      <c r="P3" s="31">
        <f>I3-Rates!$D$1</f>
        <v>161</v>
      </c>
      <c r="Q3" s="37">
        <f>_xll.Interpolate(P3,Rates!$A$4:$A$54,Rates!$B$4:$B$54,Rates!$A$2)/100</f>
        <v>1.2168000000000002E-2</v>
      </c>
      <c r="R3" s="37">
        <f t="shared" si="1"/>
        <v>0.99460564384256822</v>
      </c>
      <c r="S3" s="38">
        <f>_xll.Black(D3,N3,G3,O3,M3*SQRT(O3/365),1)*H3</f>
        <v>21144.943142953351</v>
      </c>
      <c r="T3" s="39">
        <f t="shared" si="2"/>
        <v>21030.879788711616</v>
      </c>
    </row>
    <row r="4" spans="1:20">
      <c r="B4" s="48">
        <f t="shared" si="3"/>
        <v>2.3737053994035318</v>
      </c>
      <c r="C4" s="30">
        <v>43007</v>
      </c>
      <c r="D4" s="30" t="str">
        <f>D3</f>
        <v>P</v>
      </c>
      <c r="E4" s="30" t="s">
        <v>44</v>
      </c>
      <c r="F4" s="30" t="str">
        <f t="shared" si="4"/>
        <v>ICE Brent</v>
      </c>
      <c r="G4" s="31">
        <f t="shared" si="5"/>
        <v>48</v>
      </c>
      <c r="H4" s="32">
        <f t="shared" si="5"/>
        <v>10000</v>
      </c>
      <c r="I4" s="33">
        <f t="shared" si="6"/>
        <v>43014</v>
      </c>
      <c r="J4" s="20">
        <f t="shared" si="0"/>
        <v>23737.053994035319</v>
      </c>
      <c r="K4" s="34">
        <f>_xll.BlackDelta(D4,N4,G4,O4,M4*SQRT(O4/365),1)</f>
        <v>-0.29026303702914058</v>
      </c>
      <c r="L4" s="34">
        <f>_xll.BlackVolOffSurface(D4,N4,G4,O4,'LCO Vol Surf'!$S$2:$S$29,'LCO Vol Surf'!$B$30:$R$30,'LCO Vol Surf'!$B$2:$R$29,$L$1)</f>
        <v>0.31076843555617095</v>
      </c>
      <c r="M4" s="35">
        <f t="shared" si="7"/>
        <v>0.31076843555617095</v>
      </c>
      <c r="N4" s="36">
        <f>_xll.Interpolate(C4,Rates!$D$4:$D$36,Rates!$E$4:$E$36,COUNT(Rates!$D$4:$D$36))-0.2</f>
        <v>52.91</v>
      </c>
      <c r="O4" s="31">
        <f>C4-Rates!$D$1</f>
        <v>183</v>
      </c>
      <c r="P4" s="31">
        <f>(I4-Rates!$D$1)</f>
        <v>190</v>
      </c>
      <c r="Q4" s="37">
        <f>_xll.Interpolate(P4,Rates!$A$4:$A$54,Rates!$B$4:$B$54,Rates!$A$2)/100</f>
        <v>1.2413195652173914E-2</v>
      </c>
      <c r="R4" s="37">
        <f t="shared" si="1"/>
        <v>0.99351007090118049</v>
      </c>
      <c r="S4" s="38">
        <f>_xll.Black(D4,N4,G4,O4,M4*SQRT(O4/365),1)*H4</f>
        <v>23892.112107634915</v>
      </c>
      <c r="T4" s="39">
        <f t="shared" si="2"/>
        <v>23737.053994035319</v>
      </c>
    </row>
    <row r="5" spans="1:20" s="58" customFormat="1">
      <c r="A5" s="49"/>
      <c r="B5" s="49">
        <f t="shared" si="3"/>
        <v>2.8123745184598841</v>
      </c>
      <c r="C5" s="50">
        <v>43039</v>
      </c>
      <c r="D5" s="50" t="str">
        <f t="shared" ref="D5:D13" si="8">D4</f>
        <v>P</v>
      </c>
      <c r="E5" s="50" t="s">
        <v>44</v>
      </c>
      <c r="F5" s="50" t="str">
        <f t="shared" si="4"/>
        <v>ICE Brent</v>
      </c>
      <c r="G5" s="51">
        <f t="shared" ref="G5:H5" si="9">G4</f>
        <v>48</v>
      </c>
      <c r="H5" s="52">
        <f t="shared" si="9"/>
        <v>10000</v>
      </c>
      <c r="I5" s="53">
        <f t="shared" si="6"/>
        <v>43046</v>
      </c>
      <c r="J5" s="54">
        <f t="shared" si="0"/>
        <v>28123.74518459884</v>
      </c>
      <c r="K5" s="55">
        <f>_xll.BlackDelta(D5,N5,G5,O5,M5*SQRT(O5/365),1)</f>
        <v>-0.30210950670851022</v>
      </c>
      <c r="L5" s="55">
        <f>_xll.BlackVolOffSurface(D5,N5,G5,O5,'LCO Vol Surf'!$S$2:$S$29,'LCO Vol Surf'!$B$30:$R$30,'LCO Vol Surf'!$B$2:$R$29,$L$1)</f>
        <v>0.30757466920776261</v>
      </c>
      <c r="M5" s="35">
        <f>L5+0.01</f>
        <v>0.31757466920776262</v>
      </c>
      <c r="N5" s="36">
        <f>_xll.Interpolate(C5,Rates!$D$4:$D$36,Rates!$E$4:$E$36,COUNT(Rates!$D$4:$D$36))-0.25</f>
        <v>52.87</v>
      </c>
      <c r="O5" s="51">
        <f>C5-Rates!$D$1</f>
        <v>215</v>
      </c>
      <c r="P5" s="51">
        <f>I5-Rates!$D$1</f>
        <v>222</v>
      </c>
      <c r="Q5" s="56">
        <f>_xll.Interpolate(P5,Rates!$A$4:$A$54,Rates!$B$4:$B$54,Rates!$A$2)/100</f>
        <v>1.2671282608695654E-2</v>
      </c>
      <c r="R5" s="56">
        <f t="shared" si="1"/>
        <v>0.99226520324269329</v>
      </c>
      <c r="S5" s="38">
        <f>_xll.Black(D5,N5,G5,O5,M5*SQRT(O5/365),1)*H5</f>
        <v>28342.972314952971</v>
      </c>
      <c r="T5" s="57">
        <f t="shared" si="2"/>
        <v>28123.74518459884</v>
      </c>
    </row>
    <row r="6" spans="1:20" s="58" customFormat="1">
      <c r="A6" s="49">
        <f>AVERAGE(B5:B7)</f>
        <v>2.9872364235796929</v>
      </c>
      <c r="B6" s="49">
        <f t="shared" si="3"/>
        <v>2.9923712566763121</v>
      </c>
      <c r="C6" s="50">
        <v>43069</v>
      </c>
      <c r="D6" s="50" t="str">
        <f t="shared" si="8"/>
        <v>P</v>
      </c>
      <c r="E6" s="50" t="s">
        <v>44</v>
      </c>
      <c r="F6" s="50" t="str">
        <f t="shared" si="4"/>
        <v>ICE Brent</v>
      </c>
      <c r="G6" s="51">
        <f t="shared" ref="G6:H6" si="10">G5</f>
        <v>48</v>
      </c>
      <c r="H6" s="52">
        <f t="shared" si="10"/>
        <v>10000</v>
      </c>
      <c r="I6" s="53">
        <f t="shared" si="6"/>
        <v>43076</v>
      </c>
      <c r="J6" s="54">
        <f t="shared" si="0"/>
        <v>29923.712566763119</v>
      </c>
      <c r="K6" s="55">
        <f>_xll.BlackDelta(D6,N6,G6,O6,M6*SQRT(O6/365),1)</f>
        <v>-0.30582858935894086</v>
      </c>
      <c r="L6" s="55">
        <f>_xll.BlackVolOffSurface(D6,N6,G6,O6,'LCO Vol Surf'!$S$2:$S$29,'LCO Vol Surf'!$B$30:$R$30,'LCO Vol Surf'!$B$2:$R$29,$L$1)</f>
        <v>0.2997121519969963</v>
      </c>
      <c r="M6" s="35">
        <f>L6+0.01</f>
        <v>0.30971215199699631</v>
      </c>
      <c r="N6" s="36">
        <f>_xll.Interpolate(C6,Rates!$D$4:$D$36,Rates!$E$4:$E$36,COUNT(Rates!$D$4:$D$36))-0.25</f>
        <v>52.87</v>
      </c>
      <c r="O6" s="51">
        <f>C6-Rates!$D$1</f>
        <v>245</v>
      </c>
      <c r="P6" s="51">
        <f>I6-Rates!$D$1</f>
        <v>252</v>
      </c>
      <c r="Q6" s="56">
        <f>_xll.Interpolate(P6,Rates!$A$4:$A$54,Rates!$B$4:$B$54,Rates!$A$2)/100</f>
        <v>1.2913239130434784E-2</v>
      </c>
      <c r="R6" s="56">
        <f t="shared" si="1"/>
        <v>0.99105881041022814</v>
      </c>
      <c r="S6" s="38">
        <f>_xll.Black(D6,N6,G6,O6,M6*SQRT(O6/365),1)*H6</f>
        <v>30193.679983912178</v>
      </c>
      <c r="T6" s="57">
        <f t="shared" si="2"/>
        <v>29923.712566763119</v>
      </c>
    </row>
    <row r="7" spans="1:20" s="58" customFormat="1">
      <c r="A7" s="49"/>
      <c r="B7" s="49">
        <f t="shared" si="3"/>
        <v>3.1569634956028829</v>
      </c>
      <c r="C7" s="50">
        <v>43097</v>
      </c>
      <c r="D7" s="50" t="str">
        <f t="shared" si="8"/>
        <v>P</v>
      </c>
      <c r="E7" s="50" t="s">
        <v>44</v>
      </c>
      <c r="F7" s="50" t="str">
        <f t="shared" si="4"/>
        <v>ICE Brent</v>
      </c>
      <c r="G7" s="51">
        <f t="shared" ref="G7:H7" si="11">G6</f>
        <v>48</v>
      </c>
      <c r="H7" s="52">
        <f t="shared" si="11"/>
        <v>10000</v>
      </c>
      <c r="I7" s="53">
        <f t="shared" si="6"/>
        <v>43105</v>
      </c>
      <c r="J7" s="54">
        <f t="shared" si="0"/>
        <v>31569.634956028829</v>
      </c>
      <c r="K7" s="55">
        <f>_xll.BlackDelta(D7,N7,G7,O7,M7*SQRT(O7/365),1)</f>
        <v>-0.30928030961832054</v>
      </c>
      <c r="L7" s="55">
        <f>_xll.BlackVolOffSurface(D7,N7,G7,O7,'LCO Vol Surf'!$S$2:$S$29,'LCO Vol Surf'!$B$30:$R$30,'LCO Vol Surf'!$B$2:$R$29,$L$1)</f>
        <v>0.29359052557809928</v>
      </c>
      <c r="M7" s="35">
        <f>L7+0.01</f>
        <v>0.30359052557809929</v>
      </c>
      <c r="N7" s="36">
        <f>_xll.Interpolate(C7,Rates!$D$4:$D$36,Rates!$E$4:$E$36,COUNT(Rates!$D$4:$D$36))-0.25</f>
        <v>52.850000000000009</v>
      </c>
      <c r="O7" s="51">
        <f>C7-Rates!$D$1</f>
        <v>273</v>
      </c>
      <c r="P7" s="51">
        <f>I7-Rates!$D$1</f>
        <v>281</v>
      </c>
      <c r="Q7" s="56">
        <f>_xll.Interpolate(P7,Rates!$A$4:$A$54,Rates!$B$4:$B$54,Rates!$A$2)/100</f>
        <v>1.3146155555555556E-2</v>
      </c>
      <c r="R7" s="56">
        <f t="shared" si="1"/>
        <v>0.98985734543586568</v>
      </c>
      <c r="S7" s="38">
        <f>_xll.Black(D7,N7,G7,O7,M7*SQRT(O7/365),1)*H7</f>
        <v>31893.115812690881</v>
      </c>
      <c r="T7" s="57">
        <f t="shared" si="2"/>
        <v>31569.634956028829</v>
      </c>
    </row>
    <row r="8" spans="1:20">
      <c r="B8" s="48">
        <f t="shared" si="3"/>
        <v>3.5516766330417231</v>
      </c>
      <c r="C8" s="30">
        <v>43131</v>
      </c>
      <c r="D8" s="30" t="str">
        <f t="shared" si="8"/>
        <v>P</v>
      </c>
      <c r="E8" s="30" t="s">
        <v>44</v>
      </c>
      <c r="F8" s="30" t="str">
        <f t="shared" si="4"/>
        <v>ICE Brent</v>
      </c>
      <c r="G8" s="31">
        <f t="shared" ref="G8:H8" si="12">G7</f>
        <v>48</v>
      </c>
      <c r="H8" s="32">
        <f t="shared" si="12"/>
        <v>10000</v>
      </c>
      <c r="I8" s="33">
        <f t="shared" si="6"/>
        <v>43138</v>
      </c>
      <c r="J8" s="20">
        <f t="shared" ref="J8" si="13">T8</f>
        <v>35516.766330417231</v>
      </c>
      <c r="K8" s="34">
        <f>_xll.BlackDelta(D8,N8,G8,O8,M8*SQRT(O8/365),1)</f>
        <v>-0.31688906422406737</v>
      </c>
      <c r="L8" s="34">
        <f>_xll.BlackVolOffSurface(D8,N8,G8,O8,'LCO Vol Surf'!$S$2:$S$29,'LCO Vol Surf'!$B$30:$R$30,'LCO Vol Surf'!$B$2:$R$29,$L$1)</f>
        <v>0.28835534081549791</v>
      </c>
      <c r="M8" s="35">
        <f>L8+0.02</f>
        <v>0.30835534081549792</v>
      </c>
      <c r="N8" s="36">
        <f>_xll.Interpolate(C8,Rates!$D$4:$D$36,Rates!$E$4:$E$36,COUNT(Rates!$D$4:$D$36))-0.3</f>
        <v>52.77</v>
      </c>
      <c r="O8" s="31">
        <f>C8-Rates!$D$1</f>
        <v>307</v>
      </c>
      <c r="P8" s="31">
        <f>I8-Rates!$D$1</f>
        <v>314</v>
      </c>
      <c r="Q8" s="37">
        <f>_xll.Interpolate(P8,Rates!$A$4:$A$54,Rates!$B$4:$B$54,Rates!$A$2)/100</f>
        <v>1.3396222222222223E-2</v>
      </c>
      <c r="R8" s="37">
        <f t="shared" ref="R8" si="14">(1+Q8)^(-P8/360)</f>
        <v>0.98846018956331227</v>
      </c>
      <c r="S8" s="38">
        <f>_xll.Black(D8,N8,G8,O8,M8*SQRT(O8/365),1)*H8</f>
        <v>35931.407967080631</v>
      </c>
      <c r="T8" s="39">
        <f t="shared" ref="T8" si="15">S8*R8</f>
        <v>35516.766330417231</v>
      </c>
    </row>
    <row r="9" spans="1:20">
      <c r="A9" s="48">
        <f>AVERAGE(B8:B10)</f>
        <v>3.7241097438515567</v>
      </c>
      <c r="B9" s="48">
        <f t="shared" si="3"/>
        <v>3.7267211921408148</v>
      </c>
      <c r="C9" s="30">
        <v>43159</v>
      </c>
      <c r="D9" s="30" t="str">
        <f t="shared" si="8"/>
        <v>P</v>
      </c>
      <c r="E9" s="30" t="s">
        <v>44</v>
      </c>
      <c r="F9" s="30" t="str">
        <f t="shared" si="4"/>
        <v>ICE Brent</v>
      </c>
      <c r="G9" s="31">
        <f t="shared" ref="G9:H9" si="16">G8</f>
        <v>48</v>
      </c>
      <c r="H9" s="32">
        <f t="shared" si="16"/>
        <v>10000</v>
      </c>
      <c r="I9" s="33">
        <f t="shared" si="6"/>
        <v>43166</v>
      </c>
      <c r="J9" s="20">
        <f t="shared" ref="J9:J13" si="17">T9</f>
        <v>37267.211921408147</v>
      </c>
      <c r="K9" s="34">
        <f>_xll.BlackDelta(D9,N9,G9,O9,M9*SQRT(O9/365),1)</f>
        <v>-0.31989322539653475</v>
      </c>
      <c r="L9" s="34">
        <f>_xll.BlackVolOffSurface(D9,N9,G9,O9,'LCO Vol Surf'!$S$2:$S$29,'LCO Vol Surf'!$B$30:$R$30,'LCO Vol Surf'!$B$2:$R$29,$L$1)</f>
        <v>0.28455903816319966</v>
      </c>
      <c r="M9" s="35">
        <f>L9+0.02</f>
        <v>0.30455903816319968</v>
      </c>
      <c r="N9" s="36">
        <f>_xll.Interpolate(C9,Rates!$D$4:$D$36,Rates!$E$4:$E$36,COUNT(Rates!$D$4:$D$36))-0.3</f>
        <v>52.730000000000004</v>
      </c>
      <c r="O9" s="31">
        <f>C9-Rates!$D$1</f>
        <v>335</v>
      </c>
      <c r="P9" s="31">
        <f>I9-Rates!$D$1</f>
        <v>342</v>
      </c>
      <c r="Q9" s="37">
        <f>_xll.Interpolate(P9,Rates!$A$4:$A$54,Rates!$B$4:$B$54,Rates!$A$2)/100</f>
        <v>1.36084E-2</v>
      </c>
      <c r="R9" s="37">
        <f t="shared" ref="R9:R13" si="18">(1+Q9)^(-P9/360)</f>
        <v>0.98724128597392646</v>
      </c>
      <c r="S9" s="38">
        <f>_xll.Black(D9,N9,G9,O9,M9*SQRT(O9/365),1)*H9</f>
        <v>37748.838557378156</v>
      </c>
      <c r="T9" s="39">
        <f t="shared" ref="T9:T13" si="19">S9*R9</f>
        <v>37267.211921408147</v>
      </c>
    </row>
    <row r="10" spans="1:20">
      <c r="B10" s="48">
        <f t="shared" si="3"/>
        <v>3.8939314063721322</v>
      </c>
      <c r="C10" s="30">
        <v>43188</v>
      </c>
      <c r="D10" s="30" t="str">
        <f t="shared" si="8"/>
        <v>P</v>
      </c>
      <c r="E10" s="30" t="s">
        <v>44</v>
      </c>
      <c r="F10" s="30" t="str">
        <f t="shared" si="4"/>
        <v>ICE Brent</v>
      </c>
      <c r="G10" s="31">
        <f t="shared" ref="G10:H10" si="20">G9</f>
        <v>48</v>
      </c>
      <c r="H10" s="32">
        <f t="shared" si="20"/>
        <v>10000</v>
      </c>
      <c r="I10" s="33">
        <f t="shared" si="6"/>
        <v>43196</v>
      </c>
      <c r="J10" s="20">
        <f t="shared" si="17"/>
        <v>38939.314063721322</v>
      </c>
      <c r="K10" s="34">
        <f>_xll.BlackDelta(D10,N10,G10,O10,M10*SQRT(O10/365),1)</f>
        <v>-0.32275039161764552</v>
      </c>
      <c r="L10" s="34">
        <f>_xll.BlackVolOffSurface(D10,N10,G10,O10,'LCO Vol Surf'!$S$2:$S$29,'LCO Vol Surf'!$B$30:$R$30,'LCO Vol Surf'!$B$2:$R$29,$L$1)</f>
        <v>0.28058971047977793</v>
      </c>
      <c r="M10" s="35">
        <f>L10+0.02</f>
        <v>0.30058971047977795</v>
      </c>
      <c r="N10" s="36">
        <f>_xll.Interpolate(C10,Rates!$D$4:$D$36,Rates!$E$4:$E$36,COUNT(Rates!$D$4:$D$36))-0.3</f>
        <v>52.680000000000007</v>
      </c>
      <c r="O10" s="31">
        <f>C10-Rates!$D$1</f>
        <v>364</v>
      </c>
      <c r="P10" s="31">
        <f>I10-Rates!$D$1</f>
        <v>372</v>
      </c>
      <c r="Q10" s="37">
        <f>_xll.Interpolate(P10,Rates!$A$4:$A$54,Rates!$B$4:$B$54,Rates!$A$2)/100</f>
        <v>1.3833736263736263E-2</v>
      </c>
      <c r="R10" s="37">
        <f t="shared" si="18"/>
        <v>0.98590341293539407</v>
      </c>
      <c r="S10" s="38">
        <f>_xll.Black(D10,N10,G10,O10,M10*SQRT(O10/365),1)*H10</f>
        <v>39496.073908279497</v>
      </c>
      <c r="T10" s="39">
        <f t="shared" si="19"/>
        <v>38939.314063721322</v>
      </c>
    </row>
    <row r="11" spans="1:20" s="58" customFormat="1">
      <c r="A11" s="49"/>
      <c r="B11" s="49">
        <f t="shared" si="3"/>
        <v>4.2084301804314075</v>
      </c>
      <c r="C11" s="50">
        <v>43220</v>
      </c>
      <c r="D11" s="50" t="str">
        <f t="shared" si="8"/>
        <v>P</v>
      </c>
      <c r="E11" s="50" t="s">
        <v>44</v>
      </c>
      <c r="F11" s="50" t="str">
        <f t="shared" si="4"/>
        <v>ICE Brent</v>
      </c>
      <c r="G11" s="51">
        <f t="shared" ref="G11:H11" si="21">G10</f>
        <v>48</v>
      </c>
      <c r="H11" s="52">
        <f t="shared" si="21"/>
        <v>10000</v>
      </c>
      <c r="I11" s="53">
        <f t="shared" si="6"/>
        <v>43227</v>
      </c>
      <c r="J11" s="54">
        <f t="shared" si="17"/>
        <v>42084.301804314076</v>
      </c>
      <c r="K11" s="55">
        <f>_xll.BlackDelta(D11,N11,G11,O11,M11*SQRT(O11/365),1)</f>
        <v>-0.3279804101698518</v>
      </c>
      <c r="L11" s="55">
        <f>_xll.BlackVolOffSurface(D11,N11,G11,O11,'LCO Vol Surf'!$S$2:$S$29,'LCO Vol Surf'!$B$30:$R$30,'LCO Vol Surf'!$B$2:$R$29,$L$1)</f>
        <v>0.27767987513460557</v>
      </c>
      <c r="M11" s="35">
        <f>L11+0.025</f>
        <v>0.30267987513460559</v>
      </c>
      <c r="N11" s="36">
        <f>_xll.Interpolate(C11,Rates!$D$4:$D$36,Rates!$E$4:$E$36,COUNT(Rates!$D$4:$D$36))-0.35</f>
        <v>52.559999999999995</v>
      </c>
      <c r="O11" s="51">
        <f>C11-Rates!$D$1</f>
        <v>396</v>
      </c>
      <c r="P11" s="51">
        <f>I11-Rates!$D$1</f>
        <v>403</v>
      </c>
      <c r="Q11" s="56">
        <f>_xll.Interpolate(P11,Rates!$A$4:$A$54,Rates!$B$4:$B$54,Rates!$A$2)/100</f>
        <v>1.4048010989010989E-2</v>
      </c>
      <c r="R11" s="56">
        <f t="shared" si="18"/>
        <v>0.98450477347789078</v>
      </c>
      <c r="S11" s="38">
        <f>_xll.Black(D11,N11,G11,O11,M11*SQRT(O11/365),1)*H11</f>
        <v>42746.671156957244</v>
      </c>
      <c r="T11" s="57">
        <f t="shared" si="19"/>
        <v>42084.301804314076</v>
      </c>
    </row>
    <row r="12" spans="1:20" s="58" customFormat="1">
      <c r="A12" s="49">
        <f>AVERAGE(B11:B13)</f>
        <v>4.3833292980584817</v>
      </c>
      <c r="B12" s="49">
        <f t="shared" si="3"/>
        <v>4.3878267323519289</v>
      </c>
      <c r="C12" s="50">
        <v>43251</v>
      </c>
      <c r="D12" s="50" t="str">
        <f t="shared" si="8"/>
        <v>P</v>
      </c>
      <c r="E12" s="50" t="s">
        <v>44</v>
      </c>
      <c r="F12" s="50" t="str">
        <f t="shared" si="4"/>
        <v>ICE Brent</v>
      </c>
      <c r="G12" s="51">
        <f t="shared" ref="G12:H12" si="22">G11</f>
        <v>48</v>
      </c>
      <c r="H12" s="52">
        <f t="shared" si="22"/>
        <v>10000</v>
      </c>
      <c r="I12" s="53">
        <f t="shared" si="6"/>
        <v>43258</v>
      </c>
      <c r="J12" s="54">
        <f t="shared" si="17"/>
        <v>43878.267323519292</v>
      </c>
      <c r="K12" s="55">
        <f>_xll.BlackDelta(D12,N12,G12,O12,M12*SQRT(O12/365),1)</f>
        <v>-0.33031268997619689</v>
      </c>
      <c r="L12" s="55">
        <f>_xll.BlackVolOffSurface(D12,N12,G12,O12,'LCO Vol Surf'!$S$2:$S$29,'LCO Vol Surf'!$B$30:$R$30,'LCO Vol Surf'!$B$2:$R$29,$L$1)</f>
        <v>0.27486507531972315</v>
      </c>
      <c r="M12" s="35">
        <f>L12+0.025</f>
        <v>0.29986507531972317</v>
      </c>
      <c r="N12" s="36">
        <f>_xll.Interpolate(C12,Rates!$D$4:$D$36,Rates!$E$4:$E$36,COUNT(Rates!$D$4:$D$36))-0.35</f>
        <v>52.51</v>
      </c>
      <c r="O12" s="51">
        <f>C12-Rates!$D$1</f>
        <v>427</v>
      </c>
      <c r="P12" s="51">
        <f>I12-Rates!$D$1</f>
        <v>434</v>
      </c>
      <c r="Q12" s="56">
        <f>_xll.Interpolate(P12,Rates!$A$4:$A$54,Rates!$B$4:$B$54,Rates!$A$2)/100</f>
        <v>1.4262285714285713E-2</v>
      </c>
      <c r="R12" s="56">
        <f t="shared" si="18"/>
        <v>0.98307239105463129</v>
      </c>
      <c r="S12" s="38">
        <f>_xll.Black(D12,N12,G12,O12,M12*SQRT(O12/365),1)*H12</f>
        <v>44633.811022245347</v>
      </c>
      <c r="T12" s="57">
        <f t="shared" si="19"/>
        <v>43878.267323519292</v>
      </c>
    </row>
    <row r="13" spans="1:20" s="58" customFormat="1">
      <c r="A13" s="49"/>
      <c r="B13" s="49">
        <f t="shared" si="3"/>
        <v>4.5537309813921087</v>
      </c>
      <c r="C13" s="50">
        <v>43280</v>
      </c>
      <c r="D13" s="50" t="str">
        <f t="shared" si="8"/>
        <v>P</v>
      </c>
      <c r="E13" s="50" t="s">
        <v>44</v>
      </c>
      <c r="F13" s="50" t="str">
        <f t="shared" si="4"/>
        <v>ICE Brent</v>
      </c>
      <c r="G13" s="51">
        <f t="shared" ref="G13:H13" si="23">G12</f>
        <v>48</v>
      </c>
      <c r="H13" s="52">
        <f t="shared" si="23"/>
        <v>10000</v>
      </c>
      <c r="I13" s="53">
        <f t="shared" si="6"/>
        <v>43287</v>
      </c>
      <c r="J13" s="54">
        <f t="shared" si="17"/>
        <v>45537.309813921085</v>
      </c>
      <c r="K13" s="55">
        <f>_xll.BlackDelta(D13,N13,G13,O13,M13*SQRT(O13/365),1)</f>
        <v>-0.33254501125760916</v>
      </c>
      <c r="L13" s="55">
        <f>_xll.BlackVolOffSurface(D13,N13,G13,O13,'LCO Vol Surf'!$S$2:$S$29,'LCO Vol Surf'!$B$30:$R$30,'LCO Vol Surf'!$B$2:$R$29,$L$1)</f>
        <v>0.27247311737224561</v>
      </c>
      <c r="M13" s="35">
        <f>L13+0.025</f>
        <v>0.29747311737224563</v>
      </c>
      <c r="N13" s="36">
        <f>_xll.Interpolate(C13,Rates!$D$4:$D$36,Rates!$E$4:$E$36,COUNT(Rates!$D$4:$D$36))-0.35</f>
        <v>52.449999999999982</v>
      </c>
      <c r="O13" s="51">
        <f>C13-Rates!$D$1</f>
        <v>456</v>
      </c>
      <c r="P13" s="51">
        <f>I13-Rates!$D$1</f>
        <v>463</v>
      </c>
      <c r="Q13" s="56">
        <f>_xll.Interpolate(P13,Rates!$A$4:$A$54,Rates!$B$4:$B$54,Rates!$A$2)/100</f>
        <v>1.4462902173913045E-2</v>
      </c>
      <c r="R13" s="56">
        <f t="shared" si="18"/>
        <v>0.98170181177603344</v>
      </c>
      <c r="S13" s="38">
        <f>_xll.Black(D13,N13,G13,O13,M13*SQRT(O13/365),1)*H13</f>
        <v>46386.091242449511</v>
      </c>
      <c r="T13" s="57">
        <f t="shared" si="19"/>
        <v>45537.309813921085</v>
      </c>
    </row>
    <row r="15" spans="1:20">
      <c r="B15" s="48">
        <f>J15/H15</f>
        <v>2.4164889260678812</v>
      </c>
      <c r="C15" s="30">
        <v>42947</v>
      </c>
      <c r="D15" s="30" t="s">
        <v>63</v>
      </c>
      <c r="E15" s="30" t="s">
        <v>44</v>
      </c>
      <c r="F15" s="30" t="s">
        <v>98</v>
      </c>
      <c r="G15" s="31">
        <v>50</v>
      </c>
      <c r="H15" s="32">
        <v>10000</v>
      </c>
      <c r="I15" s="33">
        <f>WORKDAY(EOMONTH(C15,0),5)</f>
        <v>42954</v>
      </c>
      <c r="J15" s="20">
        <f t="shared" ref="J15:J26" si="24">T15</f>
        <v>24164.88926067881</v>
      </c>
      <c r="K15" s="34">
        <f>_xll.BlackDelta(D15,N15,G15,O15,M15*SQRT(O15/365),1)</f>
        <v>-0.34573797134889972</v>
      </c>
      <c r="L15" s="34">
        <f>_xll.BlackVolOffSurface(D15,N15,G15,O15,'LCO Vol Surf'!$S$2:$S$29,'LCO Vol Surf'!$B$30:$R$30,'LCO Vol Surf'!$B$2:$R$29,$L$1)</f>
        <v>0.3086688231518766</v>
      </c>
      <c r="M15" s="35">
        <f>L15</f>
        <v>0.3086688231518766</v>
      </c>
      <c r="N15" s="36">
        <f>_xll.Interpolate(C15,Rates!$D$4:$D$36,Rates!$E$4:$E$36,COUNT(Rates!$D$4:$D$36))-0.2</f>
        <v>52.83</v>
      </c>
      <c r="O15" s="31">
        <f>C15-Rates!$D$1</f>
        <v>123</v>
      </c>
      <c r="P15" s="31">
        <f>I15-Rates!$D$1</f>
        <v>130</v>
      </c>
      <c r="Q15" s="37">
        <f>_xll.Interpolate(P15,Rates!$A$4:$A$54,Rates!$B$4:$B$54,Rates!$A$2)/100</f>
        <v>1.19045E-2</v>
      </c>
      <c r="R15" s="37">
        <f t="shared" ref="R15:R26" si="25">(1+Q15)^(-P15/360)</f>
        <v>0.99573565755343896</v>
      </c>
      <c r="S15" s="38">
        <f>_xll.Black(D15,N15,G15,O15,M15*SQRT(O15/365),1)*H15</f>
        <v>24268.377934815428</v>
      </c>
      <c r="T15" s="39">
        <f t="shared" ref="T15:T26" si="26">S15*R15</f>
        <v>24164.88926067881</v>
      </c>
    </row>
    <row r="16" spans="1:20">
      <c r="A16" s="48">
        <f>AVERAGE(B15:B17)</f>
        <v>2.7610811646590285</v>
      </c>
      <c r="B16" s="48">
        <f t="shared" ref="B16:B26" si="27">J16/H16</f>
        <v>2.7857861311981327</v>
      </c>
      <c r="C16" s="30">
        <v>42978</v>
      </c>
      <c r="D16" s="30" t="str">
        <f>D15</f>
        <v>P</v>
      </c>
      <c r="E16" s="30" t="s">
        <v>44</v>
      </c>
      <c r="F16" s="30" t="str">
        <f t="shared" ref="F16:H26" si="28">F15</f>
        <v>ICE Brent</v>
      </c>
      <c r="G16" s="31">
        <f t="shared" si="28"/>
        <v>50</v>
      </c>
      <c r="H16" s="32">
        <f>H15</f>
        <v>10000</v>
      </c>
      <c r="I16" s="33">
        <f t="shared" ref="I16:I26" si="29">WORKDAY(EOMONTH(C16,0),5)</f>
        <v>42985</v>
      </c>
      <c r="J16" s="20">
        <f t="shared" si="24"/>
        <v>27857.861311981327</v>
      </c>
      <c r="K16" s="34">
        <f>_xll.BlackDelta(D16,N16,G16,O16,M16*SQRT(O16/365),1)</f>
        <v>-0.35141008466071144</v>
      </c>
      <c r="L16" s="34">
        <f>_xll.BlackVolOffSurface(D16,N16,G16,O16,'LCO Vol Surf'!$S$2:$S$29,'LCO Vol Surf'!$B$30:$R$30,'LCO Vol Surf'!$B$2:$R$29,$L$1)</f>
        <v>0.30695635331106219</v>
      </c>
      <c r="M16" s="35">
        <f t="shared" ref="M16:M17" si="30">L16</f>
        <v>0.30695635331106219</v>
      </c>
      <c r="N16" s="36">
        <f>_xll.Interpolate(C16,Rates!$D$4:$D$36,Rates!$E$4:$E$36,COUNT(Rates!$D$4:$D$36))-0.2</f>
        <v>52.89</v>
      </c>
      <c r="O16" s="31">
        <f>C16-Rates!$D$1</f>
        <v>154</v>
      </c>
      <c r="P16" s="31">
        <f>I16-Rates!$D$1</f>
        <v>161</v>
      </c>
      <c r="Q16" s="37">
        <f>_xll.Interpolate(P16,Rates!$A$4:$A$54,Rates!$B$4:$B$54,Rates!$A$2)/100</f>
        <v>1.2168000000000002E-2</v>
      </c>
      <c r="R16" s="37">
        <f t="shared" si="25"/>
        <v>0.99460564384256822</v>
      </c>
      <c r="S16" s="38">
        <f>_xll.Black(D16,N16,G16,O16,M16*SQRT(O16/365),1)*H16</f>
        <v>28008.951572358888</v>
      </c>
      <c r="T16" s="39">
        <f t="shared" si="26"/>
        <v>27857.861311981327</v>
      </c>
    </row>
    <row r="17" spans="1:20">
      <c r="B17" s="48">
        <f t="shared" si="27"/>
        <v>3.0809684367110712</v>
      </c>
      <c r="C17" s="30">
        <v>43007</v>
      </c>
      <c r="D17" s="30" t="str">
        <f>D16</f>
        <v>P</v>
      </c>
      <c r="E17" s="30" t="s">
        <v>44</v>
      </c>
      <c r="F17" s="30" t="str">
        <f t="shared" si="28"/>
        <v>ICE Brent</v>
      </c>
      <c r="G17" s="31">
        <f t="shared" si="28"/>
        <v>50</v>
      </c>
      <c r="H17" s="32">
        <f t="shared" si="28"/>
        <v>10000</v>
      </c>
      <c r="I17" s="33">
        <f t="shared" si="29"/>
        <v>43014</v>
      </c>
      <c r="J17" s="20">
        <f t="shared" si="24"/>
        <v>30809.684367110713</v>
      </c>
      <c r="K17" s="34">
        <f>_xll.BlackDelta(D17,N17,G17,O17,M17*SQRT(O17/365),1)</f>
        <v>-0.35546532307734779</v>
      </c>
      <c r="L17" s="34">
        <f>_xll.BlackVolOffSurface(D17,N17,G17,O17,'LCO Vol Surf'!$S$2:$S$29,'LCO Vol Surf'!$B$30:$R$30,'LCO Vol Surf'!$B$2:$R$29,$L$1)</f>
        <v>0.30365346769227924</v>
      </c>
      <c r="M17" s="35">
        <f t="shared" si="30"/>
        <v>0.30365346769227924</v>
      </c>
      <c r="N17" s="36">
        <f>_xll.Interpolate(C17,Rates!$D$4:$D$36,Rates!$E$4:$E$36,COUNT(Rates!$D$4:$D$36))-0.2</f>
        <v>52.91</v>
      </c>
      <c r="O17" s="31">
        <f>C17-Rates!$D$1</f>
        <v>183</v>
      </c>
      <c r="P17" s="31">
        <f>I17-Rates!$D$1</f>
        <v>190</v>
      </c>
      <c r="Q17" s="37">
        <f>_xll.Interpolate(P17,Rates!$A$4:$A$54,Rates!$B$4:$B$54,Rates!$A$2)/100</f>
        <v>1.2413195652173914E-2</v>
      </c>
      <c r="R17" s="37">
        <f t="shared" si="25"/>
        <v>0.99351007090118049</v>
      </c>
      <c r="S17" s="38">
        <f>_xll.Black(D17,N17,G17,O17,M17*SQRT(O17/365),1)*H17</f>
        <v>31010.943189699381</v>
      </c>
      <c r="T17" s="39">
        <f t="shared" si="26"/>
        <v>30809.684367110713</v>
      </c>
    </row>
    <row r="18" spans="1:20" s="58" customFormat="1">
      <c r="A18" s="49"/>
      <c r="B18" s="49">
        <f t="shared" si="27"/>
        <v>3.5542670900299278</v>
      </c>
      <c r="C18" s="50">
        <v>43039</v>
      </c>
      <c r="D18" s="50" t="str">
        <f t="shared" ref="D18:D26" si="31">D17</f>
        <v>P</v>
      </c>
      <c r="E18" s="50" t="s">
        <v>44</v>
      </c>
      <c r="F18" s="50" t="str">
        <f t="shared" si="28"/>
        <v>ICE Brent</v>
      </c>
      <c r="G18" s="51">
        <f t="shared" si="28"/>
        <v>50</v>
      </c>
      <c r="H18" s="52">
        <f t="shared" si="28"/>
        <v>10000</v>
      </c>
      <c r="I18" s="53">
        <f t="shared" si="29"/>
        <v>43046</v>
      </c>
      <c r="J18" s="54">
        <f t="shared" si="24"/>
        <v>35542.670900299279</v>
      </c>
      <c r="K18" s="55">
        <f>_xll.BlackDelta(D18,N18,G18,O18,M18*SQRT(O18/365),1)</f>
        <v>-0.36196426169418083</v>
      </c>
      <c r="L18" s="55">
        <f>_xll.BlackVolOffSurface(D18,N18,G18,O18,'LCO Vol Surf'!$S$2:$S$29,'LCO Vol Surf'!$B$30:$R$30,'LCO Vol Surf'!$B$2:$R$29,$L$1)</f>
        <v>0.30089879007099096</v>
      </c>
      <c r="M18" s="35">
        <f>L18+0.01</f>
        <v>0.31089879007099097</v>
      </c>
      <c r="N18" s="36">
        <f>_xll.Interpolate(C18,Rates!$D$4:$D$36,Rates!$E$4:$E$36,COUNT(Rates!$D$4:$D$36))-0.25</f>
        <v>52.87</v>
      </c>
      <c r="O18" s="51">
        <f>C18-Rates!$D$1</f>
        <v>215</v>
      </c>
      <c r="P18" s="51">
        <f>I18-Rates!$D$1</f>
        <v>222</v>
      </c>
      <c r="Q18" s="56">
        <f>_xll.Interpolate(P18,Rates!$A$4:$A$54,Rates!$B$4:$B$54,Rates!$A$2)/100</f>
        <v>1.2671282608695654E-2</v>
      </c>
      <c r="R18" s="56">
        <f t="shared" si="25"/>
        <v>0.99226520324269329</v>
      </c>
      <c r="S18" s="38">
        <f>_xll.Black(D18,N18,G18,O18,M18*SQRT(O18/365),1)*H18</f>
        <v>35819.729225762312</v>
      </c>
      <c r="T18" s="57">
        <f t="shared" si="26"/>
        <v>35542.670900299279</v>
      </c>
    </row>
    <row r="19" spans="1:20" s="58" customFormat="1">
      <c r="A19" s="49">
        <f>AVERAGE(B18:B20)</f>
        <v>3.7457932339052555</v>
      </c>
      <c r="B19" s="49">
        <f t="shared" si="27"/>
        <v>3.7524648723895009</v>
      </c>
      <c r="C19" s="50">
        <v>43069</v>
      </c>
      <c r="D19" s="50" t="str">
        <f t="shared" si="31"/>
        <v>P</v>
      </c>
      <c r="E19" s="50" t="s">
        <v>44</v>
      </c>
      <c r="F19" s="50" t="str">
        <f t="shared" si="28"/>
        <v>ICE Brent</v>
      </c>
      <c r="G19" s="51">
        <f t="shared" si="28"/>
        <v>50</v>
      </c>
      <c r="H19" s="52">
        <f t="shared" si="28"/>
        <v>10000</v>
      </c>
      <c r="I19" s="53">
        <f t="shared" si="29"/>
        <v>43076</v>
      </c>
      <c r="J19" s="54">
        <f t="shared" si="24"/>
        <v>37524.648723895007</v>
      </c>
      <c r="K19" s="55">
        <f>_xll.BlackDelta(D19,N19,G19,O19,M19*SQRT(O19/365),1)</f>
        <v>-0.36366372008794157</v>
      </c>
      <c r="L19" s="55">
        <f>_xll.BlackVolOffSurface(D19,N19,G19,O19,'LCO Vol Surf'!$S$2:$S$29,'LCO Vol Surf'!$B$30:$R$30,'LCO Vol Surf'!$B$2:$R$29,$L$1)</f>
        <v>0.29381889318776599</v>
      </c>
      <c r="M19" s="35">
        <f>L19+0.01</f>
        <v>0.303818893187766</v>
      </c>
      <c r="N19" s="36">
        <f>_xll.Interpolate(C19,Rates!$D$4:$D$36,Rates!$E$4:$E$36,COUNT(Rates!$D$4:$D$36))-0.25</f>
        <v>52.87</v>
      </c>
      <c r="O19" s="51">
        <f>C19-Rates!$D$1</f>
        <v>245</v>
      </c>
      <c r="P19" s="51">
        <f>I19-Rates!$D$1</f>
        <v>252</v>
      </c>
      <c r="Q19" s="56">
        <f>_xll.Interpolate(P19,Rates!$A$4:$A$54,Rates!$B$4:$B$54,Rates!$A$2)/100</f>
        <v>1.2913239130434784E-2</v>
      </c>
      <c r="R19" s="56">
        <f t="shared" si="25"/>
        <v>0.99105881041022814</v>
      </c>
      <c r="S19" s="38">
        <f>_xll.Black(D19,N19,G19,O19,M19*SQRT(O19/365),1)*H19</f>
        <v>37863.190690330943</v>
      </c>
      <c r="T19" s="57">
        <f t="shared" si="26"/>
        <v>37524.648723895007</v>
      </c>
    </row>
    <row r="20" spans="1:20" s="58" customFormat="1">
      <c r="A20" s="49"/>
      <c r="B20" s="49">
        <f t="shared" si="27"/>
        <v>3.9306477392963388</v>
      </c>
      <c r="C20" s="50">
        <v>43097</v>
      </c>
      <c r="D20" s="50" t="str">
        <f t="shared" si="31"/>
        <v>P</v>
      </c>
      <c r="E20" s="50" t="s">
        <v>44</v>
      </c>
      <c r="F20" s="50" t="str">
        <f t="shared" si="28"/>
        <v>ICE Brent</v>
      </c>
      <c r="G20" s="51">
        <f t="shared" si="28"/>
        <v>50</v>
      </c>
      <c r="H20" s="52">
        <f t="shared" si="28"/>
        <v>10000</v>
      </c>
      <c r="I20" s="53">
        <f t="shared" si="29"/>
        <v>43105</v>
      </c>
      <c r="J20" s="54">
        <f t="shared" si="24"/>
        <v>39306.477392963388</v>
      </c>
      <c r="K20" s="55">
        <f>_xll.BlackDelta(D20,N20,G20,O20,M20*SQRT(O20/365),1)</f>
        <v>-0.36545488048703523</v>
      </c>
      <c r="L20" s="55">
        <f>_xll.BlackVolOffSurface(D20,N20,G20,O20,'LCO Vol Surf'!$S$2:$S$29,'LCO Vol Surf'!$B$30:$R$30,'LCO Vol Surf'!$B$2:$R$29,$L$1)</f>
        <v>0.28813992233363023</v>
      </c>
      <c r="M20" s="35">
        <f>L20+0.01</f>
        <v>0.29813992233363024</v>
      </c>
      <c r="N20" s="36">
        <f>_xll.Interpolate(C20,Rates!$D$4:$D$36,Rates!$E$4:$E$36,COUNT(Rates!$D$4:$D$36))-0.25</f>
        <v>52.850000000000009</v>
      </c>
      <c r="O20" s="51">
        <f>C20-Rates!$D$1</f>
        <v>273</v>
      </c>
      <c r="P20" s="51">
        <f>I20-Rates!$D$1</f>
        <v>281</v>
      </c>
      <c r="Q20" s="56">
        <f>_xll.Interpolate(P20,Rates!$A$4:$A$54,Rates!$B$4:$B$54,Rates!$A$2)/100</f>
        <v>1.3146155555555556E-2</v>
      </c>
      <c r="R20" s="56">
        <f t="shared" si="25"/>
        <v>0.98985734543586568</v>
      </c>
      <c r="S20" s="38">
        <f>_xll.Black(D20,N20,G20,O20,M20*SQRT(O20/365),1)*H20</f>
        <v>39709.234440903703</v>
      </c>
      <c r="T20" s="57">
        <f t="shared" si="26"/>
        <v>39306.477392963388</v>
      </c>
    </row>
    <row r="21" spans="1:20">
      <c r="B21" s="48">
        <f t="shared" si="27"/>
        <v>4.3548734377815155</v>
      </c>
      <c r="C21" s="30">
        <v>43131</v>
      </c>
      <c r="D21" s="30" t="str">
        <f t="shared" si="31"/>
        <v>P</v>
      </c>
      <c r="E21" s="30" t="s">
        <v>44</v>
      </c>
      <c r="F21" s="30" t="str">
        <f t="shared" si="28"/>
        <v>ICE Brent</v>
      </c>
      <c r="G21" s="31">
        <f t="shared" si="28"/>
        <v>50</v>
      </c>
      <c r="H21" s="32">
        <f t="shared" si="28"/>
        <v>10000</v>
      </c>
      <c r="I21" s="33">
        <f t="shared" si="29"/>
        <v>43138</v>
      </c>
      <c r="J21" s="20">
        <f t="shared" si="24"/>
        <v>43548.734377815155</v>
      </c>
      <c r="K21" s="34">
        <f>_xll.BlackDelta(D21,N21,G21,O21,M21*SQRT(O21/365),1)</f>
        <v>-0.36959975330397976</v>
      </c>
      <c r="L21" s="34">
        <f>_xll.BlackVolOffSurface(D21,N21,G21,O21,'LCO Vol Surf'!$S$2:$S$29,'LCO Vol Surf'!$B$30:$R$30,'LCO Vol Surf'!$B$2:$R$29,$L$1)</f>
        <v>0.28336120771860407</v>
      </c>
      <c r="M21" s="35">
        <f>L21+0.02</f>
        <v>0.30336120771860409</v>
      </c>
      <c r="N21" s="36">
        <f>_xll.Interpolate(C21,Rates!$D$4:$D$36,Rates!$E$4:$E$36,COUNT(Rates!$D$4:$D$36))-0.3</f>
        <v>52.77</v>
      </c>
      <c r="O21" s="31">
        <f>C21-Rates!$D$1</f>
        <v>307</v>
      </c>
      <c r="P21" s="31">
        <f>I21-Rates!$D$1</f>
        <v>314</v>
      </c>
      <c r="Q21" s="37">
        <f>_xll.Interpolate(P21,Rates!$A$4:$A$54,Rates!$B$4:$B$54,Rates!$A$2)/100</f>
        <v>1.3396222222222223E-2</v>
      </c>
      <c r="R21" s="37">
        <f t="shared" si="25"/>
        <v>0.98846018956331227</v>
      </c>
      <c r="S21" s="38">
        <f>_xll.Black(D21,N21,G21,O21,M21*SQRT(O21/365),1)*H21</f>
        <v>44057.145485094719</v>
      </c>
      <c r="T21" s="39">
        <f t="shared" si="26"/>
        <v>43548.734377815155</v>
      </c>
    </row>
    <row r="22" spans="1:20">
      <c r="A22" s="48">
        <f>AVERAGE(B21:B23)</f>
        <v>4.5407002314376212</v>
      </c>
      <c r="B22" s="48">
        <f t="shared" si="27"/>
        <v>4.543289654525938</v>
      </c>
      <c r="C22" s="30">
        <v>43159</v>
      </c>
      <c r="D22" s="30" t="str">
        <f t="shared" si="31"/>
        <v>P</v>
      </c>
      <c r="E22" s="30" t="s">
        <v>44</v>
      </c>
      <c r="F22" s="30" t="str">
        <f t="shared" si="28"/>
        <v>ICE Brent</v>
      </c>
      <c r="G22" s="31">
        <f t="shared" si="28"/>
        <v>50</v>
      </c>
      <c r="H22" s="32">
        <f t="shared" si="28"/>
        <v>10000</v>
      </c>
      <c r="I22" s="33">
        <f t="shared" si="29"/>
        <v>43166</v>
      </c>
      <c r="J22" s="20">
        <f t="shared" si="24"/>
        <v>45432.896545259384</v>
      </c>
      <c r="K22" s="34">
        <f>_xll.BlackDelta(D22,N22,G22,O22,M22*SQRT(O22/365),1)</f>
        <v>-0.37119693825929057</v>
      </c>
      <c r="L22" s="34">
        <f>_xll.BlackVolOffSurface(D22,N22,G22,O22,'LCO Vol Surf'!$S$2:$S$29,'LCO Vol Surf'!$B$30:$R$30,'LCO Vol Surf'!$B$2:$R$29,$L$1)</f>
        <v>0.27991423340969296</v>
      </c>
      <c r="M22" s="35">
        <f>L22+0.02</f>
        <v>0.29991423340969298</v>
      </c>
      <c r="N22" s="36">
        <f>_xll.Interpolate(C22,Rates!$D$4:$D$36,Rates!$E$4:$E$36,COUNT(Rates!$D$4:$D$36))-0.3</f>
        <v>52.730000000000004</v>
      </c>
      <c r="O22" s="31">
        <f>C22-Rates!$D$1</f>
        <v>335</v>
      </c>
      <c r="P22" s="31">
        <f>I22-Rates!$D$1</f>
        <v>342</v>
      </c>
      <c r="Q22" s="37">
        <f>_xll.Interpolate(P22,Rates!$A$4:$A$54,Rates!$B$4:$B$54,Rates!$A$2)/100</f>
        <v>1.36084E-2</v>
      </c>
      <c r="R22" s="37">
        <f t="shared" si="25"/>
        <v>0.98724128597392646</v>
      </c>
      <c r="S22" s="38">
        <f>_xll.Black(D22,N22,G22,O22,M22*SQRT(O22/365),1)*H22</f>
        <v>46020.053244065086</v>
      </c>
      <c r="T22" s="39">
        <f t="shared" si="26"/>
        <v>45432.896545259384</v>
      </c>
    </row>
    <row r="23" spans="1:20">
      <c r="B23" s="48">
        <f t="shared" si="27"/>
        <v>4.7239376020054094</v>
      </c>
      <c r="C23" s="30">
        <v>43188</v>
      </c>
      <c r="D23" s="30" t="str">
        <f t="shared" si="31"/>
        <v>P</v>
      </c>
      <c r="E23" s="30" t="s">
        <v>44</v>
      </c>
      <c r="F23" s="30" t="str">
        <f t="shared" si="28"/>
        <v>ICE Brent</v>
      </c>
      <c r="G23" s="31">
        <f t="shared" si="28"/>
        <v>50</v>
      </c>
      <c r="H23" s="32">
        <f t="shared" si="28"/>
        <v>10000</v>
      </c>
      <c r="I23" s="33">
        <f t="shared" si="29"/>
        <v>43196</v>
      </c>
      <c r="J23" s="20">
        <f t="shared" si="24"/>
        <v>47239.376020054093</v>
      </c>
      <c r="K23" s="34">
        <f>_xll.BlackDelta(D23,N23,G23,O23,M23*SQRT(O23/365),1)</f>
        <v>-0.37281579543426202</v>
      </c>
      <c r="L23" s="34">
        <f>_xll.BlackVolOffSurface(D23,N23,G23,O23,'LCO Vol Surf'!$S$2:$S$29,'LCO Vol Surf'!$B$30:$R$30,'LCO Vol Surf'!$B$2:$R$29,$L$1)</f>
        <v>0.27630259244482691</v>
      </c>
      <c r="M23" s="35">
        <f>L23+0.02</f>
        <v>0.29630259244482693</v>
      </c>
      <c r="N23" s="36">
        <f>_xll.Interpolate(C23,Rates!$D$4:$D$36,Rates!$E$4:$E$36,COUNT(Rates!$D$4:$D$36))-0.3</f>
        <v>52.680000000000007</v>
      </c>
      <c r="O23" s="31">
        <f>C23-Rates!$D$1</f>
        <v>364</v>
      </c>
      <c r="P23" s="31">
        <f>I23-Rates!$D$1</f>
        <v>372</v>
      </c>
      <c r="Q23" s="37">
        <f>_xll.Interpolate(P23,Rates!$A$4:$A$54,Rates!$B$4:$B$54,Rates!$A$2)/100</f>
        <v>1.3833736263736263E-2</v>
      </c>
      <c r="R23" s="37">
        <f t="shared" si="25"/>
        <v>0.98590341293539407</v>
      </c>
      <c r="S23" s="38">
        <f>_xll.Black(D23,N23,G23,O23,M23*SQRT(O23/365),1)*H23</f>
        <v>47914.811329646625</v>
      </c>
      <c r="T23" s="39">
        <f t="shared" si="26"/>
        <v>47239.376020054093</v>
      </c>
    </row>
    <row r="24" spans="1:20" s="58" customFormat="1">
      <c r="A24" s="49"/>
      <c r="B24" s="49">
        <f t="shared" si="27"/>
        <v>5.0609824972630815</v>
      </c>
      <c r="C24" s="50">
        <v>43220</v>
      </c>
      <c r="D24" s="50" t="str">
        <f t="shared" si="31"/>
        <v>P</v>
      </c>
      <c r="E24" s="50" t="s">
        <v>44</v>
      </c>
      <c r="F24" s="50" t="str">
        <f t="shared" si="28"/>
        <v>ICE Brent</v>
      </c>
      <c r="G24" s="51">
        <f t="shared" si="28"/>
        <v>50</v>
      </c>
      <c r="H24" s="52">
        <f t="shared" si="28"/>
        <v>10000</v>
      </c>
      <c r="I24" s="53">
        <f t="shared" si="29"/>
        <v>43227</v>
      </c>
      <c r="J24" s="54">
        <f t="shared" si="24"/>
        <v>50609.824972630813</v>
      </c>
      <c r="K24" s="55">
        <f>_xll.BlackDelta(D24,N24,G24,O24,M24*SQRT(O24/365),1)</f>
        <v>-0.37598158235809376</v>
      </c>
      <c r="L24" s="55">
        <f>_xll.BlackVolOffSurface(D24,N24,G24,O24,'LCO Vol Surf'!$S$2:$S$29,'LCO Vol Surf'!$B$30:$R$30,'LCO Vol Surf'!$B$2:$R$29,$L$1)</f>
        <v>0.27372331879253742</v>
      </c>
      <c r="M24" s="35">
        <f>L24+0.025</f>
        <v>0.29872331879253744</v>
      </c>
      <c r="N24" s="36">
        <f>_xll.Interpolate(C24,Rates!$D$4:$D$36,Rates!$E$4:$E$36,COUNT(Rates!$D$4:$D$36))-0.35</f>
        <v>52.559999999999995</v>
      </c>
      <c r="O24" s="51">
        <f>C24-Rates!$D$1</f>
        <v>396</v>
      </c>
      <c r="P24" s="51">
        <f>I24-Rates!$D$1</f>
        <v>403</v>
      </c>
      <c r="Q24" s="56">
        <f>_xll.Interpolate(P24,Rates!$A$4:$A$54,Rates!$B$4:$B$54,Rates!$A$2)/100</f>
        <v>1.4048010989010989E-2</v>
      </c>
      <c r="R24" s="56">
        <f t="shared" si="25"/>
        <v>0.98450477347789078</v>
      </c>
      <c r="S24" s="38">
        <f>_xll.Black(D24,N24,G24,O24,M24*SQRT(O24/365),1)*H24</f>
        <v>51406.378451416793</v>
      </c>
      <c r="T24" s="57">
        <f t="shared" si="26"/>
        <v>50609.824972630813</v>
      </c>
    </row>
    <row r="25" spans="1:20" s="58" customFormat="1">
      <c r="A25" s="49">
        <f>AVERAGE(B24:B26)</f>
        <v>5.2468889075195522</v>
      </c>
      <c r="B25" s="49">
        <f t="shared" si="27"/>
        <v>5.2512817255302053</v>
      </c>
      <c r="C25" s="50">
        <v>43251</v>
      </c>
      <c r="D25" s="50" t="str">
        <f t="shared" si="31"/>
        <v>P</v>
      </c>
      <c r="E25" s="50" t="s">
        <v>44</v>
      </c>
      <c r="F25" s="50" t="str">
        <f t="shared" si="28"/>
        <v>ICE Brent</v>
      </c>
      <c r="G25" s="51">
        <f t="shared" si="28"/>
        <v>50</v>
      </c>
      <c r="H25" s="52">
        <f t="shared" si="28"/>
        <v>10000</v>
      </c>
      <c r="I25" s="53">
        <f t="shared" si="29"/>
        <v>43258</v>
      </c>
      <c r="J25" s="54">
        <f t="shared" si="24"/>
        <v>52512.817255302056</v>
      </c>
      <c r="K25" s="55">
        <f>_xll.BlackDelta(D25,N25,G25,O25,M25*SQRT(O25/365),1)</f>
        <v>-0.37711344566546012</v>
      </c>
      <c r="L25" s="55">
        <f>_xll.BlackVolOffSurface(D25,N25,G25,O25,'LCO Vol Surf'!$S$2:$S$29,'LCO Vol Surf'!$B$30:$R$30,'LCO Vol Surf'!$B$2:$R$29,$L$1)</f>
        <v>0.27112228252390913</v>
      </c>
      <c r="M25" s="35">
        <f>L25+0.025</f>
        <v>0.29612228252390915</v>
      </c>
      <c r="N25" s="36">
        <f>_xll.Interpolate(C25,Rates!$D$4:$D$36,Rates!$E$4:$E$36,COUNT(Rates!$D$4:$D$36))-0.35</f>
        <v>52.51</v>
      </c>
      <c r="O25" s="51">
        <f>C25-Rates!$D$1</f>
        <v>427</v>
      </c>
      <c r="P25" s="51">
        <f>I25-Rates!$D$1</f>
        <v>434</v>
      </c>
      <c r="Q25" s="56">
        <f>_xll.Interpolate(P25,Rates!$A$4:$A$54,Rates!$B$4:$B$54,Rates!$A$2)/100</f>
        <v>1.4262285714285713E-2</v>
      </c>
      <c r="R25" s="56">
        <f t="shared" si="25"/>
        <v>0.98307239105463129</v>
      </c>
      <c r="S25" s="38">
        <f>_xll.Black(D25,N25,G25,O25,M25*SQRT(O25/365),1)*H25</f>
        <v>53417.04001977593</v>
      </c>
      <c r="T25" s="57">
        <f t="shared" si="26"/>
        <v>52512.817255302056</v>
      </c>
    </row>
    <row r="26" spans="1:20" s="58" customFormat="1">
      <c r="A26" s="49"/>
      <c r="B26" s="49">
        <f t="shared" si="27"/>
        <v>5.4284024997653697</v>
      </c>
      <c r="C26" s="50">
        <v>43280</v>
      </c>
      <c r="D26" s="50" t="str">
        <f t="shared" si="31"/>
        <v>P</v>
      </c>
      <c r="E26" s="50" t="s">
        <v>44</v>
      </c>
      <c r="F26" s="50" t="str">
        <f t="shared" si="28"/>
        <v>ICE Brent</v>
      </c>
      <c r="G26" s="51">
        <f t="shared" si="28"/>
        <v>50</v>
      </c>
      <c r="H26" s="52">
        <f t="shared" si="28"/>
        <v>10000</v>
      </c>
      <c r="I26" s="53">
        <f t="shared" si="29"/>
        <v>43287</v>
      </c>
      <c r="J26" s="54">
        <f t="shared" si="24"/>
        <v>54284.024997653694</v>
      </c>
      <c r="K26" s="55">
        <f>_xll.BlackDelta(D26,N26,G26,O26,M26*SQRT(O26/365),1)</f>
        <v>-0.37832705670325517</v>
      </c>
      <c r="L26" s="55">
        <f>_xll.BlackVolOffSurface(D26,N26,G26,O26,'LCO Vol Surf'!$S$2:$S$29,'LCO Vol Surf'!$B$30:$R$30,'LCO Vol Surf'!$B$2:$R$29,$L$1)</f>
        <v>0.26896241362104312</v>
      </c>
      <c r="M26" s="35">
        <f>L26+0.025</f>
        <v>0.29396241362104314</v>
      </c>
      <c r="N26" s="36">
        <f>_xll.Interpolate(C26,Rates!$D$4:$D$36,Rates!$E$4:$E$36,COUNT(Rates!$D$4:$D$36))-0.35</f>
        <v>52.449999999999982</v>
      </c>
      <c r="O26" s="51">
        <f>C26-Rates!$D$1</f>
        <v>456</v>
      </c>
      <c r="P26" s="51">
        <f>I26-Rates!$D$1</f>
        <v>463</v>
      </c>
      <c r="Q26" s="56">
        <f>_xll.Interpolate(P26,Rates!$A$4:$A$54,Rates!$B$4:$B$54,Rates!$A$2)/100</f>
        <v>1.4462902173913045E-2</v>
      </c>
      <c r="R26" s="56">
        <f t="shared" si="25"/>
        <v>0.98170181177603344</v>
      </c>
      <c r="S26" s="38">
        <f>_xll.Black(D26,N26,G26,O26,M26*SQRT(O26/365),1)*H26</f>
        <v>55295.838661483605</v>
      </c>
      <c r="T26" s="57">
        <f t="shared" si="26"/>
        <v>54284.024997653694</v>
      </c>
    </row>
    <row r="28" spans="1:20">
      <c r="B28" s="48">
        <f>J28/H28</f>
        <v>3.2265671295121612</v>
      </c>
      <c r="C28" s="30">
        <v>42947</v>
      </c>
      <c r="D28" s="30" t="s">
        <v>63</v>
      </c>
      <c r="E28" s="30" t="s">
        <v>44</v>
      </c>
      <c r="F28" s="30" t="s">
        <v>98</v>
      </c>
      <c r="G28" s="31">
        <v>52</v>
      </c>
      <c r="H28" s="32">
        <v>10000</v>
      </c>
      <c r="I28" s="33">
        <f>WORKDAY(EOMONTH(C28,0),5)</f>
        <v>42954</v>
      </c>
      <c r="J28" s="20">
        <f t="shared" ref="J28:J39" si="32">T28</f>
        <v>32265.67129512161</v>
      </c>
      <c r="K28" s="34">
        <f>_xll.BlackDelta(D28,N28,G28,O28,M28*SQRT(O28/365),1)</f>
        <v>-0.42936085127013446</v>
      </c>
      <c r="L28" s="34">
        <f>_xll.BlackVolOffSurface(D28,N28,G28,O28,'LCO Vol Surf'!$S$2:$S$29,'LCO Vol Surf'!$B$30:$R$30,'LCO Vol Surf'!$B$2:$R$29,$L$1)</f>
        <v>0.30028135827806668</v>
      </c>
      <c r="M28" s="35">
        <f>L28</f>
        <v>0.30028135827806668</v>
      </c>
      <c r="N28" s="36">
        <f>_xll.Interpolate(C28,Rates!$D$4:$D$36,Rates!$E$4:$E$36,COUNT(Rates!$D$4:$D$36))-0.2</f>
        <v>52.83</v>
      </c>
      <c r="O28" s="31">
        <f>C28-Rates!$D$1</f>
        <v>123</v>
      </c>
      <c r="P28" s="31">
        <f>I28-Rates!$D$1</f>
        <v>130</v>
      </c>
      <c r="Q28" s="37">
        <f>_xll.Interpolate(P28,Rates!$A$4:$A$54,Rates!$B$4:$B$54,Rates!$A$2)/100</f>
        <v>1.19045E-2</v>
      </c>
      <c r="R28" s="37">
        <f t="shared" ref="R28:R39" si="33">(1+Q28)^(-P28/360)</f>
        <v>0.99573565755343896</v>
      </c>
      <c r="S28" s="38">
        <f>_xll.Black(D28,N28,G28,O28,M28*SQRT(O28/365),1)*H28</f>
        <v>32403.852418421586</v>
      </c>
      <c r="T28" s="39">
        <f t="shared" ref="T28:T39" si="34">S28*R28</f>
        <v>32265.67129512161</v>
      </c>
    </row>
    <row r="29" spans="1:20">
      <c r="A29" s="48">
        <f>AVERAGE(B28:B30)</f>
        <v>3.5878491044892953</v>
      </c>
      <c r="B29" s="48">
        <f t="shared" ref="B29:B39" si="35">J29/H29</f>
        <v>3.613773704002802</v>
      </c>
      <c r="C29" s="30">
        <v>42978</v>
      </c>
      <c r="D29" s="30" t="str">
        <f>D28</f>
        <v>P</v>
      </c>
      <c r="E29" s="30" t="s">
        <v>44</v>
      </c>
      <c r="F29" s="30" t="str">
        <f t="shared" ref="F29:H39" si="36">F28</f>
        <v>ICE Brent</v>
      </c>
      <c r="G29" s="31">
        <f t="shared" si="36"/>
        <v>52</v>
      </c>
      <c r="H29" s="32">
        <f>H28</f>
        <v>10000</v>
      </c>
      <c r="I29" s="33">
        <f t="shared" ref="I29:I39" si="37">WORKDAY(EOMONTH(C29,0),5)</f>
        <v>42985</v>
      </c>
      <c r="J29" s="20">
        <f t="shared" si="32"/>
        <v>36137.73704002802</v>
      </c>
      <c r="K29" s="34">
        <f>_xll.BlackDelta(D29,N29,G29,O29,M29*SQRT(O29/365),1)</f>
        <v>-0.42680978137342407</v>
      </c>
      <c r="L29" s="34">
        <f>_xll.BlackVolOffSurface(D29,N29,G29,O29,'LCO Vol Surf'!$S$2:$S$29,'LCO Vol Surf'!$B$30:$R$30,'LCO Vol Surf'!$B$2:$R$29,$L$1)</f>
        <v>0.29943271260105442</v>
      </c>
      <c r="M29" s="35">
        <f t="shared" ref="M29:M30" si="38">L29</f>
        <v>0.29943271260105442</v>
      </c>
      <c r="N29" s="36">
        <f>_xll.Interpolate(C29,Rates!$D$4:$D$36,Rates!$E$4:$E$36,COUNT(Rates!$D$4:$D$36))-0.2</f>
        <v>52.89</v>
      </c>
      <c r="O29" s="31">
        <f>C29-Rates!$D$1</f>
        <v>154</v>
      </c>
      <c r="P29" s="31">
        <f>I29-Rates!$D$1</f>
        <v>161</v>
      </c>
      <c r="Q29" s="37">
        <f>_xll.Interpolate(P29,Rates!$A$4:$A$54,Rates!$B$4:$B$54,Rates!$A$2)/100</f>
        <v>1.2168000000000002E-2</v>
      </c>
      <c r="R29" s="37">
        <f t="shared" si="33"/>
        <v>0.99460564384256822</v>
      </c>
      <c r="S29" s="38">
        <f>_xll.Black(D29,N29,G29,O29,M29*SQRT(O29/365),1)*H29</f>
        <v>36333.734142522226</v>
      </c>
      <c r="T29" s="39">
        <f t="shared" si="34"/>
        <v>36137.73704002802</v>
      </c>
    </row>
    <row r="30" spans="1:20">
      <c r="B30" s="48">
        <f t="shared" si="35"/>
        <v>3.9232064799529232</v>
      </c>
      <c r="C30" s="30">
        <v>43007</v>
      </c>
      <c r="D30" s="30" t="str">
        <f>D29</f>
        <v>P</v>
      </c>
      <c r="E30" s="30" t="s">
        <v>44</v>
      </c>
      <c r="F30" s="30" t="str">
        <f t="shared" si="36"/>
        <v>ICE Brent</v>
      </c>
      <c r="G30" s="31">
        <f t="shared" si="36"/>
        <v>52</v>
      </c>
      <c r="H30" s="32">
        <f t="shared" si="36"/>
        <v>10000</v>
      </c>
      <c r="I30" s="33">
        <f t="shared" si="37"/>
        <v>43014</v>
      </c>
      <c r="J30" s="20">
        <f t="shared" si="32"/>
        <v>39232.064799529231</v>
      </c>
      <c r="K30" s="34">
        <f>_xll.BlackDelta(D30,N30,G30,O30,M30*SQRT(O30/365),1)</f>
        <v>-0.4255852974904103</v>
      </c>
      <c r="L30" s="34">
        <f>_xll.BlackVolOffSurface(D30,N30,G30,O30,'LCO Vol Surf'!$S$2:$S$29,'LCO Vol Surf'!$B$30:$R$30,'LCO Vol Surf'!$B$2:$R$29,$L$1)</f>
        <v>0.29674381144091944</v>
      </c>
      <c r="M30" s="35">
        <f t="shared" si="38"/>
        <v>0.29674381144091944</v>
      </c>
      <c r="N30" s="36">
        <f>_xll.Interpolate(C30,Rates!$D$4:$D$36,Rates!$E$4:$E$36,COUNT(Rates!$D$4:$D$36))-0.2</f>
        <v>52.91</v>
      </c>
      <c r="O30" s="31">
        <f>C30-Rates!$D$1</f>
        <v>183</v>
      </c>
      <c r="P30" s="31">
        <f>I30-Rates!$D$1</f>
        <v>190</v>
      </c>
      <c r="Q30" s="37">
        <f>_xll.Interpolate(P30,Rates!$A$4:$A$54,Rates!$B$4:$B$54,Rates!$A$2)/100</f>
        <v>1.2413195652173914E-2</v>
      </c>
      <c r="R30" s="37">
        <f t="shared" si="33"/>
        <v>0.99351007090118049</v>
      </c>
      <c r="S30" s="38">
        <f>_xll.Black(D30,N30,G30,O30,M30*SQRT(O30/365),1)*H30</f>
        <v>39488.341335023521</v>
      </c>
      <c r="T30" s="39">
        <f t="shared" si="34"/>
        <v>39232.064799529231</v>
      </c>
    </row>
    <row r="31" spans="1:20" s="58" customFormat="1">
      <c r="A31" s="49"/>
      <c r="B31" s="49">
        <f t="shared" si="35"/>
        <v>4.4184538435842189</v>
      </c>
      <c r="C31" s="50">
        <v>43039</v>
      </c>
      <c r="D31" s="50" t="str">
        <f t="shared" ref="D31:D39" si="39">D30</f>
        <v>P</v>
      </c>
      <c r="E31" s="50" t="s">
        <v>44</v>
      </c>
      <c r="F31" s="50" t="str">
        <f t="shared" si="36"/>
        <v>ICE Brent</v>
      </c>
      <c r="G31" s="51">
        <f t="shared" si="36"/>
        <v>52</v>
      </c>
      <c r="H31" s="52">
        <f t="shared" si="36"/>
        <v>10000</v>
      </c>
      <c r="I31" s="53">
        <f t="shared" si="37"/>
        <v>43046</v>
      </c>
      <c r="J31" s="54">
        <f t="shared" si="32"/>
        <v>44184.538435842187</v>
      </c>
      <c r="K31" s="55">
        <f>_xll.BlackDelta(D31,N31,G31,O31,M31*SQRT(O31/365),1)</f>
        <v>-0.42550473632764729</v>
      </c>
      <c r="L31" s="55">
        <f>_xll.BlackVolOffSurface(D31,N31,G31,O31,'LCO Vol Surf'!$S$2:$S$29,'LCO Vol Surf'!$B$30:$R$30,'LCO Vol Surf'!$B$2:$R$29,$L$1)</f>
        <v>0.29437980749351916</v>
      </c>
      <c r="M31" s="35">
        <f>L31+0.01</f>
        <v>0.30437980749351917</v>
      </c>
      <c r="N31" s="36">
        <f>_xll.Interpolate(C31,Rates!$D$4:$D$36,Rates!$E$4:$E$36,COUNT(Rates!$D$4:$D$36))-0.25</f>
        <v>52.87</v>
      </c>
      <c r="O31" s="51">
        <f>C31-Rates!$D$1</f>
        <v>215</v>
      </c>
      <c r="P31" s="51">
        <f>I31-Rates!$D$1</f>
        <v>222</v>
      </c>
      <c r="Q31" s="56">
        <f>_xll.Interpolate(P31,Rates!$A$4:$A$54,Rates!$B$4:$B$54,Rates!$A$2)/100</f>
        <v>1.2671282608695654E-2</v>
      </c>
      <c r="R31" s="56">
        <f t="shared" si="33"/>
        <v>0.99226520324269329</v>
      </c>
      <c r="S31" s="38">
        <f>_xll.Black(D31,N31,G31,O31,M31*SQRT(O31/365),1)*H31</f>
        <v>44528.960898203848</v>
      </c>
      <c r="T31" s="57">
        <f t="shared" si="34"/>
        <v>44184.538435842187</v>
      </c>
    </row>
    <row r="32" spans="1:20" s="58" customFormat="1">
      <c r="A32" s="49">
        <f>AVERAGE(B31:B33)</f>
        <v>4.6221408972751297</v>
      </c>
      <c r="B32" s="49">
        <f t="shared" si="35"/>
        <v>4.6284700241535193</v>
      </c>
      <c r="C32" s="50">
        <v>43069</v>
      </c>
      <c r="D32" s="50" t="str">
        <f t="shared" si="39"/>
        <v>P</v>
      </c>
      <c r="E32" s="50" t="s">
        <v>44</v>
      </c>
      <c r="F32" s="50" t="str">
        <f t="shared" si="36"/>
        <v>ICE Brent</v>
      </c>
      <c r="G32" s="51">
        <f t="shared" si="36"/>
        <v>52</v>
      </c>
      <c r="H32" s="52">
        <f t="shared" si="36"/>
        <v>10000</v>
      </c>
      <c r="I32" s="53">
        <f t="shared" si="37"/>
        <v>43076</v>
      </c>
      <c r="J32" s="54">
        <f t="shared" si="32"/>
        <v>46284.700241535189</v>
      </c>
      <c r="K32" s="55">
        <f>_xll.BlackDelta(D32,N32,G32,O32,M32*SQRT(O32/365),1)</f>
        <v>-0.42464550509498566</v>
      </c>
      <c r="L32" s="55">
        <f>_xll.BlackVolOffSurface(D32,N32,G32,O32,'LCO Vol Surf'!$S$2:$S$29,'LCO Vol Surf'!$B$30:$R$30,'LCO Vol Surf'!$B$2:$R$29,$L$1)</f>
        <v>0.28793908707932159</v>
      </c>
      <c r="M32" s="35">
        <f>L32+0.01</f>
        <v>0.2979390870793216</v>
      </c>
      <c r="N32" s="36">
        <f>_xll.Interpolate(C32,Rates!$D$4:$D$36,Rates!$E$4:$E$36,COUNT(Rates!$D$4:$D$36))-0.25</f>
        <v>52.87</v>
      </c>
      <c r="O32" s="51">
        <f>C32-Rates!$D$1</f>
        <v>245</v>
      </c>
      <c r="P32" s="51">
        <f>I32-Rates!$D$1</f>
        <v>252</v>
      </c>
      <c r="Q32" s="56">
        <f>_xll.Interpolate(P32,Rates!$A$4:$A$54,Rates!$B$4:$B$54,Rates!$A$2)/100</f>
        <v>1.2913239130434784E-2</v>
      </c>
      <c r="R32" s="56">
        <f t="shared" si="33"/>
        <v>0.99105881041022814</v>
      </c>
      <c r="S32" s="38">
        <f>_xll.Black(D32,N32,G32,O32,M32*SQRT(O32/365),1)*H32</f>
        <v>46702.274128794234</v>
      </c>
      <c r="T32" s="57">
        <f t="shared" si="34"/>
        <v>46284.700241535189</v>
      </c>
    </row>
    <row r="33" spans="1:20" s="58" customFormat="1">
      <c r="A33" s="49"/>
      <c r="B33" s="49">
        <f t="shared" si="35"/>
        <v>4.8194988240876482</v>
      </c>
      <c r="C33" s="50">
        <v>43097</v>
      </c>
      <c r="D33" s="50" t="str">
        <f t="shared" si="39"/>
        <v>P</v>
      </c>
      <c r="E33" s="50" t="s">
        <v>44</v>
      </c>
      <c r="F33" s="50" t="str">
        <f t="shared" si="36"/>
        <v>ICE Brent</v>
      </c>
      <c r="G33" s="51">
        <f t="shared" si="36"/>
        <v>52</v>
      </c>
      <c r="H33" s="52">
        <f t="shared" si="36"/>
        <v>10000</v>
      </c>
      <c r="I33" s="53">
        <f t="shared" si="37"/>
        <v>43105</v>
      </c>
      <c r="J33" s="54">
        <f t="shared" si="32"/>
        <v>48194.988240876482</v>
      </c>
      <c r="K33" s="55">
        <f>_xll.BlackDelta(D33,N33,G33,O33,M33*SQRT(O33/365),1)</f>
        <v>-0.42439749124093862</v>
      </c>
      <c r="L33" s="55">
        <f>_xll.BlackVolOffSurface(D33,N33,G33,O33,'LCO Vol Surf'!$S$2:$S$29,'LCO Vol Surf'!$B$30:$R$30,'LCO Vol Surf'!$B$2:$R$29,$L$1)</f>
        <v>0.28286439866994223</v>
      </c>
      <c r="M33" s="35">
        <f>L33+0.01</f>
        <v>0.29286439866994224</v>
      </c>
      <c r="N33" s="36">
        <f>_xll.Interpolate(C33,Rates!$D$4:$D$36,Rates!$E$4:$E$36,COUNT(Rates!$D$4:$D$36))-0.25</f>
        <v>52.850000000000009</v>
      </c>
      <c r="O33" s="51">
        <f>C33-Rates!$D$1</f>
        <v>273</v>
      </c>
      <c r="P33" s="51">
        <f>I33-Rates!$D$1</f>
        <v>281</v>
      </c>
      <c r="Q33" s="56">
        <f>_xll.Interpolate(P33,Rates!$A$4:$A$54,Rates!$B$4:$B$54,Rates!$A$2)/100</f>
        <v>1.3146155555555556E-2</v>
      </c>
      <c r="R33" s="56">
        <f t="shared" si="33"/>
        <v>0.98985734543586568</v>
      </c>
      <c r="S33" s="38">
        <f>_xll.Black(D33,N33,G33,O33,M33*SQRT(O33/365),1)*H33</f>
        <v>48688.822145028076</v>
      </c>
      <c r="T33" s="57">
        <f t="shared" si="34"/>
        <v>48194.988240876482</v>
      </c>
    </row>
    <row r="34" spans="1:20">
      <c r="B34" s="48">
        <f t="shared" si="35"/>
        <v>5.2661669155425983</v>
      </c>
      <c r="C34" s="30">
        <v>43131</v>
      </c>
      <c r="D34" s="30" t="str">
        <f t="shared" si="39"/>
        <v>P</v>
      </c>
      <c r="E34" s="30" t="s">
        <v>44</v>
      </c>
      <c r="F34" s="30" t="str">
        <f t="shared" si="36"/>
        <v>ICE Brent</v>
      </c>
      <c r="G34" s="31">
        <f t="shared" si="36"/>
        <v>52</v>
      </c>
      <c r="H34" s="32">
        <f t="shared" si="36"/>
        <v>10000</v>
      </c>
      <c r="I34" s="33">
        <f t="shared" si="37"/>
        <v>43138</v>
      </c>
      <c r="J34" s="20">
        <f t="shared" si="32"/>
        <v>52661.669155425981</v>
      </c>
      <c r="K34" s="34">
        <f>_xll.BlackDelta(D34,N34,G34,O34,M34*SQRT(O34/365),1)</f>
        <v>-0.42442357038188716</v>
      </c>
      <c r="L34" s="34">
        <f>_xll.BlackVolOffSurface(D34,N34,G34,O34,'LCO Vol Surf'!$S$2:$S$29,'LCO Vol Surf'!$B$30:$R$30,'LCO Vol Surf'!$B$2:$R$29,$L$1)</f>
        <v>0.27855979919652529</v>
      </c>
      <c r="M34" s="35">
        <f>L34+0.02</f>
        <v>0.29855979919652531</v>
      </c>
      <c r="N34" s="36">
        <f>_xll.Interpolate(C34,Rates!$D$4:$D$36,Rates!$E$4:$E$36,COUNT(Rates!$D$4:$D$36))-0.3</f>
        <v>52.77</v>
      </c>
      <c r="O34" s="31">
        <f>C34-Rates!$D$1</f>
        <v>307</v>
      </c>
      <c r="P34" s="31">
        <f>I34-Rates!$D$1</f>
        <v>314</v>
      </c>
      <c r="Q34" s="37">
        <f>_xll.Interpolate(P34,Rates!$A$4:$A$54,Rates!$B$4:$B$54,Rates!$A$2)/100</f>
        <v>1.3396222222222223E-2</v>
      </c>
      <c r="R34" s="37">
        <f t="shared" si="33"/>
        <v>0.98846018956331227</v>
      </c>
      <c r="S34" s="38">
        <f>_xll.Black(D34,N34,G34,O34,M34*SQRT(O34/365),1)*H34</f>
        <v>53276.469514357639</v>
      </c>
      <c r="T34" s="39">
        <f t="shared" si="34"/>
        <v>52661.669155425981</v>
      </c>
    </row>
    <row r="35" spans="1:20">
      <c r="A35" s="48">
        <f>AVERAGE(B34:B36)</f>
        <v>5.4622789587750828</v>
      </c>
      <c r="B35" s="48">
        <f t="shared" si="35"/>
        <v>5.4652425754458429</v>
      </c>
      <c r="C35" s="30">
        <v>43159</v>
      </c>
      <c r="D35" s="30" t="str">
        <f t="shared" si="39"/>
        <v>P</v>
      </c>
      <c r="E35" s="30" t="s">
        <v>44</v>
      </c>
      <c r="F35" s="30" t="str">
        <f t="shared" si="36"/>
        <v>ICE Brent</v>
      </c>
      <c r="G35" s="31">
        <f t="shared" si="36"/>
        <v>52</v>
      </c>
      <c r="H35" s="32">
        <f t="shared" si="36"/>
        <v>10000</v>
      </c>
      <c r="I35" s="33">
        <f t="shared" si="37"/>
        <v>43166</v>
      </c>
      <c r="J35" s="20">
        <f t="shared" si="32"/>
        <v>54652.425754458432</v>
      </c>
      <c r="K35" s="34">
        <f>_xll.BlackDelta(D35,N35,G35,O35,M35*SQRT(O35/365),1)</f>
        <v>-0.42434781074794536</v>
      </c>
      <c r="L35" s="34">
        <f>_xll.BlackVolOffSurface(D35,N35,G35,O35,'LCO Vol Surf'!$S$2:$S$29,'LCO Vol Surf'!$B$30:$R$30,'LCO Vol Surf'!$B$2:$R$29,$L$1)</f>
        <v>0.27547069125621454</v>
      </c>
      <c r="M35" s="35">
        <f>L35+0.02</f>
        <v>0.29547069125621456</v>
      </c>
      <c r="N35" s="36">
        <f>_xll.Interpolate(C35,Rates!$D$4:$D$36,Rates!$E$4:$E$36,COUNT(Rates!$D$4:$D$36))-0.3</f>
        <v>52.730000000000004</v>
      </c>
      <c r="O35" s="31">
        <f>C35-Rates!$D$1</f>
        <v>335</v>
      </c>
      <c r="P35" s="31">
        <f>I35-Rates!$D$1</f>
        <v>342</v>
      </c>
      <c r="Q35" s="37">
        <f>_xll.Interpolate(P35,Rates!$A$4:$A$54,Rates!$B$4:$B$54,Rates!$A$2)/100</f>
        <v>1.36084E-2</v>
      </c>
      <c r="R35" s="37">
        <f t="shared" si="33"/>
        <v>0.98724128597392646</v>
      </c>
      <c r="S35" s="38">
        <f>_xll.Black(D35,N35,G35,O35,M35*SQRT(O35/365),1)*H35</f>
        <v>55358.731984697231</v>
      </c>
      <c r="T35" s="39">
        <f t="shared" si="34"/>
        <v>54652.425754458432</v>
      </c>
    </row>
    <row r="36" spans="1:20">
      <c r="B36" s="48">
        <f t="shared" si="35"/>
        <v>5.6554273853368064</v>
      </c>
      <c r="C36" s="30">
        <v>43188</v>
      </c>
      <c r="D36" s="30" t="str">
        <f t="shared" si="39"/>
        <v>P</v>
      </c>
      <c r="E36" s="30" t="s">
        <v>44</v>
      </c>
      <c r="F36" s="30" t="str">
        <f t="shared" si="36"/>
        <v>ICE Brent</v>
      </c>
      <c r="G36" s="31">
        <f t="shared" si="36"/>
        <v>52</v>
      </c>
      <c r="H36" s="32">
        <f t="shared" si="36"/>
        <v>10000</v>
      </c>
      <c r="I36" s="33">
        <f t="shared" si="37"/>
        <v>43196</v>
      </c>
      <c r="J36" s="20">
        <f t="shared" si="32"/>
        <v>56554.27385336806</v>
      </c>
      <c r="K36" s="34">
        <f>_xll.BlackDelta(D36,N36,G36,O36,M36*SQRT(O36/365),1)</f>
        <v>-0.42449567535457533</v>
      </c>
      <c r="L36" s="34">
        <f>_xll.BlackVolOffSurface(D36,N36,G36,O36,'LCO Vol Surf'!$S$2:$S$29,'LCO Vol Surf'!$B$30:$R$30,'LCO Vol Surf'!$B$2:$R$29,$L$1)</f>
        <v>0.2721468149249171</v>
      </c>
      <c r="M36" s="35">
        <f>L36+0.02</f>
        <v>0.29214681492491712</v>
      </c>
      <c r="N36" s="36">
        <f>_xll.Interpolate(C36,Rates!$D$4:$D$36,Rates!$E$4:$E$36,COUNT(Rates!$D$4:$D$36))-0.3</f>
        <v>52.680000000000007</v>
      </c>
      <c r="O36" s="31">
        <f>C36-Rates!$D$1</f>
        <v>364</v>
      </c>
      <c r="P36" s="31">
        <f>I36-Rates!$D$1</f>
        <v>372</v>
      </c>
      <c r="Q36" s="37">
        <f>_xll.Interpolate(P36,Rates!$A$4:$A$54,Rates!$B$4:$B$54,Rates!$A$2)/100</f>
        <v>1.3833736263736263E-2</v>
      </c>
      <c r="R36" s="37">
        <f t="shared" si="33"/>
        <v>0.98590341293539407</v>
      </c>
      <c r="S36" s="38">
        <f>_xll.Black(D36,N36,G36,O36,M36*SQRT(O36/365),1)*H36</f>
        <v>57362.894895540892</v>
      </c>
      <c r="T36" s="39">
        <f t="shared" si="34"/>
        <v>56554.27385336806</v>
      </c>
    </row>
    <row r="37" spans="1:20" s="58" customFormat="1">
      <c r="A37" s="49"/>
      <c r="B37" s="49">
        <f t="shared" si="35"/>
        <v>6.0086280429461576</v>
      </c>
      <c r="C37" s="50">
        <v>43220</v>
      </c>
      <c r="D37" s="50" t="str">
        <f t="shared" si="39"/>
        <v>P</v>
      </c>
      <c r="E37" s="50" t="s">
        <v>44</v>
      </c>
      <c r="F37" s="50" t="str">
        <f t="shared" si="36"/>
        <v>ICE Brent</v>
      </c>
      <c r="G37" s="51">
        <f t="shared" si="36"/>
        <v>52</v>
      </c>
      <c r="H37" s="52">
        <f t="shared" si="36"/>
        <v>10000</v>
      </c>
      <c r="I37" s="53">
        <f t="shared" si="37"/>
        <v>43227</v>
      </c>
      <c r="J37" s="54">
        <f t="shared" si="32"/>
        <v>60086.280429461578</v>
      </c>
      <c r="K37" s="55">
        <f>_xll.BlackDelta(D37,N37,G37,O37,M37*SQRT(O37/365),1)</f>
        <v>-0.42527466628415733</v>
      </c>
      <c r="L37" s="55">
        <f>_xll.BlackVolOffSurface(D37,N37,G37,O37,'LCO Vol Surf'!$S$2:$S$29,'LCO Vol Surf'!$B$30:$R$30,'LCO Vol Surf'!$B$2:$R$29,$L$1)</f>
        <v>0.26980378002809019</v>
      </c>
      <c r="M37" s="35">
        <f>L37+0.025</f>
        <v>0.29480378002809021</v>
      </c>
      <c r="N37" s="36">
        <f>_xll.Interpolate(C37,Rates!$D$4:$D$36,Rates!$E$4:$E$36,COUNT(Rates!$D$4:$D$36))-0.35</f>
        <v>52.559999999999995</v>
      </c>
      <c r="O37" s="51">
        <f>C37-Rates!$D$1</f>
        <v>396</v>
      </c>
      <c r="P37" s="51">
        <f>I37-Rates!$D$1</f>
        <v>403</v>
      </c>
      <c r="Q37" s="56">
        <f>_xll.Interpolate(P37,Rates!$A$4:$A$54,Rates!$B$4:$B$54,Rates!$A$2)/100</f>
        <v>1.4048010989010989E-2</v>
      </c>
      <c r="R37" s="56">
        <f t="shared" si="33"/>
        <v>0.98450477347789078</v>
      </c>
      <c r="S37" s="38">
        <f>_xll.Black(D37,N37,G37,O37,M37*SQRT(O37/365),1)*H37</f>
        <v>61031.984859960605</v>
      </c>
      <c r="T37" s="57">
        <f t="shared" si="34"/>
        <v>60086.280429461578</v>
      </c>
    </row>
    <row r="38" spans="1:20" s="58" customFormat="1">
      <c r="A38" s="49">
        <f>AVERAGE(B37:B39)</f>
        <v>6.2043907864916967</v>
      </c>
      <c r="B38" s="49">
        <f t="shared" si="35"/>
        <v>6.2098511986835092</v>
      </c>
      <c r="C38" s="50">
        <v>43251</v>
      </c>
      <c r="D38" s="50" t="str">
        <f t="shared" si="39"/>
        <v>P</v>
      </c>
      <c r="E38" s="50" t="s">
        <v>44</v>
      </c>
      <c r="F38" s="50" t="str">
        <f t="shared" si="36"/>
        <v>ICE Brent</v>
      </c>
      <c r="G38" s="51">
        <f t="shared" si="36"/>
        <v>52</v>
      </c>
      <c r="H38" s="52">
        <f t="shared" si="36"/>
        <v>10000</v>
      </c>
      <c r="I38" s="53">
        <f t="shared" si="37"/>
        <v>43258</v>
      </c>
      <c r="J38" s="54">
        <f t="shared" si="32"/>
        <v>62098.511986835096</v>
      </c>
      <c r="K38" s="55">
        <f>_xll.BlackDelta(D38,N38,G38,O38,M38*SQRT(O38/365),1)</f>
        <v>-0.42502667104308745</v>
      </c>
      <c r="L38" s="55">
        <f>_xll.BlackVolOffSurface(D38,N38,G38,O38,'LCO Vol Surf'!$S$2:$S$29,'LCO Vol Surf'!$B$30:$R$30,'LCO Vol Surf'!$B$2:$R$29,$L$1)</f>
        <v>0.26753735396207162</v>
      </c>
      <c r="M38" s="35">
        <f>L38+0.025</f>
        <v>0.29253735396207164</v>
      </c>
      <c r="N38" s="36">
        <f>_xll.Interpolate(C38,Rates!$D$4:$D$36,Rates!$E$4:$E$36,COUNT(Rates!$D$4:$D$36))-0.35</f>
        <v>52.51</v>
      </c>
      <c r="O38" s="51">
        <f>C38-Rates!$D$1</f>
        <v>427</v>
      </c>
      <c r="P38" s="51">
        <f>I38-Rates!$D$1</f>
        <v>434</v>
      </c>
      <c r="Q38" s="56">
        <f>_xll.Interpolate(P38,Rates!$A$4:$A$54,Rates!$B$4:$B$54,Rates!$A$2)/100</f>
        <v>1.4262285714285713E-2</v>
      </c>
      <c r="R38" s="56">
        <f t="shared" si="33"/>
        <v>0.98307239105463129</v>
      </c>
      <c r="S38" s="38">
        <f>_xll.Black(D38,N38,G38,O38,M38*SQRT(O38/365),1)*H38</f>
        <v>63167.791662032505</v>
      </c>
      <c r="T38" s="57">
        <f t="shared" si="34"/>
        <v>62098.511986835096</v>
      </c>
    </row>
    <row r="39" spans="1:20" s="58" customFormat="1">
      <c r="A39" s="49"/>
      <c r="B39" s="49">
        <f t="shared" si="35"/>
        <v>6.3946931178454252</v>
      </c>
      <c r="C39" s="50">
        <v>43280</v>
      </c>
      <c r="D39" s="50" t="str">
        <f t="shared" si="39"/>
        <v>P</v>
      </c>
      <c r="E39" s="50" t="s">
        <v>44</v>
      </c>
      <c r="F39" s="50" t="str">
        <f t="shared" si="36"/>
        <v>ICE Brent</v>
      </c>
      <c r="G39" s="51">
        <f t="shared" si="36"/>
        <v>52</v>
      </c>
      <c r="H39" s="52">
        <f t="shared" si="36"/>
        <v>10000</v>
      </c>
      <c r="I39" s="53">
        <f t="shared" si="37"/>
        <v>43287</v>
      </c>
      <c r="J39" s="54">
        <f t="shared" si="32"/>
        <v>63946.931178454251</v>
      </c>
      <c r="K39" s="55">
        <f>_xll.BlackDelta(D39,N39,G39,O39,M39*SQRT(O39/365),1)</f>
        <v>-0.42508194233890251</v>
      </c>
      <c r="L39" s="55">
        <f>_xll.BlackVolOffSurface(D39,N39,G39,O39,'LCO Vol Surf'!$S$2:$S$29,'LCO Vol Surf'!$B$30:$R$30,'LCO Vol Surf'!$B$2:$R$29,$L$1)</f>
        <v>0.26554751559010453</v>
      </c>
      <c r="M39" s="35">
        <f>L39+0.025</f>
        <v>0.29054751559010455</v>
      </c>
      <c r="N39" s="36">
        <f>_xll.Interpolate(C39,Rates!$D$4:$D$36,Rates!$E$4:$E$36,COUNT(Rates!$D$4:$D$36))-0.35</f>
        <v>52.449999999999982</v>
      </c>
      <c r="O39" s="51">
        <f>C39-Rates!$D$1</f>
        <v>456</v>
      </c>
      <c r="P39" s="51">
        <f>I39-Rates!$D$1</f>
        <v>463</v>
      </c>
      <c r="Q39" s="56">
        <f>_xll.Interpolate(P39,Rates!$A$4:$A$54,Rates!$B$4:$B$54,Rates!$A$2)/100</f>
        <v>1.4462902173913045E-2</v>
      </c>
      <c r="R39" s="56">
        <f t="shared" si="33"/>
        <v>0.98170181177603344</v>
      </c>
      <c r="S39" s="38">
        <f>_xll.Black(D39,N39,G39,O39,M39*SQRT(O39/365),1)*H39</f>
        <v>65138.854193174469</v>
      </c>
      <c r="T39" s="57">
        <f t="shared" si="34"/>
        <v>63946.931178454251</v>
      </c>
    </row>
    <row r="40" spans="1:20">
      <c r="J40" s="20">
        <f>SUM(J2:J39)</f>
        <v>1480404.2244890712</v>
      </c>
    </row>
    <row r="41" spans="1:20">
      <c r="J41" s="18">
        <v>1480335.0956798368</v>
      </c>
    </row>
    <row r="42" spans="1:20">
      <c r="J42" s="20">
        <f>J41-J40</f>
        <v>-69.128809234360233</v>
      </c>
    </row>
  </sheetData>
  <printOptions gridLines="1" gridLinesSet="0"/>
  <pageMargins left="0.74803149606299213" right="0.74803149606299213" top="0.98425196850393704" bottom="0.98425196850393704" header="0.51181102362204722" footer="0.51181102362204722"/>
  <pageSetup paperSize="9" orientation="landscape" horizont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LCO Vol Surf</vt:lpstr>
      <vt:lpstr>Rates</vt:lpstr>
      <vt:lpstr>Options 30C</vt:lpstr>
      <vt:lpstr>'Options 30C'!Print_Area</vt:lpstr>
    </vt:vector>
  </TitlesOfParts>
  <Company>Standard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Ferreira, Elmo E</dc:creator>
  <cp:lastModifiedBy>Steven Davey</cp:lastModifiedBy>
  <dcterms:created xsi:type="dcterms:W3CDTF">2016-03-17T08:02:15Z</dcterms:created>
  <dcterms:modified xsi:type="dcterms:W3CDTF">2017-04-08T11:10:14Z</dcterms:modified>
</cp:coreProperties>
</file>