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is de Sensibilidad" sheetId="1" r:id="rId4"/>
    <sheet state="visible" name="Obtencion pesos AHP" sheetId="2" r:id="rId5"/>
  </sheets>
  <definedNames>
    <definedName localSheetId="1" name="califica">'Obtencion pesos AHP'!$B$11:$B$27</definedName>
    <definedName name="califica">#REF!</definedName>
    <definedName localSheetId="1" name="escalaLegal">#REF!</definedName>
    <definedName localSheetId="1" name="Saaty">'Obtencion pesos AHP'!$B$11:$C$27</definedName>
    <definedName name="escalaLegal">#REF!</definedName>
    <definedName localSheetId="1" name="escalaSaaty">'Obtencion pesos AHP'!$B$11:$B$19</definedName>
    <definedName name="escalaSaaty">#REF!</definedName>
    <definedName name="Saaty">#REF!</definedName>
  </definedNames>
  <calcPr/>
  <extLst>
    <ext uri="GoogleSheetsCustomDataVersion1">
      <go:sheetsCustomData xmlns:go="http://customooxmlschemas.google.com/" r:id="rId6" roundtripDataSignature="AMtx7mjG4k8w38UJzP68rIthDUmhpsWRXg=="/>
    </ext>
  </extLst>
</workbook>
</file>

<file path=xl/sharedStrings.xml><?xml version="1.0" encoding="utf-8"?>
<sst xmlns="http://schemas.openxmlformats.org/spreadsheetml/2006/main" count="275" uniqueCount="95">
  <si>
    <t>ANÁLISIS DE ALTERNATIVAS: Para el traslado entre el campus El Volador y el campus Robledo.</t>
  </si>
  <si>
    <t>Alternativa 1: Incrementar en una unidad la flota de buses de la Universidad Nacional de Colombia, sede Medellín</t>
  </si>
  <si>
    <t>Alternativa 2: Usar EnCicla para el transporte</t>
  </si>
  <si>
    <t>Alternativa 3: Implementar aplicación para compartir vehículo</t>
  </si>
  <si>
    <t>Alternativa 4: Que los profesores sean los que se desplacen entre los campus</t>
  </si>
  <si>
    <t>MATRIZ MULTICRITERIO (NO CUANTIFICADA)</t>
  </si>
  <si>
    <t>Alternativas</t>
  </si>
  <si>
    <t>Escala de Seguridad,
Disponibilidad y Comodidad</t>
  </si>
  <si>
    <t>Sentido</t>
  </si>
  <si>
    <t>Criterios</t>
  </si>
  <si>
    <t>Unidades</t>
  </si>
  <si>
    <t>Pesos</t>
  </si>
  <si>
    <t>A1</t>
  </si>
  <si>
    <t>A2</t>
  </si>
  <si>
    <t>A3</t>
  </si>
  <si>
    <t>A4</t>
  </si>
  <si>
    <t>Minimizar</t>
  </si>
  <si>
    <t>Costos de implementación</t>
  </si>
  <si>
    <t>COP</t>
  </si>
  <si>
    <t>Costos de sostenimiento</t>
  </si>
  <si>
    <t>COP/Año</t>
  </si>
  <si>
    <t>Descripción</t>
  </si>
  <si>
    <t>Valoración</t>
  </si>
  <si>
    <t>Tiempo de desplazamiento</t>
  </si>
  <si>
    <t>Minutos</t>
  </si>
  <si>
    <t>Alta</t>
  </si>
  <si>
    <t>Maximizar</t>
  </si>
  <si>
    <t>Seguridad</t>
  </si>
  <si>
    <t>Cualitativa</t>
  </si>
  <si>
    <t>Baja</t>
  </si>
  <si>
    <t>Media Alta</t>
  </si>
  <si>
    <t>Accesibilidad</t>
  </si>
  <si>
    <t>Media</t>
  </si>
  <si>
    <t>Comodidad</t>
  </si>
  <si>
    <t>Media Baja</t>
  </si>
  <si>
    <t>Emisiones de CO2</t>
  </si>
  <si>
    <t>gCO/pKm</t>
  </si>
  <si>
    <t>Total de los pesos</t>
  </si>
  <si>
    <t>MATRIZ MULTICRITERIO (CUANTIFICADA)</t>
  </si>
  <si>
    <t>Máximo</t>
  </si>
  <si>
    <t>Mínimo</t>
  </si>
  <si>
    <t>MATRIZ NORMALIZADA</t>
  </si>
  <si>
    <t>Total</t>
  </si>
  <si>
    <t>Total con pesos</t>
  </si>
  <si>
    <t>Jerarquización</t>
  </si>
  <si>
    <t>ASIGNACIÓN DE PESOS A PARTIR DE COMPARACIONES PAREADAS</t>
  </si>
  <si>
    <t>Tabla de comparaciones de Saaty</t>
  </si>
  <si>
    <r>
      <rPr>
        <rFont val="Arial"/>
        <b/>
        <color rgb="FF000000"/>
        <sz val="11.0"/>
      </rPr>
      <t xml:space="preserve">Si </t>
    </r>
    <r>
      <rPr>
        <rFont val="Arial"/>
        <b/>
        <i/>
        <color rgb="FF000000"/>
        <sz val="11.0"/>
      </rPr>
      <t>x</t>
    </r>
    <r>
      <rPr>
        <rFont val="Arial"/>
        <b/>
        <color rgb="FF000000"/>
        <sz val="11.0"/>
      </rPr>
      <t xml:space="preserve"> es .... que </t>
    </r>
    <r>
      <rPr>
        <rFont val="Arial"/>
        <b/>
        <i/>
        <color rgb="FF000000"/>
        <sz val="11.0"/>
      </rPr>
      <t>y</t>
    </r>
  </si>
  <si>
    <t>a</t>
  </si>
  <si>
    <t>Pesos globales</t>
  </si>
  <si>
    <t>Fila mas importante que Columna</t>
  </si>
  <si>
    <t>F-C Igualmente importante</t>
  </si>
  <si>
    <t>Económico</t>
  </si>
  <si>
    <t>F-C Entre Igualmente y apenas más importante</t>
  </si>
  <si>
    <t>F-C Apenas más importante</t>
  </si>
  <si>
    <t>Eficiencia</t>
  </si>
  <si>
    <t>F-C Entre apenas mas y bastante más importante</t>
  </si>
  <si>
    <t>F-C Bastante más importante</t>
  </si>
  <si>
    <t>Bienestar</t>
  </si>
  <si>
    <t>F-C Entre Bastante más y Mucho más importante</t>
  </si>
  <si>
    <t>F-C Mucho más importante</t>
  </si>
  <si>
    <t>Ambiental</t>
  </si>
  <si>
    <t>F-C Entre mucho más y absolutamente más importante</t>
  </si>
  <si>
    <t>F-C Absolutamente más importante</t>
  </si>
  <si>
    <t>Columna mas importante que Fila</t>
  </si>
  <si>
    <t>C-F Entre Igualmente y apenas más importante</t>
  </si>
  <si>
    <r>
      <rPr>
        <rFont val="Arial"/>
        <b/>
        <color theme="1"/>
        <sz val="11.0"/>
      </rPr>
      <t>A considerar:</t>
    </r>
    <r>
      <rPr>
        <rFont val="Arial"/>
        <color theme="1"/>
        <sz val="11.0"/>
      </rPr>
      <t xml:space="preserve"> </t>
    </r>
  </si>
  <si>
    <t>F-C significa que el criterio de la fila es mas importante que el de la columna</t>
  </si>
  <si>
    <t>C-F Apenas más importante</t>
  </si>
  <si>
    <t>C-F significa que el criterio de la columna es mas importante que el de la fila</t>
  </si>
  <si>
    <t>C-F Entre apenas mas y bastante más importante</t>
  </si>
  <si>
    <t>Macrocriterio Goal: Traslado intercampus</t>
  </si>
  <si>
    <t>C-F Bastante más importante</t>
  </si>
  <si>
    <t>Razón de consistencia</t>
  </si>
  <si>
    <t>C-F Entre Bastante más y Mucho más importante</t>
  </si>
  <si>
    <t>C-F Mucho más importante</t>
  </si>
  <si>
    <t>C-F  Entre mucho más y absolutamente más importante</t>
  </si>
  <si>
    <t>C-F Absolutamente más importante</t>
  </si>
  <si>
    <t xml:space="preserve">Normalizados por columna </t>
  </si>
  <si>
    <t>Peso local</t>
  </si>
  <si>
    <t>Peso global</t>
  </si>
  <si>
    <t>lmax</t>
  </si>
  <si>
    <t>IC</t>
  </si>
  <si>
    <t>Indice de consistencia aleatorio (IA) en función de la dimensión de la matriz (n) (Saaty)</t>
  </si>
  <si>
    <t>IA</t>
  </si>
  <si>
    <t>n</t>
  </si>
  <si>
    <t>CR</t>
  </si>
  <si>
    <t>RI</t>
  </si>
  <si>
    <t>Suma</t>
  </si>
  <si>
    <t>Criterio Económico</t>
  </si>
  <si>
    <t>Criterio Eficiencia</t>
  </si>
  <si>
    <t>Criterio Seguridad</t>
  </si>
  <si>
    <t>Criterio Bienestar</t>
  </si>
  <si>
    <t>Criterio Ambiental</t>
  </si>
  <si>
    <t xml:space="preserve">Emisiones de CO2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</si>
</sst>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"/>
    <numFmt numFmtId="166" formatCode="0.0"/>
  </numFmts>
  <fonts count="9"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6.0"/>
      <color theme="1"/>
      <name val="Arial"/>
    </font>
    <font>
      <b/>
      <sz val="11.0"/>
      <color theme="0"/>
      <name val="Calibri"/>
    </font>
    <font>
      <sz val="11.0"/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92D050"/>
        <bgColor rgb="FF92D050"/>
      </patternFill>
    </fill>
    <fill>
      <patternFill patternType="solid">
        <fgColor rgb="FFA4C2F4"/>
        <bgColor rgb="FFA4C2F4"/>
      </patternFill>
    </fill>
    <fill>
      <patternFill patternType="solid">
        <fgColor rgb="FFE5B8B7"/>
        <bgColor rgb="FFE5B8B7"/>
      </patternFill>
    </fill>
    <fill>
      <patternFill patternType="solid">
        <fgColor rgb="FFDAEEF3"/>
        <bgColor rgb="FFDAEEF3"/>
      </patternFill>
    </fill>
    <fill>
      <patternFill patternType="solid">
        <fgColor rgb="FF656565"/>
        <bgColor rgb="FF656565"/>
      </patternFill>
    </fill>
    <fill>
      <patternFill patternType="solid">
        <fgColor rgb="FF989898"/>
        <bgColor rgb="FF989898"/>
      </patternFill>
    </fill>
    <fill>
      <patternFill patternType="solid">
        <fgColor rgb="FFFFC000"/>
        <bgColor rgb="FFFFC000"/>
      </patternFill>
    </fill>
    <fill>
      <patternFill patternType="solid">
        <fgColor rgb="FF00CCFF"/>
        <bgColor rgb="FF00CCFF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rgb="FF00B050"/>
      </patternFill>
    </fill>
  </fills>
  <borders count="40">
    <border/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ck">
        <color rgb="FF000000"/>
      </right>
      <top/>
    </border>
    <border>
      <left style="thick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ck">
        <color rgb="FF000000"/>
      </right>
      <top/>
      <bottom style="medium">
        <color rgb="FF000000"/>
      </bottom>
    </border>
    <border>
      <left/>
      <right style="thick">
        <color rgb="FF000000"/>
      </right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ck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0" numFmtId="0" xfId="0" applyAlignment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2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2" fillId="0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2" numFmtId="0" xfId="0" applyBorder="1" applyFont="1"/>
    <xf borderId="2" fillId="0" fontId="2" numFmtId="0" xfId="0" applyBorder="1" applyFont="1"/>
    <xf borderId="2" fillId="0" fontId="0" numFmtId="2" xfId="0" applyAlignment="1" applyBorder="1" applyFont="1" applyNumberFormat="1">
      <alignment horizontal="center" vertical="center"/>
    </xf>
    <xf borderId="5" fillId="2" fontId="0" numFmtId="0" xfId="0" applyAlignment="1" applyBorder="1" applyFont="1">
      <alignment horizontal="center" vertical="center"/>
    </xf>
    <xf borderId="8" fillId="2" fontId="0" numFmtId="0" xfId="0" applyAlignment="1" applyBorder="1" applyFont="1">
      <alignment horizontal="center" vertical="center"/>
    </xf>
    <xf borderId="8" fillId="2" fontId="0" numFmtId="2" xfId="0" applyAlignment="1" applyBorder="1" applyFont="1" applyNumberFormat="1">
      <alignment horizontal="center" vertical="center"/>
    </xf>
    <xf borderId="8" fillId="0" fontId="0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8" fillId="3" fontId="3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8" fillId="0" fontId="0" numFmtId="2" xfId="0" applyAlignment="1" applyBorder="1" applyFont="1" applyNumberFormat="1">
      <alignment horizontal="center" vertical="center"/>
    </xf>
    <xf borderId="12" fillId="2" fontId="1" numFmtId="0" xfId="0" applyAlignment="1" applyBorder="1" applyFont="1">
      <alignment horizontal="center" vertical="center"/>
    </xf>
    <xf borderId="2" fillId="0" fontId="0" numFmtId="0" xfId="0" applyBorder="1" applyFont="1"/>
    <xf borderId="13" fillId="2" fontId="0" numFmtId="0" xfId="0" applyAlignment="1" applyBorder="1" applyFont="1">
      <alignment horizontal="center" vertical="center"/>
    </xf>
    <xf borderId="8" fillId="0" fontId="0" numFmtId="164" xfId="0" applyAlignment="1" applyBorder="1" applyFont="1" applyNumberFormat="1">
      <alignment horizontal="center" vertical="center"/>
    </xf>
    <xf borderId="14" fillId="2" fontId="0" numFmtId="0" xfId="0" applyAlignment="1" applyBorder="1" applyFont="1">
      <alignment horizontal="center" vertical="center"/>
    </xf>
    <xf borderId="8" fillId="4" fontId="1" numFmtId="0" xfId="0" applyAlignment="1" applyBorder="1" applyFill="1" applyFont="1">
      <alignment horizontal="center" vertical="center"/>
    </xf>
    <xf borderId="8" fillId="4" fontId="0" numFmtId="164" xfId="0" applyAlignment="1" applyBorder="1" applyFont="1" applyNumberFormat="1">
      <alignment horizontal="center" vertical="center"/>
    </xf>
    <xf borderId="8" fillId="5" fontId="0" numFmtId="0" xfId="0" applyAlignment="1" applyBorder="1" applyFill="1" applyFont="1">
      <alignment horizontal="center" vertical="center"/>
    </xf>
    <xf borderId="0" fillId="0" fontId="5" numFmtId="0" xfId="0" applyFont="1"/>
    <xf borderId="0" fillId="0" fontId="6" numFmtId="0" xfId="0" applyFont="1"/>
    <xf borderId="0" fillId="0" fontId="1" numFmtId="0" xfId="0" applyFont="1"/>
    <xf borderId="3" fillId="0" fontId="0" numFmtId="0" xfId="0" applyBorder="1" applyFont="1"/>
    <xf borderId="8" fillId="0" fontId="3" numFmtId="0" xfId="0" applyAlignment="1" applyBorder="1" applyFont="1">
      <alignment horizontal="center" readingOrder="1" shrinkToFit="0" vertical="center" wrapText="1"/>
    </xf>
    <xf borderId="0" fillId="0" fontId="3" numFmtId="0" xfId="0" applyAlignment="1" applyFont="1">
      <alignment horizontal="center" readingOrder="1" shrinkToFit="0" vertical="center" wrapText="1"/>
    </xf>
    <xf borderId="8" fillId="6" fontId="0" numFmtId="0" xfId="0" applyAlignment="1" applyBorder="1" applyFill="1" applyFont="1">
      <alignment horizontal="center" vertical="center"/>
    </xf>
    <xf borderId="8" fillId="7" fontId="7" numFmtId="0" xfId="0" applyAlignment="1" applyBorder="1" applyFill="1" applyFont="1">
      <alignment horizontal="center" shrinkToFit="0" vertical="center" wrapText="1"/>
    </xf>
    <xf borderId="8" fillId="8" fontId="0" numFmtId="0" xfId="0" applyAlignment="1" applyBorder="1" applyFill="1" applyFont="1">
      <alignment horizontal="center" vertical="center"/>
    </xf>
    <xf borderId="15" fillId="3" fontId="0" numFmtId="0" xfId="0" applyAlignment="1" applyBorder="1" applyFont="1">
      <alignment horizontal="center" textRotation="90" vertical="center"/>
    </xf>
    <xf borderId="16" fillId="3" fontId="4" numFmtId="0" xfId="0" applyAlignment="1" applyBorder="1" applyFont="1">
      <alignment horizontal="left" readingOrder="1" shrinkToFit="0" vertical="center" wrapText="1"/>
    </xf>
    <xf borderId="17" fillId="3" fontId="4" numFmtId="0" xfId="0" applyAlignment="1" applyBorder="1" applyFont="1">
      <alignment horizontal="center" readingOrder="1" shrinkToFit="0" vertical="center" wrapText="1"/>
    </xf>
    <xf borderId="0" fillId="0" fontId="4" numFmtId="0" xfId="0" applyAlignment="1" applyFont="1">
      <alignment horizontal="center" readingOrder="1" shrinkToFit="0" vertical="center" wrapText="1"/>
    </xf>
    <xf borderId="18" fillId="6" fontId="0" numFmtId="0" xfId="0" applyAlignment="1" applyBorder="1" applyFont="1">
      <alignment horizontal="center" vertical="center"/>
    </xf>
    <xf borderId="18" fillId="6" fontId="0" numFmtId="2" xfId="0" applyAlignment="1" applyBorder="1" applyFont="1" applyNumberFormat="1">
      <alignment horizontal="center" vertical="center"/>
    </xf>
    <xf borderId="19" fillId="0" fontId="2" numFmtId="0" xfId="0" applyBorder="1" applyFont="1"/>
    <xf borderId="8" fillId="3" fontId="4" numFmtId="0" xfId="0" applyAlignment="1" applyBorder="1" applyFont="1">
      <alignment horizontal="left" readingOrder="1" shrinkToFit="0" vertical="center" wrapText="1"/>
    </xf>
    <xf borderId="20" fillId="3" fontId="4" numFmtId="0" xfId="0" applyAlignment="1" applyBorder="1" applyFont="1">
      <alignment horizontal="center" readingOrder="1" shrinkToFit="0" vertical="center" wrapText="1"/>
    </xf>
    <xf borderId="21" fillId="0" fontId="2" numFmtId="0" xfId="0" applyBorder="1" applyFont="1"/>
    <xf borderId="8" fillId="6" fontId="0" numFmtId="2" xfId="0" applyAlignment="1" applyBorder="1" applyFont="1" applyNumberFormat="1">
      <alignment horizontal="center" vertical="center"/>
    </xf>
    <xf borderId="22" fillId="0" fontId="2" numFmtId="0" xfId="0" applyBorder="1" applyFont="1"/>
    <xf borderId="23" fillId="3" fontId="4" numFmtId="0" xfId="0" applyAlignment="1" applyBorder="1" applyFont="1">
      <alignment horizontal="center" readingOrder="1" shrinkToFit="0" vertical="center" wrapText="1"/>
    </xf>
    <xf borderId="0" fillId="0" fontId="8" numFmtId="2" xfId="0" applyAlignment="1" applyFont="1" applyNumberFormat="1">
      <alignment horizontal="center" readingOrder="1" shrinkToFit="0" vertical="center" wrapText="1"/>
    </xf>
    <xf borderId="24" fillId="9" fontId="0" numFmtId="0" xfId="0" applyAlignment="1" applyBorder="1" applyFill="1" applyFont="1">
      <alignment horizontal="center" textRotation="90" vertical="center"/>
    </xf>
    <xf borderId="25" fillId="9" fontId="0" numFmtId="0" xfId="0" applyAlignment="1" applyBorder="1" applyFont="1">
      <alignment horizontal="left" readingOrder="1" shrinkToFit="0" vertical="center" wrapText="1"/>
    </xf>
    <xf borderId="26" fillId="9" fontId="0" numFmtId="2" xfId="0" applyAlignment="1" applyBorder="1" applyFont="1" applyNumberFormat="1">
      <alignment horizontal="center" readingOrder="1" shrinkToFit="0" vertical="center" wrapText="1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27" fillId="0" fontId="2" numFmtId="0" xfId="0" applyBorder="1" applyFont="1"/>
    <xf borderId="28" fillId="9" fontId="0" numFmtId="0" xfId="0" applyAlignment="1" applyBorder="1" applyFont="1">
      <alignment horizontal="left" readingOrder="1" shrinkToFit="0" vertical="center" wrapText="1"/>
    </xf>
    <xf borderId="29" fillId="9" fontId="0" numFmtId="2" xfId="0" applyAlignment="1" applyBorder="1" applyFont="1" applyNumberFormat="1">
      <alignment horizontal="center" readingOrder="1" shrinkToFit="0" vertical="center" wrapText="1"/>
    </xf>
    <xf borderId="30" fillId="10" fontId="4" numFmtId="0" xfId="0" applyAlignment="1" applyBorder="1" applyFill="1" applyFont="1">
      <alignment horizontal="center" readingOrder="1" shrinkToFit="0" vertical="center" wrapText="1"/>
    </xf>
    <xf borderId="30" fillId="10" fontId="4" numFmtId="0" xfId="0" applyAlignment="1" applyBorder="1" applyFont="1">
      <alignment horizontal="left" readingOrder="1" shrinkToFit="0" vertical="center" wrapText="1"/>
    </xf>
    <xf borderId="31" fillId="0" fontId="1" numFmtId="0" xfId="0" applyAlignment="1" applyBorder="1" applyFont="1">
      <alignment horizontal="center"/>
    </xf>
    <xf borderId="31" fillId="0" fontId="2" numFmtId="0" xfId="0" applyBorder="1" applyFont="1"/>
    <xf borderId="30" fillId="11" fontId="4" numFmtId="0" xfId="0" applyAlignment="1" applyBorder="1" applyFill="1" applyFont="1">
      <alignment horizontal="center" readingOrder="1" shrinkToFit="0" vertical="center" wrapText="1"/>
    </xf>
    <xf borderId="30" fillId="8" fontId="0" numFmtId="0" xfId="0" applyAlignment="1" applyBorder="1" applyFont="1">
      <alignment horizontal="center" shrinkToFit="0" vertical="center" wrapText="1"/>
    </xf>
    <xf borderId="30" fillId="7" fontId="0" numFmtId="2" xfId="0" applyAlignment="1" applyBorder="1" applyFont="1" applyNumberFormat="1">
      <alignment horizontal="center" vertical="center"/>
    </xf>
    <xf borderId="30" fillId="8" fontId="0" numFmtId="2" xfId="0" applyAlignment="1" applyBorder="1" applyFont="1" applyNumberFormat="1">
      <alignment horizontal="center" vertical="center"/>
    </xf>
    <xf borderId="30" fillId="0" fontId="0" numFmtId="165" xfId="0" applyAlignment="1" applyBorder="1" applyFont="1" applyNumberFormat="1">
      <alignment horizontal="center" vertical="center"/>
    </xf>
    <xf borderId="30" fillId="0" fontId="0" numFmtId="165" xfId="0" applyAlignment="1" applyBorder="1" applyFont="1" applyNumberFormat="1">
      <alignment horizontal="center"/>
    </xf>
    <xf borderId="30" fillId="0" fontId="0" numFmtId="0" xfId="0" applyAlignment="1" applyBorder="1" applyFont="1">
      <alignment horizontal="center" vertical="center"/>
    </xf>
    <xf borderId="30" fillId="0" fontId="0" numFmtId="2" xfId="0" applyAlignment="1" applyBorder="1" applyFont="1" applyNumberFormat="1">
      <alignment horizontal="center" vertical="center"/>
    </xf>
    <xf borderId="32" fillId="0" fontId="2" numFmtId="0" xfId="0" applyBorder="1" applyFont="1"/>
    <xf borderId="30" fillId="0" fontId="1" numFmtId="0" xfId="0" applyAlignment="1" applyBorder="1" applyFont="1">
      <alignment horizontal="center" vertical="center"/>
    </xf>
    <xf borderId="30" fillId="0" fontId="0" numFmtId="2" xfId="0" applyAlignment="1" applyBorder="1" applyFont="1" applyNumberFormat="1">
      <alignment horizontal="center"/>
    </xf>
    <xf borderId="0" fillId="0" fontId="4" numFmtId="0" xfId="0" applyAlignment="1" applyFont="1">
      <alignment horizontal="left" readingOrder="1" shrinkToFit="0" vertical="center" wrapText="1"/>
    </xf>
    <xf borderId="0" fillId="0" fontId="0" numFmtId="2" xfId="0" applyAlignment="1" applyFont="1" applyNumberFormat="1">
      <alignment horizontal="center"/>
    </xf>
    <xf borderId="33" fillId="12" fontId="4" numFmtId="0" xfId="0" applyAlignment="1" applyBorder="1" applyFill="1" applyFont="1">
      <alignment horizontal="center" readingOrder="1" shrinkToFit="0" vertical="center" wrapText="1"/>
    </xf>
    <xf borderId="34" fillId="0" fontId="2" numFmtId="0" xfId="0" applyBorder="1" applyFont="1"/>
    <xf borderId="35" fillId="0" fontId="2" numFmtId="0" xfId="0" applyBorder="1" applyFont="1"/>
    <xf borderId="36" fillId="12" fontId="1" numFmtId="0" xfId="0" applyAlignment="1" applyBorder="1" applyFont="1">
      <alignment horizontal="center"/>
    </xf>
    <xf borderId="36" fillId="12" fontId="1" numFmtId="2" xfId="0" applyAlignment="1" applyBorder="1" applyFont="1" applyNumberFormat="1">
      <alignment horizontal="center"/>
    </xf>
    <xf borderId="30" fillId="3" fontId="0" numFmtId="0" xfId="0" applyAlignment="1" applyBorder="1" applyFont="1">
      <alignment horizontal="center"/>
    </xf>
    <xf borderId="30" fillId="3" fontId="0" numFmtId="165" xfId="0" applyAlignment="1" applyBorder="1" applyFont="1" applyNumberFormat="1">
      <alignment horizontal="center"/>
    </xf>
    <xf borderId="30" fillId="7" fontId="0" numFmtId="2" xfId="0" applyAlignment="1" applyBorder="1" applyFont="1" applyNumberFormat="1">
      <alignment horizontal="center"/>
    </xf>
    <xf borderId="36" fillId="12" fontId="0" numFmtId="2" xfId="0" applyAlignment="1" applyBorder="1" applyFont="1" applyNumberFormat="1">
      <alignment horizontal="center"/>
    </xf>
    <xf borderId="30" fillId="0" fontId="0" numFmtId="0" xfId="0" applyAlignment="1" applyBorder="1" applyFont="1">
      <alignment horizontal="center"/>
    </xf>
    <xf borderId="30" fillId="3" fontId="0" numFmtId="0" xfId="0" applyBorder="1" applyFont="1"/>
    <xf borderId="30" fillId="9" fontId="0" numFmtId="0" xfId="0" applyAlignment="1" applyBorder="1" applyFont="1">
      <alignment horizontal="center"/>
    </xf>
    <xf borderId="30" fillId="9" fontId="0" numFmtId="165" xfId="0" applyAlignment="1" applyBorder="1" applyFont="1" applyNumberFormat="1">
      <alignment horizontal="center"/>
    </xf>
    <xf borderId="0" fillId="0" fontId="0" numFmtId="166" xfId="0" applyFont="1" applyNumberFormat="1"/>
    <xf borderId="30" fillId="8" fontId="0" numFmtId="166" xfId="0" applyAlignment="1" applyBorder="1" applyFont="1" applyNumberFormat="1">
      <alignment horizontal="center" shrinkToFit="0" vertical="center" wrapText="1"/>
    </xf>
    <xf borderId="37" fillId="7" fontId="0" numFmtId="166" xfId="0" applyAlignment="1" applyBorder="1" applyFont="1" applyNumberFormat="1">
      <alignment horizontal="center" vertical="center"/>
    </xf>
    <xf borderId="30" fillId="8" fontId="0" numFmtId="166" xfId="0" applyAlignment="1" applyBorder="1" applyFont="1" applyNumberFormat="1">
      <alignment horizontal="center" vertical="center"/>
    </xf>
    <xf borderId="30" fillId="0" fontId="0" numFmtId="166" xfId="0" applyAlignment="1" applyBorder="1" applyFont="1" applyNumberFormat="1">
      <alignment horizontal="center"/>
    </xf>
    <xf borderId="37" fillId="10" fontId="4" numFmtId="0" xfId="0" applyAlignment="1" applyBorder="1" applyFont="1">
      <alignment horizontal="center" readingOrder="1" shrinkToFit="0" vertical="center" wrapText="1"/>
    </xf>
    <xf borderId="38" fillId="0" fontId="0" numFmtId="166" xfId="0" applyAlignment="1" applyBorder="1" applyFont="1" applyNumberFormat="1">
      <alignment horizontal="center" vertical="center"/>
    </xf>
    <xf borderId="33" fillId="12" fontId="0" numFmtId="0" xfId="0" applyAlignment="1" applyBorder="1" applyFont="1">
      <alignment horizontal="center"/>
    </xf>
    <xf borderId="0" fillId="0" fontId="0" numFmtId="2" xfId="0" applyFont="1" applyNumberFormat="1"/>
    <xf borderId="0" fillId="0" fontId="0" numFmtId="0" xfId="0" applyAlignment="1" applyFont="1">
      <alignment horizontal="center" shrinkToFit="0" vertical="center" wrapText="1"/>
    </xf>
    <xf borderId="37" fillId="7" fontId="0" numFmtId="166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30" fillId="12" fontId="1" numFmtId="0" xfId="0" applyAlignment="1" applyBorder="1" applyFont="1">
      <alignment horizontal="center"/>
    </xf>
    <xf borderId="30" fillId="12" fontId="1" numFmtId="2" xfId="0" applyAlignment="1" applyBorder="1" applyFont="1" applyNumberFormat="1">
      <alignment horizontal="center"/>
    </xf>
    <xf borderId="30" fillId="12" fontId="0" numFmtId="2" xfId="0" applyAlignment="1" applyBorder="1" applyFont="1" applyNumberFormat="1">
      <alignment horizontal="center" vertical="center"/>
    </xf>
    <xf borderId="39" fillId="10" fontId="4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25"/>
    <col customWidth="1" min="3" max="3" width="23.0"/>
    <col customWidth="1" min="4" max="4" width="17.0"/>
    <col customWidth="1" min="5" max="6" width="11.63"/>
    <col customWidth="1" min="7" max="7" width="10.25"/>
    <col customWidth="1" min="8" max="9" width="9.88"/>
    <col customWidth="1" min="10" max="10" width="9.38"/>
    <col customWidth="1" min="11" max="11" width="19.5"/>
    <col customWidth="1" min="12" max="12" width="9.63"/>
    <col customWidth="1" min="13" max="26" width="9.38"/>
  </cols>
  <sheetData>
    <row r="1" ht="14.25" customHeight="1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</row>
    <row r="2" ht="14.25" customHeight="1">
      <c r="A2" s="1"/>
      <c r="B2" s="2" t="s">
        <v>0</v>
      </c>
      <c r="G2" s="1"/>
      <c r="H2" s="1"/>
      <c r="J2" s="1"/>
      <c r="K2" s="1"/>
      <c r="L2" s="1"/>
      <c r="M2" s="1"/>
    </row>
    <row r="3" ht="14.25" customHeight="1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</row>
    <row r="4" ht="14.25" customHeight="1">
      <c r="A4" s="1"/>
      <c r="B4" s="3" t="s">
        <v>1</v>
      </c>
      <c r="J4" s="1"/>
      <c r="K4" s="1"/>
      <c r="L4" s="1"/>
      <c r="M4" s="1"/>
    </row>
    <row r="5" ht="14.25" customHeight="1">
      <c r="A5" s="1"/>
      <c r="B5" s="3" t="s">
        <v>2</v>
      </c>
      <c r="J5" s="1"/>
      <c r="K5" s="1"/>
      <c r="L5" s="1"/>
      <c r="M5" s="1"/>
    </row>
    <row r="6" ht="14.25" customHeight="1">
      <c r="A6" s="1"/>
      <c r="B6" s="3" t="s">
        <v>3</v>
      </c>
      <c r="J6" s="1"/>
      <c r="K6" s="1"/>
      <c r="L6" s="1"/>
      <c r="M6" s="1"/>
    </row>
    <row r="7" ht="14.25" customHeight="1">
      <c r="A7" s="1"/>
      <c r="B7" s="3" t="s">
        <v>4</v>
      </c>
      <c r="J7" s="1"/>
      <c r="K7" s="1"/>
      <c r="L7" s="1"/>
      <c r="M7" s="1"/>
    </row>
    <row r="8" ht="14.25" customHeight="1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</row>
    <row r="9" ht="15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5.0" customHeight="1">
      <c r="A10" s="1"/>
      <c r="B10" s="4" t="s">
        <v>5</v>
      </c>
      <c r="C10" s="5"/>
      <c r="D10" s="6"/>
      <c r="E10" s="7"/>
      <c r="F10" s="8" t="s">
        <v>6</v>
      </c>
      <c r="G10" s="9"/>
      <c r="H10" s="9"/>
      <c r="I10" s="10"/>
      <c r="J10" s="6"/>
      <c r="K10" s="11" t="s">
        <v>7</v>
      </c>
      <c r="L10" s="12"/>
      <c r="M10" s="1"/>
    </row>
    <row r="11" ht="14.25" customHeight="1">
      <c r="A11" s="13"/>
      <c r="B11" s="14" t="s">
        <v>8</v>
      </c>
      <c r="C11" s="15" t="s">
        <v>9</v>
      </c>
      <c r="D11" s="15" t="s">
        <v>10</v>
      </c>
      <c r="E11" s="15" t="s">
        <v>11</v>
      </c>
      <c r="F11" s="15" t="s">
        <v>12</v>
      </c>
      <c r="G11" s="15" t="s">
        <v>13</v>
      </c>
      <c r="H11" s="15" t="s">
        <v>14</v>
      </c>
      <c r="I11" s="15" t="s">
        <v>15</v>
      </c>
      <c r="J11" s="6"/>
      <c r="K11" s="16"/>
      <c r="L11" s="17"/>
      <c r="M11" s="1"/>
    </row>
    <row r="12" ht="14.25" customHeight="1">
      <c r="A12" s="18"/>
      <c r="B12" s="19" t="s">
        <v>16</v>
      </c>
      <c r="C12" s="20" t="s">
        <v>17</v>
      </c>
      <c r="D12" s="20" t="s">
        <v>18</v>
      </c>
      <c r="E12" s="21">
        <f>'Obtencion pesos AHP'!I11</f>
        <v>0.2081062227</v>
      </c>
      <c r="F12" s="22">
        <v>1.70631E8</v>
      </c>
      <c r="G12" s="22">
        <v>0.0</v>
      </c>
      <c r="H12" s="22">
        <v>1.5E7</v>
      </c>
      <c r="I12" s="22">
        <v>0.0</v>
      </c>
      <c r="J12" s="6"/>
      <c r="K12" s="23"/>
      <c r="L12" s="24"/>
      <c r="M12" s="1"/>
    </row>
    <row r="13" ht="14.25" customHeight="1">
      <c r="A13" s="18"/>
      <c r="B13" s="19" t="s">
        <v>16</v>
      </c>
      <c r="C13" s="20" t="s">
        <v>19</v>
      </c>
      <c r="D13" s="20" t="s">
        <v>20</v>
      </c>
      <c r="E13" s="21">
        <f>'Obtencion pesos AHP'!I12</f>
        <v>0.2081062227</v>
      </c>
      <c r="F13" s="22">
        <v>4.10864E7</v>
      </c>
      <c r="G13" s="22">
        <v>0.0</v>
      </c>
      <c r="H13" s="22">
        <v>1.2E7</v>
      </c>
      <c r="I13" s="22">
        <v>4.10864E7</v>
      </c>
      <c r="J13" s="6"/>
      <c r="K13" s="25" t="s">
        <v>21</v>
      </c>
      <c r="L13" s="22" t="s">
        <v>22</v>
      </c>
      <c r="M13" s="1"/>
    </row>
    <row r="14" ht="14.25" customHeight="1">
      <c r="A14" s="18"/>
      <c r="B14" s="19" t="s">
        <v>16</v>
      </c>
      <c r="C14" s="20" t="s">
        <v>23</v>
      </c>
      <c r="D14" s="20" t="s">
        <v>24</v>
      </c>
      <c r="E14" s="21">
        <f>'Obtencion pesos AHP'!I13</f>
        <v>0.09857277289</v>
      </c>
      <c r="F14" s="22">
        <v>20.0</v>
      </c>
      <c r="G14" s="22">
        <v>30.0</v>
      </c>
      <c r="H14" s="22">
        <v>20.0</v>
      </c>
      <c r="I14" s="22">
        <v>20.0</v>
      </c>
      <c r="J14" s="6"/>
      <c r="K14" s="26" t="s">
        <v>25</v>
      </c>
      <c r="L14" s="22">
        <v>100.0</v>
      </c>
      <c r="M14" s="1"/>
    </row>
    <row r="15" ht="14.25" customHeight="1">
      <c r="A15" s="18"/>
      <c r="B15" s="19" t="s">
        <v>26</v>
      </c>
      <c r="C15" s="20" t="s">
        <v>27</v>
      </c>
      <c r="D15" s="20" t="s">
        <v>28</v>
      </c>
      <c r="E15" s="21">
        <f>'Obtencion pesos AHP'!I14</f>
        <v>0.2617879881</v>
      </c>
      <c r="F15" s="22" t="s">
        <v>25</v>
      </c>
      <c r="G15" s="22" t="s">
        <v>29</v>
      </c>
      <c r="H15" s="22" t="s">
        <v>30</v>
      </c>
      <c r="I15" s="22" t="s">
        <v>25</v>
      </c>
      <c r="J15" s="6"/>
      <c r="K15" s="26" t="s">
        <v>30</v>
      </c>
      <c r="L15" s="22">
        <v>75.0</v>
      </c>
      <c r="M15" s="1"/>
    </row>
    <row r="16" ht="14.25" customHeight="1">
      <c r="A16" s="18"/>
      <c r="B16" s="19" t="s">
        <v>26</v>
      </c>
      <c r="C16" s="20" t="s">
        <v>31</v>
      </c>
      <c r="D16" s="20" t="s">
        <v>28</v>
      </c>
      <c r="E16" s="21">
        <f>'Obtencion pesos AHP'!I15</f>
        <v>0.03118819328</v>
      </c>
      <c r="F16" s="22" t="s">
        <v>32</v>
      </c>
      <c r="G16" s="22" t="s">
        <v>30</v>
      </c>
      <c r="H16" s="22" t="s">
        <v>25</v>
      </c>
      <c r="I16" s="22" t="s">
        <v>30</v>
      </c>
      <c r="J16" s="6"/>
      <c r="K16" s="26" t="s">
        <v>32</v>
      </c>
      <c r="L16" s="22">
        <v>50.0</v>
      </c>
      <c r="M16" s="1"/>
    </row>
    <row r="17" ht="14.25" customHeight="1">
      <c r="A17" s="18"/>
      <c r="B17" s="19" t="s">
        <v>26</v>
      </c>
      <c r="C17" s="20" t="s">
        <v>33</v>
      </c>
      <c r="D17" s="20" t="s">
        <v>28</v>
      </c>
      <c r="E17" s="21">
        <f>'Obtencion pesos AHP'!I16</f>
        <v>0.03118819328</v>
      </c>
      <c r="F17" s="22" t="s">
        <v>32</v>
      </c>
      <c r="G17" s="22" t="s">
        <v>34</v>
      </c>
      <c r="H17" s="22" t="s">
        <v>30</v>
      </c>
      <c r="I17" s="22" t="s">
        <v>29</v>
      </c>
      <c r="J17" s="6"/>
      <c r="K17" s="26" t="s">
        <v>34</v>
      </c>
      <c r="L17" s="22">
        <v>25.0</v>
      </c>
      <c r="M17" s="1"/>
    </row>
    <row r="18" ht="14.25" customHeight="1">
      <c r="A18" s="18"/>
      <c r="B18" s="19" t="s">
        <v>16</v>
      </c>
      <c r="C18" s="20" t="s">
        <v>35</v>
      </c>
      <c r="D18" s="20" t="s">
        <v>36</v>
      </c>
      <c r="E18" s="21">
        <f>'Obtencion pesos AHP'!I17</f>
        <v>0.161050407</v>
      </c>
      <c r="F18" s="22">
        <v>49.0</v>
      </c>
      <c r="G18" s="22">
        <v>0.0</v>
      </c>
      <c r="H18" s="22">
        <v>121.0</v>
      </c>
      <c r="I18" s="22">
        <v>121.0</v>
      </c>
      <c r="J18" s="6"/>
      <c r="K18" s="26" t="s">
        <v>29</v>
      </c>
      <c r="L18" s="22">
        <v>0.0</v>
      </c>
      <c r="M18" s="1"/>
    </row>
    <row r="19" ht="14.25" customHeight="1">
      <c r="A19" s="1"/>
      <c r="B19" s="6"/>
      <c r="C19" s="6"/>
      <c r="D19" s="27" t="s">
        <v>37</v>
      </c>
      <c r="E19" s="28">
        <f>SUM(E12:E18)</f>
        <v>1</v>
      </c>
      <c r="F19" s="6"/>
      <c r="G19" s="6"/>
      <c r="H19" s="6"/>
      <c r="I19" s="6"/>
      <c r="J19" s="6"/>
      <c r="K19" s="6"/>
      <c r="L19" s="6"/>
      <c r="M19" s="1"/>
    </row>
    <row r="20" ht="14.25" customHeight="1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</row>
    <row r="21" ht="14.25" customHeight="1">
      <c r="A21" s="1"/>
      <c r="B21" s="4" t="s">
        <v>38</v>
      </c>
      <c r="C21" s="5"/>
      <c r="D21" s="6"/>
      <c r="E21" s="7"/>
      <c r="F21" s="8" t="s">
        <v>6</v>
      </c>
      <c r="G21" s="9"/>
      <c r="H21" s="9"/>
      <c r="I21" s="10"/>
      <c r="J21" s="6"/>
      <c r="K21" s="6"/>
      <c r="L21" s="6"/>
      <c r="M21" s="1"/>
    </row>
    <row r="22" ht="14.25" customHeight="1">
      <c r="A22" s="1"/>
      <c r="B22" s="15" t="s">
        <v>8</v>
      </c>
      <c r="C22" s="15" t="s">
        <v>9</v>
      </c>
      <c r="D22" s="15" t="s">
        <v>10</v>
      </c>
      <c r="E22" s="15" t="s">
        <v>11</v>
      </c>
      <c r="F22" s="15" t="s">
        <v>12</v>
      </c>
      <c r="G22" s="15" t="s">
        <v>13</v>
      </c>
      <c r="H22" s="15" t="s">
        <v>14</v>
      </c>
      <c r="I22" s="15" t="s">
        <v>15</v>
      </c>
      <c r="J22" s="15" t="s">
        <v>39</v>
      </c>
      <c r="K22" s="15" t="s">
        <v>40</v>
      </c>
      <c r="L22" s="6"/>
      <c r="M22" s="1"/>
    </row>
    <row r="23" ht="14.25" customHeight="1">
      <c r="A23" s="1"/>
      <c r="B23" s="20" t="s">
        <v>16</v>
      </c>
      <c r="C23" s="20" t="s">
        <v>17</v>
      </c>
      <c r="D23" s="20" t="s">
        <v>18</v>
      </c>
      <c r="E23" s="21">
        <f t="shared" ref="E23:E29" si="2">E12</f>
        <v>0.2081062227</v>
      </c>
      <c r="F23" s="22">
        <f t="shared" ref="F23:I23" si="1">+IF($B12="Maximizar",F12,-F12)</f>
        <v>-170631000</v>
      </c>
      <c r="G23" s="22">
        <f t="shared" si="1"/>
        <v>0</v>
      </c>
      <c r="H23" s="22">
        <f t="shared" si="1"/>
        <v>-15000000</v>
      </c>
      <c r="I23" s="22">
        <f t="shared" si="1"/>
        <v>0</v>
      </c>
      <c r="J23" s="20">
        <f t="shared" ref="J23:J29" si="4">MAX(F23:I23)</f>
        <v>0</v>
      </c>
      <c r="K23" s="20">
        <f t="shared" ref="K23:K29" si="5">MIN(F23:I23)</f>
        <v>-170631000</v>
      </c>
      <c r="L23" s="6"/>
      <c r="M23" s="1"/>
    </row>
    <row r="24" ht="14.25" customHeight="1">
      <c r="A24" s="1"/>
      <c r="B24" s="20" t="s">
        <v>16</v>
      </c>
      <c r="C24" s="20" t="s">
        <v>19</v>
      </c>
      <c r="D24" s="20" t="s">
        <v>20</v>
      </c>
      <c r="E24" s="21">
        <f t="shared" si="2"/>
        <v>0.2081062227</v>
      </c>
      <c r="F24" s="22">
        <f t="shared" ref="F24:I24" si="3">+IF($B13="Maximizar",F13,-F13)</f>
        <v>-41086400</v>
      </c>
      <c r="G24" s="22">
        <f t="shared" si="3"/>
        <v>0</v>
      </c>
      <c r="H24" s="22">
        <f t="shared" si="3"/>
        <v>-12000000</v>
      </c>
      <c r="I24" s="22">
        <f t="shared" si="3"/>
        <v>-41086400</v>
      </c>
      <c r="J24" s="20">
        <f t="shared" si="4"/>
        <v>0</v>
      </c>
      <c r="K24" s="20">
        <f t="shared" si="5"/>
        <v>-41086400</v>
      </c>
      <c r="L24" s="6"/>
      <c r="M24" s="1"/>
    </row>
    <row r="25" ht="14.25" customHeight="1">
      <c r="A25" s="1"/>
      <c r="B25" s="20" t="s">
        <v>16</v>
      </c>
      <c r="C25" s="20" t="s">
        <v>23</v>
      </c>
      <c r="D25" s="20" t="s">
        <v>24</v>
      </c>
      <c r="E25" s="21">
        <f t="shared" si="2"/>
        <v>0.09857277289</v>
      </c>
      <c r="F25" s="22">
        <f t="shared" ref="F25:I25" si="6">+IF($B14="Maximizar",F14,-F14)</f>
        <v>-20</v>
      </c>
      <c r="G25" s="22">
        <f t="shared" si="6"/>
        <v>-30</v>
      </c>
      <c r="H25" s="22">
        <f t="shared" si="6"/>
        <v>-20</v>
      </c>
      <c r="I25" s="22">
        <f t="shared" si="6"/>
        <v>-20</v>
      </c>
      <c r="J25" s="20">
        <f t="shared" si="4"/>
        <v>-20</v>
      </c>
      <c r="K25" s="20">
        <f t="shared" si="5"/>
        <v>-30</v>
      </c>
      <c r="L25" s="6"/>
      <c r="M25" s="1"/>
    </row>
    <row r="26" ht="14.25" customHeight="1">
      <c r="A26" s="1"/>
      <c r="B26" s="20" t="s">
        <v>26</v>
      </c>
      <c r="C26" s="20" t="s">
        <v>27</v>
      </c>
      <c r="D26" s="20" t="s">
        <v>28</v>
      </c>
      <c r="E26" s="21">
        <f t="shared" si="2"/>
        <v>0.2617879881</v>
      </c>
      <c r="F26" s="22">
        <f t="shared" ref="F26:I26" si="7">+IF($B15="Maximizar",VLOOKUP(F15,$K$14:$L$18,2,0),VLOOKUP(F15,$K$14:$L$18,2,0)*-1)</f>
        <v>100</v>
      </c>
      <c r="G26" s="22">
        <f t="shared" si="7"/>
        <v>0</v>
      </c>
      <c r="H26" s="22">
        <f t="shared" si="7"/>
        <v>75</v>
      </c>
      <c r="I26" s="22">
        <f t="shared" si="7"/>
        <v>100</v>
      </c>
      <c r="J26" s="20">
        <f t="shared" si="4"/>
        <v>100</v>
      </c>
      <c r="K26" s="20">
        <f t="shared" si="5"/>
        <v>0</v>
      </c>
      <c r="L26" s="6"/>
      <c r="M26" s="1"/>
    </row>
    <row r="27" ht="14.25" customHeight="1">
      <c r="A27" s="1"/>
      <c r="B27" s="20" t="s">
        <v>26</v>
      </c>
      <c r="C27" s="20" t="s">
        <v>31</v>
      </c>
      <c r="D27" s="20" t="s">
        <v>28</v>
      </c>
      <c r="E27" s="21">
        <f t="shared" si="2"/>
        <v>0.03118819328</v>
      </c>
      <c r="F27" s="22">
        <f t="shared" ref="F27:I27" si="8">+IF($B16="Maximizar",VLOOKUP(F16,$K$14:$L$18,2,0),VLOOKUP(F16,$K$14:$L$18,2,0)*-1)</f>
        <v>50</v>
      </c>
      <c r="G27" s="22">
        <f t="shared" si="8"/>
        <v>75</v>
      </c>
      <c r="H27" s="22">
        <f t="shared" si="8"/>
        <v>100</v>
      </c>
      <c r="I27" s="22">
        <f t="shared" si="8"/>
        <v>75</v>
      </c>
      <c r="J27" s="20">
        <f t="shared" si="4"/>
        <v>100</v>
      </c>
      <c r="K27" s="20">
        <f t="shared" si="5"/>
        <v>50</v>
      </c>
      <c r="L27" s="6"/>
      <c r="M27" s="1"/>
    </row>
    <row r="28" ht="14.25" customHeight="1">
      <c r="A28" s="1"/>
      <c r="B28" s="20" t="s">
        <v>26</v>
      </c>
      <c r="C28" s="20" t="s">
        <v>33</v>
      </c>
      <c r="D28" s="20" t="s">
        <v>28</v>
      </c>
      <c r="E28" s="21">
        <f t="shared" si="2"/>
        <v>0.03118819328</v>
      </c>
      <c r="F28" s="22">
        <f t="shared" ref="F28:I28" si="9">+IF($B17="Maximizar",VLOOKUP(F17,$K$14:$L$18,2,0),VLOOKUP(F17,$K$14:$L$18,2,0)*-1)</f>
        <v>50</v>
      </c>
      <c r="G28" s="22">
        <f t="shared" si="9"/>
        <v>25</v>
      </c>
      <c r="H28" s="22">
        <f t="shared" si="9"/>
        <v>75</v>
      </c>
      <c r="I28" s="22">
        <f t="shared" si="9"/>
        <v>0</v>
      </c>
      <c r="J28" s="20">
        <f t="shared" si="4"/>
        <v>75</v>
      </c>
      <c r="K28" s="20">
        <f t="shared" si="5"/>
        <v>0</v>
      </c>
      <c r="L28" s="6"/>
      <c r="M28" s="1"/>
    </row>
    <row r="29" ht="14.25" customHeight="1">
      <c r="A29" s="1"/>
      <c r="B29" s="20" t="s">
        <v>16</v>
      </c>
      <c r="C29" s="20" t="s">
        <v>35</v>
      </c>
      <c r="D29" s="20" t="s">
        <v>36</v>
      </c>
      <c r="E29" s="21">
        <f t="shared" si="2"/>
        <v>0.161050407</v>
      </c>
      <c r="F29" s="22">
        <f t="shared" ref="F29:I29" si="10">+IF($B18="Maximizar",F18,-F18)</f>
        <v>-49</v>
      </c>
      <c r="G29" s="22">
        <f t="shared" si="10"/>
        <v>0</v>
      </c>
      <c r="H29" s="22">
        <f t="shared" si="10"/>
        <v>-121</v>
      </c>
      <c r="I29" s="22">
        <f t="shared" si="10"/>
        <v>-121</v>
      </c>
      <c r="J29" s="20">
        <f t="shared" si="4"/>
        <v>0</v>
      </c>
      <c r="K29" s="20">
        <f t="shared" si="5"/>
        <v>-121</v>
      </c>
      <c r="L29" s="6"/>
      <c r="M29" s="1"/>
    </row>
    <row r="30" ht="14.25" customHeight="1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1"/>
    </row>
    <row r="31" ht="14.25" customHeight="1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"/>
    </row>
    <row r="32" ht="14.25" customHeight="1">
      <c r="A32" s="1"/>
      <c r="B32" s="4" t="s">
        <v>41</v>
      </c>
      <c r="C32" s="5"/>
      <c r="D32" s="7"/>
      <c r="E32" s="8" t="s">
        <v>6</v>
      </c>
      <c r="F32" s="9"/>
      <c r="G32" s="9"/>
      <c r="H32" s="10"/>
      <c r="I32" s="6"/>
      <c r="J32" s="6"/>
      <c r="K32" s="6"/>
      <c r="L32" s="6"/>
      <c r="M32" s="1"/>
    </row>
    <row r="33" ht="14.25" customHeight="1">
      <c r="A33" s="1"/>
      <c r="B33" s="29" t="s">
        <v>9</v>
      </c>
      <c r="C33" s="15" t="s">
        <v>10</v>
      </c>
      <c r="D33" s="15" t="s">
        <v>11</v>
      </c>
      <c r="E33" s="15" t="s">
        <v>12</v>
      </c>
      <c r="F33" s="15" t="s">
        <v>13</v>
      </c>
      <c r="G33" s="15" t="s">
        <v>14</v>
      </c>
      <c r="H33" s="15" t="s">
        <v>15</v>
      </c>
      <c r="I33" s="6"/>
      <c r="J33" s="6"/>
      <c r="K33" s="6"/>
      <c r="L33" s="6"/>
      <c r="M33" s="1"/>
    </row>
    <row r="34" ht="14.25" customHeight="1">
      <c r="A34" s="30"/>
      <c r="B34" s="20" t="s">
        <v>17</v>
      </c>
      <c r="C34" s="31" t="s">
        <v>18</v>
      </c>
      <c r="D34" s="21">
        <f t="shared" ref="D34:D40" si="12">E12</f>
        <v>0.2081062227</v>
      </c>
      <c r="E34" s="32">
        <f t="shared" ref="E34:H34" si="11">(F23-$K23)/($J23-$K23)</f>
        <v>0</v>
      </c>
      <c r="F34" s="32">
        <f t="shared" si="11"/>
        <v>1</v>
      </c>
      <c r="G34" s="32">
        <f t="shared" si="11"/>
        <v>0.9120910034</v>
      </c>
      <c r="H34" s="32">
        <f t="shared" si="11"/>
        <v>1</v>
      </c>
      <c r="I34" s="6"/>
      <c r="J34" s="6"/>
      <c r="K34" s="6"/>
      <c r="L34" s="6"/>
      <c r="M34" s="1"/>
    </row>
    <row r="35" ht="14.25" customHeight="1">
      <c r="A35" s="30"/>
      <c r="B35" s="31" t="s">
        <v>19</v>
      </c>
      <c r="C35" s="31" t="s">
        <v>20</v>
      </c>
      <c r="D35" s="21">
        <f t="shared" si="12"/>
        <v>0.2081062227</v>
      </c>
      <c r="E35" s="32">
        <f t="shared" ref="E35:H35" si="13">(F24-$K24)/($J24-$K24)</f>
        <v>0</v>
      </c>
      <c r="F35" s="32">
        <f t="shared" si="13"/>
        <v>1</v>
      </c>
      <c r="G35" s="32">
        <f t="shared" si="13"/>
        <v>0.7079325519</v>
      </c>
      <c r="H35" s="32">
        <f t="shared" si="13"/>
        <v>0</v>
      </c>
      <c r="I35" s="6"/>
      <c r="J35" s="6"/>
      <c r="K35" s="6"/>
      <c r="L35" s="6"/>
      <c r="M35" s="1"/>
    </row>
    <row r="36" ht="14.25" customHeight="1">
      <c r="A36" s="30"/>
      <c r="B36" s="31" t="s">
        <v>23</v>
      </c>
      <c r="C36" s="31" t="s">
        <v>24</v>
      </c>
      <c r="D36" s="21">
        <f t="shared" si="12"/>
        <v>0.09857277289</v>
      </c>
      <c r="E36" s="32">
        <f t="shared" ref="E36:H36" si="14">(F25-$K25)/($J25-$K25)</f>
        <v>1</v>
      </c>
      <c r="F36" s="32">
        <f t="shared" si="14"/>
        <v>0</v>
      </c>
      <c r="G36" s="32">
        <f t="shared" si="14"/>
        <v>1</v>
      </c>
      <c r="H36" s="32">
        <f t="shared" si="14"/>
        <v>1</v>
      </c>
      <c r="I36" s="6"/>
      <c r="J36" s="6"/>
      <c r="K36" s="6"/>
      <c r="L36" s="6"/>
      <c r="M36" s="1"/>
    </row>
    <row r="37" ht="14.25" customHeight="1">
      <c r="A37" s="30"/>
      <c r="B37" s="33" t="s">
        <v>27</v>
      </c>
      <c r="C37" s="20" t="s">
        <v>28</v>
      </c>
      <c r="D37" s="21">
        <f t="shared" si="12"/>
        <v>0.2617879881</v>
      </c>
      <c r="E37" s="32">
        <f t="shared" ref="E37:H37" si="15">(F26-$K26)/($J26-$K26)</f>
        <v>1</v>
      </c>
      <c r="F37" s="32">
        <f t="shared" si="15"/>
        <v>0</v>
      </c>
      <c r="G37" s="32">
        <f t="shared" si="15"/>
        <v>0.75</v>
      </c>
      <c r="H37" s="32">
        <f t="shared" si="15"/>
        <v>1</v>
      </c>
      <c r="I37" s="6"/>
      <c r="J37" s="6"/>
      <c r="K37" s="6"/>
      <c r="L37" s="6"/>
      <c r="M37" s="1"/>
    </row>
    <row r="38" ht="14.25" customHeight="1">
      <c r="A38" s="1"/>
      <c r="B38" s="20" t="s">
        <v>31</v>
      </c>
      <c r="C38" s="20" t="s">
        <v>28</v>
      </c>
      <c r="D38" s="21">
        <f t="shared" si="12"/>
        <v>0.03118819328</v>
      </c>
      <c r="E38" s="32">
        <f t="shared" ref="E38:H38" si="16">(F27-$K27)/($J27-$K27)</f>
        <v>0</v>
      </c>
      <c r="F38" s="32">
        <f t="shared" si="16"/>
        <v>0.5</v>
      </c>
      <c r="G38" s="32">
        <f t="shared" si="16"/>
        <v>1</v>
      </c>
      <c r="H38" s="32">
        <f t="shared" si="16"/>
        <v>0.5</v>
      </c>
      <c r="I38" s="6"/>
      <c r="J38" s="6"/>
      <c r="K38" s="6"/>
      <c r="L38" s="6"/>
      <c r="M38" s="1"/>
    </row>
    <row r="39" ht="14.25" customHeight="1">
      <c r="A39" s="1"/>
      <c r="B39" s="20" t="s">
        <v>33</v>
      </c>
      <c r="C39" s="20" t="s">
        <v>28</v>
      </c>
      <c r="D39" s="21">
        <f t="shared" si="12"/>
        <v>0.03118819328</v>
      </c>
      <c r="E39" s="32">
        <f t="shared" ref="E39:H39" si="17">(F28-$K28)/($J28-$K28)</f>
        <v>0.6666666667</v>
      </c>
      <c r="F39" s="32">
        <f t="shared" si="17"/>
        <v>0.3333333333</v>
      </c>
      <c r="G39" s="32">
        <f t="shared" si="17"/>
        <v>1</v>
      </c>
      <c r="H39" s="32">
        <f t="shared" si="17"/>
        <v>0</v>
      </c>
      <c r="I39" s="6"/>
      <c r="J39" s="6"/>
      <c r="K39" s="6"/>
      <c r="L39" s="6"/>
      <c r="M39" s="1"/>
    </row>
    <row r="40" ht="14.25" customHeight="1">
      <c r="A40" s="1"/>
      <c r="B40" s="20" t="s">
        <v>35</v>
      </c>
      <c r="C40" s="20" t="s">
        <v>36</v>
      </c>
      <c r="D40" s="21">
        <f t="shared" si="12"/>
        <v>0.161050407</v>
      </c>
      <c r="E40" s="32">
        <f t="shared" ref="E40:H40" si="18">(F29-$K29)/($J29-$K29)</f>
        <v>0.5950413223</v>
      </c>
      <c r="F40" s="32">
        <f t="shared" si="18"/>
        <v>1</v>
      </c>
      <c r="G40" s="32">
        <f t="shared" si="18"/>
        <v>0</v>
      </c>
      <c r="H40" s="32">
        <f t="shared" si="18"/>
        <v>0</v>
      </c>
      <c r="I40" s="6"/>
      <c r="J40" s="6"/>
      <c r="K40" s="6"/>
      <c r="L40" s="6"/>
      <c r="M40" s="1"/>
    </row>
    <row r="41" ht="14.25" customHeight="1">
      <c r="A41" s="1"/>
      <c r="B41" s="6"/>
      <c r="C41" s="6"/>
      <c r="D41" s="34" t="s">
        <v>42</v>
      </c>
      <c r="E41" s="35">
        <f t="shared" ref="E41:H41" si="19">SUM(E34:E40)</f>
        <v>3.261707989</v>
      </c>
      <c r="F41" s="35">
        <f t="shared" si="19"/>
        <v>3.833333333</v>
      </c>
      <c r="G41" s="35">
        <f t="shared" si="19"/>
        <v>5.370023555</v>
      </c>
      <c r="H41" s="35">
        <f t="shared" si="19"/>
        <v>3.5</v>
      </c>
      <c r="I41" s="6"/>
      <c r="J41" s="6"/>
      <c r="K41" s="6"/>
      <c r="L41" s="6"/>
      <c r="M41" s="1"/>
    </row>
    <row r="42" ht="14.25" customHeight="1">
      <c r="A42" s="1"/>
      <c r="B42" s="6"/>
      <c r="C42" s="6"/>
      <c r="D42" s="34" t="s">
        <v>43</v>
      </c>
      <c r="E42" s="35">
        <f t="shared" ref="E42:H42" si="20">SUMPRODUCT($D$34:$D$40,E34:E40)</f>
        <v>0.476984537</v>
      </c>
      <c r="F42" s="35">
        <f t="shared" si="20"/>
        <v>0.6032530135</v>
      </c>
      <c r="G42" s="35">
        <f t="shared" si="20"/>
        <v>0.6944271333</v>
      </c>
      <c r="H42" s="35">
        <f t="shared" si="20"/>
        <v>0.5840610804</v>
      </c>
      <c r="I42" s="6"/>
      <c r="J42" s="6"/>
      <c r="K42" s="6"/>
      <c r="L42" s="6"/>
      <c r="M42" s="1"/>
    </row>
    <row r="43" ht="14.25" customHeight="1">
      <c r="A43" s="1"/>
      <c r="B43" s="6"/>
      <c r="C43" s="6"/>
      <c r="D43" s="34" t="s">
        <v>44</v>
      </c>
      <c r="E43" s="36">
        <f t="shared" ref="E43:H43" si="21">RANK(E42,$E$42:$H$42,0)</f>
        <v>4</v>
      </c>
      <c r="F43" s="36">
        <f t="shared" si="21"/>
        <v>2</v>
      </c>
      <c r="G43" s="36">
        <f t="shared" si="21"/>
        <v>1</v>
      </c>
      <c r="H43" s="36">
        <f t="shared" si="21"/>
        <v>3</v>
      </c>
      <c r="I43" s="6"/>
      <c r="J43" s="6"/>
      <c r="K43" s="6"/>
      <c r="L43" s="6"/>
      <c r="M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10:C10"/>
    <mergeCell ref="B21:C21"/>
    <mergeCell ref="F21:I21"/>
    <mergeCell ref="B32:C32"/>
    <mergeCell ref="E32:H32"/>
    <mergeCell ref="B2:F2"/>
    <mergeCell ref="B4:H4"/>
    <mergeCell ref="B5:H5"/>
    <mergeCell ref="B6:H6"/>
    <mergeCell ref="B7:H7"/>
    <mergeCell ref="F10:I10"/>
    <mergeCell ref="K10:L12"/>
  </mergeCells>
  <conditionalFormatting sqref="E43:H43">
    <cfRule type="cellIs" dxfId="0" priority="1" operator="equal">
      <formula>1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7.63"/>
    <col customWidth="1" min="3" max="4" width="11.38"/>
    <col customWidth="1" min="5" max="5" width="15.75"/>
    <col customWidth="1" min="6" max="6" width="18.38"/>
    <col customWidth="1" min="7" max="9" width="26.5"/>
    <col customWidth="1" min="10" max="10" width="30.25"/>
    <col customWidth="1" min="11" max="11" width="12.25"/>
    <col customWidth="1" min="12" max="12" width="13.88"/>
    <col customWidth="1" min="13" max="13" width="13.75"/>
    <col customWidth="1" min="14" max="14" width="12.13"/>
    <col customWidth="1" min="15" max="15" width="9.75"/>
    <col customWidth="1" min="16" max="16" width="11.25"/>
    <col customWidth="1" min="17" max="17" width="10.13"/>
    <col customWidth="1" min="18" max="18" width="13.38"/>
    <col customWidth="1" min="19" max="19" width="11.25"/>
    <col customWidth="1" min="20" max="20" width="23.13"/>
    <col customWidth="1" min="21" max="21" width="13.38"/>
    <col customWidth="1" min="22" max="22" width="17.63"/>
    <col customWidth="1" min="23" max="23" width="16.13"/>
    <col customWidth="1" min="24" max="26" width="9.75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7"/>
      <c r="Y1" s="37"/>
      <c r="Z1" s="37"/>
    </row>
    <row r="2" ht="21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7"/>
      <c r="Y2" s="37"/>
      <c r="Z2" s="37"/>
    </row>
    <row r="3" ht="21.0" customHeight="1">
      <c r="A3" s="1"/>
      <c r="B3" s="38" t="s">
        <v>45</v>
      </c>
      <c r="C3" s="1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7"/>
      <c r="Y3" s="37"/>
      <c r="Z3" s="37"/>
    </row>
    <row r="4" ht="21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7"/>
      <c r="Y4" s="37"/>
      <c r="Z4" s="37"/>
    </row>
    <row r="5" ht="21.0" customHeight="1">
      <c r="A5" s="1"/>
      <c r="B5" s="1"/>
      <c r="C5" s="3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7"/>
      <c r="Y5" s="37"/>
      <c r="Z5" s="37"/>
    </row>
    <row r="6" ht="21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7"/>
      <c r="Y6" s="37"/>
      <c r="Z6" s="37"/>
    </row>
    <row r="7" ht="21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7"/>
      <c r="Y7" s="37"/>
      <c r="Z7" s="37"/>
    </row>
    <row r="8" ht="14.25" customHeight="1">
      <c r="A8" s="1"/>
      <c r="B8" s="39" t="s">
        <v>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7"/>
      <c r="Y8" s="37"/>
      <c r="Z8" s="37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7"/>
      <c r="Y9" s="37"/>
      <c r="Z9" s="37"/>
    </row>
    <row r="10" ht="14.25" customHeight="1">
      <c r="A10" s="40"/>
      <c r="B10" s="41" t="s">
        <v>47</v>
      </c>
      <c r="C10" s="41" t="s">
        <v>48</v>
      </c>
      <c r="D10" s="42"/>
      <c r="E10" s="43"/>
      <c r="F10" s="43" t="s">
        <v>49</v>
      </c>
      <c r="G10" s="44" t="s">
        <v>8</v>
      </c>
      <c r="H10" s="44" t="s">
        <v>9</v>
      </c>
      <c r="I10" s="45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7"/>
      <c r="Y10" s="37"/>
      <c r="Z10" s="37"/>
    </row>
    <row r="11" ht="17.25" customHeight="1">
      <c r="A11" s="46" t="s">
        <v>50</v>
      </c>
      <c r="B11" s="47" t="s">
        <v>51</v>
      </c>
      <c r="C11" s="48">
        <v>1.0</v>
      </c>
      <c r="D11" s="49"/>
      <c r="E11" s="50" t="s">
        <v>52</v>
      </c>
      <c r="F11" s="51">
        <f>S30</f>
        <v>0.4162124455</v>
      </c>
      <c r="G11" s="20" t="s">
        <v>16</v>
      </c>
      <c r="H11" s="20" t="s">
        <v>17</v>
      </c>
      <c r="I11" s="21">
        <f>$P$42</f>
        <v>0.2081062227</v>
      </c>
      <c r="J11" s="1"/>
      <c r="K11" s="1"/>
      <c r="L11" s="1"/>
      <c r="M11" s="1"/>
      <c r="N11" s="1"/>
      <c r="O11" s="1"/>
      <c r="P11" s="1"/>
      <c r="V11" s="1"/>
      <c r="W11" s="1"/>
      <c r="X11" s="37"/>
      <c r="Y11" s="37"/>
      <c r="Z11" s="37"/>
    </row>
    <row r="12" ht="14.25" customHeight="1">
      <c r="A12" s="52"/>
      <c r="B12" s="53" t="s">
        <v>53</v>
      </c>
      <c r="C12" s="54">
        <v>2.0</v>
      </c>
      <c r="D12" s="49"/>
      <c r="E12" s="55"/>
      <c r="F12" s="55"/>
      <c r="G12" s="20" t="s">
        <v>16</v>
      </c>
      <c r="H12" s="20" t="s">
        <v>19</v>
      </c>
      <c r="I12" s="21">
        <f>$P$43</f>
        <v>0.2081062227</v>
      </c>
      <c r="J12" s="1"/>
      <c r="K12" s="1"/>
      <c r="L12" s="1"/>
      <c r="M12" s="1"/>
      <c r="N12" s="1"/>
      <c r="O12" s="1"/>
      <c r="P12" s="1"/>
      <c r="V12" s="1"/>
      <c r="W12" s="1"/>
      <c r="X12" s="37"/>
      <c r="Y12" s="37"/>
      <c r="Z12" s="37"/>
    </row>
    <row r="13" ht="14.25" customHeight="1">
      <c r="A13" s="52"/>
      <c r="B13" s="53" t="s">
        <v>54</v>
      </c>
      <c r="C13" s="54">
        <v>3.0</v>
      </c>
      <c r="D13" s="49"/>
      <c r="E13" s="43" t="s">
        <v>55</v>
      </c>
      <c r="F13" s="51">
        <f>S31</f>
        <v>0.09857277289</v>
      </c>
      <c r="G13" s="20" t="s">
        <v>16</v>
      </c>
      <c r="H13" s="20" t="s">
        <v>23</v>
      </c>
      <c r="I13" s="21">
        <f>$N$50</f>
        <v>0.09857277289</v>
      </c>
      <c r="J13" s="1"/>
      <c r="K13" s="1"/>
      <c r="L13" s="1"/>
      <c r="M13" s="1"/>
      <c r="N13" s="1"/>
      <c r="O13" s="1"/>
      <c r="P13" s="1"/>
      <c r="V13" s="1"/>
      <c r="W13" s="1"/>
      <c r="X13" s="37"/>
      <c r="Y13" s="37"/>
      <c r="Z13" s="37"/>
    </row>
    <row r="14" ht="14.25" customHeight="1">
      <c r="A14" s="52"/>
      <c r="B14" s="53" t="s">
        <v>56</v>
      </c>
      <c r="C14" s="54">
        <v>4.0</v>
      </c>
      <c r="D14" s="49"/>
      <c r="E14" s="43" t="s">
        <v>27</v>
      </c>
      <c r="F14" s="55"/>
      <c r="G14" s="20" t="s">
        <v>26</v>
      </c>
      <c r="H14" s="20" t="s">
        <v>27</v>
      </c>
      <c r="I14" s="21">
        <f>$N$57</f>
        <v>0.2617879881</v>
      </c>
      <c r="J14" s="1"/>
      <c r="K14" s="1"/>
      <c r="L14" s="1"/>
      <c r="M14" s="1"/>
      <c r="N14" s="1"/>
      <c r="O14" s="1"/>
      <c r="P14" s="1"/>
      <c r="V14" s="1"/>
      <c r="W14" s="1"/>
      <c r="X14" s="37"/>
      <c r="Y14" s="37"/>
      <c r="Z14" s="37"/>
    </row>
    <row r="15" ht="14.25" customHeight="1">
      <c r="A15" s="52"/>
      <c r="B15" s="53" t="s">
        <v>57</v>
      </c>
      <c r="C15" s="54">
        <v>5.0</v>
      </c>
      <c r="D15" s="49"/>
      <c r="E15" s="50" t="s">
        <v>58</v>
      </c>
      <c r="F15" s="51">
        <f>S33</f>
        <v>0.06237638655</v>
      </c>
      <c r="G15" s="20" t="s">
        <v>26</v>
      </c>
      <c r="H15" s="20" t="s">
        <v>31</v>
      </c>
      <c r="I15" s="21">
        <f>$P$65</f>
        <v>0.03118819328</v>
      </c>
      <c r="J15" s="1"/>
      <c r="K15" s="1"/>
      <c r="L15" s="1"/>
      <c r="M15" s="1"/>
      <c r="N15" s="1"/>
      <c r="O15" s="1"/>
      <c r="P15" s="1"/>
      <c r="V15" s="1"/>
      <c r="W15" s="1"/>
      <c r="X15" s="37"/>
      <c r="Y15" s="37"/>
      <c r="Z15" s="37"/>
    </row>
    <row r="16" ht="14.25" customHeight="1">
      <c r="A16" s="52"/>
      <c r="B16" s="53" t="s">
        <v>59</v>
      </c>
      <c r="C16" s="54">
        <v>6.0</v>
      </c>
      <c r="D16" s="49"/>
      <c r="E16" s="55"/>
      <c r="F16" s="55"/>
      <c r="G16" s="20" t="s">
        <v>26</v>
      </c>
      <c r="H16" s="20" t="s">
        <v>33</v>
      </c>
      <c r="I16" s="21">
        <f>$P$66</f>
        <v>0.03118819328</v>
      </c>
      <c r="J16" s="1"/>
      <c r="K16" s="1"/>
      <c r="L16" s="1"/>
      <c r="M16" s="1"/>
      <c r="N16" s="1"/>
      <c r="O16" s="1"/>
      <c r="P16" s="1"/>
      <c r="V16" s="1"/>
      <c r="W16" s="1"/>
      <c r="X16" s="37"/>
      <c r="Y16" s="37"/>
      <c r="Z16" s="37"/>
    </row>
    <row r="17" ht="14.25" customHeight="1">
      <c r="A17" s="52"/>
      <c r="B17" s="53" t="s">
        <v>60</v>
      </c>
      <c r="C17" s="54">
        <v>7.0</v>
      </c>
      <c r="D17" s="49"/>
      <c r="E17" s="43" t="s">
        <v>61</v>
      </c>
      <c r="F17" s="56">
        <f>S34</f>
        <v>0.161050407</v>
      </c>
      <c r="G17" s="20" t="s">
        <v>16</v>
      </c>
      <c r="H17" s="20" t="s">
        <v>35</v>
      </c>
      <c r="I17" s="21">
        <f>$N$73</f>
        <v>0.161050407</v>
      </c>
      <c r="J17" s="1"/>
      <c r="K17" s="1"/>
      <c r="L17" s="1"/>
      <c r="M17" s="1"/>
      <c r="N17" s="1"/>
      <c r="O17" s="1"/>
      <c r="P17" s="1"/>
      <c r="V17" s="1"/>
      <c r="W17" s="1"/>
      <c r="X17" s="37"/>
      <c r="Y17" s="37"/>
      <c r="Z17" s="37"/>
    </row>
    <row r="18" ht="14.25" customHeight="1">
      <c r="A18" s="52"/>
      <c r="B18" s="53" t="s">
        <v>62</v>
      </c>
      <c r="C18" s="54">
        <v>8.0</v>
      </c>
      <c r="D18" s="4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V18" s="1"/>
      <c r="W18" s="1"/>
      <c r="X18" s="37"/>
      <c r="Y18" s="37"/>
      <c r="Z18" s="37"/>
    </row>
    <row r="19" ht="14.25" customHeight="1">
      <c r="A19" s="57"/>
      <c r="B19" s="53" t="s">
        <v>63</v>
      </c>
      <c r="C19" s="58">
        <v>9.0</v>
      </c>
      <c r="D19" s="5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7"/>
      <c r="Y19" s="37"/>
      <c r="Z19" s="37"/>
    </row>
    <row r="20" ht="14.25" customHeight="1">
      <c r="A20" s="60" t="s">
        <v>64</v>
      </c>
      <c r="B20" s="61" t="s">
        <v>65</v>
      </c>
      <c r="C20" s="62">
        <f>1/2</f>
        <v>0.5</v>
      </c>
      <c r="D20" s="37"/>
      <c r="E20" s="63" t="s">
        <v>66</v>
      </c>
      <c r="F20" s="64" t="s">
        <v>67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7"/>
      <c r="Y20" s="37"/>
      <c r="Z20" s="37"/>
    </row>
    <row r="21" ht="18.0" customHeight="1">
      <c r="A21" s="65"/>
      <c r="B21" s="66" t="s">
        <v>68</v>
      </c>
      <c r="C21" s="67">
        <f>1/3</f>
        <v>0.3333333333</v>
      </c>
      <c r="D21" s="59"/>
      <c r="E21" s="1"/>
      <c r="F21" s="64" t="s">
        <v>69</v>
      </c>
      <c r="J21" s="1"/>
      <c r="K21" s="1"/>
      <c r="L21" s="1"/>
      <c r="M21" s="42"/>
      <c r="N21" s="1"/>
      <c r="O21" s="1"/>
      <c r="P21" s="42"/>
      <c r="Q21" s="1"/>
      <c r="R21" s="1"/>
      <c r="S21" s="1"/>
      <c r="T21" s="1"/>
      <c r="U21" s="1"/>
      <c r="V21" s="1"/>
      <c r="W21" s="1"/>
      <c r="X21" s="37"/>
      <c r="Y21" s="37"/>
      <c r="Z21" s="37"/>
    </row>
    <row r="22" ht="14.25" customHeight="1">
      <c r="A22" s="65"/>
      <c r="B22" s="66" t="s">
        <v>70</v>
      </c>
      <c r="C22" s="67">
        <f>1/4</f>
        <v>0.25</v>
      </c>
      <c r="D22" s="59"/>
      <c r="E22" s="39" t="s">
        <v>71</v>
      </c>
      <c r="F22" s="1"/>
      <c r="G22" s="1"/>
      <c r="H22" s="1"/>
      <c r="I22" s="1"/>
      <c r="J22" s="1"/>
      <c r="K22" s="1"/>
      <c r="L22" s="39" t="s">
        <v>71</v>
      </c>
      <c r="M22" s="1"/>
      <c r="N22" s="1"/>
      <c r="O22" s="1"/>
      <c r="P22" s="1"/>
      <c r="Q22" s="1"/>
      <c r="R22" s="1"/>
      <c r="S22" s="1"/>
      <c r="T22" s="1"/>
      <c r="U22" s="1"/>
      <c r="V22" s="42"/>
      <c r="W22" s="1"/>
      <c r="X22" s="37"/>
      <c r="Y22" s="37"/>
      <c r="Z22" s="37"/>
    </row>
    <row r="23" ht="17.25" customHeight="1">
      <c r="A23" s="65"/>
      <c r="B23" s="66" t="s">
        <v>72</v>
      </c>
      <c r="C23" s="67">
        <f>1/5</f>
        <v>0.2</v>
      </c>
      <c r="D23" s="59"/>
      <c r="E23" s="68"/>
      <c r="F23" s="68" t="s">
        <v>52</v>
      </c>
      <c r="G23" s="68" t="s">
        <v>55</v>
      </c>
      <c r="H23" s="68" t="s">
        <v>27</v>
      </c>
      <c r="I23" s="68" t="s">
        <v>58</v>
      </c>
      <c r="J23" s="68" t="s">
        <v>61</v>
      </c>
      <c r="K23" s="1"/>
      <c r="L23" s="69"/>
      <c r="M23" s="68" t="s">
        <v>52</v>
      </c>
      <c r="N23" s="68" t="s">
        <v>55</v>
      </c>
      <c r="O23" s="68" t="s">
        <v>27</v>
      </c>
      <c r="P23" s="68" t="s">
        <v>58</v>
      </c>
      <c r="Q23" s="68" t="s">
        <v>61</v>
      </c>
      <c r="R23" s="1"/>
      <c r="S23" s="1"/>
      <c r="T23" s="1"/>
      <c r="U23" s="70" t="s">
        <v>73</v>
      </c>
      <c r="V23" s="71"/>
      <c r="W23" s="1"/>
      <c r="X23" s="37"/>
      <c r="Y23" s="37"/>
      <c r="Z23" s="37"/>
    </row>
    <row r="24" ht="14.25" customHeight="1">
      <c r="A24" s="65"/>
      <c r="B24" s="66" t="s">
        <v>74</v>
      </c>
      <c r="C24" s="67">
        <f>1/6</f>
        <v>0.1666666667</v>
      </c>
      <c r="D24" s="59"/>
      <c r="E24" s="68" t="s">
        <v>52</v>
      </c>
      <c r="F24" s="72" t="s">
        <v>51</v>
      </c>
      <c r="G24" s="73" t="s">
        <v>56</v>
      </c>
      <c r="H24" s="73" t="s">
        <v>53</v>
      </c>
      <c r="I24" s="73" t="s">
        <v>57</v>
      </c>
      <c r="J24" s="73" t="s">
        <v>54</v>
      </c>
      <c r="K24" s="1"/>
      <c r="L24" s="68" t="s">
        <v>52</v>
      </c>
      <c r="M24" s="74">
        <f t="shared" ref="M24:Q24" si="1">+VLOOKUP(F24,$B$11:$C$27,2,0)</f>
        <v>1</v>
      </c>
      <c r="N24" s="75">
        <f t="shared" si="1"/>
        <v>4</v>
      </c>
      <c r="O24" s="75">
        <f t="shared" si="1"/>
        <v>2</v>
      </c>
      <c r="P24" s="75">
        <f t="shared" si="1"/>
        <v>5</v>
      </c>
      <c r="Q24" s="75">
        <f t="shared" si="1"/>
        <v>3</v>
      </c>
      <c r="R24" s="1"/>
      <c r="S24" s="1"/>
      <c r="T24" s="1"/>
      <c r="U24" s="76">
        <f t="array" ref="U24:U28">MMULT(M24:Q28,R30:R34)</f>
        <v>2.129112667</v>
      </c>
      <c r="V24" s="77">
        <f t="shared" ref="V24:V28" si="3">+U24/R30</f>
        <v>5.115446907</v>
      </c>
      <c r="W24" s="1"/>
      <c r="X24" s="37"/>
      <c r="Y24" s="37"/>
      <c r="Z24" s="37"/>
    </row>
    <row r="25" ht="33.75" customHeight="1">
      <c r="A25" s="65"/>
      <c r="B25" s="66" t="s">
        <v>75</v>
      </c>
      <c r="C25" s="67">
        <f>1/7</f>
        <v>0.1428571429</v>
      </c>
      <c r="D25" s="59"/>
      <c r="E25" s="68" t="s">
        <v>55</v>
      </c>
      <c r="F25" s="78"/>
      <c r="G25" s="72" t="s">
        <v>51</v>
      </c>
      <c r="H25" s="73" t="s">
        <v>68</v>
      </c>
      <c r="I25" s="73" t="s">
        <v>53</v>
      </c>
      <c r="J25" s="73" t="s">
        <v>65</v>
      </c>
      <c r="K25" s="1"/>
      <c r="L25" s="68" t="s">
        <v>55</v>
      </c>
      <c r="M25" s="79">
        <f>1/N24</f>
        <v>0.25</v>
      </c>
      <c r="N25" s="74">
        <f t="shared" ref="N25:Q25" si="2">+VLOOKUP(G25,$B$11:$C$27,2,0)</f>
        <v>1</v>
      </c>
      <c r="O25" s="75">
        <f t="shared" si="2"/>
        <v>0.3333333333</v>
      </c>
      <c r="P25" s="75">
        <f t="shared" si="2"/>
        <v>2</v>
      </c>
      <c r="Q25" s="75">
        <f t="shared" si="2"/>
        <v>0.5</v>
      </c>
      <c r="R25" s="1"/>
      <c r="S25" s="1"/>
      <c r="T25" s="1"/>
      <c r="U25" s="76">
        <v>0.49516652355559754</v>
      </c>
      <c r="V25" s="77">
        <f t="shared" si="3"/>
        <v>5.023359991</v>
      </c>
      <c r="W25" s="1"/>
      <c r="X25" s="37"/>
      <c r="Y25" s="37"/>
      <c r="Z25" s="37"/>
    </row>
    <row r="26" ht="28.5" customHeight="1">
      <c r="A26" s="65"/>
      <c r="B26" s="66" t="s">
        <v>76</v>
      </c>
      <c r="C26" s="67">
        <f>1/8</f>
        <v>0.125</v>
      </c>
      <c r="D26" s="59"/>
      <c r="E26" s="68" t="s">
        <v>27</v>
      </c>
      <c r="F26" s="78"/>
      <c r="G26" s="78"/>
      <c r="H26" s="72" t="s">
        <v>51</v>
      </c>
      <c r="I26" s="73" t="s">
        <v>56</v>
      </c>
      <c r="J26" s="73" t="s">
        <v>53</v>
      </c>
      <c r="K26" s="1"/>
      <c r="L26" s="68" t="s">
        <v>27</v>
      </c>
      <c r="M26" s="79">
        <f>1/O24</f>
        <v>0.5</v>
      </c>
      <c r="N26" s="79">
        <f>1/O25</f>
        <v>3</v>
      </c>
      <c r="O26" s="74">
        <f t="shared" ref="O26:Q26" si="4">+VLOOKUP(H26,$B$11:$C$27,2,0)</f>
        <v>1</v>
      </c>
      <c r="P26" s="75">
        <f t="shared" si="4"/>
        <v>4</v>
      </c>
      <c r="Q26" s="75">
        <f t="shared" si="4"/>
        <v>2</v>
      </c>
      <c r="R26" s="1"/>
      <c r="S26" s="1"/>
      <c r="T26" s="1"/>
      <c r="U26" s="76">
        <v>1.3372188896922486</v>
      </c>
      <c r="V26" s="77">
        <f t="shared" si="3"/>
        <v>5.108022333</v>
      </c>
      <c r="W26" s="1"/>
      <c r="X26" s="37"/>
      <c r="Y26" s="37"/>
      <c r="Z26" s="37"/>
    </row>
    <row r="27" ht="14.25" customHeight="1">
      <c r="A27" s="80"/>
      <c r="B27" s="66" t="s">
        <v>77</v>
      </c>
      <c r="C27" s="67">
        <f>1/9</f>
        <v>0.1111111111</v>
      </c>
      <c r="D27" s="59"/>
      <c r="E27" s="68" t="s">
        <v>58</v>
      </c>
      <c r="F27" s="78"/>
      <c r="G27" s="81"/>
      <c r="H27" s="81"/>
      <c r="I27" s="72" t="s">
        <v>51</v>
      </c>
      <c r="J27" s="73" t="s">
        <v>68</v>
      </c>
      <c r="K27" s="1"/>
      <c r="L27" s="68" t="s">
        <v>58</v>
      </c>
      <c r="M27" s="82">
        <f>1/P24</f>
        <v>0.2</v>
      </c>
      <c r="N27" s="82">
        <f>1/P25</f>
        <v>0.5</v>
      </c>
      <c r="O27" s="82">
        <f>1/P26</f>
        <v>0.25</v>
      </c>
      <c r="P27" s="74">
        <f t="shared" ref="P27:Q27" si="5">+VLOOKUP(I27,$B$11:$C$27,2,0)</f>
        <v>1</v>
      </c>
      <c r="Q27" s="75">
        <f t="shared" si="5"/>
        <v>0.3333333333</v>
      </c>
      <c r="R27" s="1"/>
      <c r="S27" s="1"/>
      <c r="T27" s="1"/>
      <c r="U27" s="78">
        <v>0.3140357281123831</v>
      </c>
      <c r="V27" s="77">
        <f t="shared" si="3"/>
        <v>5.034529018</v>
      </c>
      <c r="W27" s="1"/>
      <c r="X27" s="37"/>
      <c r="Y27" s="37"/>
      <c r="Z27" s="37"/>
    </row>
    <row r="28" ht="29.25" customHeight="1">
      <c r="A28" s="1"/>
      <c r="B28" s="1"/>
      <c r="C28" s="1"/>
      <c r="D28" s="1"/>
      <c r="E28" s="68" t="s">
        <v>61</v>
      </c>
      <c r="F28" s="78"/>
      <c r="G28" s="78"/>
      <c r="H28" s="78"/>
      <c r="I28" s="78"/>
      <c r="J28" s="72" t="s">
        <v>51</v>
      </c>
      <c r="K28" s="1"/>
      <c r="L28" s="68" t="s">
        <v>61</v>
      </c>
      <c r="M28" s="82">
        <f>1/Q24</f>
        <v>0.3333333333</v>
      </c>
      <c r="N28" s="82">
        <f>1/Q25</f>
        <v>2</v>
      </c>
      <c r="O28" s="82">
        <f>1/Q26</f>
        <v>0.5</v>
      </c>
      <c r="P28" s="82">
        <f>1/Q27</f>
        <v>3</v>
      </c>
      <c r="Q28" s="74">
        <f>+VLOOKUP(J28,$B$11:$C$27,2,0)</f>
        <v>1</v>
      </c>
      <c r="R28" s="1"/>
      <c r="S28" s="1"/>
      <c r="T28" s="1"/>
      <c r="U28" s="78">
        <v>0.8149565882967036</v>
      </c>
      <c r="V28" s="77">
        <f t="shared" si="3"/>
        <v>5.060257863</v>
      </c>
      <c r="W28" s="1"/>
      <c r="X28" s="37"/>
      <c r="Y28" s="37"/>
      <c r="Z28" s="37"/>
    </row>
    <row r="29" ht="18.0" customHeight="1">
      <c r="A29" s="1"/>
      <c r="B29" s="83"/>
      <c r="C29" s="84"/>
      <c r="D29" s="84"/>
      <c r="E29" s="84"/>
      <c r="F29" s="84"/>
      <c r="G29" s="84"/>
      <c r="H29" s="84"/>
      <c r="I29" s="1"/>
      <c r="J29" s="1"/>
      <c r="K29" s="1"/>
      <c r="L29" s="85" t="s">
        <v>78</v>
      </c>
      <c r="M29" s="86"/>
      <c r="N29" s="86"/>
      <c r="O29" s="86"/>
      <c r="P29" s="86"/>
      <c r="Q29" s="87"/>
      <c r="R29" s="88" t="s">
        <v>79</v>
      </c>
      <c r="S29" s="89" t="s">
        <v>80</v>
      </c>
      <c r="T29" s="1"/>
      <c r="U29" s="90" t="s">
        <v>81</v>
      </c>
      <c r="V29" s="91">
        <f>+AVERAGE(V24:V28)</f>
        <v>5.068323222</v>
      </c>
      <c r="W29" s="1"/>
      <c r="X29" s="37"/>
      <c r="Y29" s="37"/>
      <c r="Z29" s="37"/>
    </row>
    <row r="30" ht="18.0" customHeight="1">
      <c r="A30" s="1"/>
      <c r="B30" s="83"/>
      <c r="C30" s="84"/>
      <c r="D30" s="84"/>
      <c r="E30" s="84"/>
      <c r="F30" s="84"/>
      <c r="G30" s="84"/>
      <c r="H30" s="84"/>
      <c r="I30" s="1"/>
      <c r="J30" s="1"/>
      <c r="K30" s="1"/>
      <c r="L30" s="68" t="s">
        <v>52</v>
      </c>
      <c r="M30" s="92">
        <f t="shared" ref="M30:Q30" si="6">+M24/SUM(M$24:M$28)</f>
        <v>0.4379562044</v>
      </c>
      <c r="N30" s="92">
        <f t="shared" si="6"/>
        <v>0.380952381</v>
      </c>
      <c r="O30" s="92">
        <f t="shared" si="6"/>
        <v>0.4897959184</v>
      </c>
      <c r="P30" s="92">
        <f t="shared" si="6"/>
        <v>0.3333333333</v>
      </c>
      <c r="Q30" s="92">
        <f t="shared" si="6"/>
        <v>0.4390243902</v>
      </c>
      <c r="R30" s="93">
        <f t="shared" ref="R30:R34" si="8">+AVERAGE(M30:Q30)</f>
        <v>0.4162124455</v>
      </c>
      <c r="S30" s="93">
        <f t="shared" ref="S30:S34" si="9">+R30</f>
        <v>0.4162124455</v>
      </c>
      <c r="T30" s="1"/>
      <c r="U30" s="94" t="s">
        <v>82</v>
      </c>
      <c r="V30" s="77">
        <f>+(V29-5)/(5-1)</f>
        <v>0.0170808056</v>
      </c>
      <c r="W30" s="1"/>
      <c r="X30" s="37"/>
      <c r="Y30" s="37"/>
      <c r="Z30" s="37"/>
    </row>
    <row r="31" ht="18.0" customHeight="1">
      <c r="A31" s="1"/>
      <c r="B31" s="39" t="s">
        <v>83</v>
      </c>
      <c r="C31" s="1"/>
      <c r="D31" s="1"/>
      <c r="E31" s="1"/>
      <c r="F31" s="1"/>
      <c r="G31" s="1"/>
      <c r="H31" s="1"/>
      <c r="I31" s="1"/>
      <c r="J31" s="1"/>
      <c r="K31" s="1"/>
      <c r="L31" s="68" t="s">
        <v>55</v>
      </c>
      <c r="M31" s="92">
        <f t="shared" ref="M31:Q31" si="7">+M25/SUM(M$24:M$28)</f>
        <v>0.1094890511</v>
      </c>
      <c r="N31" s="92">
        <f t="shared" si="7"/>
        <v>0.09523809524</v>
      </c>
      <c r="O31" s="92">
        <f t="shared" si="7"/>
        <v>0.08163265306</v>
      </c>
      <c r="P31" s="92">
        <f t="shared" si="7"/>
        <v>0.1333333333</v>
      </c>
      <c r="Q31" s="92">
        <f t="shared" si="7"/>
        <v>0.07317073171</v>
      </c>
      <c r="R31" s="93">
        <f t="shared" si="8"/>
        <v>0.09857277289</v>
      </c>
      <c r="S31" s="93">
        <f t="shared" si="9"/>
        <v>0.09857277289</v>
      </c>
      <c r="T31" s="1"/>
      <c r="U31" s="94" t="s">
        <v>84</v>
      </c>
      <c r="V31" s="77">
        <f>+$G$33</f>
        <v>1.115</v>
      </c>
      <c r="W31" s="1"/>
      <c r="X31" s="37"/>
      <c r="Y31" s="37"/>
      <c r="Z31" s="37"/>
    </row>
    <row r="32" ht="18.0" customHeight="1">
      <c r="A32" s="1"/>
      <c r="B32" s="95" t="s">
        <v>85</v>
      </c>
      <c r="C32" s="90">
        <v>1.0</v>
      </c>
      <c r="D32" s="90">
        <v>2.0</v>
      </c>
      <c r="E32" s="90">
        <v>3.0</v>
      </c>
      <c r="F32" s="90">
        <v>4.0</v>
      </c>
      <c r="G32" s="90">
        <v>5.0</v>
      </c>
      <c r="H32" s="90">
        <v>6.0</v>
      </c>
      <c r="I32" s="90">
        <v>7.0</v>
      </c>
      <c r="J32" s="1"/>
      <c r="K32" s="1"/>
      <c r="L32" s="68" t="s">
        <v>27</v>
      </c>
      <c r="M32" s="92">
        <f t="shared" ref="M32:Q32" si="10">+M26/SUM(M$24:M$28)</f>
        <v>0.2189781022</v>
      </c>
      <c r="N32" s="92">
        <f t="shared" si="10"/>
        <v>0.2857142857</v>
      </c>
      <c r="O32" s="92">
        <f t="shared" si="10"/>
        <v>0.2448979592</v>
      </c>
      <c r="P32" s="92">
        <f t="shared" si="10"/>
        <v>0.2666666667</v>
      </c>
      <c r="Q32" s="92">
        <f t="shared" si="10"/>
        <v>0.2926829268</v>
      </c>
      <c r="R32" s="93">
        <f t="shared" si="8"/>
        <v>0.2617879881</v>
      </c>
      <c r="S32" s="93">
        <f t="shared" si="9"/>
        <v>0.2617879881</v>
      </c>
      <c r="T32" s="1"/>
      <c r="U32" s="96" t="s">
        <v>86</v>
      </c>
      <c r="V32" s="97">
        <f>+V30/V31</f>
        <v>0.01531910816</v>
      </c>
      <c r="W32" s="1" t="str">
        <f>+IF(V32&lt;=0.1,"OK","Muy alto, revisar juicios")</f>
        <v>OK</v>
      </c>
      <c r="X32" s="37"/>
      <c r="Y32" s="37"/>
      <c r="Z32" s="37"/>
    </row>
    <row r="33" ht="14.25" customHeight="1">
      <c r="A33" s="1"/>
      <c r="B33" s="95" t="s">
        <v>87</v>
      </c>
      <c r="C33" s="90">
        <v>0.0</v>
      </c>
      <c r="D33" s="90">
        <v>0.0</v>
      </c>
      <c r="E33" s="90">
        <v>0.525</v>
      </c>
      <c r="F33" s="90">
        <v>0.882</v>
      </c>
      <c r="G33" s="90">
        <v>1.115</v>
      </c>
      <c r="H33" s="90">
        <v>1.252</v>
      </c>
      <c r="I33" s="90">
        <v>1.341</v>
      </c>
      <c r="J33" s="1"/>
      <c r="K33" s="1"/>
      <c r="L33" s="68" t="s">
        <v>58</v>
      </c>
      <c r="M33" s="92">
        <f t="shared" ref="M33:Q33" si="11">+M27/SUM(M$24:M$28)</f>
        <v>0.08759124088</v>
      </c>
      <c r="N33" s="92">
        <f t="shared" si="11"/>
        <v>0.04761904762</v>
      </c>
      <c r="O33" s="92">
        <f t="shared" si="11"/>
        <v>0.0612244898</v>
      </c>
      <c r="P33" s="92">
        <f t="shared" si="11"/>
        <v>0.06666666667</v>
      </c>
      <c r="Q33" s="92">
        <f t="shared" si="11"/>
        <v>0.0487804878</v>
      </c>
      <c r="R33" s="93">
        <f t="shared" si="8"/>
        <v>0.06237638655</v>
      </c>
      <c r="S33" s="93">
        <f t="shared" si="9"/>
        <v>0.06237638655</v>
      </c>
      <c r="T33" s="1"/>
      <c r="U33" s="1"/>
      <c r="V33" s="1"/>
      <c r="W33" s="1"/>
      <c r="X33" s="37"/>
      <c r="Y33" s="37"/>
      <c r="Z33" s="37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68" t="s">
        <v>61</v>
      </c>
      <c r="M34" s="92">
        <f t="shared" ref="M34:Q34" si="12">+M28/SUM(M$24:M$28)</f>
        <v>0.1459854015</v>
      </c>
      <c r="N34" s="92">
        <f t="shared" si="12"/>
        <v>0.1904761905</v>
      </c>
      <c r="O34" s="92">
        <f t="shared" si="12"/>
        <v>0.1224489796</v>
      </c>
      <c r="P34" s="92">
        <f t="shared" si="12"/>
        <v>0.2</v>
      </c>
      <c r="Q34" s="92">
        <f t="shared" si="12"/>
        <v>0.1463414634</v>
      </c>
      <c r="R34" s="93">
        <f t="shared" si="8"/>
        <v>0.161050407</v>
      </c>
      <c r="S34" s="93">
        <f t="shared" si="9"/>
        <v>0.161050407</v>
      </c>
      <c r="T34" s="1"/>
      <c r="U34" s="1"/>
      <c r="V34" s="1"/>
      <c r="W34" s="1"/>
      <c r="X34" s="37"/>
      <c r="Y34" s="37"/>
      <c r="Z34" s="37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3" t="s">
        <v>88</v>
      </c>
      <c r="R35" s="84">
        <f>+SUM(R30:R34)</f>
        <v>1</v>
      </c>
      <c r="S35" s="1"/>
      <c r="T35" s="1"/>
      <c r="U35" s="1"/>
      <c r="V35" s="1"/>
      <c r="W35" s="1"/>
      <c r="X35" s="37"/>
      <c r="Y35" s="37"/>
      <c r="Z35" s="37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7"/>
      <c r="Y36" s="37"/>
      <c r="Z36" s="37"/>
    </row>
    <row r="37" ht="21.75" customHeight="1">
      <c r="A37" s="1"/>
      <c r="B37" s="1"/>
      <c r="C37" s="1"/>
      <c r="D37" s="1"/>
      <c r="E37" s="1"/>
      <c r="F37" s="1"/>
      <c r="G37" s="1"/>
      <c r="H37" s="39" t="s">
        <v>89</v>
      </c>
      <c r="I37" s="1"/>
      <c r="J37" s="1"/>
      <c r="K37" s="1"/>
      <c r="L37" s="39" t="s">
        <v>89</v>
      </c>
      <c r="M37" s="1"/>
      <c r="N37" s="1"/>
      <c r="O37" s="1"/>
      <c r="P37" s="1"/>
      <c r="Q37" s="1"/>
      <c r="R37" s="1"/>
      <c r="S37" s="1"/>
      <c r="T37" s="37"/>
      <c r="U37" s="1"/>
      <c r="V37" s="1"/>
      <c r="W37" s="1"/>
      <c r="X37" s="37"/>
      <c r="Y37" s="37"/>
      <c r="Z37" s="37"/>
    </row>
    <row r="38" ht="14.25" customHeight="1">
      <c r="A38" s="1"/>
      <c r="B38" s="1"/>
      <c r="C38" s="1"/>
      <c r="D38" s="1"/>
      <c r="E38" s="1"/>
      <c r="F38" s="1"/>
      <c r="G38" s="1"/>
      <c r="H38" s="68"/>
      <c r="I38" s="68" t="s">
        <v>17</v>
      </c>
      <c r="J38" s="68" t="s">
        <v>19</v>
      </c>
      <c r="K38" s="1"/>
      <c r="L38" s="68"/>
      <c r="M38" s="68" t="s">
        <v>17</v>
      </c>
      <c r="N38" s="68" t="s">
        <v>19</v>
      </c>
      <c r="O38" s="98"/>
      <c r="P38" s="98"/>
      <c r="Q38" s="1"/>
      <c r="R38" s="1"/>
      <c r="S38" s="1"/>
      <c r="T38" s="1"/>
      <c r="U38" s="1"/>
      <c r="V38" s="1"/>
      <c r="W38" s="1"/>
      <c r="X38" s="37"/>
      <c r="Y38" s="37"/>
      <c r="Z38" s="37"/>
    </row>
    <row r="39" ht="14.25" customHeight="1">
      <c r="A39" s="1"/>
      <c r="B39" s="1"/>
      <c r="C39" s="1"/>
      <c r="D39" s="1"/>
      <c r="E39" s="1"/>
      <c r="F39" s="1"/>
      <c r="G39" s="1"/>
      <c r="H39" s="68" t="s">
        <v>17</v>
      </c>
      <c r="I39" s="72" t="s">
        <v>51</v>
      </c>
      <c r="J39" s="99" t="s">
        <v>51</v>
      </c>
      <c r="K39" s="1"/>
      <c r="L39" s="68" t="s">
        <v>17</v>
      </c>
      <c r="M39" s="100">
        <f t="shared" ref="M39:N39" si="13">+VLOOKUP(I39,$B$11:$C$27,2,0)</f>
        <v>1</v>
      </c>
      <c r="N39" s="101">
        <f t="shared" si="13"/>
        <v>1</v>
      </c>
      <c r="O39" s="98"/>
      <c r="P39" s="98"/>
      <c r="Q39" s="1"/>
      <c r="R39" s="1"/>
      <c r="S39" s="1"/>
      <c r="T39" s="1"/>
      <c r="U39" s="1"/>
      <c r="V39" s="1"/>
      <c r="W39" s="1"/>
      <c r="X39" s="37"/>
      <c r="Y39" s="37"/>
      <c r="Z39" s="37"/>
    </row>
    <row r="40" ht="14.25" customHeight="1">
      <c r="A40" s="1"/>
      <c r="B40" s="1"/>
      <c r="C40" s="1"/>
      <c r="D40" s="1"/>
      <c r="E40" s="1"/>
      <c r="F40" s="1"/>
      <c r="G40" s="1"/>
      <c r="H40" s="68" t="s">
        <v>19</v>
      </c>
      <c r="I40" s="102"/>
      <c r="J40" s="72" t="s">
        <v>51</v>
      </c>
      <c r="K40" s="1"/>
      <c r="L40" s="103" t="s">
        <v>19</v>
      </c>
      <c r="M40" s="104">
        <f>1/N39</f>
        <v>1</v>
      </c>
      <c r="N40" s="100">
        <f>+VLOOKUP(J40,$B$11:$C$27,2,0)</f>
        <v>1</v>
      </c>
      <c r="O40" s="98"/>
      <c r="P40" s="98"/>
      <c r="Q40" s="1"/>
      <c r="R40" s="1"/>
      <c r="S40" s="1"/>
      <c r="T40" s="1"/>
      <c r="U40" s="1"/>
      <c r="V40" s="1"/>
      <c r="W40" s="1"/>
      <c r="X40" s="37"/>
      <c r="Y40" s="37"/>
      <c r="Z40" s="37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05" t="s">
        <v>78</v>
      </c>
      <c r="M41" s="86"/>
      <c r="N41" s="87"/>
      <c r="O41" s="88" t="s">
        <v>79</v>
      </c>
      <c r="P41" s="89" t="s">
        <v>80</v>
      </c>
      <c r="Q41" s="1"/>
      <c r="R41" s="1"/>
      <c r="S41" s="1"/>
      <c r="T41" s="1"/>
      <c r="U41" s="1"/>
      <c r="V41" s="1"/>
      <c r="W41" s="1"/>
      <c r="X41" s="37"/>
      <c r="Y41" s="37"/>
      <c r="Z41" s="37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68" t="s">
        <v>17</v>
      </c>
      <c r="M42" s="92">
        <f t="shared" ref="M42:N42" si="14">+M39/SUM(M$39:M$40)</f>
        <v>0.5</v>
      </c>
      <c r="N42" s="92">
        <f t="shared" si="14"/>
        <v>0.5</v>
      </c>
      <c r="O42" s="93">
        <f t="shared" ref="O42:O43" si="16">+AVERAGE(M42:N42)</f>
        <v>0.5</v>
      </c>
      <c r="P42" s="93">
        <f t="shared" ref="P42:P43" si="17">+O42*$R$30</f>
        <v>0.2081062227</v>
      </c>
      <c r="Q42" s="1"/>
      <c r="R42" s="1"/>
      <c r="S42" s="1"/>
      <c r="T42" s="1"/>
      <c r="U42" s="1"/>
      <c r="V42" s="1"/>
      <c r="W42" s="1"/>
      <c r="X42" s="37"/>
      <c r="Y42" s="37"/>
      <c r="Z42" s="37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68" t="s">
        <v>19</v>
      </c>
      <c r="M43" s="92">
        <f t="shared" ref="M43:N43" si="15">+M40/SUM(M$39:M$40)</f>
        <v>0.5</v>
      </c>
      <c r="N43" s="92">
        <f t="shared" si="15"/>
        <v>0.5</v>
      </c>
      <c r="O43" s="93">
        <f t="shared" si="16"/>
        <v>0.5</v>
      </c>
      <c r="P43" s="93">
        <f t="shared" si="17"/>
        <v>0.2081062227</v>
      </c>
      <c r="Q43" s="1"/>
      <c r="R43" s="1"/>
      <c r="S43" s="1"/>
      <c r="T43" s="1"/>
      <c r="U43" s="1"/>
      <c r="V43" s="1"/>
      <c r="W43" s="1"/>
      <c r="X43" s="37"/>
      <c r="Y43" s="37"/>
      <c r="Z43" s="37"/>
    </row>
    <row r="44" ht="14.25" customHeight="1">
      <c r="A44" s="1"/>
      <c r="B44" s="1"/>
      <c r="C44" s="1"/>
      <c r="D44" s="1"/>
      <c r="E44" s="39"/>
      <c r="F44" s="1"/>
      <c r="G44" s="1"/>
      <c r="H44" s="1"/>
      <c r="I44" s="1"/>
      <c r="J44" s="1"/>
      <c r="K44" s="1"/>
      <c r="L44" s="83"/>
      <c r="M44" s="106"/>
      <c r="N44" s="63" t="s">
        <v>88</v>
      </c>
      <c r="O44" s="84">
        <f>+SUM(O42:O43)</f>
        <v>1</v>
      </c>
      <c r="P44" s="106"/>
      <c r="Q44" s="1"/>
      <c r="R44" s="1"/>
      <c r="S44" s="1"/>
      <c r="T44" s="1"/>
      <c r="U44" s="1"/>
      <c r="V44" s="1"/>
      <c r="W44" s="1"/>
      <c r="X44" s="37"/>
      <c r="Y44" s="37"/>
      <c r="Z44" s="37"/>
    </row>
    <row r="45" ht="14.25" customHeight="1">
      <c r="A45" s="1"/>
      <c r="B45" s="1"/>
      <c r="C45" s="1"/>
      <c r="D45" s="1"/>
      <c r="E45" s="49"/>
      <c r="F45" s="49"/>
      <c r="G45" s="49"/>
      <c r="H45" s="49"/>
      <c r="I45" s="49"/>
      <c r="J45" s="4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37"/>
      <c r="Y45" s="37"/>
      <c r="Z45" s="37"/>
    </row>
    <row r="46" ht="14.25" customHeight="1">
      <c r="A46" s="1"/>
      <c r="B46" s="1"/>
      <c r="C46" s="1"/>
      <c r="D46" s="1"/>
      <c r="E46" s="49"/>
      <c r="F46" s="49"/>
      <c r="G46" s="107"/>
      <c r="H46" s="107"/>
      <c r="I46" s="107"/>
      <c r="J46" s="107"/>
      <c r="K46" s="1"/>
      <c r="L46" s="39" t="s">
        <v>90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7"/>
      <c r="Y46" s="37"/>
      <c r="Z46" s="37"/>
    </row>
    <row r="47" ht="14.25" customHeight="1">
      <c r="A47" s="1"/>
      <c r="B47" s="1"/>
      <c r="C47" s="1"/>
      <c r="D47" s="1"/>
      <c r="E47" s="49"/>
      <c r="F47" s="6"/>
      <c r="G47" s="49"/>
      <c r="H47" s="107"/>
      <c r="I47" s="107"/>
      <c r="J47" s="107"/>
      <c r="K47" s="1"/>
      <c r="L47" s="68"/>
      <c r="M47" s="68" t="s">
        <v>23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37"/>
      <c r="Y47" s="37"/>
      <c r="Z47" s="37"/>
    </row>
    <row r="48" ht="14.25" customHeight="1">
      <c r="A48" s="1"/>
      <c r="B48" s="1"/>
      <c r="C48" s="1"/>
      <c r="D48" s="1"/>
      <c r="E48" s="49"/>
      <c r="F48" s="6"/>
      <c r="G48" s="6"/>
      <c r="H48" s="49"/>
      <c r="I48" s="107"/>
      <c r="J48" s="107"/>
      <c r="K48" s="1"/>
      <c r="L48" s="68" t="s">
        <v>23</v>
      </c>
      <c r="M48" s="108">
        <v>1.0</v>
      </c>
      <c r="N48" s="109"/>
      <c r="O48" s="1"/>
      <c r="P48" s="1"/>
      <c r="Q48" s="1"/>
      <c r="R48" s="37"/>
      <c r="S48" s="37"/>
      <c r="T48" s="37"/>
      <c r="U48" s="1"/>
      <c r="V48" s="1"/>
      <c r="W48" s="1"/>
      <c r="X48" s="37"/>
      <c r="Y48" s="37"/>
      <c r="Z48" s="37"/>
    </row>
    <row r="49" ht="14.25" customHeight="1">
      <c r="A49" s="1"/>
      <c r="B49" s="1"/>
      <c r="C49" s="1"/>
      <c r="D49" s="1"/>
      <c r="E49" s="49"/>
      <c r="F49" s="6"/>
      <c r="G49" s="110"/>
      <c r="H49" s="110"/>
      <c r="I49" s="49"/>
      <c r="J49" s="107"/>
      <c r="K49" s="1"/>
      <c r="L49" s="111"/>
      <c r="M49" s="111" t="s">
        <v>79</v>
      </c>
      <c r="N49" s="112" t="s">
        <v>80</v>
      </c>
      <c r="O49" s="1"/>
      <c r="P49" s="1"/>
      <c r="Q49" s="1"/>
      <c r="R49" s="37"/>
      <c r="S49" s="37"/>
      <c r="T49" s="37"/>
      <c r="U49" s="1"/>
      <c r="V49" s="1"/>
      <c r="W49" s="1"/>
      <c r="X49" s="37"/>
      <c r="Y49" s="37"/>
      <c r="Z49" s="37"/>
    </row>
    <row r="50" ht="14.25" customHeight="1">
      <c r="A50" s="1"/>
      <c r="B50" s="1"/>
      <c r="C50" s="1"/>
      <c r="D50" s="1"/>
      <c r="E50" s="49"/>
      <c r="F50" s="6"/>
      <c r="G50" s="6"/>
      <c r="H50" s="6"/>
      <c r="I50" s="6"/>
      <c r="J50" s="49"/>
      <c r="K50" s="1"/>
      <c r="L50" s="68" t="s">
        <v>23</v>
      </c>
      <c r="M50" s="113">
        <v>1.0</v>
      </c>
      <c r="N50" s="113">
        <f>+M50*$R$31</f>
        <v>0.09857277289</v>
      </c>
      <c r="O50" s="1"/>
      <c r="P50" s="1"/>
      <c r="Q50" s="1"/>
      <c r="R50" s="1"/>
      <c r="S50" s="1"/>
      <c r="T50" s="37"/>
      <c r="U50" s="37"/>
      <c r="V50" s="37"/>
      <c r="W50" s="37"/>
      <c r="X50" s="37"/>
      <c r="Y50" s="37"/>
      <c r="Z50" s="37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7"/>
      <c r="U51" s="37"/>
      <c r="V51" s="37"/>
      <c r="W51" s="37"/>
      <c r="X51" s="37"/>
      <c r="Y51" s="37"/>
      <c r="Z51" s="37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7"/>
      <c r="U52" s="37"/>
      <c r="V52" s="37"/>
      <c r="W52" s="37"/>
      <c r="X52" s="37"/>
      <c r="Y52" s="37"/>
      <c r="Z52" s="37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9" t="s">
        <v>91</v>
      </c>
      <c r="M53" s="1"/>
      <c r="N53" s="1"/>
      <c r="O53" s="1"/>
      <c r="P53" s="1"/>
      <c r="Q53" s="1"/>
      <c r="R53" s="1"/>
      <c r="S53" s="1"/>
      <c r="T53" s="37"/>
      <c r="U53" s="37"/>
      <c r="V53" s="37"/>
      <c r="W53" s="37"/>
      <c r="X53" s="37"/>
      <c r="Y53" s="37"/>
      <c r="Z53" s="37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68"/>
      <c r="M54" s="69" t="s">
        <v>27</v>
      </c>
      <c r="N54" s="1"/>
      <c r="O54" s="1"/>
      <c r="P54" s="1"/>
      <c r="Q54" s="1"/>
      <c r="R54" s="1"/>
      <c r="S54" s="1"/>
      <c r="T54" s="37"/>
      <c r="U54" s="37"/>
      <c r="V54" s="37"/>
      <c r="W54" s="37"/>
      <c r="X54" s="37"/>
      <c r="Y54" s="37"/>
      <c r="Z54" s="37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69" t="s">
        <v>27</v>
      </c>
      <c r="M55" s="108">
        <v>1.0</v>
      </c>
      <c r="N55" s="109"/>
      <c r="O55" s="1"/>
      <c r="P55" s="1"/>
      <c r="Q55" s="1"/>
      <c r="R55" s="1"/>
      <c r="S55" s="1"/>
      <c r="T55" s="37"/>
      <c r="U55" s="37"/>
      <c r="V55" s="37"/>
      <c r="W55" s="37"/>
      <c r="X55" s="37"/>
      <c r="Y55" s="37"/>
      <c r="Z55" s="37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11"/>
      <c r="M56" s="111" t="s">
        <v>79</v>
      </c>
      <c r="N56" s="112" t="s">
        <v>80</v>
      </c>
      <c r="O56" s="1"/>
      <c r="P56" s="1"/>
      <c r="Q56" s="1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14" t="s">
        <v>27</v>
      </c>
      <c r="M57" s="113">
        <v>1.0</v>
      </c>
      <c r="N57" s="113">
        <f>+M57*$R$32</f>
        <v>0.2617879881</v>
      </c>
      <c r="O57" s="1"/>
      <c r="P57" s="1"/>
      <c r="Q57" s="1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1"/>
      <c r="B60" s="1"/>
      <c r="C60" s="1"/>
      <c r="D60" s="1"/>
      <c r="E60" s="1"/>
      <c r="F60" s="1"/>
      <c r="G60" s="1"/>
      <c r="H60" s="39" t="s">
        <v>92</v>
      </c>
      <c r="I60" s="1"/>
      <c r="J60" s="1"/>
      <c r="K60" s="1"/>
      <c r="L60" s="39" t="s">
        <v>92</v>
      </c>
      <c r="M60" s="1"/>
      <c r="N60" s="1"/>
      <c r="O60" s="1"/>
      <c r="P60" s="1"/>
      <c r="Q60" s="1"/>
      <c r="R60" s="1"/>
      <c r="S60" s="1"/>
      <c r="T60" s="37"/>
      <c r="U60" s="1"/>
      <c r="V60" s="37"/>
      <c r="W60" s="37"/>
      <c r="X60" s="37"/>
      <c r="Y60" s="37"/>
      <c r="Z60" s="37"/>
    </row>
    <row r="61" ht="14.25" customHeight="1">
      <c r="A61" s="1"/>
      <c r="B61" s="1"/>
      <c r="C61" s="1"/>
      <c r="D61" s="1"/>
      <c r="E61" s="1"/>
      <c r="F61" s="1"/>
      <c r="G61" s="1"/>
      <c r="H61" s="68"/>
      <c r="I61" s="68" t="s">
        <v>31</v>
      </c>
      <c r="J61" s="68" t="s">
        <v>33</v>
      </c>
      <c r="K61" s="1"/>
      <c r="L61" s="68"/>
      <c r="M61" s="68" t="s">
        <v>31</v>
      </c>
      <c r="N61" s="68" t="s">
        <v>33</v>
      </c>
      <c r="O61" s="98"/>
      <c r="P61" s="98"/>
      <c r="Q61" s="1"/>
      <c r="R61" s="1"/>
      <c r="S61" s="1"/>
      <c r="T61" s="1"/>
      <c r="U61" s="1"/>
      <c r="V61" s="37"/>
      <c r="W61" s="37"/>
      <c r="X61" s="37"/>
      <c r="Y61" s="37"/>
      <c r="Z61" s="37"/>
    </row>
    <row r="62" ht="14.25" customHeight="1">
      <c r="A62" s="1"/>
      <c r="B62" s="1"/>
      <c r="C62" s="1"/>
      <c r="D62" s="1"/>
      <c r="E62" s="1"/>
      <c r="F62" s="1"/>
      <c r="G62" s="1"/>
      <c r="H62" s="68" t="s">
        <v>31</v>
      </c>
      <c r="I62" s="72" t="s">
        <v>51</v>
      </c>
      <c r="J62" s="99" t="s">
        <v>51</v>
      </c>
      <c r="K62" s="1"/>
      <c r="L62" s="68" t="s">
        <v>31</v>
      </c>
      <c r="M62" s="100">
        <f t="shared" ref="M62:N62" si="18">+VLOOKUP(I62,$B$11:$C$27,2,0)</f>
        <v>1</v>
      </c>
      <c r="N62" s="101">
        <f t="shared" si="18"/>
        <v>1</v>
      </c>
      <c r="O62" s="98"/>
      <c r="P62" s="98"/>
      <c r="Q62" s="1"/>
      <c r="R62" s="1"/>
      <c r="S62" s="1"/>
      <c r="T62" s="1"/>
      <c r="U62" s="1"/>
      <c r="V62" s="37"/>
      <c r="W62" s="37"/>
      <c r="X62" s="37"/>
      <c r="Y62" s="37"/>
      <c r="Z62" s="37"/>
    </row>
    <row r="63" ht="14.25" customHeight="1">
      <c r="A63" s="1"/>
      <c r="B63" s="1"/>
      <c r="C63" s="1"/>
      <c r="D63" s="1"/>
      <c r="E63" s="1"/>
      <c r="F63" s="1"/>
      <c r="G63" s="1"/>
      <c r="H63" s="68" t="s">
        <v>33</v>
      </c>
      <c r="I63" s="102"/>
      <c r="J63" s="72" t="s">
        <v>51</v>
      </c>
      <c r="K63" s="1"/>
      <c r="L63" s="68" t="s">
        <v>33</v>
      </c>
      <c r="M63" s="104">
        <f>1/N62</f>
        <v>1</v>
      </c>
      <c r="N63" s="100">
        <f>+VLOOKUP(J63,$B$11:$C$27,2,0)</f>
        <v>1</v>
      </c>
      <c r="O63" s="98"/>
      <c r="P63" s="98"/>
      <c r="Q63" s="1"/>
      <c r="R63" s="37"/>
      <c r="S63" s="37"/>
      <c r="T63" s="1"/>
      <c r="U63" s="1"/>
      <c r="V63" s="1"/>
      <c r="W63" s="1"/>
      <c r="X63" s="37"/>
      <c r="Y63" s="37"/>
      <c r="Z63" s="37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05" t="s">
        <v>78</v>
      </c>
      <c r="M64" s="86"/>
      <c r="N64" s="87"/>
      <c r="O64" s="88" t="s">
        <v>79</v>
      </c>
      <c r="P64" s="89" t="s">
        <v>80</v>
      </c>
      <c r="Q64" s="1"/>
      <c r="R64" s="37"/>
      <c r="S64" s="37"/>
      <c r="T64" s="1"/>
      <c r="U64" s="1"/>
      <c r="V64" s="1"/>
      <c r="W64" s="1"/>
      <c r="X64" s="37"/>
      <c r="Y64" s="37"/>
      <c r="Z64" s="37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68" t="s">
        <v>31</v>
      </c>
      <c r="M65" s="92">
        <f t="shared" ref="M65:N65" si="19">+M62/SUM(M$62:M$63)</f>
        <v>0.5</v>
      </c>
      <c r="N65" s="92">
        <f t="shared" si="19"/>
        <v>0.5</v>
      </c>
      <c r="O65" s="93">
        <f t="shared" ref="O65:O66" si="21">+AVERAGE(M65:N65)</f>
        <v>0.5</v>
      </c>
      <c r="P65" s="93">
        <f t="shared" ref="P65:P66" si="22">+O65*$R$33</f>
        <v>0.03118819328</v>
      </c>
      <c r="Q65" s="1"/>
      <c r="R65" s="37"/>
      <c r="S65" s="37"/>
      <c r="T65" s="1"/>
      <c r="U65" s="1"/>
      <c r="V65" s="1"/>
      <c r="W65" s="1"/>
      <c r="X65" s="37"/>
      <c r="Y65" s="37"/>
      <c r="Z65" s="37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68" t="s">
        <v>33</v>
      </c>
      <c r="M66" s="92">
        <f t="shared" ref="M66:N66" si="20">+M63/SUM(M$62:M$63)</f>
        <v>0.5</v>
      </c>
      <c r="N66" s="92">
        <f t="shared" si="20"/>
        <v>0.5</v>
      </c>
      <c r="O66" s="93">
        <f t="shared" si="21"/>
        <v>0.5</v>
      </c>
      <c r="P66" s="93">
        <f t="shared" si="22"/>
        <v>0.03118819328</v>
      </c>
      <c r="Q66" s="1"/>
      <c r="R66" s="37"/>
      <c r="S66" s="37"/>
      <c r="T66" s="1"/>
      <c r="U66" s="1"/>
      <c r="V66" s="1"/>
      <c r="W66" s="1"/>
      <c r="X66" s="37"/>
      <c r="Y66" s="37"/>
      <c r="Z66" s="37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83"/>
      <c r="M67" s="106"/>
      <c r="N67" s="63" t="s">
        <v>88</v>
      </c>
      <c r="O67" s="84">
        <f>+SUM(O65:O66)</f>
        <v>1</v>
      </c>
      <c r="P67" s="106"/>
      <c r="Q67" s="1"/>
      <c r="R67" s="37"/>
      <c r="S67" s="37"/>
      <c r="T67" s="1"/>
      <c r="U67" s="1"/>
      <c r="V67" s="1"/>
      <c r="W67" s="1"/>
      <c r="X67" s="37"/>
      <c r="Y67" s="37"/>
      <c r="Z67" s="37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83"/>
      <c r="M68" s="106"/>
      <c r="N68" s="63"/>
      <c r="O68" s="84"/>
      <c r="P68" s="106"/>
      <c r="Q68" s="1"/>
      <c r="R68" s="37"/>
      <c r="S68" s="37"/>
      <c r="T68" s="1"/>
      <c r="U68" s="1"/>
      <c r="V68" s="1"/>
      <c r="W68" s="1"/>
      <c r="X68" s="37"/>
      <c r="Y68" s="37"/>
      <c r="Z68" s="37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9" t="s">
        <v>93</v>
      </c>
      <c r="M69" s="1"/>
      <c r="N69" s="1"/>
      <c r="O69" s="1"/>
      <c r="P69" s="1"/>
      <c r="Q69" s="1"/>
      <c r="R69" s="37"/>
      <c r="S69" s="37"/>
      <c r="T69" s="37"/>
      <c r="U69" s="37"/>
      <c r="V69" s="1"/>
      <c r="W69" s="1"/>
      <c r="X69" s="37"/>
      <c r="Y69" s="37"/>
      <c r="Z69" s="37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68"/>
      <c r="M70" s="68" t="s">
        <v>94</v>
      </c>
      <c r="N70" s="1"/>
      <c r="O70" s="1"/>
      <c r="P70" s="1"/>
      <c r="Q70" s="1"/>
      <c r="R70" s="37"/>
      <c r="S70" s="37"/>
      <c r="T70" s="37"/>
      <c r="U70" s="37"/>
      <c r="V70" s="1"/>
      <c r="W70" s="1"/>
      <c r="X70" s="37"/>
      <c r="Y70" s="37"/>
      <c r="Z70" s="37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68" t="s">
        <v>94</v>
      </c>
      <c r="M71" s="108">
        <v>1.0</v>
      </c>
      <c r="N71" s="109"/>
      <c r="O71" s="1"/>
      <c r="P71" s="1"/>
      <c r="Q71" s="1"/>
      <c r="R71" s="37"/>
      <c r="S71" s="37"/>
      <c r="T71" s="37"/>
      <c r="U71" s="37"/>
      <c r="V71" s="1"/>
      <c r="W71" s="1"/>
      <c r="X71" s="37"/>
      <c r="Y71" s="37"/>
      <c r="Z71" s="37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11"/>
      <c r="M72" s="111" t="s">
        <v>79</v>
      </c>
      <c r="N72" s="112" t="s">
        <v>80</v>
      </c>
      <c r="O72" s="1"/>
      <c r="P72" s="1"/>
      <c r="Q72" s="1"/>
      <c r="R72" s="37"/>
      <c r="S72" s="37"/>
      <c r="T72" s="37"/>
      <c r="U72" s="37"/>
      <c r="V72" s="1"/>
      <c r="W72" s="1"/>
      <c r="X72" s="37"/>
      <c r="Y72" s="37"/>
      <c r="Z72" s="37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68" t="s">
        <v>94</v>
      </c>
      <c r="M73" s="113">
        <v>1.0</v>
      </c>
      <c r="N73" s="113">
        <f>+M73*$R$34</f>
        <v>0.161050407</v>
      </c>
      <c r="O73" s="1"/>
      <c r="P73" s="1"/>
      <c r="Q73" s="1"/>
      <c r="R73" s="37"/>
      <c r="S73" s="37"/>
      <c r="T73" s="37"/>
      <c r="U73" s="37"/>
      <c r="V73" s="1"/>
      <c r="W73" s="1"/>
      <c r="X73" s="37"/>
      <c r="Y73" s="37"/>
      <c r="Z73" s="37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7"/>
      <c r="S74" s="37"/>
      <c r="T74" s="37"/>
      <c r="U74" s="37"/>
      <c r="V74" s="1"/>
      <c r="W74" s="1"/>
      <c r="X74" s="37"/>
      <c r="Y74" s="37"/>
      <c r="Z74" s="37"/>
    </row>
    <row r="75" ht="14.25" customHeight="1">
      <c r="A75" s="1"/>
      <c r="B75" s="1"/>
      <c r="C75" s="1"/>
      <c r="D75" s="1"/>
      <c r="E75" s="37"/>
      <c r="F75" s="37"/>
      <c r="G75" s="37"/>
      <c r="H75" s="37"/>
      <c r="I75" s="37"/>
      <c r="J75" s="37"/>
      <c r="K75" s="37"/>
      <c r="L75" s="37"/>
      <c r="M75" s="1"/>
      <c r="N75" s="1"/>
      <c r="O75" s="1"/>
      <c r="P75" s="1"/>
      <c r="Q75" s="1"/>
      <c r="R75" s="37"/>
      <c r="S75" s="37"/>
      <c r="T75" s="37"/>
      <c r="U75" s="37"/>
      <c r="V75" s="1"/>
      <c r="W75" s="1"/>
      <c r="X75" s="37"/>
      <c r="Y75" s="37"/>
      <c r="Z75" s="37"/>
    </row>
    <row r="76" ht="14.25" customHeight="1">
      <c r="A76" s="1"/>
      <c r="B76" s="1"/>
      <c r="C76" s="1"/>
      <c r="D76" s="1"/>
      <c r="E76" s="37"/>
      <c r="F76" s="37"/>
      <c r="G76" s="37"/>
      <c r="H76" s="37"/>
      <c r="I76" s="37"/>
      <c r="J76" s="37"/>
      <c r="K76" s="37"/>
      <c r="L76" s="37"/>
      <c r="M76" s="1"/>
      <c r="N76" s="1"/>
      <c r="O76" s="1"/>
      <c r="P76" s="1"/>
      <c r="Q76" s="1"/>
      <c r="R76" s="37"/>
      <c r="S76" s="37"/>
      <c r="T76" s="37"/>
      <c r="U76" s="37"/>
      <c r="V76" s="1"/>
      <c r="W76" s="1"/>
      <c r="X76" s="37"/>
      <c r="Y76" s="37"/>
      <c r="Z76" s="37"/>
    </row>
    <row r="77" ht="14.25" customHeight="1">
      <c r="A77" s="1"/>
      <c r="B77" s="1"/>
      <c r="C77" s="1"/>
      <c r="D77" s="1"/>
      <c r="E77" s="37"/>
      <c r="F77" s="37"/>
      <c r="G77" s="37"/>
      <c r="H77" s="37"/>
      <c r="I77" s="37"/>
      <c r="J77" s="37"/>
      <c r="K77" s="37"/>
      <c r="L77" s="37"/>
      <c r="M77" s="1"/>
      <c r="N77" s="1"/>
      <c r="O77" s="1"/>
      <c r="P77" s="1"/>
      <c r="Q77" s="1"/>
      <c r="R77" s="37"/>
      <c r="S77" s="37"/>
      <c r="T77" s="37"/>
      <c r="U77" s="37"/>
      <c r="V77" s="1"/>
      <c r="W77" s="1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13">
    <mergeCell ref="F20:I20"/>
    <mergeCell ref="F21:I21"/>
    <mergeCell ref="U23:V23"/>
    <mergeCell ref="L29:Q29"/>
    <mergeCell ref="L41:N41"/>
    <mergeCell ref="L64:N64"/>
    <mergeCell ref="E11:E12"/>
    <mergeCell ref="F11:F12"/>
    <mergeCell ref="F13:F14"/>
    <mergeCell ref="E15:E16"/>
    <mergeCell ref="F15:F16"/>
    <mergeCell ref="A11:A19"/>
    <mergeCell ref="A20:A27"/>
  </mergeCells>
  <dataValidations>
    <dataValidation type="list" allowBlank="1" showErrorMessage="1" sqref="G24:H24 H25 J39 G46:H46 H47 J62">
      <formula1>'Obtencion pesos AHP'!califica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2016-10-21T16:10:20Z</dcterms:created>
  <dc:creator>Patricia Jaramillo</dc:creator>
</cp:coreProperties>
</file>