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8_{E15E348D-9166-46DB-8F4A-A084BFDA1EF0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CABLES" sheetId="1" r:id="rId1"/>
    <sheet name="SEGMENTS" sheetId="2" r:id="rId2"/>
    <sheet name="DATA" sheetId="5" r:id="rId3"/>
    <sheet name="V1-V2-COMPARISON" sheetId="6" r:id="rId4"/>
  </sheets>
  <definedNames>
    <definedName name="BRACE_SPAN">DATA!$AW$5</definedName>
    <definedName name="MAX_VDROP_PERCENT">DATA!$B$6</definedName>
    <definedName name="PHASE_VOLTAGE">DATA!$B$12</definedName>
    <definedName name="POWER_FACTOR">DATA!$B$2</definedName>
    <definedName name="SYSTEM_VOLTAGE">DATA!$B$4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5" l="1"/>
  <c r="L31" i="5" s="1"/>
  <c r="F32" i="5"/>
  <c r="F33" i="5"/>
  <c r="F34" i="5"/>
  <c r="F35" i="5"/>
  <c r="L35" i="5" s="1"/>
  <c r="F36" i="5"/>
  <c r="L36" i="5" s="1"/>
  <c r="F37" i="5"/>
  <c r="F38" i="5"/>
  <c r="F39" i="5"/>
  <c r="F40" i="5"/>
  <c r="F41" i="5"/>
  <c r="F42" i="5"/>
  <c r="F43" i="5"/>
  <c r="F44" i="5"/>
  <c r="L44" i="5" s="1"/>
  <c r="F45" i="5"/>
  <c r="F46" i="5"/>
  <c r="F47" i="5"/>
  <c r="F48" i="5"/>
  <c r="F30" i="5"/>
  <c r="L30" i="5" s="1"/>
  <c r="G31" i="5"/>
  <c r="H31" i="5"/>
  <c r="J31" i="5"/>
  <c r="L32" i="5"/>
  <c r="G32" i="5"/>
  <c r="H32" i="5"/>
  <c r="J32" i="5"/>
  <c r="G33" i="5"/>
  <c r="H33" i="5"/>
  <c r="J33" i="5"/>
  <c r="L33" i="5"/>
  <c r="G34" i="5"/>
  <c r="H34" i="5"/>
  <c r="J34" i="5"/>
  <c r="L34" i="5"/>
  <c r="G35" i="5"/>
  <c r="H35" i="5"/>
  <c r="J35" i="5"/>
  <c r="G36" i="5"/>
  <c r="H36" i="5"/>
  <c r="J36" i="5"/>
  <c r="L37" i="5"/>
  <c r="G37" i="5"/>
  <c r="H37" i="5"/>
  <c r="J37" i="5"/>
  <c r="G38" i="5"/>
  <c r="H38" i="5"/>
  <c r="J38" i="5"/>
  <c r="L38" i="5"/>
  <c r="G39" i="5"/>
  <c r="H39" i="5"/>
  <c r="J39" i="5"/>
  <c r="L39" i="5"/>
  <c r="L40" i="5"/>
  <c r="G40" i="5"/>
  <c r="H40" i="5"/>
  <c r="J40" i="5"/>
  <c r="G41" i="5"/>
  <c r="H41" i="5"/>
  <c r="J41" i="5"/>
  <c r="L41" i="5"/>
  <c r="L42" i="5"/>
  <c r="G42" i="5"/>
  <c r="H42" i="5"/>
  <c r="J42" i="5"/>
  <c r="L43" i="5"/>
  <c r="G43" i="5"/>
  <c r="H43" i="5"/>
  <c r="J43" i="5"/>
  <c r="G44" i="5"/>
  <c r="H44" i="5"/>
  <c r="J44" i="5"/>
  <c r="L45" i="5"/>
  <c r="G45" i="5"/>
  <c r="H45" i="5"/>
  <c r="J45" i="5"/>
  <c r="G46" i="5"/>
  <c r="H46" i="5"/>
  <c r="J46" i="5"/>
  <c r="L46" i="5"/>
  <c r="G47" i="5"/>
  <c r="H47" i="5"/>
  <c r="J47" i="5"/>
  <c r="L47" i="5"/>
  <c r="L48" i="5"/>
  <c r="G48" i="5"/>
  <c r="H48" i="5"/>
  <c r="J48" i="5"/>
  <c r="F49" i="5"/>
  <c r="G49" i="5"/>
  <c r="H49" i="5"/>
  <c r="J49" i="5"/>
  <c r="L49" i="5"/>
  <c r="F50" i="5"/>
  <c r="L50" i="5" s="1"/>
  <c r="G50" i="5"/>
  <c r="H50" i="5"/>
  <c r="J50" i="5"/>
  <c r="F51" i="5"/>
  <c r="L51" i="5" s="1"/>
  <c r="G51" i="5"/>
  <c r="H51" i="5"/>
  <c r="J51" i="5"/>
  <c r="F52" i="5"/>
  <c r="G52" i="5"/>
  <c r="H52" i="5"/>
  <c r="J52" i="5"/>
  <c r="L52" i="5"/>
  <c r="J30" i="5"/>
  <c r="H30" i="5"/>
  <c r="G30" i="5"/>
  <c r="BM87" i="1" l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S87" i="1"/>
  <c r="CU87" i="1"/>
  <c r="CV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E87" i="1"/>
  <c r="FG87" i="1"/>
  <c r="FH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M87" i="1"/>
  <c r="HO87" i="1"/>
  <c r="HP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JA87" i="1" s="1"/>
  <c r="IQ87" i="1"/>
  <c r="IR87" i="1" s="1"/>
  <c r="IU87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S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E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M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Q86" i="1"/>
  <c r="IU86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R85" i="1"/>
  <c r="CS85" i="1"/>
  <c r="CT85" i="1"/>
  <c r="CU85" i="1"/>
  <c r="CV85" i="1"/>
  <c r="CW85" i="1"/>
  <c r="CX85" i="1"/>
  <c r="CZ85" i="1"/>
  <c r="DB85" i="1"/>
  <c r="DC85" i="1"/>
  <c r="DD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D85" i="1"/>
  <c r="FE85" i="1"/>
  <c r="FF85" i="1"/>
  <c r="FG85" i="1"/>
  <c r="FH85" i="1"/>
  <c r="FI85" i="1"/>
  <c r="FJ85" i="1"/>
  <c r="FL85" i="1"/>
  <c r="FN85" i="1"/>
  <c r="FO85" i="1"/>
  <c r="FP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L85" i="1"/>
  <c r="HM85" i="1"/>
  <c r="HN85" i="1"/>
  <c r="HO85" i="1"/>
  <c r="HP85" i="1"/>
  <c r="HQ85" i="1"/>
  <c r="HR85" i="1"/>
  <c r="HT85" i="1"/>
  <c r="HV85" i="1"/>
  <c r="HW85" i="1"/>
  <c r="HX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JA85" i="1" s="1"/>
  <c r="IQ85" i="1"/>
  <c r="IU85" i="1"/>
  <c r="IR85" i="1" l="1"/>
  <c r="JA86" i="1"/>
  <c r="JC86" i="1" s="1"/>
  <c r="IR86" i="1"/>
  <c r="JN86" i="1"/>
  <c r="JN85" i="1"/>
  <c r="JN87" i="1"/>
  <c r="JG86" i="1"/>
  <c r="JE86" i="1" l="1"/>
  <c r="JQ86" i="1"/>
  <c r="JC85" i="1"/>
  <c r="JQ85" i="1" s="1"/>
  <c r="JC87" i="1"/>
  <c r="JE85" i="1" l="1"/>
  <c r="JG85" i="1"/>
  <c r="JQ87" i="1"/>
  <c r="JG87" i="1"/>
  <c r="JE87" i="1"/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2" i="6"/>
  <c r="F2" i="6" s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T87" i="1" l="1"/>
  <c r="IT86" i="1"/>
  <c r="IT85" i="1"/>
  <c r="JG82" i="1"/>
  <c r="JG83" i="1"/>
  <c r="JG84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R82" i="1"/>
  <c r="CS82" i="1"/>
  <c r="CT82" i="1"/>
  <c r="CU82" i="1"/>
  <c r="CV82" i="1"/>
  <c r="CW82" i="1"/>
  <c r="CX82" i="1"/>
  <c r="CZ82" i="1"/>
  <c r="DB82" i="1"/>
  <c r="DC82" i="1"/>
  <c r="DD82" i="1"/>
  <c r="DF82" i="1"/>
  <c r="DH82" i="1"/>
  <c r="DK82" i="1"/>
  <c r="DL82" i="1"/>
  <c r="DM82" i="1"/>
  <c r="DN82" i="1"/>
  <c r="DO82" i="1"/>
  <c r="DP82" i="1"/>
  <c r="DQ82" i="1"/>
  <c r="DR82" i="1"/>
  <c r="DS82" i="1"/>
  <c r="DT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D82" i="1"/>
  <c r="FE82" i="1"/>
  <c r="FF82" i="1"/>
  <c r="FG82" i="1"/>
  <c r="FH82" i="1"/>
  <c r="FI82" i="1"/>
  <c r="FJ82" i="1"/>
  <c r="FL82" i="1"/>
  <c r="FN82" i="1"/>
  <c r="FO82" i="1"/>
  <c r="FP82" i="1"/>
  <c r="FR82" i="1"/>
  <c r="FT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L82" i="1"/>
  <c r="HM82" i="1"/>
  <c r="HN82" i="1"/>
  <c r="HO82" i="1"/>
  <c r="HP82" i="1"/>
  <c r="HQ82" i="1"/>
  <c r="HR82" i="1"/>
  <c r="HT82" i="1"/>
  <c r="HV82" i="1"/>
  <c r="HW82" i="1"/>
  <c r="HX82" i="1"/>
  <c r="HZ82" i="1"/>
  <c r="IB82" i="1"/>
  <c r="IE82" i="1"/>
  <c r="IF82" i="1"/>
  <c r="IG82" i="1"/>
  <c r="IH82" i="1"/>
  <c r="II82" i="1"/>
  <c r="IJ82" i="1"/>
  <c r="IK82" i="1"/>
  <c r="IL82" i="1"/>
  <c r="IM82" i="1"/>
  <c r="IN82" i="1"/>
  <c r="IO82" i="1"/>
  <c r="JN82" i="1" s="1"/>
  <c r="IQ82" i="1"/>
  <c r="IU82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R67" i="1"/>
  <c r="CS67" i="1"/>
  <c r="CT67" i="1"/>
  <c r="CU67" i="1"/>
  <c r="CV67" i="1"/>
  <c r="CW67" i="1"/>
  <c r="CX67" i="1"/>
  <c r="CZ67" i="1"/>
  <c r="DB67" i="1"/>
  <c r="DC67" i="1"/>
  <c r="DD67" i="1"/>
  <c r="DF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D67" i="1"/>
  <c r="FE67" i="1"/>
  <c r="FF67" i="1"/>
  <c r="FG67" i="1"/>
  <c r="FH67" i="1"/>
  <c r="FI67" i="1"/>
  <c r="FJ67" i="1"/>
  <c r="FL67" i="1"/>
  <c r="FN67" i="1"/>
  <c r="FO67" i="1"/>
  <c r="FP67" i="1"/>
  <c r="FR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L67" i="1"/>
  <c r="HM67" i="1"/>
  <c r="HN67" i="1"/>
  <c r="HO67" i="1"/>
  <c r="HP67" i="1"/>
  <c r="HQ67" i="1"/>
  <c r="HR67" i="1"/>
  <c r="HT67" i="1"/>
  <c r="HV67" i="1"/>
  <c r="HW67" i="1"/>
  <c r="HX67" i="1"/>
  <c r="HZ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JN67" i="1" s="1"/>
  <c r="IQ67" i="1"/>
  <c r="IU67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R64" i="1"/>
  <c r="CS64" i="1"/>
  <c r="CT64" i="1"/>
  <c r="CU64" i="1"/>
  <c r="CV64" i="1"/>
  <c r="CW64" i="1"/>
  <c r="CX64" i="1"/>
  <c r="CZ64" i="1"/>
  <c r="DB64" i="1"/>
  <c r="DC64" i="1"/>
  <c r="DD64" i="1"/>
  <c r="DF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D64" i="1"/>
  <c r="FE64" i="1"/>
  <c r="FF64" i="1"/>
  <c r="FG64" i="1"/>
  <c r="FH64" i="1"/>
  <c r="FI64" i="1"/>
  <c r="FJ64" i="1"/>
  <c r="FL64" i="1"/>
  <c r="FN64" i="1"/>
  <c r="FO64" i="1"/>
  <c r="FP64" i="1"/>
  <c r="FR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L64" i="1"/>
  <c r="HM64" i="1"/>
  <c r="HN64" i="1"/>
  <c r="HO64" i="1"/>
  <c r="HP64" i="1"/>
  <c r="HQ64" i="1"/>
  <c r="HR64" i="1"/>
  <c r="HT64" i="1"/>
  <c r="HV64" i="1"/>
  <c r="HW64" i="1"/>
  <c r="HX64" i="1"/>
  <c r="HZ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JN64" i="1" s="1"/>
  <c r="IQ64" i="1"/>
  <c r="IU64" i="1"/>
  <c r="IR82" i="1" l="1"/>
  <c r="IT82" i="1" s="1"/>
  <c r="JA82" i="1"/>
  <c r="IR67" i="1"/>
  <c r="IT67" i="1" s="1"/>
  <c r="JA67" i="1"/>
  <c r="IR64" i="1"/>
  <c r="IT64" i="1" s="1"/>
  <c r="JA64" i="1"/>
  <c r="JC82" i="1" l="1"/>
  <c r="JC67" i="1"/>
  <c r="JC64" i="1"/>
  <c r="JQ82" i="1" l="1"/>
  <c r="JE82" i="1"/>
  <c r="JQ67" i="1"/>
  <c r="JE67" i="1"/>
  <c r="JG67" i="1"/>
  <c r="JQ64" i="1"/>
  <c r="JE64" i="1"/>
  <c r="JG64" i="1"/>
  <c r="JG3" i="1" l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55" i="1"/>
  <c r="JG56" i="1"/>
  <c r="JG57" i="1"/>
  <c r="JG58" i="1"/>
  <c r="JG59" i="1"/>
  <c r="JG60" i="1"/>
  <c r="JG61" i="1"/>
  <c r="JG62" i="1"/>
  <c r="JG63" i="1"/>
  <c r="JG65" i="1"/>
  <c r="JG66" i="1"/>
  <c r="JG68" i="1"/>
  <c r="JG69" i="1"/>
  <c r="JG70" i="1"/>
  <c r="JG71" i="1"/>
  <c r="JG72" i="1"/>
  <c r="JG73" i="1"/>
  <c r="JG74" i="1"/>
  <c r="JG75" i="1"/>
  <c r="JG76" i="1"/>
  <c r="JG77" i="1"/>
  <c r="JG78" i="1"/>
  <c r="JG79" i="1"/>
  <c r="JG80" i="1"/>
  <c r="JG81" i="1"/>
  <c r="JG2" i="1"/>
  <c r="B10" i="5"/>
  <c r="B8" i="5"/>
  <c r="M61" i="2" l="1"/>
  <c r="I61" i="2" s="1"/>
  <c r="O61" i="2" s="1"/>
  <c r="M60" i="2"/>
  <c r="I60" i="2" s="1"/>
  <c r="O60" i="2" s="1"/>
  <c r="M59" i="2"/>
  <c r="I59" i="2" s="1"/>
  <c r="O59" i="2" s="1"/>
  <c r="M58" i="2"/>
  <c r="I58" i="2" s="1"/>
  <c r="M57" i="2"/>
  <c r="I57" i="2" s="1"/>
  <c r="O57" i="2" s="1"/>
  <c r="M56" i="2"/>
  <c r="I56" i="2" s="1"/>
  <c r="O56" i="2" s="1"/>
  <c r="M55" i="2"/>
  <c r="I55" i="2" s="1"/>
  <c r="O55" i="2" s="1"/>
  <c r="M54" i="2"/>
  <c r="I54" i="2" s="1"/>
  <c r="M53" i="2"/>
  <c r="I53" i="2" s="1"/>
  <c r="O53" i="2" s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I34" i="2" s="1"/>
  <c r="O34" i="2" s="1"/>
  <c r="M33" i="2"/>
  <c r="M32" i="2"/>
  <c r="M31" i="2"/>
  <c r="M30" i="2"/>
  <c r="I30" i="2" s="1"/>
  <c r="O30" i="2" s="1"/>
  <c r="M29" i="2"/>
  <c r="I29" i="2" s="1"/>
  <c r="O29" i="2" s="1"/>
  <c r="M28" i="2"/>
  <c r="I28" i="2" s="1"/>
  <c r="M27" i="2"/>
  <c r="I27" i="2" s="1"/>
  <c r="O27" i="2" s="1"/>
  <c r="M26" i="2"/>
  <c r="I26" i="2" s="1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N2" i="1"/>
  <c r="IN3" i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4" i="1"/>
  <c r="IN35" i="1"/>
  <c r="IN36" i="1"/>
  <c r="IN37" i="1"/>
  <c r="IN38" i="1"/>
  <c r="IN39" i="1"/>
  <c r="IN40" i="1"/>
  <c r="IN41" i="1"/>
  <c r="IN42" i="1"/>
  <c r="IN43" i="1"/>
  <c r="IN44" i="1"/>
  <c r="IN45" i="1"/>
  <c r="IN46" i="1"/>
  <c r="IN47" i="1"/>
  <c r="IN48" i="1"/>
  <c r="IN49" i="1"/>
  <c r="IN50" i="1"/>
  <c r="IN51" i="1"/>
  <c r="IN52" i="1"/>
  <c r="IN53" i="1"/>
  <c r="IN54" i="1"/>
  <c r="IN55" i="1"/>
  <c r="IN56" i="1"/>
  <c r="IN57" i="1"/>
  <c r="IN58" i="1"/>
  <c r="IN59" i="1"/>
  <c r="IN60" i="1"/>
  <c r="IN61" i="1"/>
  <c r="IN62" i="1"/>
  <c r="IN63" i="1"/>
  <c r="IN65" i="1"/>
  <c r="IN66" i="1"/>
  <c r="IN68" i="1"/>
  <c r="IN69" i="1"/>
  <c r="IN70" i="1"/>
  <c r="IN71" i="1"/>
  <c r="IN72" i="1"/>
  <c r="IN73" i="1"/>
  <c r="IN74" i="1"/>
  <c r="IN75" i="1"/>
  <c r="IN76" i="1"/>
  <c r="IN77" i="1"/>
  <c r="IN78" i="1"/>
  <c r="IN79" i="1"/>
  <c r="IN80" i="1"/>
  <c r="IN81" i="1"/>
  <c r="IN83" i="1"/>
  <c r="IN84" i="1"/>
  <c r="IM2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M29" i="1"/>
  <c r="IM30" i="1"/>
  <c r="IM31" i="1"/>
  <c r="IM32" i="1"/>
  <c r="IM33" i="1"/>
  <c r="IM34" i="1"/>
  <c r="IM35" i="1"/>
  <c r="IM36" i="1"/>
  <c r="IM37" i="1"/>
  <c r="IM38" i="1"/>
  <c r="IM39" i="1"/>
  <c r="IM40" i="1"/>
  <c r="IM41" i="1"/>
  <c r="IM42" i="1"/>
  <c r="IM43" i="1"/>
  <c r="IM44" i="1"/>
  <c r="IM45" i="1"/>
  <c r="IM46" i="1"/>
  <c r="IM47" i="1"/>
  <c r="IM48" i="1"/>
  <c r="IM49" i="1"/>
  <c r="IM50" i="1"/>
  <c r="IM51" i="1"/>
  <c r="IM52" i="1"/>
  <c r="IM53" i="1"/>
  <c r="IM54" i="1"/>
  <c r="IM55" i="1"/>
  <c r="IM56" i="1"/>
  <c r="IM57" i="1"/>
  <c r="IM58" i="1"/>
  <c r="IM59" i="1"/>
  <c r="IM60" i="1"/>
  <c r="IM61" i="1"/>
  <c r="IM62" i="1"/>
  <c r="IM63" i="1"/>
  <c r="IM65" i="1"/>
  <c r="IM66" i="1"/>
  <c r="IM68" i="1"/>
  <c r="IM69" i="1"/>
  <c r="IM70" i="1"/>
  <c r="IM71" i="1"/>
  <c r="IM72" i="1"/>
  <c r="IM73" i="1"/>
  <c r="IM74" i="1"/>
  <c r="IM75" i="1"/>
  <c r="IM76" i="1"/>
  <c r="IM77" i="1"/>
  <c r="IM78" i="1"/>
  <c r="IM79" i="1"/>
  <c r="IM80" i="1"/>
  <c r="IM81" i="1"/>
  <c r="IM83" i="1"/>
  <c r="IM84" i="1"/>
  <c r="IL2" i="1"/>
  <c r="IL3" i="1"/>
  <c r="IL4" i="1"/>
  <c r="IL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L24" i="1"/>
  <c r="IL25" i="1"/>
  <c r="IL26" i="1"/>
  <c r="IL27" i="1"/>
  <c r="IL28" i="1"/>
  <c r="IL29" i="1"/>
  <c r="IL30" i="1"/>
  <c r="IL31" i="1"/>
  <c r="IL32" i="1"/>
  <c r="IL33" i="1"/>
  <c r="IL34" i="1"/>
  <c r="IL35" i="1"/>
  <c r="IL36" i="1"/>
  <c r="IL37" i="1"/>
  <c r="IL38" i="1"/>
  <c r="IL39" i="1"/>
  <c r="IL40" i="1"/>
  <c r="IL41" i="1"/>
  <c r="IL42" i="1"/>
  <c r="IL43" i="1"/>
  <c r="IL44" i="1"/>
  <c r="IL45" i="1"/>
  <c r="IL46" i="1"/>
  <c r="IL47" i="1"/>
  <c r="IL48" i="1"/>
  <c r="IL49" i="1"/>
  <c r="IL50" i="1"/>
  <c r="IL51" i="1"/>
  <c r="IL52" i="1"/>
  <c r="IL53" i="1"/>
  <c r="IL54" i="1"/>
  <c r="IL55" i="1"/>
  <c r="IL56" i="1"/>
  <c r="IL57" i="1"/>
  <c r="IL58" i="1"/>
  <c r="IL59" i="1"/>
  <c r="IL60" i="1"/>
  <c r="IL61" i="1"/>
  <c r="IL62" i="1"/>
  <c r="IL63" i="1"/>
  <c r="IL65" i="1"/>
  <c r="IL66" i="1"/>
  <c r="IL68" i="1"/>
  <c r="IL69" i="1"/>
  <c r="IL70" i="1"/>
  <c r="IL71" i="1"/>
  <c r="IL72" i="1"/>
  <c r="IL73" i="1"/>
  <c r="IL74" i="1"/>
  <c r="IL75" i="1"/>
  <c r="IL76" i="1"/>
  <c r="IL77" i="1"/>
  <c r="IL78" i="1"/>
  <c r="IL79" i="1"/>
  <c r="IL80" i="1"/>
  <c r="IL81" i="1"/>
  <c r="IL83" i="1"/>
  <c r="IL84" i="1"/>
  <c r="IK2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4" i="1"/>
  <c r="IK35" i="1"/>
  <c r="IK36" i="1"/>
  <c r="IK37" i="1"/>
  <c r="IK38" i="1"/>
  <c r="IK39" i="1"/>
  <c r="IK40" i="1"/>
  <c r="IK41" i="1"/>
  <c r="IK42" i="1"/>
  <c r="IK43" i="1"/>
  <c r="IK44" i="1"/>
  <c r="IK45" i="1"/>
  <c r="IK46" i="1"/>
  <c r="IK47" i="1"/>
  <c r="IK48" i="1"/>
  <c r="IK49" i="1"/>
  <c r="IK50" i="1"/>
  <c r="IK51" i="1"/>
  <c r="IK52" i="1"/>
  <c r="IK53" i="1"/>
  <c r="IK54" i="1"/>
  <c r="IK55" i="1"/>
  <c r="IK56" i="1"/>
  <c r="IK57" i="1"/>
  <c r="IK58" i="1"/>
  <c r="IK59" i="1"/>
  <c r="IK60" i="1"/>
  <c r="IK61" i="1"/>
  <c r="IK62" i="1"/>
  <c r="IK63" i="1"/>
  <c r="IK65" i="1"/>
  <c r="IK66" i="1"/>
  <c r="IK68" i="1"/>
  <c r="IK69" i="1"/>
  <c r="IK70" i="1"/>
  <c r="IK71" i="1"/>
  <c r="IK72" i="1"/>
  <c r="IK73" i="1"/>
  <c r="IK74" i="1"/>
  <c r="IK75" i="1"/>
  <c r="IK76" i="1"/>
  <c r="IK77" i="1"/>
  <c r="IK78" i="1"/>
  <c r="IK79" i="1"/>
  <c r="IK80" i="1"/>
  <c r="IK81" i="1"/>
  <c r="IK83" i="1"/>
  <c r="IK84" i="1"/>
  <c r="IJ2" i="1"/>
  <c r="IJ3" i="1"/>
  <c r="IJ4" i="1"/>
  <c r="IJ5" i="1"/>
  <c r="IJ6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J21" i="1"/>
  <c r="IJ22" i="1"/>
  <c r="IJ23" i="1"/>
  <c r="IJ24" i="1"/>
  <c r="IJ25" i="1"/>
  <c r="IJ26" i="1"/>
  <c r="IJ27" i="1"/>
  <c r="IJ28" i="1"/>
  <c r="IJ29" i="1"/>
  <c r="IJ30" i="1"/>
  <c r="IJ31" i="1"/>
  <c r="IJ32" i="1"/>
  <c r="IJ33" i="1"/>
  <c r="IJ34" i="1"/>
  <c r="IJ35" i="1"/>
  <c r="IJ36" i="1"/>
  <c r="IJ37" i="1"/>
  <c r="IJ38" i="1"/>
  <c r="IJ39" i="1"/>
  <c r="IJ40" i="1"/>
  <c r="IJ41" i="1"/>
  <c r="IJ42" i="1"/>
  <c r="IJ43" i="1"/>
  <c r="IJ44" i="1"/>
  <c r="IJ45" i="1"/>
  <c r="IJ46" i="1"/>
  <c r="IJ47" i="1"/>
  <c r="IJ48" i="1"/>
  <c r="IJ49" i="1"/>
  <c r="IJ50" i="1"/>
  <c r="IJ51" i="1"/>
  <c r="IJ52" i="1"/>
  <c r="IJ53" i="1"/>
  <c r="IJ54" i="1"/>
  <c r="IJ55" i="1"/>
  <c r="IJ56" i="1"/>
  <c r="IJ57" i="1"/>
  <c r="IJ58" i="1"/>
  <c r="IJ59" i="1"/>
  <c r="IJ60" i="1"/>
  <c r="IJ61" i="1"/>
  <c r="IJ62" i="1"/>
  <c r="IJ63" i="1"/>
  <c r="IJ65" i="1"/>
  <c r="IJ66" i="1"/>
  <c r="IJ68" i="1"/>
  <c r="IJ69" i="1"/>
  <c r="IJ70" i="1"/>
  <c r="IJ71" i="1"/>
  <c r="IJ72" i="1"/>
  <c r="IJ73" i="1"/>
  <c r="IJ74" i="1"/>
  <c r="IJ75" i="1"/>
  <c r="IJ76" i="1"/>
  <c r="IJ77" i="1"/>
  <c r="IJ78" i="1"/>
  <c r="IJ79" i="1"/>
  <c r="IJ80" i="1"/>
  <c r="IJ81" i="1"/>
  <c r="IJ83" i="1"/>
  <c r="IJ84" i="1"/>
  <c r="II2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4" i="1"/>
  <c r="II35" i="1"/>
  <c r="II36" i="1"/>
  <c r="II37" i="1"/>
  <c r="II38" i="1"/>
  <c r="II39" i="1"/>
  <c r="II40" i="1"/>
  <c r="II41" i="1"/>
  <c r="II42" i="1"/>
  <c r="II43" i="1"/>
  <c r="II44" i="1"/>
  <c r="II45" i="1"/>
  <c r="II46" i="1"/>
  <c r="II47" i="1"/>
  <c r="II48" i="1"/>
  <c r="II49" i="1"/>
  <c r="II50" i="1"/>
  <c r="II51" i="1"/>
  <c r="II52" i="1"/>
  <c r="II53" i="1"/>
  <c r="II54" i="1"/>
  <c r="II55" i="1"/>
  <c r="II56" i="1"/>
  <c r="II57" i="1"/>
  <c r="II58" i="1"/>
  <c r="II59" i="1"/>
  <c r="II60" i="1"/>
  <c r="II61" i="1"/>
  <c r="II62" i="1"/>
  <c r="II63" i="1"/>
  <c r="II65" i="1"/>
  <c r="II66" i="1"/>
  <c r="II68" i="1"/>
  <c r="II69" i="1"/>
  <c r="II70" i="1"/>
  <c r="II71" i="1"/>
  <c r="II72" i="1"/>
  <c r="II73" i="1"/>
  <c r="II74" i="1"/>
  <c r="II75" i="1"/>
  <c r="II76" i="1"/>
  <c r="II77" i="1"/>
  <c r="II78" i="1"/>
  <c r="II79" i="1"/>
  <c r="II80" i="1"/>
  <c r="II81" i="1"/>
  <c r="II83" i="1"/>
  <c r="II84" i="1"/>
  <c r="IH2" i="1"/>
  <c r="IH3" i="1"/>
  <c r="IH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4" i="1"/>
  <c r="IH35" i="1"/>
  <c r="IH36" i="1"/>
  <c r="IH37" i="1"/>
  <c r="IH38" i="1"/>
  <c r="IH39" i="1"/>
  <c r="IH40" i="1"/>
  <c r="IH41" i="1"/>
  <c r="IH42" i="1"/>
  <c r="IH43" i="1"/>
  <c r="IH44" i="1"/>
  <c r="IH45" i="1"/>
  <c r="IH46" i="1"/>
  <c r="IH47" i="1"/>
  <c r="IH48" i="1"/>
  <c r="IH49" i="1"/>
  <c r="IH50" i="1"/>
  <c r="IH51" i="1"/>
  <c r="IH52" i="1"/>
  <c r="IH53" i="1"/>
  <c r="IH54" i="1"/>
  <c r="IH55" i="1"/>
  <c r="IH56" i="1"/>
  <c r="IH57" i="1"/>
  <c r="IH58" i="1"/>
  <c r="IH59" i="1"/>
  <c r="IH60" i="1"/>
  <c r="IH61" i="1"/>
  <c r="IH62" i="1"/>
  <c r="IH63" i="1"/>
  <c r="IH65" i="1"/>
  <c r="IH66" i="1"/>
  <c r="IH68" i="1"/>
  <c r="IH69" i="1"/>
  <c r="IH70" i="1"/>
  <c r="IH71" i="1"/>
  <c r="IH72" i="1"/>
  <c r="IH73" i="1"/>
  <c r="IH74" i="1"/>
  <c r="IH75" i="1"/>
  <c r="IH76" i="1"/>
  <c r="IH77" i="1"/>
  <c r="IH78" i="1"/>
  <c r="IH79" i="1"/>
  <c r="IH80" i="1"/>
  <c r="IH81" i="1"/>
  <c r="IH83" i="1"/>
  <c r="IH84" i="1"/>
  <c r="IG2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47" i="1"/>
  <c r="IG48" i="1"/>
  <c r="IG49" i="1"/>
  <c r="IG50" i="1"/>
  <c r="IG51" i="1"/>
  <c r="IG52" i="1"/>
  <c r="IG53" i="1"/>
  <c r="IG54" i="1"/>
  <c r="IG55" i="1"/>
  <c r="IG56" i="1"/>
  <c r="IG57" i="1"/>
  <c r="IG58" i="1"/>
  <c r="IG59" i="1"/>
  <c r="IG60" i="1"/>
  <c r="IG61" i="1"/>
  <c r="IG62" i="1"/>
  <c r="IG63" i="1"/>
  <c r="IG65" i="1"/>
  <c r="IG66" i="1"/>
  <c r="IG68" i="1"/>
  <c r="IG69" i="1"/>
  <c r="IG70" i="1"/>
  <c r="IG71" i="1"/>
  <c r="IG72" i="1"/>
  <c r="IG73" i="1"/>
  <c r="IG74" i="1"/>
  <c r="IG75" i="1"/>
  <c r="IG76" i="1"/>
  <c r="IG77" i="1"/>
  <c r="IG78" i="1"/>
  <c r="IG79" i="1"/>
  <c r="IG80" i="1"/>
  <c r="IG81" i="1"/>
  <c r="IG83" i="1"/>
  <c r="IG84" i="1"/>
  <c r="IF2" i="1"/>
  <c r="IF3" i="1"/>
  <c r="IF4" i="1"/>
  <c r="IF5" i="1"/>
  <c r="IF6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0" i="1"/>
  <c r="IF21" i="1"/>
  <c r="IF22" i="1"/>
  <c r="IF23" i="1"/>
  <c r="IF24" i="1"/>
  <c r="IF25" i="1"/>
  <c r="IF26" i="1"/>
  <c r="IF27" i="1"/>
  <c r="IF28" i="1"/>
  <c r="IF29" i="1"/>
  <c r="IF30" i="1"/>
  <c r="IF31" i="1"/>
  <c r="IF32" i="1"/>
  <c r="IF33" i="1"/>
  <c r="IF34" i="1"/>
  <c r="IF35" i="1"/>
  <c r="IF36" i="1"/>
  <c r="IF37" i="1"/>
  <c r="IF38" i="1"/>
  <c r="IF39" i="1"/>
  <c r="IF40" i="1"/>
  <c r="IF41" i="1"/>
  <c r="IF42" i="1"/>
  <c r="IF43" i="1"/>
  <c r="IF44" i="1"/>
  <c r="IF45" i="1"/>
  <c r="IF46" i="1"/>
  <c r="IF47" i="1"/>
  <c r="IF48" i="1"/>
  <c r="IF49" i="1"/>
  <c r="IF50" i="1"/>
  <c r="IF51" i="1"/>
  <c r="IF52" i="1"/>
  <c r="IF53" i="1"/>
  <c r="IF54" i="1"/>
  <c r="IF55" i="1"/>
  <c r="IF56" i="1"/>
  <c r="IF57" i="1"/>
  <c r="IF58" i="1"/>
  <c r="IF59" i="1"/>
  <c r="IF60" i="1"/>
  <c r="IF61" i="1"/>
  <c r="IF62" i="1"/>
  <c r="IF63" i="1"/>
  <c r="IF65" i="1"/>
  <c r="IF66" i="1"/>
  <c r="IF68" i="1"/>
  <c r="IF69" i="1"/>
  <c r="IF70" i="1"/>
  <c r="IF71" i="1"/>
  <c r="IF72" i="1"/>
  <c r="IF73" i="1"/>
  <c r="IF74" i="1"/>
  <c r="IF75" i="1"/>
  <c r="IF76" i="1"/>
  <c r="IF77" i="1"/>
  <c r="IF78" i="1"/>
  <c r="IF79" i="1"/>
  <c r="IF80" i="1"/>
  <c r="IF81" i="1"/>
  <c r="IF83" i="1"/>
  <c r="IF84" i="1"/>
  <c r="IE2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E43" i="1"/>
  <c r="IE44" i="1"/>
  <c r="IE45" i="1"/>
  <c r="IE46" i="1"/>
  <c r="IE47" i="1"/>
  <c r="IE48" i="1"/>
  <c r="IE49" i="1"/>
  <c r="IE50" i="1"/>
  <c r="IE51" i="1"/>
  <c r="IE52" i="1"/>
  <c r="IE53" i="1"/>
  <c r="IE54" i="1"/>
  <c r="IE55" i="1"/>
  <c r="IE56" i="1"/>
  <c r="IE57" i="1"/>
  <c r="IE58" i="1"/>
  <c r="IE59" i="1"/>
  <c r="IE60" i="1"/>
  <c r="IE61" i="1"/>
  <c r="IE62" i="1"/>
  <c r="IE63" i="1"/>
  <c r="IE65" i="1"/>
  <c r="IE66" i="1"/>
  <c r="IE68" i="1"/>
  <c r="IE69" i="1"/>
  <c r="IE70" i="1"/>
  <c r="IE71" i="1"/>
  <c r="IE72" i="1"/>
  <c r="IE73" i="1"/>
  <c r="IE74" i="1"/>
  <c r="IE75" i="1"/>
  <c r="IE76" i="1"/>
  <c r="IE77" i="1"/>
  <c r="IE78" i="1"/>
  <c r="IE79" i="1"/>
  <c r="IE80" i="1"/>
  <c r="IE81" i="1"/>
  <c r="IE83" i="1"/>
  <c r="IE84" i="1"/>
  <c r="ID2" i="1"/>
  <c r="ID3" i="1"/>
  <c r="ID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5" i="1"/>
  <c r="ID66" i="1"/>
  <c r="ID68" i="1"/>
  <c r="ID69" i="1"/>
  <c r="ID70" i="1"/>
  <c r="ID71" i="1"/>
  <c r="ID72" i="1"/>
  <c r="ID73" i="1"/>
  <c r="ID74" i="1"/>
  <c r="ID75" i="1"/>
  <c r="ID76" i="1"/>
  <c r="ID77" i="1"/>
  <c r="ID83" i="1"/>
  <c r="ID84" i="1"/>
  <c r="IC2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5" i="1"/>
  <c r="IC66" i="1"/>
  <c r="IC68" i="1"/>
  <c r="IC69" i="1"/>
  <c r="IC70" i="1"/>
  <c r="IC71" i="1"/>
  <c r="IC72" i="1"/>
  <c r="IC73" i="1"/>
  <c r="IC74" i="1"/>
  <c r="IC75" i="1"/>
  <c r="IC76" i="1"/>
  <c r="IC77" i="1"/>
  <c r="IC83" i="1"/>
  <c r="IC84" i="1"/>
  <c r="IB2" i="1"/>
  <c r="IB3" i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46" i="1"/>
  <c r="IB47" i="1"/>
  <c r="IB48" i="1"/>
  <c r="IB49" i="1"/>
  <c r="IB50" i="1"/>
  <c r="IB51" i="1"/>
  <c r="IB52" i="1"/>
  <c r="IB53" i="1"/>
  <c r="IB54" i="1"/>
  <c r="IB55" i="1"/>
  <c r="IB56" i="1"/>
  <c r="IB57" i="1"/>
  <c r="IB58" i="1"/>
  <c r="IB59" i="1"/>
  <c r="IB60" i="1"/>
  <c r="IB61" i="1"/>
  <c r="IB62" i="1"/>
  <c r="IB68" i="1"/>
  <c r="IB69" i="1"/>
  <c r="IB70" i="1"/>
  <c r="IB71" i="1"/>
  <c r="IB72" i="1"/>
  <c r="IB73" i="1"/>
  <c r="IB74" i="1"/>
  <c r="IB75" i="1"/>
  <c r="IB76" i="1"/>
  <c r="IB77" i="1"/>
  <c r="IB78" i="1"/>
  <c r="IB79" i="1"/>
  <c r="IB80" i="1"/>
  <c r="IB81" i="1"/>
  <c r="IB83" i="1"/>
  <c r="IB84" i="1"/>
  <c r="IA2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3" i="1"/>
  <c r="IA34" i="1"/>
  <c r="IA35" i="1"/>
  <c r="IA36" i="1"/>
  <c r="IA37" i="1"/>
  <c r="IA38" i="1"/>
  <c r="IA39" i="1"/>
  <c r="IA40" i="1"/>
  <c r="IA41" i="1"/>
  <c r="IA42" i="1"/>
  <c r="IA43" i="1"/>
  <c r="IA44" i="1"/>
  <c r="IA45" i="1"/>
  <c r="IA46" i="1"/>
  <c r="IA47" i="1"/>
  <c r="IA48" i="1"/>
  <c r="IA49" i="1"/>
  <c r="IA50" i="1"/>
  <c r="IA51" i="1"/>
  <c r="IA52" i="1"/>
  <c r="IA53" i="1"/>
  <c r="IA54" i="1"/>
  <c r="IA55" i="1"/>
  <c r="IA56" i="1"/>
  <c r="IA57" i="1"/>
  <c r="IA58" i="1"/>
  <c r="IA59" i="1"/>
  <c r="IA60" i="1"/>
  <c r="IA61" i="1"/>
  <c r="IA62" i="1"/>
  <c r="IA68" i="1"/>
  <c r="IA69" i="1"/>
  <c r="IA70" i="1"/>
  <c r="IA71" i="1"/>
  <c r="IA72" i="1"/>
  <c r="IA73" i="1"/>
  <c r="IA74" i="1"/>
  <c r="IA75" i="1"/>
  <c r="IA76" i="1"/>
  <c r="IA77" i="1"/>
  <c r="IA83" i="1"/>
  <c r="IA84" i="1"/>
  <c r="HZ2" i="1"/>
  <c r="HZ3" i="1"/>
  <c r="HZ4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Z45" i="1"/>
  <c r="HZ46" i="1"/>
  <c r="HZ47" i="1"/>
  <c r="HZ48" i="1"/>
  <c r="HZ49" i="1"/>
  <c r="HZ50" i="1"/>
  <c r="HZ51" i="1"/>
  <c r="HZ52" i="1"/>
  <c r="HZ53" i="1"/>
  <c r="HZ54" i="1"/>
  <c r="HZ55" i="1"/>
  <c r="HZ56" i="1"/>
  <c r="HZ57" i="1"/>
  <c r="HZ58" i="1"/>
  <c r="HZ59" i="1"/>
  <c r="HZ60" i="1"/>
  <c r="HZ61" i="1"/>
  <c r="HZ62" i="1"/>
  <c r="HZ63" i="1"/>
  <c r="HZ65" i="1"/>
  <c r="HZ66" i="1"/>
  <c r="HZ68" i="1"/>
  <c r="HZ69" i="1"/>
  <c r="HZ70" i="1"/>
  <c r="HZ71" i="1"/>
  <c r="HZ72" i="1"/>
  <c r="HZ73" i="1"/>
  <c r="HZ74" i="1"/>
  <c r="HZ75" i="1"/>
  <c r="HZ76" i="1"/>
  <c r="HZ77" i="1"/>
  <c r="HZ78" i="1"/>
  <c r="HZ79" i="1"/>
  <c r="HZ80" i="1"/>
  <c r="HZ81" i="1"/>
  <c r="HZ83" i="1"/>
  <c r="HZ84" i="1"/>
  <c r="HY2" i="1"/>
  <c r="HY3" i="1"/>
  <c r="HY4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42" i="1"/>
  <c r="HY43" i="1"/>
  <c r="HY44" i="1"/>
  <c r="HY45" i="1"/>
  <c r="HY46" i="1"/>
  <c r="HY47" i="1"/>
  <c r="HY48" i="1"/>
  <c r="HY49" i="1"/>
  <c r="HY50" i="1"/>
  <c r="HY51" i="1"/>
  <c r="HY52" i="1"/>
  <c r="HY53" i="1"/>
  <c r="HY54" i="1"/>
  <c r="HY55" i="1"/>
  <c r="HY56" i="1"/>
  <c r="HY57" i="1"/>
  <c r="HY58" i="1"/>
  <c r="HY59" i="1"/>
  <c r="HY60" i="1"/>
  <c r="HY61" i="1"/>
  <c r="HY62" i="1"/>
  <c r="HY68" i="1"/>
  <c r="HY69" i="1"/>
  <c r="HY70" i="1"/>
  <c r="HY71" i="1"/>
  <c r="HY72" i="1"/>
  <c r="HY73" i="1"/>
  <c r="HY74" i="1"/>
  <c r="HY75" i="1"/>
  <c r="HY76" i="1"/>
  <c r="HY77" i="1"/>
  <c r="HY83" i="1"/>
  <c r="HY84" i="1"/>
  <c r="HX2" i="1"/>
  <c r="HX3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54" i="1"/>
  <c r="HX55" i="1"/>
  <c r="HX56" i="1"/>
  <c r="HX57" i="1"/>
  <c r="HX58" i="1"/>
  <c r="HX59" i="1"/>
  <c r="HX60" i="1"/>
  <c r="HX61" i="1"/>
  <c r="HX62" i="1"/>
  <c r="HX63" i="1"/>
  <c r="HX65" i="1"/>
  <c r="HX66" i="1"/>
  <c r="HX68" i="1"/>
  <c r="HX69" i="1"/>
  <c r="HX70" i="1"/>
  <c r="HX71" i="1"/>
  <c r="HX72" i="1"/>
  <c r="HX73" i="1"/>
  <c r="HX74" i="1"/>
  <c r="HX75" i="1"/>
  <c r="HX76" i="1"/>
  <c r="HX77" i="1"/>
  <c r="HX78" i="1"/>
  <c r="HX79" i="1"/>
  <c r="HX80" i="1"/>
  <c r="HX81" i="1"/>
  <c r="HX83" i="1"/>
  <c r="HX84" i="1"/>
  <c r="HW2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W55" i="1"/>
  <c r="HW56" i="1"/>
  <c r="HW57" i="1"/>
  <c r="HW58" i="1"/>
  <c r="HW59" i="1"/>
  <c r="HW60" i="1"/>
  <c r="HW61" i="1"/>
  <c r="HW62" i="1"/>
  <c r="HW63" i="1"/>
  <c r="HW65" i="1"/>
  <c r="HW66" i="1"/>
  <c r="HW68" i="1"/>
  <c r="HW69" i="1"/>
  <c r="HW70" i="1"/>
  <c r="HW71" i="1"/>
  <c r="HW72" i="1"/>
  <c r="HW73" i="1"/>
  <c r="HW74" i="1"/>
  <c r="HW75" i="1"/>
  <c r="HW76" i="1"/>
  <c r="HW77" i="1"/>
  <c r="HW78" i="1"/>
  <c r="HW79" i="1"/>
  <c r="HW80" i="1"/>
  <c r="HW81" i="1"/>
  <c r="HW83" i="1"/>
  <c r="HW8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54" i="1"/>
  <c r="HV55" i="1"/>
  <c r="HV56" i="1"/>
  <c r="HV57" i="1"/>
  <c r="HV58" i="1"/>
  <c r="HV59" i="1"/>
  <c r="HV60" i="1"/>
  <c r="HV61" i="1"/>
  <c r="HV62" i="1"/>
  <c r="HV63" i="1"/>
  <c r="HV65" i="1"/>
  <c r="HV66" i="1"/>
  <c r="HV68" i="1"/>
  <c r="HV69" i="1"/>
  <c r="HV70" i="1"/>
  <c r="HV71" i="1"/>
  <c r="HV72" i="1"/>
  <c r="HV73" i="1"/>
  <c r="HV74" i="1"/>
  <c r="HV75" i="1"/>
  <c r="HV76" i="1"/>
  <c r="HV77" i="1"/>
  <c r="HV78" i="1"/>
  <c r="HV79" i="1"/>
  <c r="HV80" i="1"/>
  <c r="HV81" i="1"/>
  <c r="HV83" i="1"/>
  <c r="HV84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4" i="1"/>
  <c r="HU35" i="1"/>
  <c r="HU36" i="1"/>
  <c r="HU37" i="1"/>
  <c r="HU38" i="1"/>
  <c r="HU39" i="1"/>
  <c r="HU40" i="1"/>
  <c r="HU41" i="1"/>
  <c r="HU42" i="1"/>
  <c r="HU43" i="1"/>
  <c r="HU44" i="1"/>
  <c r="HU45" i="1"/>
  <c r="HU46" i="1"/>
  <c r="HU47" i="1"/>
  <c r="HU48" i="1"/>
  <c r="HU49" i="1"/>
  <c r="HU50" i="1"/>
  <c r="HU51" i="1"/>
  <c r="HU52" i="1"/>
  <c r="HU53" i="1"/>
  <c r="HU54" i="1"/>
  <c r="HU55" i="1"/>
  <c r="HU56" i="1"/>
  <c r="HU57" i="1"/>
  <c r="HU58" i="1"/>
  <c r="HU59" i="1"/>
  <c r="HU60" i="1"/>
  <c r="HU61" i="1"/>
  <c r="HU62" i="1"/>
  <c r="HU68" i="1"/>
  <c r="HU69" i="1"/>
  <c r="HU70" i="1"/>
  <c r="HU71" i="1"/>
  <c r="HU72" i="1"/>
  <c r="HU73" i="1"/>
  <c r="HU74" i="1"/>
  <c r="HU75" i="1"/>
  <c r="HU76" i="1"/>
  <c r="HU77" i="1"/>
  <c r="HU83" i="1"/>
  <c r="HU84" i="1"/>
  <c r="HT2" i="1"/>
  <c r="HT3" i="1"/>
  <c r="HT4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T43" i="1"/>
  <c r="HT44" i="1"/>
  <c r="HT53" i="1"/>
  <c r="HT54" i="1"/>
  <c r="HT55" i="1"/>
  <c r="HT56" i="1"/>
  <c r="HT57" i="1"/>
  <c r="HT58" i="1"/>
  <c r="HT59" i="1"/>
  <c r="HT60" i="1"/>
  <c r="HT61" i="1"/>
  <c r="HT62" i="1"/>
  <c r="HT63" i="1"/>
  <c r="HT65" i="1"/>
  <c r="HT66" i="1"/>
  <c r="HT68" i="1"/>
  <c r="HT69" i="1"/>
  <c r="HT70" i="1"/>
  <c r="HT71" i="1"/>
  <c r="HT72" i="1"/>
  <c r="HT73" i="1"/>
  <c r="HT74" i="1"/>
  <c r="HT75" i="1"/>
  <c r="HT76" i="1"/>
  <c r="HT77" i="1"/>
  <c r="HT78" i="1"/>
  <c r="HT79" i="1"/>
  <c r="HT80" i="1"/>
  <c r="HT81" i="1"/>
  <c r="HT83" i="1"/>
  <c r="HT84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53" i="1"/>
  <c r="HS54" i="1"/>
  <c r="HS55" i="1"/>
  <c r="HS56" i="1"/>
  <c r="HS57" i="1"/>
  <c r="HS58" i="1"/>
  <c r="HS59" i="1"/>
  <c r="HS60" i="1"/>
  <c r="HS61" i="1"/>
  <c r="HS62" i="1"/>
  <c r="HS68" i="1"/>
  <c r="HS69" i="1"/>
  <c r="HS70" i="1"/>
  <c r="HS71" i="1"/>
  <c r="HS72" i="1"/>
  <c r="HS73" i="1"/>
  <c r="HS74" i="1"/>
  <c r="HS75" i="1"/>
  <c r="HS76" i="1"/>
  <c r="HS77" i="1"/>
  <c r="HS83" i="1"/>
  <c r="HS84" i="1"/>
  <c r="HR2" i="1"/>
  <c r="HR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60" i="1"/>
  <c r="HR61" i="1"/>
  <c r="HR62" i="1"/>
  <c r="HR63" i="1"/>
  <c r="HR65" i="1"/>
  <c r="HR66" i="1"/>
  <c r="HR68" i="1"/>
  <c r="HR69" i="1"/>
  <c r="HR70" i="1"/>
  <c r="HR71" i="1"/>
  <c r="HR72" i="1"/>
  <c r="HR73" i="1"/>
  <c r="HR74" i="1"/>
  <c r="HR75" i="1"/>
  <c r="HR76" i="1"/>
  <c r="HR77" i="1"/>
  <c r="HR78" i="1"/>
  <c r="HR79" i="1"/>
  <c r="HR80" i="1"/>
  <c r="HR81" i="1"/>
  <c r="HR83" i="1"/>
  <c r="HR84" i="1"/>
  <c r="HQ2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60" i="1"/>
  <c r="HQ61" i="1"/>
  <c r="HQ62" i="1"/>
  <c r="HQ63" i="1"/>
  <c r="HQ65" i="1"/>
  <c r="HQ66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3" i="1"/>
  <c r="HQ84" i="1"/>
  <c r="HP2" i="1"/>
  <c r="HP3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5" i="1"/>
  <c r="HP66" i="1"/>
  <c r="HP68" i="1"/>
  <c r="HP69" i="1"/>
  <c r="HP70" i="1"/>
  <c r="HP71" i="1"/>
  <c r="HP72" i="1"/>
  <c r="HP73" i="1"/>
  <c r="HP74" i="1"/>
  <c r="HP75" i="1"/>
  <c r="HP76" i="1"/>
  <c r="HP77" i="1"/>
  <c r="HP78" i="1"/>
  <c r="HP79" i="1"/>
  <c r="HP80" i="1"/>
  <c r="HP81" i="1"/>
  <c r="HP83" i="1"/>
  <c r="HP84" i="1"/>
  <c r="HO2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HO61" i="1"/>
  <c r="HO62" i="1"/>
  <c r="HO63" i="1"/>
  <c r="HO65" i="1"/>
  <c r="HO66" i="1"/>
  <c r="HO68" i="1"/>
  <c r="HO69" i="1"/>
  <c r="HO70" i="1"/>
  <c r="HO71" i="1"/>
  <c r="HO72" i="1"/>
  <c r="HO73" i="1"/>
  <c r="HO74" i="1"/>
  <c r="HO75" i="1"/>
  <c r="HO76" i="1"/>
  <c r="HO77" i="1"/>
  <c r="HO78" i="1"/>
  <c r="HO79" i="1"/>
  <c r="HO80" i="1"/>
  <c r="HO81" i="1"/>
  <c r="HO83" i="1"/>
  <c r="HO84" i="1"/>
  <c r="HN2" i="1"/>
  <c r="HN3" i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45" i="1"/>
  <c r="HN46" i="1"/>
  <c r="HN47" i="1"/>
  <c r="HN48" i="1"/>
  <c r="HN49" i="1"/>
  <c r="HN50" i="1"/>
  <c r="HN51" i="1"/>
  <c r="HN52" i="1"/>
  <c r="HN60" i="1"/>
  <c r="HN61" i="1"/>
  <c r="HN62" i="1"/>
  <c r="HN63" i="1"/>
  <c r="HN65" i="1"/>
  <c r="HN66" i="1"/>
  <c r="HN68" i="1"/>
  <c r="HN69" i="1"/>
  <c r="HN70" i="1"/>
  <c r="HN71" i="1"/>
  <c r="HN72" i="1"/>
  <c r="HN73" i="1"/>
  <c r="HN74" i="1"/>
  <c r="HN75" i="1"/>
  <c r="HN76" i="1"/>
  <c r="HN77" i="1"/>
  <c r="HN78" i="1"/>
  <c r="HN79" i="1"/>
  <c r="HN80" i="1"/>
  <c r="HN81" i="1"/>
  <c r="HN83" i="1"/>
  <c r="HN84" i="1"/>
  <c r="HM2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5" i="1"/>
  <c r="HM66" i="1"/>
  <c r="HM68" i="1"/>
  <c r="HM69" i="1"/>
  <c r="HM70" i="1"/>
  <c r="HM71" i="1"/>
  <c r="HM72" i="1"/>
  <c r="HM73" i="1"/>
  <c r="HM74" i="1"/>
  <c r="HM75" i="1"/>
  <c r="HM76" i="1"/>
  <c r="HM77" i="1"/>
  <c r="HM78" i="1"/>
  <c r="HM79" i="1"/>
  <c r="HM80" i="1"/>
  <c r="HM81" i="1"/>
  <c r="HM83" i="1"/>
  <c r="HM84" i="1"/>
  <c r="HL2" i="1"/>
  <c r="HL3" i="1"/>
  <c r="HL4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L45" i="1"/>
  <c r="HL46" i="1"/>
  <c r="HL47" i="1"/>
  <c r="HL48" i="1"/>
  <c r="HL49" i="1"/>
  <c r="HL50" i="1"/>
  <c r="HL51" i="1"/>
  <c r="HL52" i="1"/>
  <c r="HL60" i="1"/>
  <c r="HL61" i="1"/>
  <c r="HL62" i="1"/>
  <c r="HL63" i="1"/>
  <c r="HL65" i="1"/>
  <c r="HL66" i="1"/>
  <c r="HL68" i="1"/>
  <c r="HL69" i="1"/>
  <c r="HL70" i="1"/>
  <c r="HL71" i="1"/>
  <c r="HL72" i="1"/>
  <c r="HL73" i="1"/>
  <c r="HL74" i="1"/>
  <c r="HL75" i="1"/>
  <c r="HL76" i="1"/>
  <c r="HL77" i="1"/>
  <c r="HL78" i="1"/>
  <c r="HL79" i="1"/>
  <c r="HL80" i="1"/>
  <c r="HL81" i="1"/>
  <c r="HL83" i="1"/>
  <c r="HL84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60" i="1"/>
  <c r="HK61" i="1"/>
  <c r="HK62" i="1"/>
  <c r="HK68" i="1"/>
  <c r="HK69" i="1"/>
  <c r="HK70" i="1"/>
  <c r="HK71" i="1"/>
  <c r="HK72" i="1"/>
  <c r="HK73" i="1"/>
  <c r="HK74" i="1"/>
  <c r="HK75" i="1"/>
  <c r="HK76" i="1"/>
  <c r="HK77" i="1"/>
  <c r="HK83" i="1"/>
  <c r="HK84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60" i="1"/>
  <c r="HJ61" i="1"/>
  <c r="HJ62" i="1"/>
  <c r="HJ68" i="1"/>
  <c r="HJ69" i="1"/>
  <c r="HJ70" i="1"/>
  <c r="HJ71" i="1"/>
  <c r="HJ72" i="1"/>
  <c r="HJ73" i="1"/>
  <c r="HJ74" i="1"/>
  <c r="HJ75" i="1"/>
  <c r="HJ76" i="1"/>
  <c r="HJ77" i="1"/>
  <c r="HJ83" i="1"/>
  <c r="HJ84" i="1"/>
  <c r="HI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47" i="1"/>
  <c r="HI48" i="1"/>
  <c r="HI49" i="1"/>
  <c r="HI50" i="1"/>
  <c r="HI51" i="1"/>
  <c r="HI52" i="1"/>
  <c r="HI53" i="1"/>
  <c r="HI54" i="1"/>
  <c r="HI55" i="1"/>
  <c r="HI56" i="1"/>
  <c r="HI57" i="1"/>
  <c r="HI58" i="1"/>
  <c r="HI59" i="1"/>
  <c r="HI60" i="1"/>
  <c r="HI61" i="1"/>
  <c r="HI62" i="1"/>
  <c r="HI63" i="1"/>
  <c r="HI65" i="1"/>
  <c r="HI66" i="1"/>
  <c r="HI68" i="1"/>
  <c r="HI69" i="1"/>
  <c r="HI70" i="1"/>
  <c r="HI71" i="1"/>
  <c r="HI72" i="1"/>
  <c r="HI73" i="1"/>
  <c r="HI74" i="1"/>
  <c r="HI75" i="1"/>
  <c r="HI76" i="1"/>
  <c r="HI77" i="1"/>
  <c r="HI78" i="1"/>
  <c r="HI79" i="1"/>
  <c r="HI80" i="1"/>
  <c r="HI81" i="1"/>
  <c r="HI83" i="1"/>
  <c r="HI84" i="1"/>
  <c r="HH2" i="1"/>
  <c r="HH3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6" i="1"/>
  <c r="HH37" i="1"/>
  <c r="HH38" i="1"/>
  <c r="HH39" i="1"/>
  <c r="HH40" i="1"/>
  <c r="HH41" i="1"/>
  <c r="HH42" i="1"/>
  <c r="HH43" i="1"/>
  <c r="HH44" i="1"/>
  <c r="HH45" i="1"/>
  <c r="HH46" i="1"/>
  <c r="HH47" i="1"/>
  <c r="HH48" i="1"/>
  <c r="HH49" i="1"/>
  <c r="HH50" i="1"/>
  <c r="HH51" i="1"/>
  <c r="HH52" i="1"/>
  <c r="HH53" i="1"/>
  <c r="HH54" i="1"/>
  <c r="HH55" i="1"/>
  <c r="HH56" i="1"/>
  <c r="HH57" i="1"/>
  <c r="HH58" i="1"/>
  <c r="HH59" i="1"/>
  <c r="HH60" i="1"/>
  <c r="HH61" i="1"/>
  <c r="HH62" i="1"/>
  <c r="HH63" i="1"/>
  <c r="HH65" i="1"/>
  <c r="HH66" i="1"/>
  <c r="HH68" i="1"/>
  <c r="HH69" i="1"/>
  <c r="HH70" i="1"/>
  <c r="HH71" i="1"/>
  <c r="HH72" i="1"/>
  <c r="HH73" i="1"/>
  <c r="HH74" i="1"/>
  <c r="HH75" i="1"/>
  <c r="HH76" i="1"/>
  <c r="HH77" i="1"/>
  <c r="HH78" i="1"/>
  <c r="HH79" i="1"/>
  <c r="HH80" i="1"/>
  <c r="HH81" i="1"/>
  <c r="HH83" i="1"/>
  <c r="HH84" i="1"/>
  <c r="HG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59" i="1"/>
  <c r="HG60" i="1"/>
  <c r="HG61" i="1"/>
  <c r="HG62" i="1"/>
  <c r="HG63" i="1"/>
  <c r="HG65" i="1"/>
  <c r="HG66" i="1"/>
  <c r="HG68" i="1"/>
  <c r="HG69" i="1"/>
  <c r="HG70" i="1"/>
  <c r="HG71" i="1"/>
  <c r="HG72" i="1"/>
  <c r="HG73" i="1"/>
  <c r="HG74" i="1"/>
  <c r="HG75" i="1"/>
  <c r="HG76" i="1"/>
  <c r="HG77" i="1"/>
  <c r="HG78" i="1"/>
  <c r="HG79" i="1"/>
  <c r="HG80" i="1"/>
  <c r="HG81" i="1"/>
  <c r="HG83" i="1"/>
  <c r="HG84" i="1"/>
  <c r="HF2" i="1"/>
  <c r="HF3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47" i="1"/>
  <c r="HF48" i="1"/>
  <c r="HF49" i="1"/>
  <c r="HF50" i="1"/>
  <c r="HF51" i="1"/>
  <c r="HF52" i="1"/>
  <c r="HF53" i="1"/>
  <c r="HF54" i="1"/>
  <c r="HF55" i="1"/>
  <c r="HF56" i="1"/>
  <c r="HF57" i="1"/>
  <c r="HF58" i="1"/>
  <c r="HF59" i="1"/>
  <c r="HF60" i="1"/>
  <c r="HF61" i="1"/>
  <c r="HF62" i="1"/>
  <c r="HF63" i="1"/>
  <c r="HF65" i="1"/>
  <c r="HF66" i="1"/>
  <c r="HF68" i="1"/>
  <c r="HF69" i="1"/>
  <c r="HF70" i="1"/>
  <c r="HF71" i="1"/>
  <c r="HF72" i="1"/>
  <c r="HF73" i="1"/>
  <c r="HF74" i="1"/>
  <c r="HF75" i="1"/>
  <c r="HF76" i="1"/>
  <c r="HF77" i="1"/>
  <c r="HF78" i="1"/>
  <c r="HF79" i="1"/>
  <c r="HF80" i="1"/>
  <c r="HF81" i="1"/>
  <c r="HF83" i="1"/>
  <c r="HF84" i="1"/>
  <c r="HE2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0" i="1"/>
  <c r="HE51" i="1"/>
  <c r="HE52" i="1"/>
  <c r="HE53" i="1"/>
  <c r="HE54" i="1"/>
  <c r="HE55" i="1"/>
  <c r="HE56" i="1"/>
  <c r="HE57" i="1"/>
  <c r="HE58" i="1"/>
  <c r="HE59" i="1"/>
  <c r="HE60" i="1"/>
  <c r="HE61" i="1"/>
  <c r="HE62" i="1"/>
  <c r="HE63" i="1"/>
  <c r="HE65" i="1"/>
  <c r="HE66" i="1"/>
  <c r="HE68" i="1"/>
  <c r="HE69" i="1"/>
  <c r="HE70" i="1"/>
  <c r="HE71" i="1"/>
  <c r="HE72" i="1"/>
  <c r="HE73" i="1"/>
  <c r="HE74" i="1"/>
  <c r="HE75" i="1"/>
  <c r="HE76" i="1"/>
  <c r="HE77" i="1"/>
  <c r="HE78" i="1"/>
  <c r="HE79" i="1"/>
  <c r="HE80" i="1"/>
  <c r="HE81" i="1"/>
  <c r="HE83" i="1"/>
  <c r="HE84" i="1"/>
  <c r="HD2" i="1"/>
  <c r="HD3" i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D43" i="1"/>
  <c r="HD44" i="1"/>
  <c r="HD45" i="1"/>
  <c r="HD46" i="1"/>
  <c r="HD47" i="1"/>
  <c r="HD48" i="1"/>
  <c r="HD49" i="1"/>
  <c r="HD50" i="1"/>
  <c r="HD51" i="1"/>
  <c r="HD52" i="1"/>
  <c r="HD53" i="1"/>
  <c r="HD54" i="1"/>
  <c r="HD55" i="1"/>
  <c r="HD56" i="1"/>
  <c r="HD57" i="1"/>
  <c r="HD58" i="1"/>
  <c r="HD59" i="1"/>
  <c r="HD60" i="1"/>
  <c r="HD61" i="1"/>
  <c r="HD62" i="1"/>
  <c r="HD63" i="1"/>
  <c r="HD65" i="1"/>
  <c r="HD66" i="1"/>
  <c r="HD68" i="1"/>
  <c r="HD69" i="1"/>
  <c r="HD70" i="1"/>
  <c r="HD71" i="1"/>
  <c r="HD72" i="1"/>
  <c r="HD73" i="1"/>
  <c r="HD74" i="1"/>
  <c r="HD75" i="1"/>
  <c r="HD76" i="1"/>
  <c r="HD77" i="1"/>
  <c r="HD78" i="1"/>
  <c r="HD79" i="1"/>
  <c r="HD80" i="1"/>
  <c r="HD81" i="1"/>
  <c r="HD84" i="1"/>
  <c r="HC2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5" i="1"/>
  <c r="HC66" i="1"/>
  <c r="HC73" i="1"/>
  <c r="HC74" i="1"/>
  <c r="HC75" i="1"/>
  <c r="HC76" i="1"/>
  <c r="HC77" i="1"/>
  <c r="HC78" i="1"/>
  <c r="HC79" i="1"/>
  <c r="HC80" i="1"/>
  <c r="HC81" i="1"/>
  <c r="HC83" i="1"/>
  <c r="HC84" i="1"/>
  <c r="HB2" i="1"/>
  <c r="HB3" i="1"/>
  <c r="HB4" i="1"/>
  <c r="HB5" i="1"/>
  <c r="HB6" i="1"/>
  <c r="HB7" i="1"/>
  <c r="HB8" i="1"/>
  <c r="HB9" i="1"/>
  <c r="HB10" i="1"/>
  <c r="HB11" i="1"/>
  <c r="HB13" i="1"/>
  <c r="HB15" i="1"/>
  <c r="HB16" i="1"/>
  <c r="HB17" i="1"/>
  <c r="HB19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47" i="1"/>
  <c r="HB48" i="1"/>
  <c r="HB49" i="1"/>
  <c r="HB50" i="1"/>
  <c r="HB51" i="1"/>
  <c r="HB52" i="1"/>
  <c r="HB53" i="1"/>
  <c r="HB54" i="1"/>
  <c r="HB55" i="1"/>
  <c r="HB56" i="1"/>
  <c r="HB57" i="1"/>
  <c r="HB58" i="1"/>
  <c r="HB59" i="1"/>
  <c r="HB60" i="1"/>
  <c r="HB61" i="1"/>
  <c r="HB62" i="1"/>
  <c r="HB63" i="1"/>
  <c r="HB65" i="1"/>
  <c r="HB66" i="1"/>
  <c r="HB68" i="1"/>
  <c r="HB69" i="1"/>
  <c r="HB70" i="1"/>
  <c r="HB71" i="1"/>
  <c r="HB72" i="1"/>
  <c r="HB73" i="1"/>
  <c r="HB74" i="1"/>
  <c r="HB75" i="1"/>
  <c r="HB76" i="1"/>
  <c r="HB77" i="1"/>
  <c r="HB78" i="1"/>
  <c r="HB79" i="1"/>
  <c r="HB80" i="1"/>
  <c r="HB81" i="1"/>
  <c r="HB83" i="1"/>
  <c r="HB84" i="1"/>
  <c r="HA2" i="1"/>
  <c r="HA3" i="1"/>
  <c r="HA4" i="1"/>
  <c r="HA5" i="1"/>
  <c r="HA6" i="1"/>
  <c r="HA7" i="1"/>
  <c r="HA8" i="1"/>
  <c r="HA9" i="1"/>
  <c r="HA10" i="1"/>
  <c r="HA11" i="1"/>
  <c r="HA13" i="1"/>
  <c r="HA15" i="1"/>
  <c r="HA16" i="1"/>
  <c r="HA17" i="1"/>
  <c r="HA19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4" i="1"/>
  <c r="HA35" i="1"/>
  <c r="HA36" i="1"/>
  <c r="HA37" i="1"/>
  <c r="HA38" i="1"/>
  <c r="HA39" i="1"/>
  <c r="HA40" i="1"/>
  <c r="HA41" i="1"/>
  <c r="HA42" i="1"/>
  <c r="HA43" i="1"/>
  <c r="HA44" i="1"/>
  <c r="HA45" i="1"/>
  <c r="HA46" i="1"/>
  <c r="HA47" i="1"/>
  <c r="HA48" i="1"/>
  <c r="HA49" i="1"/>
  <c r="HA50" i="1"/>
  <c r="HA51" i="1"/>
  <c r="HA52" i="1"/>
  <c r="HA53" i="1"/>
  <c r="HA54" i="1"/>
  <c r="HA55" i="1"/>
  <c r="HA56" i="1"/>
  <c r="HA57" i="1"/>
  <c r="HA58" i="1"/>
  <c r="HA59" i="1"/>
  <c r="HA60" i="1"/>
  <c r="HA61" i="1"/>
  <c r="HA62" i="1"/>
  <c r="HA63" i="1"/>
  <c r="HA65" i="1"/>
  <c r="HA66" i="1"/>
  <c r="HA68" i="1"/>
  <c r="HA69" i="1"/>
  <c r="HA70" i="1"/>
  <c r="HA71" i="1"/>
  <c r="HA72" i="1"/>
  <c r="HA73" i="1"/>
  <c r="HA74" i="1"/>
  <c r="HA75" i="1"/>
  <c r="HA76" i="1"/>
  <c r="HA77" i="1"/>
  <c r="HA78" i="1"/>
  <c r="HA79" i="1"/>
  <c r="HA80" i="1"/>
  <c r="HA81" i="1"/>
  <c r="HA83" i="1"/>
  <c r="HA84" i="1"/>
  <c r="GZ2" i="1"/>
  <c r="GZ3" i="1"/>
  <c r="GZ4" i="1"/>
  <c r="GZ5" i="1"/>
  <c r="GZ6" i="1"/>
  <c r="GZ7" i="1"/>
  <c r="GZ8" i="1"/>
  <c r="GZ9" i="1"/>
  <c r="GZ10" i="1"/>
  <c r="GZ11" i="1"/>
  <c r="GZ13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47" i="1"/>
  <c r="GZ48" i="1"/>
  <c r="GZ49" i="1"/>
  <c r="GZ50" i="1"/>
  <c r="GZ51" i="1"/>
  <c r="GZ52" i="1"/>
  <c r="GZ53" i="1"/>
  <c r="GZ54" i="1"/>
  <c r="GZ55" i="1"/>
  <c r="GZ56" i="1"/>
  <c r="GZ57" i="1"/>
  <c r="GZ58" i="1"/>
  <c r="GZ59" i="1"/>
  <c r="GZ60" i="1"/>
  <c r="GZ61" i="1"/>
  <c r="GZ62" i="1"/>
  <c r="GZ63" i="1"/>
  <c r="GZ65" i="1"/>
  <c r="GZ66" i="1"/>
  <c r="GZ68" i="1"/>
  <c r="GZ69" i="1"/>
  <c r="GZ70" i="1"/>
  <c r="GZ71" i="1"/>
  <c r="GZ72" i="1"/>
  <c r="GZ73" i="1"/>
  <c r="GZ74" i="1"/>
  <c r="GZ75" i="1"/>
  <c r="GZ76" i="1"/>
  <c r="GZ77" i="1"/>
  <c r="GZ78" i="1"/>
  <c r="GZ79" i="1"/>
  <c r="GZ80" i="1"/>
  <c r="GZ81" i="1"/>
  <c r="GZ83" i="1"/>
  <c r="GZ84" i="1"/>
  <c r="GY2" i="1"/>
  <c r="GY3" i="1"/>
  <c r="GY4" i="1"/>
  <c r="GY5" i="1"/>
  <c r="GY6" i="1"/>
  <c r="GY7" i="1"/>
  <c r="GY8" i="1"/>
  <c r="GY9" i="1"/>
  <c r="GY10" i="1"/>
  <c r="GY11" i="1"/>
  <c r="GY13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Y55" i="1"/>
  <c r="GY56" i="1"/>
  <c r="GY57" i="1"/>
  <c r="GY58" i="1"/>
  <c r="GY59" i="1"/>
  <c r="GY60" i="1"/>
  <c r="GY61" i="1"/>
  <c r="GY62" i="1"/>
  <c r="GY63" i="1"/>
  <c r="GY65" i="1"/>
  <c r="GY66" i="1"/>
  <c r="GY68" i="1"/>
  <c r="GY69" i="1"/>
  <c r="GY70" i="1"/>
  <c r="GY71" i="1"/>
  <c r="GY72" i="1"/>
  <c r="GY73" i="1"/>
  <c r="GY74" i="1"/>
  <c r="GY75" i="1"/>
  <c r="GY76" i="1"/>
  <c r="GY77" i="1"/>
  <c r="GY78" i="1"/>
  <c r="GY79" i="1"/>
  <c r="GY80" i="1"/>
  <c r="GY81" i="1"/>
  <c r="GY83" i="1"/>
  <c r="GY84" i="1"/>
  <c r="GX2" i="1"/>
  <c r="GX3" i="1"/>
  <c r="GX4" i="1"/>
  <c r="GX5" i="1"/>
  <c r="GX6" i="1"/>
  <c r="GX7" i="1"/>
  <c r="GX8" i="1"/>
  <c r="GX9" i="1"/>
  <c r="GX10" i="1"/>
  <c r="GX12" i="1"/>
  <c r="GX14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5" i="1"/>
  <c r="GX66" i="1"/>
  <c r="GX68" i="1"/>
  <c r="GX69" i="1"/>
  <c r="GX70" i="1"/>
  <c r="GX71" i="1"/>
  <c r="GX72" i="1"/>
  <c r="GX73" i="1"/>
  <c r="GX74" i="1"/>
  <c r="GX75" i="1"/>
  <c r="GX76" i="1"/>
  <c r="GX77" i="1"/>
  <c r="GX78" i="1"/>
  <c r="GX79" i="1"/>
  <c r="GX80" i="1"/>
  <c r="GX81" i="1"/>
  <c r="GX83" i="1"/>
  <c r="GX84" i="1"/>
  <c r="GW2" i="1"/>
  <c r="GW3" i="1"/>
  <c r="GW4" i="1"/>
  <c r="GW5" i="1"/>
  <c r="GW6" i="1"/>
  <c r="GW7" i="1"/>
  <c r="GW8" i="1"/>
  <c r="GW9" i="1"/>
  <c r="GW10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50" i="1"/>
  <c r="GW51" i="1"/>
  <c r="GW52" i="1"/>
  <c r="GW53" i="1"/>
  <c r="GW54" i="1"/>
  <c r="GW55" i="1"/>
  <c r="GW56" i="1"/>
  <c r="GW57" i="1"/>
  <c r="GW58" i="1"/>
  <c r="GW59" i="1"/>
  <c r="GW60" i="1"/>
  <c r="GW61" i="1"/>
  <c r="GW62" i="1"/>
  <c r="GW63" i="1"/>
  <c r="GW65" i="1"/>
  <c r="GW66" i="1"/>
  <c r="GW68" i="1"/>
  <c r="GW69" i="1"/>
  <c r="GW70" i="1"/>
  <c r="GW71" i="1"/>
  <c r="GW72" i="1"/>
  <c r="GW73" i="1"/>
  <c r="GW74" i="1"/>
  <c r="GW75" i="1"/>
  <c r="GW76" i="1"/>
  <c r="GW77" i="1"/>
  <c r="GW78" i="1"/>
  <c r="GW79" i="1"/>
  <c r="GW80" i="1"/>
  <c r="GW81" i="1"/>
  <c r="GW83" i="1"/>
  <c r="GW84" i="1"/>
  <c r="GV2" i="1"/>
  <c r="GV3" i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V38" i="1"/>
  <c r="GV39" i="1"/>
  <c r="GV40" i="1"/>
  <c r="GV41" i="1"/>
  <c r="GV42" i="1"/>
  <c r="GV43" i="1"/>
  <c r="GV44" i="1"/>
  <c r="GV45" i="1"/>
  <c r="GV46" i="1"/>
  <c r="GV47" i="1"/>
  <c r="GV48" i="1"/>
  <c r="GV49" i="1"/>
  <c r="GV50" i="1"/>
  <c r="GV51" i="1"/>
  <c r="GV52" i="1"/>
  <c r="GV53" i="1"/>
  <c r="GV54" i="1"/>
  <c r="GV55" i="1"/>
  <c r="GV56" i="1"/>
  <c r="GV57" i="1"/>
  <c r="GV58" i="1"/>
  <c r="GV59" i="1"/>
  <c r="GV63" i="1"/>
  <c r="GV65" i="1"/>
  <c r="GV66" i="1"/>
  <c r="GV68" i="1"/>
  <c r="GV69" i="1"/>
  <c r="GV70" i="1"/>
  <c r="GV71" i="1"/>
  <c r="GV72" i="1"/>
  <c r="GV73" i="1"/>
  <c r="GV74" i="1"/>
  <c r="GV75" i="1"/>
  <c r="GV76" i="1"/>
  <c r="GV77" i="1"/>
  <c r="GV78" i="1"/>
  <c r="GV79" i="1"/>
  <c r="GV80" i="1"/>
  <c r="GV81" i="1"/>
  <c r="GV83" i="1"/>
  <c r="GV84" i="1"/>
  <c r="GU2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5" i="1"/>
  <c r="GU66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3" i="1"/>
  <c r="GU84" i="1"/>
  <c r="GT2" i="1"/>
  <c r="GT3" i="1"/>
  <c r="GT4" i="1"/>
  <c r="GT5" i="1"/>
  <c r="GT6" i="1"/>
  <c r="GT7" i="1"/>
  <c r="GT8" i="1"/>
  <c r="GT9" i="1"/>
  <c r="GT10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3" i="1"/>
  <c r="GT65" i="1"/>
  <c r="GT66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3" i="1"/>
  <c r="GT84" i="1"/>
  <c r="GS2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5" i="1"/>
  <c r="GS66" i="1"/>
  <c r="GS73" i="1"/>
  <c r="GS74" i="1"/>
  <c r="GS75" i="1"/>
  <c r="GS76" i="1"/>
  <c r="GS77" i="1"/>
  <c r="GS78" i="1"/>
  <c r="GS79" i="1"/>
  <c r="GS80" i="1"/>
  <c r="GS81" i="1"/>
  <c r="GS84" i="1"/>
  <c r="GR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5" i="1"/>
  <c r="GR66" i="1"/>
  <c r="GR68" i="1"/>
  <c r="GR69" i="1"/>
  <c r="GR70" i="1"/>
  <c r="GR71" i="1"/>
  <c r="GR72" i="1"/>
  <c r="GR78" i="1"/>
  <c r="GR79" i="1"/>
  <c r="GR80" i="1"/>
  <c r="GR81" i="1"/>
  <c r="GR83" i="1"/>
  <c r="GR84" i="1"/>
  <c r="GQ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5" i="1"/>
  <c r="GQ66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3" i="1"/>
  <c r="GP2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5" i="1"/>
  <c r="GP66" i="1"/>
  <c r="GP78" i="1"/>
  <c r="GP79" i="1"/>
  <c r="GP80" i="1"/>
  <c r="GP81" i="1"/>
  <c r="GO2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O55" i="1"/>
  <c r="GO56" i="1"/>
  <c r="GO57" i="1"/>
  <c r="GO58" i="1"/>
  <c r="GO59" i="1"/>
  <c r="GO60" i="1"/>
  <c r="GO61" i="1"/>
  <c r="GO62" i="1"/>
  <c r="GO63" i="1"/>
  <c r="GO65" i="1"/>
  <c r="GO66" i="1"/>
  <c r="GO68" i="1"/>
  <c r="GO69" i="1"/>
  <c r="GO70" i="1"/>
  <c r="GO71" i="1"/>
  <c r="GO72" i="1"/>
  <c r="GO73" i="1"/>
  <c r="GO74" i="1"/>
  <c r="GO75" i="1"/>
  <c r="GO76" i="1"/>
  <c r="GO77" i="1"/>
  <c r="GO78" i="1"/>
  <c r="GO79" i="1"/>
  <c r="GO80" i="1"/>
  <c r="GO81" i="1"/>
  <c r="GO83" i="1"/>
  <c r="GO84" i="1"/>
  <c r="GN2" i="1"/>
  <c r="GN3" i="1"/>
  <c r="GN4" i="1"/>
  <c r="GN5" i="1"/>
  <c r="GN6" i="1"/>
  <c r="GN7" i="1"/>
  <c r="GN8" i="1"/>
  <c r="GN9" i="1"/>
  <c r="GN10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3" i="1"/>
  <c r="GN65" i="1"/>
  <c r="GN66" i="1"/>
  <c r="GN78" i="1"/>
  <c r="GN79" i="1"/>
  <c r="GN80" i="1"/>
  <c r="GN81" i="1"/>
  <c r="GM2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5" i="1"/>
  <c r="GM66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3" i="1"/>
  <c r="GM84" i="1"/>
  <c r="GL2" i="1"/>
  <c r="GL3" i="1"/>
  <c r="GL4" i="1"/>
  <c r="GL5" i="1"/>
  <c r="GL6" i="1"/>
  <c r="GL7" i="1"/>
  <c r="GL8" i="1"/>
  <c r="GL9" i="1"/>
  <c r="GL10" i="1"/>
  <c r="GL17" i="1"/>
  <c r="GL18" i="1"/>
  <c r="GL19" i="1"/>
  <c r="GL20" i="1"/>
  <c r="GL21" i="1"/>
  <c r="GL22" i="1"/>
  <c r="GL23" i="1"/>
  <c r="GL24" i="1"/>
  <c r="GL25" i="1"/>
  <c r="GL26" i="1"/>
  <c r="GL27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3" i="1"/>
  <c r="GL65" i="1"/>
  <c r="GL66" i="1"/>
  <c r="GL78" i="1"/>
  <c r="GL79" i="1"/>
  <c r="GL80" i="1"/>
  <c r="GL81" i="1"/>
  <c r="GK2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5" i="1"/>
  <c r="GK66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3" i="1"/>
  <c r="GK84" i="1"/>
  <c r="GJ2" i="1"/>
  <c r="GJ3" i="1"/>
  <c r="GJ4" i="1"/>
  <c r="GJ5" i="1"/>
  <c r="GJ6" i="1"/>
  <c r="GJ7" i="1"/>
  <c r="GJ8" i="1"/>
  <c r="GJ9" i="1"/>
  <c r="GJ10" i="1"/>
  <c r="GJ17" i="1"/>
  <c r="GJ18" i="1"/>
  <c r="GJ19" i="1"/>
  <c r="GJ20" i="1"/>
  <c r="GJ21" i="1"/>
  <c r="GJ22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3" i="1"/>
  <c r="GJ65" i="1"/>
  <c r="GJ66" i="1"/>
  <c r="GJ78" i="1"/>
  <c r="GJ79" i="1"/>
  <c r="GJ80" i="1"/>
  <c r="GJ81" i="1"/>
  <c r="GI2" i="1"/>
  <c r="GI3" i="1"/>
  <c r="GI4" i="1"/>
  <c r="GI5" i="1"/>
  <c r="GI6" i="1"/>
  <c r="GI7" i="1"/>
  <c r="GI8" i="1"/>
  <c r="GI9" i="1"/>
  <c r="GI10" i="1"/>
  <c r="GI12" i="1"/>
  <c r="GI14" i="1"/>
  <c r="GI18" i="1"/>
  <c r="GI20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5" i="1"/>
  <c r="GI66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3" i="1"/>
  <c r="GI84" i="1"/>
  <c r="GG2" i="1"/>
  <c r="GG3" i="1"/>
  <c r="GG4" i="1"/>
  <c r="GG5" i="1"/>
  <c r="GG6" i="1"/>
  <c r="GG7" i="1"/>
  <c r="GG8" i="1"/>
  <c r="GG9" i="1"/>
  <c r="GG10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3" i="1"/>
  <c r="GG65" i="1"/>
  <c r="GG66" i="1"/>
  <c r="GG78" i="1"/>
  <c r="GG79" i="1"/>
  <c r="GG80" i="1"/>
  <c r="GF2" i="1"/>
  <c r="GF3" i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F55" i="1"/>
  <c r="GF56" i="1"/>
  <c r="GF57" i="1"/>
  <c r="GF58" i="1"/>
  <c r="GF59" i="1"/>
  <c r="GF60" i="1"/>
  <c r="GF61" i="1"/>
  <c r="GF62" i="1"/>
  <c r="GF63" i="1"/>
  <c r="GF65" i="1"/>
  <c r="GF66" i="1"/>
  <c r="GF68" i="1"/>
  <c r="GF69" i="1"/>
  <c r="GF70" i="1"/>
  <c r="GF71" i="1"/>
  <c r="GF72" i="1"/>
  <c r="GF73" i="1"/>
  <c r="GF74" i="1"/>
  <c r="GF75" i="1"/>
  <c r="GF76" i="1"/>
  <c r="GF77" i="1"/>
  <c r="GF78" i="1"/>
  <c r="GF79" i="1"/>
  <c r="GF80" i="1"/>
  <c r="GF81" i="1"/>
  <c r="GF83" i="1"/>
  <c r="GF84" i="1"/>
  <c r="GE2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5" i="1"/>
  <c r="GE66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3" i="1"/>
  <c r="GE84" i="1"/>
  <c r="GD2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5" i="1"/>
  <c r="GD66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3" i="1"/>
  <c r="GD84" i="1"/>
  <c r="GC2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5" i="1"/>
  <c r="GC66" i="1"/>
  <c r="GC68" i="1"/>
  <c r="GC69" i="1"/>
  <c r="GC70" i="1"/>
  <c r="GC71" i="1"/>
  <c r="GC72" i="1"/>
  <c r="GC73" i="1"/>
  <c r="GC74" i="1"/>
  <c r="GC75" i="1"/>
  <c r="GC76" i="1"/>
  <c r="GC77" i="1"/>
  <c r="GC78" i="1"/>
  <c r="GC79" i="1"/>
  <c r="GC80" i="1"/>
  <c r="GC81" i="1"/>
  <c r="GC83" i="1"/>
  <c r="GC84" i="1"/>
  <c r="GB2" i="1"/>
  <c r="GB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5" i="1"/>
  <c r="GB66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81" i="1"/>
  <c r="GB83" i="1"/>
  <c r="GB84" i="1"/>
  <c r="GA2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5" i="1"/>
  <c r="GA66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3" i="1"/>
  <c r="GA84" i="1"/>
  <c r="FZ2" i="1"/>
  <c r="FZ3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FZ55" i="1"/>
  <c r="FZ56" i="1"/>
  <c r="FZ57" i="1"/>
  <c r="FZ58" i="1"/>
  <c r="FZ59" i="1"/>
  <c r="FZ60" i="1"/>
  <c r="FZ61" i="1"/>
  <c r="FZ62" i="1"/>
  <c r="FZ63" i="1"/>
  <c r="FZ65" i="1"/>
  <c r="FZ66" i="1"/>
  <c r="FZ68" i="1"/>
  <c r="FZ69" i="1"/>
  <c r="FZ70" i="1"/>
  <c r="FZ71" i="1"/>
  <c r="FZ72" i="1"/>
  <c r="FZ73" i="1"/>
  <c r="FZ74" i="1"/>
  <c r="FZ75" i="1"/>
  <c r="FZ76" i="1"/>
  <c r="FZ77" i="1"/>
  <c r="FZ78" i="1"/>
  <c r="FZ79" i="1"/>
  <c r="FZ80" i="1"/>
  <c r="FZ81" i="1"/>
  <c r="FZ83" i="1"/>
  <c r="FZ84" i="1"/>
  <c r="FY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5" i="1"/>
  <c r="FY66" i="1"/>
  <c r="FY68" i="1"/>
  <c r="FY69" i="1"/>
  <c r="FY70" i="1"/>
  <c r="FY71" i="1"/>
  <c r="FY72" i="1"/>
  <c r="FY73" i="1"/>
  <c r="FY74" i="1"/>
  <c r="FY75" i="1"/>
  <c r="FY76" i="1"/>
  <c r="FY77" i="1"/>
  <c r="FY78" i="1"/>
  <c r="FY79" i="1"/>
  <c r="FY80" i="1"/>
  <c r="FY81" i="1"/>
  <c r="FY83" i="1"/>
  <c r="FY84" i="1"/>
  <c r="FX2" i="1"/>
  <c r="FX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61" i="1"/>
  <c r="FX62" i="1"/>
  <c r="FX63" i="1"/>
  <c r="FX65" i="1"/>
  <c r="FX66" i="1"/>
  <c r="FX68" i="1"/>
  <c r="FX69" i="1"/>
  <c r="FX70" i="1"/>
  <c r="FX71" i="1"/>
  <c r="FX72" i="1"/>
  <c r="FX73" i="1"/>
  <c r="FX74" i="1"/>
  <c r="FX75" i="1"/>
  <c r="FX76" i="1"/>
  <c r="FX77" i="1"/>
  <c r="FX78" i="1"/>
  <c r="FX79" i="1"/>
  <c r="FX80" i="1"/>
  <c r="FX81" i="1"/>
  <c r="FX83" i="1"/>
  <c r="FX84" i="1"/>
  <c r="FW2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5" i="1"/>
  <c r="FW66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3" i="1"/>
  <c r="FW84" i="1"/>
  <c r="FV2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V55" i="1"/>
  <c r="FV56" i="1"/>
  <c r="FV57" i="1"/>
  <c r="FV58" i="1"/>
  <c r="FV59" i="1"/>
  <c r="FV60" i="1"/>
  <c r="FV61" i="1"/>
  <c r="FV62" i="1"/>
  <c r="FV63" i="1"/>
  <c r="FV65" i="1"/>
  <c r="FV66" i="1"/>
  <c r="FV68" i="1"/>
  <c r="FV69" i="1"/>
  <c r="FV70" i="1"/>
  <c r="FV71" i="1"/>
  <c r="FV72" i="1"/>
  <c r="FV73" i="1"/>
  <c r="FV74" i="1"/>
  <c r="FV75" i="1"/>
  <c r="FV76" i="1"/>
  <c r="FV77" i="1"/>
  <c r="FV83" i="1"/>
  <c r="FV84" i="1"/>
  <c r="FU2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5" i="1"/>
  <c r="FU66" i="1"/>
  <c r="FU68" i="1"/>
  <c r="FU69" i="1"/>
  <c r="FU70" i="1"/>
  <c r="FU71" i="1"/>
  <c r="FU72" i="1"/>
  <c r="FU73" i="1"/>
  <c r="FU74" i="1"/>
  <c r="FU75" i="1"/>
  <c r="FU76" i="1"/>
  <c r="FU77" i="1"/>
  <c r="FU83" i="1"/>
  <c r="FU84" i="1"/>
  <c r="FT2" i="1"/>
  <c r="FT3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8" i="1"/>
  <c r="FT69" i="1"/>
  <c r="FT70" i="1"/>
  <c r="FT71" i="1"/>
  <c r="FT72" i="1"/>
  <c r="FT73" i="1"/>
  <c r="FT74" i="1"/>
  <c r="FT75" i="1"/>
  <c r="FT76" i="1"/>
  <c r="FT77" i="1"/>
  <c r="FT78" i="1"/>
  <c r="FT79" i="1"/>
  <c r="FT80" i="1"/>
  <c r="FT81" i="1"/>
  <c r="FT83" i="1"/>
  <c r="FT84" i="1"/>
  <c r="FS2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8" i="1"/>
  <c r="FS69" i="1"/>
  <c r="FS70" i="1"/>
  <c r="FS71" i="1"/>
  <c r="FS72" i="1"/>
  <c r="FS73" i="1"/>
  <c r="FS74" i="1"/>
  <c r="FS75" i="1"/>
  <c r="FS76" i="1"/>
  <c r="FS77" i="1"/>
  <c r="FS83" i="1"/>
  <c r="FS84" i="1"/>
  <c r="FR2" i="1"/>
  <c r="FR3" i="1"/>
  <c r="FR4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5" i="1"/>
  <c r="FR66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3" i="1"/>
  <c r="FR84" i="1"/>
  <c r="FQ2" i="1"/>
  <c r="FQ3" i="1"/>
  <c r="FQ4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8" i="1"/>
  <c r="FQ69" i="1"/>
  <c r="FQ70" i="1"/>
  <c r="FQ71" i="1"/>
  <c r="FQ72" i="1"/>
  <c r="FQ73" i="1"/>
  <c r="FQ74" i="1"/>
  <c r="FQ75" i="1"/>
  <c r="FQ76" i="1"/>
  <c r="FQ77" i="1"/>
  <c r="FQ83" i="1"/>
  <c r="FQ84" i="1"/>
  <c r="FP2" i="1"/>
  <c r="FP3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5" i="1"/>
  <c r="FP66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3" i="1"/>
  <c r="FP84" i="1"/>
  <c r="FO2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5" i="1"/>
  <c r="FO66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3" i="1"/>
  <c r="FO8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5" i="1"/>
  <c r="FN66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3" i="1"/>
  <c r="FN84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8" i="1"/>
  <c r="FM69" i="1"/>
  <c r="FM70" i="1"/>
  <c r="FM71" i="1"/>
  <c r="FM72" i="1"/>
  <c r="FM73" i="1"/>
  <c r="FM74" i="1"/>
  <c r="FM75" i="1"/>
  <c r="FM76" i="1"/>
  <c r="FM77" i="1"/>
  <c r="FM83" i="1"/>
  <c r="FM84" i="1"/>
  <c r="FL2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53" i="1"/>
  <c r="FL54" i="1"/>
  <c r="FL55" i="1"/>
  <c r="FL56" i="1"/>
  <c r="FL57" i="1"/>
  <c r="FL58" i="1"/>
  <c r="FL59" i="1"/>
  <c r="FL60" i="1"/>
  <c r="FL61" i="1"/>
  <c r="FL62" i="1"/>
  <c r="FL63" i="1"/>
  <c r="FL65" i="1"/>
  <c r="FL66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3" i="1"/>
  <c r="FL84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53" i="1"/>
  <c r="FK54" i="1"/>
  <c r="FK55" i="1"/>
  <c r="FK56" i="1"/>
  <c r="FK57" i="1"/>
  <c r="FK58" i="1"/>
  <c r="FK59" i="1"/>
  <c r="FK60" i="1"/>
  <c r="FK61" i="1"/>
  <c r="FK62" i="1"/>
  <c r="FK68" i="1"/>
  <c r="FK69" i="1"/>
  <c r="FK70" i="1"/>
  <c r="FK71" i="1"/>
  <c r="FK72" i="1"/>
  <c r="FK73" i="1"/>
  <c r="FK74" i="1"/>
  <c r="FK75" i="1"/>
  <c r="FK76" i="1"/>
  <c r="FK77" i="1"/>
  <c r="FK83" i="1"/>
  <c r="FK84" i="1"/>
  <c r="FJ2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60" i="1"/>
  <c r="FJ61" i="1"/>
  <c r="FJ62" i="1"/>
  <c r="FJ63" i="1"/>
  <c r="FJ65" i="1"/>
  <c r="FJ66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3" i="1"/>
  <c r="FJ84" i="1"/>
  <c r="FI2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60" i="1"/>
  <c r="FI61" i="1"/>
  <c r="FI62" i="1"/>
  <c r="FI63" i="1"/>
  <c r="FI65" i="1"/>
  <c r="FI66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3" i="1"/>
  <c r="FI84" i="1"/>
  <c r="FH2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5" i="1"/>
  <c r="FH66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3" i="1"/>
  <c r="FH84" i="1"/>
  <c r="FG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5" i="1"/>
  <c r="FG66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3" i="1"/>
  <c r="FG84" i="1"/>
  <c r="FF2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45" i="1"/>
  <c r="FF46" i="1"/>
  <c r="FF47" i="1"/>
  <c r="FF48" i="1"/>
  <c r="FF49" i="1"/>
  <c r="FF50" i="1"/>
  <c r="FF51" i="1"/>
  <c r="FF52" i="1"/>
  <c r="FF60" i="1"/>
  <c r="FF61" i="1"/>
  <c r="FF62" i="1"/>
  <c r="FF63" i="1"/>
  <c r="FF65" i="1"/>
  <c r="FF66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3" i="1"/>
  <c r="FF84" i="1"/>
  <c r="FE2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5" i="1"/>
  <c r="FE66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3" i="1"/>
  <c r="FE84" i="1"/>
  <c r="FD2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45" i="1"/>
  <c r="FD46" i="1"/>
  <c r="FD47" i="1"/>
  <c r="FD48" i="1"/>
  <c r="FD49" i="1"/>
  <c r="FD50" i="1"/>
  <c r="FD51" i="1"/>
  <c r="FD52" i="1"/>
  <c r="FD60" i="1"/>
  <c r="FD61" i="1"/>
  <c r="FD62" i="1"/>
  <c r="FD63" i="1"/>
  <c r="FD65" i="1"/>
  <c r="FD66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3" i="1"/>
  <c r="FD84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60" i="1"/>
  <c r="FC61" i="1"/>
  <c r="FC62" i="1"/>
  <c r="FC68" i="1"/>
  <c r="FC69" i="1"/>
  <c r="FC70" i="1"/>
  <c r="FC71" i="1"/>
  <c r="FC72" i="1"/>
  <c r="FC73" i="1"/>
  <c r="FC74" i="1"/>
  <c r="FC75" i="1"/>
  <c r="FC76" i="1"/>
  <c r="FC77" i="1"/>
  <c r="FC83" i="1"/>
  <c r="FC84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60" i="1"/>
  <c r="FB61" i="1"/>
  <c r="FB62" i="1"/>
  <c r="FB68" i="1"/>
  <c r="FB69" i="1"/>
  <c r="FB70" i="1"/>
  <c r="FB71" i="1"/>
  <c r="FB72" i="1"/>
  <c r="FB73" i="1"/>
  <c r="FB74" i="1"/>
  <c r="FB75" i="1"/>
  <c r="FB76" i="1"/>
  <c r="FB77" i="1"/>
  <c r="FB83" i="1"/>
  <c r="FB84" i="1"/>
  <c r="FA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5" i="1"/>
  <c r="FA66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3" i="1"/>
  <c r="FA84" i="1"/>
  <c r="EZ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5" i="1"/>
  <c r="EZ66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3" i="1"/>
  <c r="EZ84" i="1"/>
  <c r="EY2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5" i="1"/>
  <c r="EY66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3" i="1"/>
  <c r="EY84" i="1"/>
  <c r="EX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5" i="1"/>
  <c r="EX66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3" i="1"/>
  <c r="EX84" i="1"/>
  <c r="EW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5" i="1"/>
  <c r="EW66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3" i="1"/>
  <c r="EW84" i="1"/>
  <c r="EV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5" i="1"/>
  <c r="EV66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4" i="1"/>
  <c r="EU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5" i="1"/>
  <c r="EU66" i="1"/>
  <c r="EU73" i="1"/>
  <c r="EU74" i="1"/>
  <c r="EU75" i="1"/>
  <c r="EU76" i="1"/>
  <c r="EU77" i="1"/>
  <c r="EU78" i="1"/>
  <c r="EU79" i="1"/>
  <c r="EU80" i="1"/>
  <c r="EU81" i="1"/>
  <c r="EU83" i="1"/>
  <c r="EU84" i="1"/>
  <c r="ET2" i="1"/>
  <c r="ET3" i="1"/>
  <c r="ET4" i="1"/>
  <c r="ET5" i="1"/>
  <c r="ET6" i="1"/>
  <c r="ET7" i="1"/>
  <c r="ET8" i="1"/>
  <c r="ET9" i="1"/>
  <c r="ET10" i="1"/>
  <c r="ET11" i="1"/>
  <c r="ET13" i="1"/>
  <c r="ET15" i="1"/>
  <c r="ET16" i="1"/>
  <c r="ET17" i="1"/>
  <c r="ET19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5" i="1"/>
  <c r="ET66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3" i="1"/>
  <c r="ET84" i="1"/>
  <c r="ES2" i="1"/>
  <c r="ES3" i="1"/>
  <c r="ES4" i="1"/>
  <c r="ES5" i="1"/>
  <c r="ES6" i="1"/>
  <c r="ES7" i="1"/>
  <c r="ES8" i="1"/>
  <c r="ES9" i="1"/>
  <c r="ES10" i="1"/>
  <c r="ES11" i="1"/>
  <c r="ES13" i="1"/>
  <c r="ES15" i="1"/>
  <c r="ES16" i="1"/>
  <c r="ES17" i="1"/>
  <c r="ES19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5" i="1"/>
  <c r="ES66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3" i="1"/>
  <c r="ES84" i="1"/>
  <c r="ER2" i="1"/>
  <c r="ER3" i="1"/>
  <c r="ER4" i="1"/>
  <c r="ER5" i="1"/>
  <c r="ER6" i="1"/>
  <c r="ER7" i="1"/>
  <c r="ER8" i="1"/>
  <c r="ER9" i="1"/>
  <c r="ER10" i="1"/>
  <c r="ER11" i="1"/>
  <c r="ER13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5" i="1"/>
  <c r="ER66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3" i="1"/>
  <c r="ER84" i="1"/>
  <c r="EQ2" i="1"/>
  <c r="EQ3" i="1"/>
  <c r="EQ4" i="1"/>
  <c r="EQ5" i="1"/>
  <c r="EQ6" i="1"/>
  <c r="EQ7" i="1"/>
  <c r="EQ8" i="1"/>
  <c r="EQ9" i="1"/>
  <c r="EQ10" i="1"/>
  <c r="EQ11" i="1"/>
  <c r="EQ13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5" i="1"/>
  <c r="EQ66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3" i="1"/>
  <c r="EQ84" i="1"/>
  <c r="EP2" i="1"/>
  <c r="EP3" i="1"/>
  <c r="EP4" i="1"/>
  <c r="EP5" i="1"/>
  <c r="EP6" i="1"/>
  <c r="EP7" i="1"/>
  <c r="EP8" i="1"/>
  <c r="EP9" i="1"/>
  <c r="EP10" i="1"/>
  <c r="EP12" i="1"/>
  <c r="EP14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5" i="1"/>
  <c r="EP66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3" i="1"/>
  <c r="EP84" i="1"/>
  <c r="EO2" i="1"/>
  <c r="EO3" i="1"/>
  <c r="EO4" i="1"/>
  <c r="EO5" i="1"/>
  <c r="EO6" i="1"/>
  <c r="EO7" i="1"/>
  <c r="EO8" i="1"/>
  <c r="EO9" i="1"/>
  <c r="EO10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5" i="1"/>
  <c r="EO66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3" i="1"/>
  <c r="EO84" i="1"/>
  <c r="EN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3" i="1"/>
  <c r="EN65" i="1"/>
  <c r="EN66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3" i="1"/>
  <c r="EN84" i="1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5" i="1"/>
  <c r="EM66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3" i="1"/>
  <c r="EM84" i="1"/>
  <c r="EL2" i="1"/>
  <c r="EL3" i="1"/>
  <c r="EL4" i="1"/>
  <c r="EL5" i="1"/>
  <c r="EL6" i="1"/>
  <c r="EL7" i="1"/>
  <c r="EL8" i="1"/>
  <c r="EL9" i="1"/>
  <c r="EL10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3" i="1"/>
  <c r="EL65" i="1"/>
  <c r="EL66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3" i="1"/>
  <c r="EL84" i="1"/>
  <c r="EK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5" i="1"/>
  <c r="EK66" i="1"/>
  <c r="EK73" i="1"/>
  <c r="EK74" i="1"/>
  <c r="EK75" i="1"/>
  <c r="EK76" i="1"/>
  <c r="EK77" i="1"/>
  <c r="EK78" i="1"/>
  <c r="EK79" i="1"/>
  <c r="EK80" i="1"/>
  <c r="EK81" i="1"/>
  <c r="EK84" i="1"/>
  <c r="EJ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5" i="1"/>
  <c r="EJ66" i="1"/>
  <c r="EJ68" i="1"/>
  <c r="EJ69" i="1"/>
  <c r="EJ70" i="1"/>
  <c r="EJ71" i="1"/>
  <c r="EJ72" i="1"/>
  <c r="EJ78" i="1"/>
  <c r="EJ79" i="1"/>
  <c r="EJ80" i="1"/>
  <c r="EJ81" i="1"/>
  <c r="EJ83" i="1"/>
  <c r="EJ84" i="1"/>
  <c r="EI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5" i="1"/>
  <c r="EI66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3" i="1"/>
  <c r="EH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5" i="1"/>
  <c r="EH66" i="1"/>
  <c r="EH78" i="1"/>
  <c r="EH79" i="1"/>
  <c r="EH80" i="1"/>
  <c r="EH81" i="1"/>
  <c r="EG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5" i="1"/>
  <c r="EG66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3" i="1"/>
  <c r="EG84" i="1"/>
  <c r="EF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5" i="1"/>
  <c r="EF66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3" i="1"/>
  <c r="EF84" i="1"/>
  <c r="EE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5" i="1"/>
  <c r="EE66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3" i="1"/>
  <c r="EE84" i="1"/>
  <c r="ED2" i="1"/>
  <c r="ED3" i="1"/>
  <c r="ED4" i="1"/>
  <c r="ED5" i="1"/>
  <c r="ED6" i="1"/>
  <c r="ED7" i="1"/>
  <c r="ED8" i="1"/>
  <c r="ED9" i="1"/>
  <c r="ED10" i="1"/>
  <c r="ED17" i="1"/>
  <c r="ED18" i="1"/>
  <c r="ED19" i="1"/>
  <c r="ED20" i="1"/>
  <c r="ED21" i="1"/>
  <c r="ED22" i="1"/>
  <c r="ED23" i="1"/>
  <c r="ED24" i="1"/>
  <c r="ED25" i="1"/>
  <c r="ED26" i="1"/>
  <c r="ED27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3" i="1"/>
  <c r="ED65" i="1"/>
  <c r="ED66" i="1"/>
  <c r="ED78" i="1"/>
  <c r="ED79" i="1"/>
  <c r="ED80" i="1"/>
  <c r="ED81" i="1"/>
  <c r="EC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5" i="1"/>
  <c r="EC66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3" i="1"/>
  <c r="EC84" i="1"/>
  <c r="EB2" i="1"/>
  <c r="EB3" i="1"/>
  <c r="EB4" i="1"/>
  <c r="EB5" i="1"/>
  <c r="EB6" i="1"/>
  <c r="EB7" i="1"/>
  <c r="EB8" i="1"/>
  <c r="EB9" i="1"/>
  <c r="EB10" i="1"/>
  <c r="EB17" i="1"/>
  <c r="EB18" i="1"/>
  <c r="EB19" i="1"/>
  <c r="EB20" i="1"/>
  <c r="EB21" i="1"/>
  <c r="EB22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3" i="1"/>
  <c r="EB65" i="1"/>
  <c r="EB66" i="1"/>
  <c r="EB78" i="1"/>
  <c r="EB79" i="1"/>
  <c r="EB80" i="1"/>
  <c r="EB81" i="1"/>
  <c r="EA2" i="1"/>
  <c r="EA3" i="1"/>
  <c r="EA4" i="1"/>
  <c r="EA5" i="1"/>
  <c r="EA6" i="1"/>
  <c r="EA7" i="1"/>
  <c r="EA8" i="1"/>
  <c r="EA9" i="1"/>
  <c r="EA10" i="1"/>
  <c r="EA12" i="1"/>
  <c r="EA14" i="1"/>
  <c r="EA18" i="1"/>
  <c r="EA2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5" i="1"/>
  <c r="EA66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3" i="1"/>
  <c r="EA84" i="1"/>
  <c r="GH2" i="1"/>
  <c r="GH3" i="1"/>
  <c r="GH4" i="1"/>
  <c r="GH5" i="1"/>
  <c r="GH6" i="1"/>
  <c r="GH7" i="1"/>
  <c r="GH8" i="1"/>
  <c r="GH9" i="1"/>
  <c r="GH10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3" i="1"/>
  <c r="GH65" i="1"/>
  <c r="GH66" i="1"/>
  <c r="GH78" i="1"/>
  <c r="GH79" i="1"/>
  <c r="GH80" i="1"/>
  <c r="GH81" i="1"/>
  <c r="DZ2" i="1"/>
  <c r="DZ3" i="1"/>
  <c r="DZ4" i="1"/>
  <c r="DZ5" i="1"/>
  <c r="DZ6" i="1"/>
  <c r="DZ7" i="1"/>
  <c r="DZ8" i="1"/>
  <c r="DZ9" i="1"/>
  <c r="DZ10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3" i="1"/>
  <c r="DZ65" i="1"/>
  <c r="DZ66" i="1"/>
  <c r="DZ78" i="1"/>
  <c r="DZ79" i="1"/>
  <c r="DZ80" i="1"/>
  <c r="DZ81" i="1"/>
  <c r="DY2" i="1"/>
  <c r="DY3" i="1"/>
  <c r="DY4" i="1"/>
  <c r="DY5" i="1"/>
  <c r="DY6" i="1"/>
  <c r="DY7" i="1"/>
  <c r="DY8" i="1"/>
  <c r="DY9" i="1"/>
  <c r="DY10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3" i="1"/>
  <c r="DY65" i="1"/>
  <c r="DY66" i="1"/>
  <c r="DY78" i="1"/>
  <c r="DY79" i="1"/>
  <c r="DY80" i="1"/>
  <c r="IU2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4" i="1"/>
  <c r="IU35" i="1"/>
  <c r="IU36" i="1"/>
  <c r="IU37" i="1"/>
  <c r="IU38" i="1"/>
  <c r="IU39" i="1"/>
  <c r="IU40" i="1"/>
  <c r="IU41" i="1"/>
  <c r="IU42" i="1"/>
  <c r="IU43" i="1"/>
  <c r="IU44" i="1"/>
  <c r="IU45" i="1"/>
  <c r="IU46" i="1"/>
  <c r="IU47" i="1"/>
  <c r="IU48" i="1"/>
  <c r="IU49" i="1"/>
  <c r="IU50" i="1"/>
  <c r="IU51" i="1"/>
  <c r="IU52" i="1"/>
  <c r="IU53" i="1"/>
  <c r="IU54" i="1"/>
  <c r="IU55" i="1"/>
  <c r="IU56" i="1"/>
  <c r="IU57" i="1"/>
  <c r="IU58" i="1"/>
  <c r="IU59" i="1"/>
  <c r="IU60" i="1"/>
  <c r="IU61" i="1"/>
  <c r="IU62" i="1"/>
  <c r="IU63" i="1"/>
  <c r="IU65" i="1"/>
  <c r="IU66" i="1"/>
  <c r="IU68" i="1"/>
  <c r="IU69" i="1"/>
  <c r="IU70" i="1"/>
  <c r="IU71" i="1"/>
  <c r="IU72" i="1"/>
  <c r="IU73" i="1"/>
  <c r="IU74" i="1"/>
  <c r="IU75" i="1"/>
  <c r="IU76" i="1"/>
  <c r="IU77" i="1"/>
  <c r="IU78" i="1"/>
  <c r="IU79" i="1"/>
  <c r="IU80" i="1"/>
  <c r="IU81" i="1"/>
  <c r="IU83" i="1"/>
  <c r="IU84" i="1"/>
  <c r="IO2" i="1"/>
  <c r="JN2" i="1" s="1"/>
  <c r="IO3" i="1"/>
  <c r="JN3" i="1" s="1"/>
  <c r="IO4" i="1"/>
  <c r="JN4" i="1" s="1"/>
  <c r="IO5" i="1"/>
  <c r="JN5" i="1" s="1"/>
  <c r="IO6" i="1"/>
  <c r="JN6" i="1" s="1"/>
  <c r="IO7" i="1"/>
  <c r="JN7" i="1" s="1"/>
  <c r="IO8" i="1"/>
  <c r="JN8" i="1" s="1"/>
  <c r="IO9" i="1"/>
  <c r="JN9" i="1" s="1"/>
  <c r="IO10" i="1"/>
  <c r="JN10" i="1" s="1"/>
  <c r="IO11" i="1"/>
  <c r="JN11" i="1" s="1"/>
  <c r="IO12" i="1"/>
  <c r="JN12" i="1" s="1"/>
  <c r="IO13" i="1"/>
  <c r="JN13" i="1" s="1"/>
  <c r="IO14" i="1"/>
  <c r="JN14" i="1" s="1"/>
  <c r="IO15" i="1"/>
  <c r="JN15" i="1" s="1"/>
  <c r="IO16" i="1"/>
  <c r="JN16" i="1" s="1"/>
  <c r="IO17" i="1"/>
  <c r="JN17" i="1" s="1"/>
  <c r="IO18" i="1"/>
  <c r="JN18" i="1" s="1"/>
  <c r="IO19" i="1"/>
  <c r="JN19" i="1" s="1"/>
  <c r="IO20" i="1"/>
  <c r="JN20" i="1" s="1"/>
  <c r="IO21" i="1"/>
  <c r="JN21" i="1" s="1"/>
  <c r="IO22" i="1"/>
  <c r="JN22" i="1" s="1"/>
  <c r="IO23" i="1"/>
  <c r="JN23" i="1" s="1"/>
  <c r="IO24" i="1"/>
  <c r="JN24" i="1" s="1"/>
  <c r="IO25" i="1"/>
  <c r="JN25" i="1" s="1"/>
  <c r="IO26" i="1"/>
  <c r="JN26" i="1" s="1"/>
  <c r="IO27" i="1"/>
  <c r="JN27" i="1" s="1"/>
  <c r="IO28" i="1"/>
  <c r="JN28" i="1" s="1"/>
  <c r="IO29" i="1"/>
  <c r="JN29" i="1" s="1"/>
  <c r="IO30" i="1"/>
  <c r="JN30" i="1" s="1"/>
  <c r="IO31" i="1"/>
  <c r="JN31" i="1" s="1"/>
  <c r="IO32" i="1"/>
  <c r="JN32" i="1" s="1"/>
  <c r="IO33" i="1"/>
  <c r="JN33" i="1" s="1"/>
  <c r="IO34" i="1"/>
  <c r="JN34" i="1" s="1"/>
  <c r="IO35" i="1"/>
  <c r="JN35" i="1" s="1"/>
  <c r="IO36" i="1"/>
  <c r="JN36" i="1" s="1"/>
  <c r="IO37" i="1"/>
  <c r="JN37" i="1" s="1"/>
  <c r="IO38" i="1"/>
  <c r="JN38" i="1" s="1"/>
  <c r="IO39" i="1"/>
  <c r="JN39" i="1" s="1"/>
  <c r="IO40" i="1"/>
  <c r="JN40" i="1" s="1"/>
  <c r="IO41" i="1"/>
  <c r="JN41" i="1" s="1"/>
  <c r="IO42" i="1"/>
  <c r="JN42" i="1" s="1"/>
  <c r="IO43" i="1"/>
  <c r="JN43" i="1" s="1"/>
  <c r="IO44" i="1"/>
  <c r="JN44" i="1" s="1"/>
  <c r="IO45" i="1"/>
  <c r="JN45" i="1" s="1"/>
  <c r="IO46" i="1"/>
  <c r="JN46" i="1" s="1"/>
  <c r="IO47" i="1"/>
  <c r="JN47" i="1" s="1"/>
  <c r="IO48" i="1"/>
  <c r="JN48" i="1" s="1"/>
  <c r="IO49" i="1"/>
  <c r="JN49" i="1" s="1"/>
  <c r="IO50" i="1"/>
  <c r="JN50" i="1" s="1"/>
  <c r="IO51" i="1"/>
  <c r="JN51" i="1" s="1"/>
  <c r="IO52" i="1"/>
  <c r="JN52" i="1" s="1"/>
  <c r="IO53" i="1"/>
  <c r="JN53" i="1" s="1"/>
  <c r="IO54" i="1"/>
  <c r="JN54" i="1" s="1"/>
  <c r="IO55" i="1"/>
  <c r="JN55" i="1" s="1"/>
  <c r="IO56" i="1"/>
  <c r="JN56" i="1" s="1"/>
  <c r="IO57" i="1"/>
  <c r="JN57" i="1" s="1"/>
  <c r="IO58" i="1"/>
  <c r="JN58" i="1" s="1"/>
  <c r="IO59" i="1"/>
  <c r="JN59" i="1" s="1"/>
  <c r="IO60" i="1"/>
  <c r="JN60" i="1" s="1"/>
  <c r="IO61" i="1"/>
  <c r="JN61" i="1" s="1"/>
  <c r="IO62" i="1"/>
  <c r="JN62" i="1" s="1"/>
  <c r="IO63" i="1"/>
  <c r="JN63" i="1" s="1"/>
  <c r="IO65" i="1"/>
  <c r="JN65" i="1" s="1"/>
  <c r="IO66" i="1"/>
  <c r="JN66" i="1" s="1"/>
  <c r="IO68" i="1"/>
  <c r="JN68" i="1" s="1"/>
  <c r="IO69" i="1"/>
  <c r="JN69" i="1" s="1"/>
  <c r="IO70" i="1"/>
  <c r="JN70" i="1" s="1"/>
  <c r="IO71" i="1"/>
  <c r="JN71" i="1" s="1"/>
  <c r="IO72" i="1"/>
  <c r="JN72" i="1" s="1"/>
  <c r="IO73" i="1"/>
  <c r="JN73" i="1" s="1"/>
  <c r="IO74" i="1"/>
  <c r="JN74" i="1" s="1"/>
  <c r="IO75" i="1"/>
  <c r="JN75" i="1" s="1"/>
  <c r="IO76" i="1"/>
  <c r="JN76" i="1" s="1"/>
  <c r="IO77" i="1"/>
  <c r="JN77" i="1" s="1"/>
  <c r="IO78" i="1"/>
  <c r="JN78" i="1" s="1"/>
  <c r="IO79" i="1"/>
  <c r="JN79" i="1" s="1"/>
  <c r="IO80" i="1"/>
  <c r="JN80" i="1" s="1"/>
  <c r="IO81" i="1"/>
  <c r="JN81" i="1" s="1"/>
  <c r="IO83" i="1"/>
  <c r="JN83" i="1" s="1"/>
  <c r="IO84" i="1"/>
  <c r="JN84" i="1" s="1"/>
  <c r="IQ2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Q29" i="1"/>
  <c r="IQ30" i="1"/>
  <c r="IQ31" i="1"/>
  <c r="IQ32" i="1"/>
  <c r="IQ33" i="1"/>
  <c r="IQ34" i="1"/>
  <c r="IQ35" i="1"/>
  <c r="IQ36" i="1"/>
  <c r="IQ37" i="1"/>
  <c r="IQ38" i="1"/>
  <c r="IQ39" i="1"/>
  <c r="IQ40" i="1"/>
  <c r="IQ41" i="1"/>
  <c r="IQ42" i="1"/>
  <c r="IQ43" i="1"/>
  <c r="IQ44" i="1"/>
  <c r="IQ45" i="1"/>
  <c r="IQ46" i="1"/>
  <c r="IQ47" i="1"/>
  <c r="IQ48" i="1"/>
  <c r="IQ49" i="1"/>
  <c r="IQ50" i="1"/>
  <c r="IQ51" i="1"/>
  <c r="IQ52" i="1"/>
  <c r="IQ53" i="1"/>
  <c r="IQ54" i="1"/>
  <c r="IQ55" i="1"/>
  <c r="IQ56" i="1"/>
  <c r="IQ57" i="1"/>
  <c r="IQ58" i="1"/>
  <c r="IQ59" i="1"/>
  <c r="IQ60" i="1"/>
  <c r="IQ61" i="1"/>
  <c r="IQ62" i="1"/>
  <c r="IQ63" i="1"/>
  <c r="IQ65" i="1"/>
  <c r="IQ66" i="1"/>
  <c r="IQ68" i="1"/>
  <c r="IQ69" i="1"/>
  <c r="IQ70" i="1"/>
  <c r="IQ71" i="1"/>
  <c r="IQ72" i="1"/>
  <c r="IQ73" i="1"/>
  <c r="IQ74" i="1"/>
  <c r="IQ75" i="1"/>
  <c r="IQ76" i="1"/>
  <c r="IQ77" i="1"/>
  <c r="IQ78" i="1"/>
  <c r="IQ79" i="1"/>
  <c r="IQ80" i="1"/>
  <c r="IQ81" i="1"/>
  <c r="IQ83" i="1"/>
  <c r="IQ84" i="1"/>
  <c r="O54" i="2" l="1"/>
  <c r="O26" i="2"/>
  <c r="O58" i="2"/>
  <c r="O28" i="2"/>
  <c r="JA72" i="1"/>
  <c r="JC72" i="1" s="1"/>
  <c r="JQ72" i="1" s="1"/>
  <c r="JA14" i="1"/>
  <c r="JC14" i="1" s="1"/>
  <c r="JQ14" i="1" s="1"/>
  <c r="JA71" i="1"/>
  <c r="JC71" i="1" s="1"/>
  <c r="JQ71" i="1" s="1"/>
  <c r="JA61" i="1"/>
  <c r="JC61" i="1" s="1"/>
  <c r="JQ61" i="1" s="1"/>
  <c r="JA53" i="1"/>
  <c r="JC53" i="1" s="1"/>
  <c r="JQ53" i="1" s="1"/>
  <c r="JA45" i="1"/>
  <c r="JC45" i="1" s="1"/>
  <c r="JQ45" i="1" s="1"/>
  <c r="JA37" i="1"/>
  <c r="JC37" i="1" s="1"/>
  <c r="JQ37" i="1" s="1"/>
  <c r="JA29" i="1"/>
  <c r="JC29" i="1" s="1"/>
  <c r="JQ29" i="1" s="1"/>
  <c r="JA21" i="1"/>
  <c r="JC21" i="1" s="1"/>
  <c r="JQ21" i="1" s="1"/>
  <c r="JA13" i="1"/>
  <c r="JC13" i="1" s="1"/>
  <c r="JQ13" i="1" s="1"/>
  <c r="JA5" i="1"/>
  <c r="JC5" i="1" s="1"/>
  <c r="JQ5" i="1" s="1"/>
  <c r="JA6" i="1"/>
  <c r="JC6" i="1" s="1"/>
  <c r="JQ6" i="1" s="1"/>
  <c r="JA70" i="1"/>
  <c r="JC70" i="1" s="1"/>
  <c r="JQ70" i="1" s="1"/>
  <c r="JA60" i="1"/>
  <c r="JC60" i="1" s="1"/>
  <c r="JQ60" i="1" s="1"/>
  <c r="JA52" i="1"/>
  <c r="JC52" i="1" s="1"/>
  <c r="JQ52" i="1" s="1"/>
  <c r="JA44" i="1"/>
  <c r="JC44" i="1" s="1"/>
  <c r="JQ44" i="1" s="1"/>
  <c r="JA36" i="1"/>
  <c r="JC36" i="1" s="1"/>
  <c r="JQ36" i="1" s="1"/>
  <c r="JA28" i="1"/>
  <c r="JC28" i="1" s="1"/>
  <c r="JQ28" i="1" s="1"/>
  <c r="JA20" i="1"/>
  <c r="JC20" i="1" s="1"/>
  <c r="JQ20" i="1" s="1"/>
  <c r="JA12" i="1"/>
  <c r="JC12" i="1" s="1"/>
  <c r="JQ12" i="1" s="1"/>
  <c r="JA4" i="1"/>
  <c r="JC4" i="1" s="1"/>
  <c r="JQ4" i="1" s="1"/>
  <c r="JA22" i="1"/>
  <c r="JC22" i="1" s="1"/>
  <c r="JQ22" i="1" s="1"/>
  <c r="JA84" i="1"/>
  <c r="JC84" i="1" s="1"/>
  <c r="JQ84" i="1" s="1"/>
  <c r="JA77" i="1"/>
  <c r="JC77" i="1" s="1"/>
  <c r="JQ77" i="1" s="1"/>
  <c r="JA69" i="1"/>
  <c r="JC69" i="1" s="1"/>
  <c r="JQ69" i="1" s="1"/>
  <c r="JA59" i="1"/>
  <c r="JC59" i="1" s="1"/>
  <c r="JQ59" i="1" s="1"/>
  <c r="JA51" i="1"/>
  <c r="JC51" i="1" s="1"/>
  <c r="JQ51" i="1" s="1"/>
  <c r="JA43" i="1"/>
  <c r="JC43" i="1" s="1"/>
  <c r="JQ43" i="1" s="1"/>
  <c r="JA35" i="1"/>
  <c r="JC35" i="1" s="1"/>
  <c r="JQ35" i="1" s="1"/>
  <c r="JA27" i="1"/>
  <c r="JC27" i="1" s="1"/>
  <c r="JQ27" i="1" s="1"/>
  <c r="JA19" i="1"/>
  <c r="JC19" i="1" s="1"/>
  <c r="JQ19" i="1" s="1"/>
  <c r="JA11" i="1"/>
  <c r="JC11" i="1" s="1"/>
  <c r="JQ11" i="1" s="1"/>
  <c r="JA3" i="1"/>
  <c r="JC3" i="1" s="1"/>
  <c r="JQ3" i="1" s="1"/>
  <c r="JA62" i="1"/>
  <c r="JC62" i="1" s="1"/>
  <c r="JQ62" i="1" s="1"/>
  <c r="JA38" i="1"/>
  <c r="JC38" i="1" s="1"/>
  <c r="JQ38" i="1" s="1"/>
  <c r="JA83" i="1"/>
  <c r="JC83" i="1" s="1"/>
  <c r="JQ83" i="1" s="1"/>
  <c r="JA76" i="1"/>
  <c r="JC76" i="1" s="1"/>
  <c r="JQ76" i="1" s="1"/>
  <c r="JA68" i="1"/>
  <c r="JC68" i="1" s="1"/>
  <c r="JQ68" i="1" s="1"/>
  <c r="JA58" i="1"/>
  <c r="JC58" i="1" s="1"/>
  <c r="JQ58" i="1" s="1"/>
  <c r="JA50" i="1"/>
  <c r="JC50" i="1" s="1"/>
  <c r="JQ50" i="1" s="1"/>
  <c r="JA42" i="1"/>
  <c r="JC42" i="1" s="1"/>
  <c r="JQ42" i="1" s="1"/>
  <c r="JA34" i="1"/>
  <c r="JC34" i="1" s="1"/>
  <c r="JQ34" i="1" s="1"/>
  <c r="JA26" i="1"/>
  <c r="JC26" i="1" s="1"/>
  <c r="JQ26" i="1" s="1"/>
  <c r="JA18" i="1"/>
  <c r="JC18" i="1" s="1"/>
  <c r="JQ18" i="1" s="1"/>
  <c r="JA10" i="1"/>
  <c r="JC10" i="1" s="1"/>
  <c r="JQ10" i="1" s="1"/>
  <c r="JA2" i="1"/>
  <c r="JC2" i="1" s="1"/>
  <c r="JQ2" i="1" s="1"/>
  <c r="JA54" i="1"/>
  <c r="JC54" i="1" s="1"/>
  <c r="JQ54" i="1" s="1"/>
  <c r="JA81" i="1"/>
  <c r="JC81" i="1" s="1"/>
  <c r="JQ81" i="1" s="1"/>
  <c r="JA75" i="1"/>
  <c r="JC75" i="1" s="1"/>
  <c r="JQ75" i="1" s="1"/>
  <c r="JA66" i="1"/>
  <c r="JC66" i="1" s="1"/>
  <c r="JQ66" i="1" s="1"/>
  <c r="JA57" i="1"/>
  <c r="JC57" i="1" s="1"/>
  <c r="JQ57" i="1" s="1"/>
  <c r="JA49" i="1"/>
  <c r="JC49" i="1" s="1"/>
  <c r="JQ49" i="1" s="1"/>
  <c r="JA41" i="1"/>
  <c r="JC41" i="1" s="1"/>
  <c r="JQ41" i="1" s="1"/>
  <c r="JA33" i="1"/>
  <c r="JC33" i="1" s="1"/>
  <c r="JQ33" i="1" s="1"/>
  <c r="JA25" i="1"/>
  <c r="JC25" i="1" s="1"/>
  <c r="JQ25" i="1" s="1"/>
  <c r="JA17" i="1"/>
  <c r="JC17" i="1" s="1"/>
  <c r="JQ17" i="1" s="1"/>
  <c r="JA9" i="1"/>
  <c r="JC9" i="1" s="1"/>
  <c r="JQ9" i="1" s="1"/>
  <c r="JA30" i="1"/>
  <c r="JC30" i="1" s="1"/>
  <c r="JQ30" i="1" s="1"/>
  <c r="JA80" i="1"/>
  <c r="JC80" i="1" s="1"/>
  <c r="JQ80" i="1" s="1"/>
  <c r="JA74" i="1"/>
  <c r="JC74" i="1" s="1"/>
  <c r="JQ74" i="1" s="1"/>
  <c r="JA65" i="1"/>
  <c r="JC65" i="1" s="1"/>
  <c r="JQ65" i="1" s="1"/>
  <c r="JA56" i="1"/>
  <c r="JC56" i="1" s="1"/>
  <c r="JQ56" i="1" s="1"/>
  <c r="JA48" i="1"/>
  <c r="JC48" i="1" s="1"/>
  <c r="JQ48" i="1" s="1"/>
  <c r="JA40" i="1"/>
  <c r="JC40" i="1" s="1"/>
  <c r="JQ40" i="1" s="1"/>
  <c r="JA32" i="1"/>
  <c r="JC32" i="1" s="1"/>
  <c r="JQ32" i="1" s="1"/>
  <c r="JA24" i="1"/>
  <c r="JC24" i="1" s="1"/>
  <c r="JQ24" i="1" s="1"/>
  <c r="JA16" i="1"/>
  <c r="JC16" i="1" s="1"/>
  <c r="JQ16" i="1" s="1"/>
  <c r="JA8" i="1"/>
  <c r="JC8" i="1" s="1"/>
  <c r="JQ8" i="1" s="1"/>
  <c r="JA78" i="1"/>
  <c r="JC78" i="1" s="1"/>
  <c r="JQ78" i="1" s="1"/>
  <c r="JA46" i="1"/>
  <c r="JC46" i="1" s="1"/>
  <c r="JQ46" i="1" s="1"/>
  <c r="JA79" i="1"/>
  <c r="JC79" i="1" s="1"/>
  <c r="JQ79" i="1" s="1"/>
  <c r="JA73" i="1"/>
  <c r="JC73" i="1" s="1"/>
  <c r="JQ73" i="1" s="1"/>
  <c r="JA63" i="1"/>
  <c r="JC63" i="1" s="1"/>
  <c r="JQ63" i="1" s="1"/>
  <c r="JA55" i="1"/>
  <c r="JC55" i="1" s="1"/>
  <c r="JQ55" i="1" s="1"/>
  <c r="JA47" i="1"/>
  <c r="JC47" i="1" s="1"/>
  <c r="JQ47" i="1" s="1"/>
  <c r="JA39" i="1"/>
  <c r="JC39" i="1" s="1"/>
  <c r="JQ39" i="1" s="1"/>
  <c r="JA31" i="1"/>
  <c r="JC31" i="1" s="1"/>
  <c r="JQ31" i="1" s="1"/>
  <c r="JA23" i="1"/>
  <c r="JC23" i="1" s="1"/>
  <c r="JQ23" i="1" s="1"/>
  <c r="JA15" i="1"/>
  <c r="JC15" i="1" s="1"/>
  <c r="JQ15" i="1" s="1"/>
  <c r="JA7" i="1"/>
  <c r="JC7" i="1" s="1"/>
  <c r="JQ7" i="1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34" i="2"/>
  <c r="L34" i="2" s="1"/>
  <c r="K30" i="2"/>
  <c r="L30" i="2" s="1"/>
  <c r="K29" i="2"/>
  <c r="L29" i="2" s="1"/>
  <c r="K28" i="2"/>
  <c r="L28" i="2" s="1"/>
  <c r="K27" i="2"/>
  <c r="L27" i="2" s="1"/>
  <c r="K26" i="2"/>
  <c r="L26" i="2" s="1"/>
  <c r="E61" i="2"/>
  <c r="H61" i="2" s="1"/>
  <c r="E60" i="2"/>
  <c r="H60" i="2" s="1"/>
  <c r="E59" i="2"/>
  <c r="H59" i="2" s="1"/>
  <c r="E58" i="2"/>
  <c r="H58" i="2" s="1"/>
  <c r="E57" i="2"/>
  <c r="H57" i="2" s="1"/>
  <c r="E56" i="2"/>
  <c r="H56" i="2" s="1"/>
  <c r="E55" i="2"/>
  <c r="H55" i="2" s="1"/>
  <c r="E54" i="2"/>
  <c r="H54" i="2" s="1"/>
  <c r="E53" i="2"/>
  <c r="H53" i="2" s="1"/>
  <c r="E34" i="2"/>
  <c r="H34" i="2" s="1"/>
  <c r="E30" i="2"/>
  <c r="H30" i="2" s="1"/>
  <c r="E29" i="2"/>
  <c r="H29" i="2" s="1"/>
  <c r="E28" i="2"/>
  <c r="H28" i="2" s="1"/>
  <c r="E27" i="2"/>
  <c r="H27" i="2" s="1"/>
  <c r="E26" i="2"/>
  <c r="H26" i="2" s="1"/>
  <c r="IR79" i="1"/>
  <c r="IT79" i="1" s="1"/>
  <c r="IR73" i="1"/>
  <c r="IT73" i="1" s="1"/>
  <c r="IR63" i="1"/>
  <c r="IT63" i="1" s="1"/>
  <c r="IR47" i="1"/>
  <c r="IT47" i="1" s="1"/>
  <c r="IR39" i="1"/>
  <c r="IT39" i="1" s="1"/>
  <c r="IR31" i="1"/>
  <c r="IT31" i="1" s="1"/>
  <c r="IR15" i="1"/>
  <c r="IT15" i="1" s="1"/>
  <c r="IR7" i="1"/>
  <c r="IT7" i="1" s="1"/>
  <c r="IR80" i="1"/>
  <c r="IT80" i="1" s="1"/>
  <c r="IR65" i="1"/>
  <c r="IT65" i="1" s="1"/>
  <c r="IR56" i="1"/>
  <c r="IT56" i="1" s="1"/>
  <c r="IR48" i="1"/>
  <c r="IT48" i="1" s="1"/>
  <c r="IR40" i="1"/>
  <c r="IT40" i="1" s="1"/>
  <c r="IR32" i="1"/>
  <c r="IT32" i="1" s="1"/>
  <c r="IR24" i="1"/>
  <c r="IT24" i="1" s="1"/>
  <c r="IR16" i="1"/>
  <c r="IT16" i="1" s="1"/>
  <c r="IR8" i="1"/>
  <c r="IT8" i="1" s="1"/>
  <c r="IR74" i="1"/>
  <c r="IT74" i="1" s="1"/>
  <c r="IR78" i="1"/>
  <c r="IT78" i="1" s="1"/>
  <c r="IR72" i="1"/>
  <c r="IT72" i="1" s="1"/>
  <c r="IR62" i="1"/>
  <c r="IT62" i="1" s="1"/>
  <c r="IR54" i="1"/>
  <c r="IT54" i="1" s="1"/>
  <c r="IR46" i="1"/>
  <c r="IT46" i="1" s="1"/>
  <c r="IR38" i="1"/>
  <c r="IT38" i="1" s="1"/>
  <c r="IR30" i="1"/>
  <c r="IT30" i="1" s="1"/>
  <c r="IR22" i="1"/>
  <c r="IT22" i="1" s="1"/>
  <c r="IR14" i="1"/>
  <c r="IT14" i="1" s="1"/>
  <c r="IR6" i="1"/>
  <c r="IT6" i="1" s="1"/>
  <c r="IR55" i="1"/>
  <c r="IT55" i="1" s="1"/>
  <c r="IR23" i="1"/>
  <c r="IT23" i="1" s="1"/>
  <c r="IR81" i="1"/>
  <c r="IT81" i="1" s="1"/>
  <c r="IR75" i="1"/>
  <c r="IT75" i="1" s="1"/>
  <c r="IR66" i="1"/>
  <c r="IT66" i="1" s="1"/>
  <c r="IR57" i="1"/>
  <c r="IT57" i="1" s="1"/>
  <c r="IR49" i="1"/>
  <c r="IT49" i="1" s="1"/>
  <c r="IR41" i="1"/>
  <c r="IT41" i="1" s="1"/>
  <c r="IR33" i="1"/>
  <c r="IT33" i="1" s="1"/>
  <c r="IR25" i="1"/>
  <c r="IT25" i="1" s="1"/>
  <c r="IR17" i="1"/>
  <c r="IT17" i="1" s="1"/>
  <c r="IR9" i="1"/>
  <c r="IT9" i="1" s="1"/>
  <c r="IR84" i="1"/>
  <c r="IT84" i="1" s="1"/>
  <c r="IR77" i="1"/>
  <c r="IT77" i="1" s="1"/>
  <c r="IR69" i="1"/>
  <c r="IT69" i="1" s="1"/>
  <c r="IR59" i="1"/>
  <c r="IT59" i="1" s="1"/>
  <c r="IR51" i="1"/>
  <c r="IT51" i="1" s="1"/>
  <c r="IR43" i="1"/>
  <c r="IT43" i="1" s="1"/>
  <c r="IR35" i="1"/>
  <c r="IT35" i="1" s="1"/>
  <c r="IR27" i="1"/>
  <c r="IT27" i="1" s="1"/>
  <c r="IR19" i="1"/>
  <c r="IT19" i="1" s="1"/>
  <c r="IR11" i="1"/>
  <c r="IT11" i="1" s="1"/>
  <c r="IR3" i="1"/>
  <c r="IT3" i="1" s="1"/>
  <c r="IR83" i="1"/>
  <c r="IT83" i="1" s="1"/>
  <c r="IR76" i="1"/>
  <c r="IT76" i="1" s="1"/>
  <c r="IR68" i="1"/>
  <c r="IT68" i="1" s="1"/>
  <c r="IR58" i="1"/>
  <c r="IT58" i="1" s="1"/>
  <c r="IR50" i="1"/>
  <c r="IT50" i="1" s="1"/>
  <c r="IR42" i="1"/>
  <c r="IT42" i="1" s="1"/>
  <c r="IR34" i="1"/>
  <c r="IT34" i="1" s="1"/>
  <c r="IR26" i="1"/>
  <c r="IT26" i="1" s="1"/>
  <c r="IR18" i="1"/>
  <c r="IT18" i="1" s="1"/>
  <c r="IR10" i="1"/>
  <c r="IT10" i="1" s="1"/>
  <c r="IR2" i="1"/>
  <c r="IT2" i="1" s="1"/>
  <c r="IR71" i="1"/>
  <c r="IT71" i="1" s="1"/>
  <c r="IR61" i="1"/>
  <c r="IT61" i="1" s="1"/>
  <c r="IR53" i="1"/>
  <c r="IT53" i="1" s="1"/>
  <c r="IR45" i="1"/>
  <c r="IT45" i="1" s="1"/>
  <c r="IR37" i="1"/>
  <c r="IT37" i="1" s="1"/>
  <c r="IR29" i="1"/>
  <c r="IT29" i="1" s="1"/>
  <c r="IR21" i="1"/>
  <c r="IT21" i="1" s="1"/>
  <c r="IR13" i="1"/>
  <c r="IT13" i="1" s="1"/>
  <c r="IR5" i="1"/>
  <c r="IT5" i="1" s="1"/>
  <c r="IR70" i="1"/>
  <c r="IT70" i="1" s="1"/>
  <c r="IR60" i="1"/>
  <c r="IT60" i="1" s="1"/>
  <c r="IR52" i="1"/>
  <c r="IT52" i="1" s="1"/>
  <c r="IR44" i="1"/>
  <c r="IT44" i="1" s="1"/>
  <c r="IR36" i="1"/>
  <c r="IT36" i="1" s="1"/>
  <c r="IR28" i="1"/>
  <c r="IT28" i="1" s="1"/>
  <c r="IR20" i="1"/>
  <c r="IT20" i="1" s="1"/>
  <c r="IR12" i="1"/>
  <c r="IT12" i="1" s="1"/>
  <c r="IR4" i="1"/>
  <c r="IT4" i="1" s="1"/>
  <c r="BM5" i="1"/>
  <c r="BN5" i="1"/>
  <c r="BO5" i="1"/>
  <c r="BP5" i="1"/>
  <c r="BM6" i="1"/>
  <c r="BN6" i="1"/>
  <c r="BO6" i="1"/>
  <c r="BP6" i="1"/>
  <c r="BM7" i="1"/>
  <c r="BN7" i="1"/>
  <c r="BO7" i="1"/>
  <c r="BP7" i="1"/>
  <c r="DT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5" i="1"/>
  <c r="DT66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3" i="1"/>
  <c r="DT84" i="1"/>
  <c r="DS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5" i="1"/>
  <c r="DS66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3" i="1"/>
  <c r="DS84" i="1"/>
  <c r="DR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5" i="1"/>
  <c r="DR66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3" i="1"/>
  <c r="DR84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5" i="1"/>
  <c r="DQ66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3" i="1"/>
  <c r="DQ84" i="1"/>
  <c r="DP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5" i="1"/>
  <c r="DP66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3" i="1"/>
  <c r="DP84" i="1"/>
  <c r="DO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5" i="1"/>
  <c r="DO66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3" i="1"/>
  <c r="DO84" i="1"/>
  <c r="DN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5" i="1"/>
  <c r="DN66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3" i="1"/>
  <c r="DN84" i="1"/>
  <c r="DM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5" i="1"/>
  <c r="DM66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3" i="1"/>
  <c r="DM84" i="1"/>
  <c r="DL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5" i="1"/>
  <c r="DL66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3" i="1"/>
  <c r="DL84" i="1"/>
  <c r="DK2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5" i="1"/>
  <c r="DK66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3" i="1"/>
  <c r="DK84" i="1"/>
  <c r="DJ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5" i="1"/>
  <c r="DJ66" i="1"/>
  <c r="DJ68" i="1"/>
  <c r="DJ69" i="1"/>
  <c r="DJ70" i="1"/>
  <c r="DJ71" i="1"/>
  <c r="DJ72" i="1"/>
  <c r="DJ73" i="1"/>
  <c r="DJ74" i="1"/>
  <c r="DJ75" i="1"/>
  <c r="DJ76" i="1"/>
  <c r="DJ77" i="1"/>
  <c r="DJ83" i="1"/>
  <c r="DJ84" i="1"/>
  <c r="DI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5" i="1"/>
  <c r="DI66" i="1"/>
  <c r="DI68" i="1"/>
  <c r="DI69" i="1"/>
  <c r="DI70" i="1"/>
  <c r="DI71" i="1"/>
  <c r="DI72" i="1"/>
  <c r="DI73" i="1"/>
  <c r="DI74" i="1"/>
  <c r="DI75" i="1"/>
  <c r="DI76" i="1"/>
  <c r="DI77" i="1"/>
  <c r="DI83" i="1"/>
  <c r="DI84" i="1"/>
  <c r="DH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3" i="1"/>
  <c r="DH84" i="1"/>
  <c r="DG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8" i="1"/>
  <c r="DG69" i="1"/>
  <c r="DG70" i="1"/>
  <c r="DG71" i="1"/>
  <c r="DG72" i="1"/>
  <c r="DG73" i="1"/>
  <c r="DG74" i="1"/>
  <c r="DG75" i="1"/>
  <c r="DG76" i="1"/>
  <c r="DG77" i="1"/>
  <c r="DG83" i="1"/>
  <c r="DG84" i="1"/>
  <c r="DF2" i="1"/>
  <c r="DF3" i="1"/>
  <c r="DF4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5" i="1"/>
  <c r="DF66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3" i="1"/>
  <c r="DF84" i="1"/>
  <c r="DE2" i="1"/>
  <c r="DE3" i="1"/>
  <c r="DE4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8" i="1"/>
  <c r="DE69" i="1"/>
  <c r="DE70" i="1"/>
  <c r="DE71" i="1"/>
  <c r="DE72" i="1"/>
  <c r="DE73" i="1"/>
  <c r="DE74" i="1"/>
  <c r="DE75" i="1"/>
  <c r="DE76" i="1"/>
  <c r="DE77" i="1"/>
  <c r="DE83" i="1"/>
  <c r="DE84" i="1"/>
  <c r="DD2" i="1"/>
  <c r="DD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5" i="1"/>
  <c r="DD66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3" i="1"/>
  <c r="DD84" i="1"/>
  <c r="DC2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5" i="1"/>
  <c r="DC66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3" i="1"/>
  <c r="DC84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8" i="1"/>
  <c r="DA69" i="1"/>
  <c r="DA70" i="1"/>
  <c r="DA71" i="1"/>
  <c r="DA72" i="1"/>
  <c r="DA73" i="1"/>
  <c r="DA74" i="1"/>
  <c r="DA75" i="1"/>
  <c r="DA76" i="1"/>
  <c r="DA77" i="1"/>
  <c r="DA83" i="1"/>
  <c r="DA8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5" i="1"/>
  <c r="DB66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3" i="1"/>
  <c r="DB84" i="1"/>
  <c r="D42" i="2"/>
  <c r="DA85" i="1" s="1"/>
  <c r="D43" i="2"/>
  <c r="D44" i="2"/>
  <c r="D45" i="2"/>
  <c r="D46" i="2"/>
  <c r="DE85" i="1" s="1"/>
  <c r="D47" i="2"/>
  <c r="DF85" i="1" s="1"/>
  <c r="D48" i="2"/>
  <c r="D49" i="2"/>
  <c r="D50" i="2"/>
  <c r="DI82" i="1" s="1"/>
  <c r="D51" i="2"/>
  <c r="DJ82" i="1" s="1"/>
  <c r="D52" i="2"/>
  <c r="D53" i="2"/>
  <c r="N53" i="2" s="1"/>
  <c r="D54" i="2"/>
  <c r="N54" i="2" s="1"/>
  <c r="D55" i="2"/>
  <c r="N55" i="2" s="1"/>
  <c r="D56" i="2"/>
  <c r="N56" i="2" s="1"/>
  <c r="D57" i="2"/>
  <c r="N57" i="2" s="1"/>
  <c r="D58" i="2"/>
  <c r="N58" i="2" s="1"/>
  <c r="D59" i="2"/>
  <c r="N59" i="2" s="1"/>
  <c r="D60" i="2"/>
  <c r="N60" i="2" s="1"/>
  <c r="D61" i="2"/>
  <c r="N61" i="2" s="1"/>
  <c r="CZ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53" i="1"/>
  <c r="CZ54" i="1"/>
  <c r="CZ55" i="1"/>
  <c r="CZ56" i="1"/>
  <c r="CZ57" i="1"/>
  <c r="CZ58" i="1"/>
  <c r="CZ59" i="1"/>
  <c r="CZ60" i="1"/>
  <c r="CZ61" i="1"/>
  <c r="CZ62" i="1"/>
  <c r="CZ63" i="1"/>
  <c r="CZ65" i="1"/>
  <c r="CZ66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3" i="1"/>
  <c r="CZ84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53" i="1"/>
  <c r="CY54" i="1"/>
  <c r="CY55" i="1"/>
  <c r="CY56" i="1"/>
  <c r="CY57" i="1"/>
  <c r="CY58" i="1"/>
  <c r="CY59" i="1"/>
  <c r="CY60" i="1"/>
  <c r="CY61" i="1"/>
  <c r="CY62" i="1"/>
  <c r="CY68" i="1"/>
  <c r="CY69" i="1"/>
  <c r="CY70" i="1"/>
  <c r="CY71" i="1"/>
  <c r="CY72" i="1"/>
  <c r="CY73" i="1"/>
  <c r="CY74" i="1"/>
  <c r="CY75" i="1"/>
  <c r="CY76" i="1"/>
  <c r="CY77" i="1"/>
  <c r="CY83" i="1"/>
  <c r="CY84" i="1"/>
  <c r="CX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60" i="1"/>
  <c r="CX61" i="1"/>
  <c r="CX62" i="1"/>
  <c r="CX63" i="1"/>
  <c r="CX65" i="1"/>
  <c r="CX66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3" i="1"/>
  <c r="CX84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60" i="1"/>
  <c r="CW61" i="1"/>
  <c r="CW62" i="1"/>
  <c r="CW63" i="1"/>
  <c r="CW65" i="1"/>
  <c r="CW66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3" i="1"/>
  <c r="CW84" i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5" i="1"/>
  <c r="CV66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3" i="1"/>
  <c r="CV84" i="1"/>
  <c r="CU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5" i="1"/>
  <c r="CU66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3" i="1"/>
  <c r="CU84" i="1"/>
  <c r="CT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45" i="1"/>
  <c r="CT46" i="1"/>
  <c r="CT47" i="1"/>
  <c r="CT48" i="1"/>
  <c r="CT49" i="1"/>
  <c r="CT50" i="1"/>
  <c r="CT51" i="1"/>
  <c r="CT52" i="1"/>
  <c r="CT60" i="1"/>
  <c r="CT61" i="1"/>
  <c r="CT62" i="1"/>
  <c r="CT63" i="1"/>
  <c r="CT65" i="1"/>
  <c r="CT66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3" i="1"/>
  <c r="CT84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5" i="1"/>
  <c r="CS66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3" i="1"/>
  <c r="CS84" i="1"/>
  <c r="CR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45" i="1"/>
  <c r="CR46" i="1"/>
  <c r="CR47" i="1"/>
  <c r="CR48" i="1"/>
  <c r="CR49" i="1"/>
  <c r="CR50" i="1"/>
  <c r="CR51" i="1"/>
  <c r="CR52" i="1"/>
  <c r="CR60" i="1"/>
  <c r="CR61" i="1"/>
  <c r="CR62" i="1"/>
  <c r="CR63" i="1"/>
  <c r="CR65" i="1"/>
  <c r="CR66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3" i="1"/>
  <c r="CR84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60" i="1"/>
  <c r="CQ61" i="1"/>
  <c r="CQ62" i="1"/>
  <c r="CQ68" i="1"/>
  <c r="CQ69" i="1"/>
  <c r="CQ70" i="1"/>
  <c r="CQ71" i="1"/>
  <c r="CQ72" i="1"/>
  <c r="CQ73" i="1"/>
  <c r="CQ74" i="1"/>
  <c r="CQ75" i="1"/>
  <c r="CQ76" i="1"/>
  <c r="CQ77" i="1"/>
  <c r="CQ83" i="1"/>
  <c r="CQ84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60" i="1"/>
  <c r="CP61" i="1"/>
  <c r="CP62" i="1"/>
  <c r="CP68" i="1"/>
  <c r="CP69" i="1"/>
  <c r="CP70" i="1"/>
  <c r="CP71" i="1"/>
  <c r="CP72" i="1"/>
  <c r="CP73" i="1"/>
  <c r="CP74" i="1"/>
  <c r="CP75" i="1"/>
  <c r="CP76" i="1"/>
  <c r="CP77" i="1"/>
  <c r="CP83" i="1"/>
  <c r="CP84" i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5" i="1"/>
  <c r="CO66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3" i="1"/>
  <c r="CO84" i="1"/>
  <c r="CN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3" i="1"/>
  <c r="CN84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5" i="1"/>
  <c r="CM66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3" i="1"/>
  <c r="CM84" i="1"/>
  <c r="CL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5" i="1"/>
  <c r="CL66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3" i="1"/>
  <c r="CL84" i="1"/>
  <c r="CK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5" i="1"/>
  <c r="CK66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3" i="1"/>
  <c r="CK84" i="1"/>
  <c r="CJ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4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5" i="1"/>
  <c r="CI66" i="1"/>
  <c r="CI73" i="1"/>
  <c r="CI74" i="1"/>
  <c r="CI75" i="1"/>
  <c r="CI76" i="1"/>
  <c r="CI77" i="1"/>
  <c r="CI78" i="1"/>
  <c r="CI79" i="1"/>
  <c r="CI80" i="1"/>
  <c r="CI81" i="1"/>
  <c r="CI83" i="1"/>
  <c r="CI84" i="1"/>
  <c r="CH2" i="1"/>
  <c r="CH3" i="1"/>
  <c r="CH4" i="1"/>
  <c r="CH5" i="1"/>
  <c r="CH6" i="1"/>
  <c r="CH7" i="1"/>
  <c r="CH8" i="1"/>
  <c r="CH9" i="1"/>
  <c r="CH10" i="1"/>
  <c r="CH11" i="1"/>
  <c r="CH13" i="1"/>
  <c r="CH15" i="1"/>
  <c r="CH16" i="1"/>
  <c r="CH17" i="1"/>
  <c r="CH19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5" i="1"/>
  <c r="CH66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3" i="1"/>
  <c r="CH84" i="1"/>
  <c r="CG2" i="1"/>
  <c r="CG3" i="1"/>
  <c r="CG4" i="1"/>
  <c r="CG5" i="1"/>
  <c r="CG6" i="1"/>
  <c r="CG7" i="1"/>
  <c r="CG8" i="1"/>
  <c r="CG9" i="1"/>
  <c r="CG10" i="1"/>
  <c r="CG11" i="1"/>
  <c r="CG13" i="1"/>
  <c r="CG15" i="1"/>
  <c r="CG16" i="1"/>
  <c r="CG17" i="1"/>
  <c r="CG19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5" i="1"/>
  <c r="CG66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3" i="1"/>
  <c r="CG84" i="1"/>
  <c r="CF2" i="1"/>
  <c r="CF3" i="1"/>
  <c r="CF4" i="1"/>
  <c r="CF5" i="1"/>
  <c r="CF6" i="1"/>
  <c r="CF7" i="1"/>
  <c r="CF8" i="1"/>
  <c r="CF9" i="1"/>
  <c r="CF10" i="1"/>
  <c r="CF11" i="1"/>
  <c r="CF13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3" i="1"/>
  <c r="CF84" i="1"/>
  <c r="CE2" i="1"/>
  <c r="CE3" i="1"/>
  <c r="CE4" i="1"/>
  <c r="CE5" i="1"/>
  <c r="CE6" i="1"/>
  <c r="CE7" i="1"/>
  <c r="CE8" i="1"/>
  <c r="CE9" i="1"/>
  <c r="CE10" i="1"/>
  <c r="CE11" i="1"/>
  <c r="CE13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5" i="1"/>
  <c r="CE66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3" i="1"/>
  <c r="CE84" i="1"/>
  <c r="CD2" i="1"/>
  <c r="CD3" i="1"/>
  <c r="CD4" i="1"/>
  <c r="CD5" i="1"/>
  <c r="CD6" i="1"/>
  <c r="CD7" i="1"/>
  <c r="CD8" i="1"/>
  <c r="CD9" i="1"/>
  <c r="CD10" i="1"/>
  <c r="CD12" i="1"/>
  <c r="CD14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5" i="1"/>
  <c r="CD66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3" i="1"/>
  <c r="CD84" i="1"/>
  <c r="CC2" i="1"/>
  <c r="CC3" i="1"/>
  <c r="CC4" i="1"/>
  <c r="CC5" i="1"/>
  <c r="CC6" i="1"/>
  <c r="CC7" i="1"/>
  <c r="CC8" i="1"/>
  <c r="CC9" i="1"/>
  <c r="CC10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5" i="1"/>
  <c r="CC66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3" i="1"/>
  <c r="CC84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3" i="1"/>
  <c r="CB65" i="1"/>
  <c r="CB66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3" i="1"/>
  <c r="CB8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5" i="1"/>
  <c r="CA66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3" i="1"/>
  <c r="CA84" i="1"/>
  <c r="BZ2" i="1"/>
  <c r="BZ3" i="1"/>
  <c r="BZ4" i="1"/>
  <c r="BZ5" i="1"/>
  <c r="BZ6" i="1"/>
  <c r="BZ7" i="1"/>
  <c r="BZ8" i="1"/>
  <c r="BZ9" i="1"/>
  <c r="BZ10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3" i="1"/>
  <c r="BZ65" i="1"/>
  <c r="BZ66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3" i="1"/>
  <c r="BZ84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5" i="1"/>
  <c r="BY66" i="1"/>
  <c r="BY73" i="1"/>
  <c r="BY74" i="1"/>
  <c r="BY75" i="1"/>
  <c r="BY76" i="1"/>
  <c r="BY77" i="1"/>
  <c r="BY78" i="1"/>
  <c r="BY79" i="1"/>
  <c r="BY80" i="1"/>
  <c r="BY81" i="1"/>
  <c r="BY84" i="1"/>
  <c r="BX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5" i="1"/>
  <c r="BX66" i="1"/>
  <c r="BX68" i="1"/>
  <c r="BX69" i="1"/>
  <c r="BX70" i="1"/>
  <c r="BX71" i="1"/>
  <c r="BX72" i="1"/>
  <c r="BX78" i="1"/>
  <c r="BX79" i="1"/>
  <c r="BX80" i="1"/>
  <c r="BX81" i="1"/>
  <c r="BX83" i="1"/>
  <c r="BX8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5" i="1"/>
  <c r="BW66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3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5" i="1"/>
  <c r="BV66" i="1"/>
  <c r="BV78" i="1"/>
  <c r="BV79" i="1"/>
  <c r="BV80" i="1"/>
  <c r="BV81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5" i="1"/>
  <c r="BU66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3" i="1"/>
  <c r="BU84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5" i="1"/>
  <c r="BS66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3" i="1"/>
  <c r="BS84" i="1"/>
  <c r="BT2" i="1"/>
  <c r="BT3" i="1"/>
  <c r="BT4" i="1"/>
  <c r="BT5" i="1"/>
  <c r="BT6" i="1"/>
  <c r="BT7" i="1"/>
  <c r="BT8" i="1"/>
  <c r="BT9" i="1"/>
  <c r="BT10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3" i="1"/>
  <c r="BT65" i="1"/>
  <c r="BT66" i="1"/>
  <c r="BT78" i="1"/>
  <c r="BT79" i="1"/>
  <c r="BT80" i="1"/>
  <c r="BT81" i="1"/>
  <c r="BR2" i="1"/>
  <c r="BR3" i="1"/>
  <c r="BR4" i="1"/>
  <c r="BR5" i="1"/>
  <c r="BR6" i="1"/>
  <c r="BR7" i="1"/>
  <c r="BR8" i="1"/>
  <c r="BR9" i="1"/>
  <c r="BR10" i="1"/>
  <c r="BR17" i="1"/>
  <c r="BR18" i="1"/>
  <c r="BR19" i="1"/>
  <c r="BR20" i="1"/>
  <c r="BR21" i="1"/>
  <c r="BR22" i="1"/>
  <c r="BR23" i="1"/>
  <c r="BR24" i="1"/>
  <c r="BR25" i="1"/>
  <c r="BR26" i="1"/>
  <c r="BR27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3" i="1"/>
  <c r="BR65" i="1"/>
  <c r="BR66" i="1"/>
  <c r="BR78" i="1"/>
  <c r="BR79" i="1"/>
  <c r="BR80" i="1"/>
  <c r="BR81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5" i="1"/>
  <c r="BQ66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3" i="1"/>
  <c r="BQ84" i="1"/>
  <c r="BP2" i="1"/>
  <c r="BP3" i="1"/>
  <c r="BP4" i="1"/>
  <c r="BP8" i="1"/>
  <c r="BP9" i="1"/>
  <c r="BP10" i="1"/>
  <c r="BP17" i="1"/>
  <c r="BP18" i="1"/>
  <c r="BP19" i="1"/>
  <c r="BP20" i="1"/>
  <c r="BP21" i="1"/>
  <c r="BP22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3" i="1"/>
  <c r="BP65" i="1"/>
  <c r="BP66" i="1"/>
  <c r="BP78" i="1"/>
  <c r="BP79" i="1"/>
  <c r="BP80" i="1"/>
  <c r="BP81" i="1"/>
  <c r="BO2" i="1"/>
  <c r="BO3" i="1"/>
  <c r="BO4" i="1"/>
  <c r="BO8" i="1"/>
  <c r="BO9" i="1"/>
  <c r="BO10" i="1"/>
  <c r="BO12" i="1"/>
  <c r="BO14" i="1"/>
  <c r="BO18" i="1"/>
  <c r="BO2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5" i="1"/>
  <c r="BO66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3" i="1"/>
  <c r="BO84" i="1"/>
  <c r="BN2" i="1"/>
  <c r="BN3" i="1"/>
  <c r="BN4" i="1"/>
  <c r="BN8" i="1"/>
  <c r="BN9" i="1"/>
  <c r="BN10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3" i="1"/>
  <c r="BN65" i="1"/>
  <c r="BN66" i="1"/>
  <c r="BN78" i="1"/>
  <c r="BN79" i="1"/>
  <c r="BN80" i="1"/>
  <c r="BN81" i="1"/>
  <c r="BM2" i="1"/>
  <c r="BM3" i="1"/>
  <c r="BM4" i="1"/>
  <c r="BM8" i="1"/>
  <c r="BM9" i="1"/>
  <c r="BM10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3" i="1"/>
  <c r="BM65" i="1"/>
  <c r="BM66" i="1"/>
  <c r="BM78" i="1"/>
  <c r="BM79" i="1"/>
  <c r="BM80" i="1"/>
  <c r="BM81" i="1"/>
  <c r="JE43" i="1" l="1"/>
  <c r="JE59" i="1"/>
  <c r="JE41" i="1"/>
  <c r="JE72" i="1"/>
  <c r="JE69" i="1"/>
  <c r="JE78" i="1"/>
  <c r="JE63" i="1"/>
  <c r="JE45" i="1"/>
  <c r="JE60" i="1"/>
  <c r="JE35" i="1"/>
  <c r="JE51" i="1"/>
  <c r="DE64" i="1"/>
  <c r="DE67" i="1"/>
  <c r="DE82" i="1"/>
  <c r="DA82" i="1"/>
  <c r="DA64" i="1"/>
  <c r="DA67" i="1"/>
  <c r="DH67" i="1"/>
  <c r="DH64" i="1"/>
  <c r="DG67" i="1"/>
  <c r="DG64" i="1"/>
  <c r="DG82" i="1"/>
  <c r="JE49" i="1"/>
  <c r="JE26" i="1"/>
  <c r="JE80" i="1"/>
  <c r="JE54" i="1"/>
  <c r="JE42" i="1"/>
  <c r="JE66" i="1"/>
  <c r="DJ78" i="1"/>
  <c r="N51" i="2"/>
  <c r="DB2" i="1"/>
  <c r="N43" i="2"/>
  <c r="DI80" i="1"/>
  <c r="N50" i="2"/>
  <c r="DA2" i="1"/>
  <c r="N42" i="2"/>
  <c r="DH63" i="1"/>
  <c r="N49" i="2"/>
  <c r="DG78" i="1"/>
  <c r="N48" i="2"/>
  <c r="DF10" i="1"/>
  <c r="N47" i="2"/>
  <c r="DE8" i="1"/>
  <c r="N46" i="2"/>
  <c r="DD4" i="1"/>
  <c r="N45" i="2"/>
  <c r="DK3" i="1"/>
  <c r="N52" i="2"/>
  <c r="DC4" i="1"/>
  <c r="N44" i="2"/>
  <c r="DA8" i="1"/>
  <c r="DA80" i="1"/>
  <c r="DA65" i="1"/>
  <c r="JE12" i="1"/>
  <c r="JE61" i="1"/>
  <c r="JE19" i="1"/>
  <c r="JE84" i="1"/>
  <c r="JE30" i="1"/>
  <c r="JE8" i="1"/>
  <c r="JE79" i="1"/>
  <c r="JE73" i="1"/>
  <c r="JE20" i="1"/>
  <c r="JE5" i="1"/>
  <c r="JE71" i="1"/>
  <c r="JE50" i="1"/>
  <c r="JE27" i="1"/>
  <c r="JE9" i="1"/>
  <c r="JE75" i="1"/>
  <c r="JE38" i="1"/>
  <c r="JE16" i="1"/>
  <c r="JE7" i="1"/>
  <c r="JE28" i="1"/>
  <c r="JE13" i="1"/>
  <c r="JE58" i="1"/>
  <c r="JE17" i="1"/>
  <c r="JE81" i="1"/>
  <c r="JE46" i="1"/>
  <c r="JE24" i="1"/>
  <c r="JE15" i="1"/>
  <c r="JE34" i="1"/>
  <c r="JE65" i="1"/>
  <c r="JE36" i="1"/>
  <c r="JE21" i="1"/>
  <c r="JE2" i="1"/>
  <c r="JE68" i="1"/>
  <c r="JE25" i="1"/>
  <c r="JE23" i="1"/>
  <c r="JE32" i="1"/>
  <c r="JE31" i="1"/>
  <c r="JE70" i="1"/>
  <c r="JE11" i="1"/>
  <c r="JE57" i="1"/>
  <c r="JE22" i="1"/>
  <c r="JE44" i="1"/>
  <c r="JE29" i="1"/>
  <c r="JE10" i="1"/>
  <c r="JE76" i="1"/>
  <c r="JE33" i="1"/>
  <c r="JE55" i="1"/>
  <c r="JE62" i="1"/>
  <c r="JE40" i="1"/>
  <c r="JE39" i="1"/>
  <c r="JE4" i="1"/>
  <c r="JE53" i="1"/>
  <c r="JE77" i="1"/>
  <c r="JE74" i="1"/>
  <c r="JE52" i="1"/>
  <c r="JE37" i="1"/>
  <c r="JE18" i="1"/>
  <c r="JE83" i="1"/>
  <c r="JE6" i="1"/>
  <c r="JE48" i="1"/>
  <c r="JE47" i="1"/>
  <c r="JE3" i="1"/>
  <c r="JE14" i="1"/>
  <c r="JE56" i="1"/>
  <c r="DC3" i="1"/>
  <c r="DE79" i="1"/>
  <c r="DE63" i="1"/>
  <c r="DE7" i="1"/>
  <c r="DF9" i="1"/>
  <c r="DI79" i="1"/>
  <c r="DJ81" i="1"/>
  <c r="DA79" i="1"/>
  <c r="DA63" i="1"/>
  <c r="DA7" i="1"/>
  <c r="DE78" i="1"/>
  <c r="DE6" i="1"/>
  <c r="DF8" i="1"/>
  <c r="DI78" i="1"/>
  <c r="DJ80" i="1"/>
  <c r="DA78" i="1"/>
  <c r="DA6" i="1"/>
  <c r="DE5" i="1"/>
  <c r="DF7" i="1"/>
  <c r="DG81" i="1"/>
  <c r="DG66" i="1"/>
  <c r="DJ79" i="1"/>
  <c r="DB4" i="1"/>
  <c r="DA5" i="1"/>
  <c r="DF6" i="1"/>
  <c r="DG80" i="1"/>
  <c r="DG65" i="1"/>
  <c r="DB3" i="1"/>
  <c r="DA4" i="1"/>
  <c r="DF5" i="1"/>
  <c r="DG79" i="1"/>
  <c r="DG63" i="1"/>
  <c r="DH66" i="1"/>
  <c r="DA3" i="1"/>
  <c r="DE10" i="1"/>
  <c r="DH65" i="1"/>
  <c r="DA10" i="1"/>
  <c r="DE81" i="1"/>
  <c r="DE66" i="1"/>
  <c r="DE9" i="1"/>
  <c r="DI81" i="1"/>
  <c r="DA81" i="1"/>
  <c r="DA66" i="1"/>
  <c r="DA9" i="1"/>
  <c r="DE80" i="1"/>
  <c r="DE65" i="1"/>
  <c r="D3" i="2" l="1"/>
  <c r="N3" i="2" s="1"/>
  <c r="D4" i="2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D23" i="2"/>
  <c r="D24" i="2"/>
  <c r="N24" i="2" s="1"/>
  <c r="D25" i="2"/>
  <c r="D26" i="2"/>
  <c r="N26" i="2" s="1"/>
  <c r="D27" i="2"/>
  <c r="N27" i="2" s="1"/>
  <c r="D28" i="2"/>
  <c r="N28" i="2" s="1"/>
  <c r="D29" i="2"/>
  <c r="N29" i="2" s="1"/>
  <c r="D30" i="2"/>
  <c r="N30" i="2" s="1"/>
  <c r="D31" i="2"/>
  <c r="D32" i="2"/>
  <c r="D33" i="2"/>
  <c r="D34" i="2"/>
  <c r="N34" i="2" s="1"/>
  <c r="D35" i="2"/>
  <c r="D36" i="2"/>
  <c r="D37" i="2"/>
  <c r="D38" i="2"/>
  <c r="D39" i="2"/>
  <c r="D40" i="2"/>
  <c r="CY85" i="1" s="1"/>
  <c r="D41" i="2"/>
  <c r="N41" i="2" s="1"/>
  <c r="D2" i="2"/>
  <c r="N2" i="2" s="1"/>
  <c r="N39" i="2" l="1"/>
  <c r="CX87" i="1"/>
  <c r="CQ85" i="1"/>
  <c r="CQ87" i="1"/>
  <c r="CQ86" i="1"/>
  <c r="CP85" i="1"/>
  <c r="CP87" i="1"/>
  <c r="CP86" i="1"/>
  <c r="DU86" i="1" s="1"/>
  <c r="DX86" i="1" s="1"/>
  <c r="N38" i="2"/>
  <c r="CW87" i="1"/>
  <c r="N37" i="2"/>
  <c r="CV86" i="1"/>
  <c r="N33" i="2"/>
  <c r="CR86" i="1"/>
  <c r="CR87" i="1"/>
  <c r="N36" i="2"/>
  <c r="CU86" i="1"/>
  <c r="N35" i="2"/>
  <c r="CT87" i="1"/>
  <c r="CT86" i="1"/>
  <c r="N31" i="2"/>
  <c r="CP82" i="1"/>
  <c r="CP64" i="1"/>
  <c r="CP67" i="1"/>
  <c r="N32" i="2"/>
  <c r="CQ67" i="1"/>
  <c r="CQ82" i="1"/>
  <c r="CQ64" i="1"/>
  <c r="N40" i="2"/>
  <c r="CY67" i="1"/>
  <c r="CY82" i="1"/>
  <c r="CY64" i="1"/>
  <c r="N22" i="2"/>
  <c r="CG14" i="1"/>
  <c r="CG12" i="1"/>
  <c r="N23" i="2"/>
  <c r="CH12" i="1"/>
  <c r="CH14" i="1"/>
  <c r="N4" i="2"/>
  <c r="BO11" i="1"/>
  <c r="BO13" i="1"/>
  <c r="BO16" i="1"/>
  <c r="BO15" i="1"/>
  <c r="CJ83" i="1"/>
  <c r="N25" i="2"/>
  <c r="BW84" i="1"/>
  <c r="N12" i="2"/>
  <c r="CB60" i="1"/>
  <c r="CB61" i="1"/>
  <c r="CB62" i="1"/>
  <c r="CZ50" i="1"/>
  <c r="CZ51" i="1"/>
  <c r="CZ52" i="1"/>
  <c r="CZ45" i="1"/>
  <c r="CZ46" i="1"/>
  <c r="CZ47" i="1"/>
  <c r="CZ48" i="1"/>
  <c r="CZ49" i="1"/>
  <c r="CP6" i="1"/>
  <c r="CP38" i="1"/>
  <c r="CP46" i="1"/>
  <c r="CP54" i="1"/>
  <c r="CP78" i="1"/>
  <c r="CP7" i="1"/>
  <c r="CP39" i="1"/>
  <c r="CP47" i="1"/>
  <c r="CP55" i="1"/>
  <c r="CP63" i="1"/>
  <c r="CP79" i="1"/>
  <c r="CP8" i="1"/>
  <c r="CP40" i="1"/>
  <c r="CP48" i="1"/>
  <c r="CP56" i="1"/>
  <c r="CP65" i="1"/>
  <c r="CP80" i="1"/>
  <c r="CP9" i="1"/>
  <c r="CP41" i="1"/>
  <c r="CP49" i="1"/>
  <c r="CP57" i="1"/>
  <c r="CP66" i="1"/>
  <c r="CP81" i="1"/>
  <c r="CP2" i="1"/>
  <c r="CP10" i="1"/>
  <c r="CP42" i="1"/>
  <c r="CP50" i="1"/>
  <c r="CP58" i="1"/>
  <c r="CP3" i="1"/>
  <c r="CP43" i="1"/>
  <c r="CP51" i="1"/>
  <c r="CP59" i="1"/>
  <c r="CP4" i="1"/>
  <c r="CP44" i="1"/>
  <c r="CP52" i="1"/>
  <c r="CP5" i="1"/>
  <c r="CP37" i="1"/>
  <c r="CP45" i="1"/>
  <c r="CP53" i="1"/>
  <c r="CI68" i="1"/>
  <c r="CI69" i="1"/>
  <c r="CI70" i="1"/>
  <c r="CI71" i="1"/>
  <c r="CI72" i="1"/>
  <c r="CX54" i="1"/>
  <c r="CX55" i="1"/>
  <c r="CX56" i="1"/>
  <c r="CX57" i="1"/>
  <c r="CX58" i="1"/>
  <c r="CX59" i="1"/>
  <c r="CX53" i="1"/>
  <c r="BY70" i="1"/>
  <c r="BY71" i="1"/>
  <c r="BY72" i="1"/>
  <c r="BY68" i="1"/>
  <c r="BY83" i="1"/>
  <c r="BY69" i="1"/>
  <c r="CY8" i="1"/>
  <c r="CY48" i="1"/>
  <c r="CY65" i="1"/>
  <c r="CY80" i="1"/>
  <c r="CY9" i="1"/>
  <c r="CY49" i="1"/>
  <c r="CY66" i="1"/>
  <c r="CY81" i="1"/>
  <c r="CY2" i="1"/>
  <c r="CY10" i="1"/>
  <c r="CY50" i="1"/>
  <c r="CY3" i="1"/>
  <c r="CY51" i="1"/>
  <c r="CY4" i="1"/>
  <c r="CY52" i="1"/>
  <c r="CY5" i="1"/>
  <c r="CY45" i="1"/>
  <c r="CY6" i="1"/>
  <c r="CY46" i="1"/>
  <c r="CY78" i="1"/>
  <c r="CY7" i="1"/>
  <c r="CY47" i="1"/>
  <c r="CY63" i="1"/>
  <c r="CY79" i="1"/>
  <c r="BZ14" i="1"/>
  <c r="BZ30" i="1"/>
  <c r="BZ62" i="1"/>
  <c r="BZ15" i="1"/>
  <c r="BZ31" i="1"/>
  <c r="BZ16" i="1"/>
  <c r="BZ32" i="1"/>
  <c r="BZ33" i="1"/>
  <c r="BZ34" i="1"/>
  <c r="BZ11" i="1"/>
  <c r="BZ12" i="1"/>
  <c r="BZ60" i="1"/>
  <c r="BZ13" i="1"/>
  <c r="BZ61" i="1"/>
  <c r="BP13" i="1"/>
  <c r="BP29" i="1"/>
  <c r="BP61" i="1"/>
  <c r="BP71" i="1"/>
  <c r="BP14" i="1"/>
  <c r="BP30" i="1"/>
  <c r="BP62" i="1"/>
  <c r="BP72" i="1"/>
  <c r="BP15" i="1"/>
  <c r="BP23" i="1"/>
  <c r="BP31" i="1"/>
  <c r="BP73" i="1"/>
  <c r="BP16" i="1"/>
  <c r="BP24" i="1"/>
  <c r="BP32" i="1"/>
  <c r="BP74" i="1"/>
  <c r="BP25" i="1"/>
  <c r="BP33" i="1"/>
  <c r="BP75" i="1"/>
  <c r="BP26" i="1"/>
  <c r="BP34" i="1"/>
  <c r="BP68" i="1"/>
  <c r="BP76" i="1"/>
  <c r="BP83" i="1"/>
  <c r="BP11" i="1"/>
  <c r="BP27" i="1"/>
  <c r="BP35" i="1"/>
  <c r="BP69" i="1"/>
  <c r="BP77" i="1"/>
  <c r="BP84" i="1"/>
  <c r="BP12" i="1"/>
  <c r="BP28" i="1"/>
  <c r="BP36" i="1"/>
  <c r="BP60" i="1"/>
  <c r="BP70" i="1"/>
  <c r="CR42" i="1"/>
  <c r="CR58" i="1"/>
  <c r="CR43" i="1"/>
  <c r="CR59" i="1"/>
  <c r="CR44" i="1"/>
  <c r="CR37" i="1"/>
  <c r="CR53" i="1"/>
  <c r="CR38" i="1"/>
  <c r="CR54" i="1"/>
  <c r="CR39" i="1"/>
  <c r="CR55" i="1"/>
  <c r="CR40" i="1"/>
  <c r="CR56" i="1"/>
  <c r="CR41" i="1"/>
  <c r="CR57" i="1"/>
  <c r="CA32" i="1"/>
  <c r="CA33" i="1"/>
  <c r="CA34" i="1"/>
  <c r="CA30" i="1"/>
  <c r="CA31" i="1"/>
  <c r="CH18" i="1"/>
  <c r="CH20" i="1"/>
  <c r="CW53" i="1"/>
  <c r="CW54" i="1"/>
  <c r="CW55" i="1"/>
  <c r="CW56" i="1"/>
  <c r="CW57" i="1"/>
  <c r="CW58" i="1"/>
  <c r="CW59" i="1"/>
  <c r="BQ28" i="1"/>
  <c r="BQ29" i="1"/>
  <c r="BQ23" i="1"/>
  <c r="BQ24" i="1"/>
  <c r="BQ25" i="1"/>
  <c r="BQ26" i="1"/>
  <c r="BQ27" i="1"/>
  <c r="BX76" i="1"/>
  <c r="BX77" i="1"/>
  <c r="BX73" i="1"/>
  <c r="BX74" i="1"/>
  <c r="BX75" i="1"/>
  <c r="CE12" i="1"/>
  <c r="CE14" i="1"/>
  <c r="BO22" i="1"/>
  <c r="BO17" i="1"/>
  <c r="BO19" i="1"/>
  <c r="BO21" i="1"/>
  <c r="BT16" i="1"/>
  <c r="BT32" i="1"/>
  <c r="BT74" i="1"/>
  <c r="BT33" i="1"/>
  <c r="BT75" i="1"/>
  <c r="BT34" i="1"/>
  <c r="BT68" i="1"/>
  <c r="BT76" i="1"/>
  <c r="BT83" i="1"/>
  <c r="BT11" i="1"/>
  <c r="BT35" i="1"/>
  <c r="BT69" i="1"/>
  <c r="BT77" i="1"/>
  <c r="BT84" i="1"/>
  <c r="BT12" i="1"/>
  <c r="BT36" i="1"/>
  <c r="BT60" i="1"/>
  <c r="BT70" i="1"/>
  <c r="BT13" i="1"/>
  <c r="BT61" i="1"/>
  <c r="BT71" i="1"/>
  <c r="BT14" i="1"/>
  <c r="BT30" i="1"/>
  <c r="BT62" i="1"/>
  <c r="BT72" i="1"/>
  <c r="BT15" i="1"/>
  <c r="BT31" i="1"/>
  <c r="BT73" i="1"/>
  <c r="CQ8" i="1"/>
  <c r="CQ40" i="1"/>
  <c r="CQ48" i="1"/>
  <c r="CQ56" i="1"/>
  <c r="CQ65" i="1"/>
  <c r="CQ80" i="1"/>
  <c r="CQ9" i="1"/>
  <c r="CQ41" i="1"/>
  <c r="CQ49" i="1"/>
  <c r="CQ57" i="1"/>
  <c r="CQ66" i="1"/>
  <c r="CQ81" i="1"/>
  <c r="CQ2" i="1"/>
  <c r="CQ10" i="1"/>
  <c r="CQ42" i="1"/>
  <c r="CQ50" i="1"/>
  <c r="CQ58" i="1"/>
  <c r="CQ3" i="1"/>
  <c r="CQ43" i="1"/>
  <c r="CQ51" i="1"/>
  <c r="CQ59" i="1"/>
  <c r="CQ4" i="1"/>
  <c r="CQ44" i="1"/>
  <c r="CQ52" i="1"/>
  <c r="CQ5" i="1"/>
  <c r="CQ37" i="1"/>
  <c r="CQ45" i="1"/>
  <c r="CQ53" i="1"/>
  <c r="CQ6" i="1"/>
  <c r="CQ38" i="1"/>
  <c r="CQ46" i="1"/>
  <c r="CQ54" i="1"/>
  <c r="CQ78" i="1"/>
  <c r="CQ7" i="1"/>
  <c r="CQ39" i="1"/>
  <c r="CQ47" i="1"/>
  <c r="CQ55" i="1"/>
  <c r="CQ63" i="1"/>
  <c r="CQ79" i="1"/>
  <c r="BS28" i="1"/>
  <c r="BS29" i="1"/>
  <c r="BR14" i="1"/>
  <c r="BR30" i="1"/>
  <c r="BR62" i="1"/>
  <c r="BR72" i="1"/>
  <c r="BR15" i="1"/>
  <c r="BR31" i="1"/>
  <c r="BR73" i="1"/>
  <c r="BR16" i="1"/>
  <c r="BR32" i="1"/>
  <c r="BR74" i="1"/>
  <c r="BR33" i="1"/>
  <c r="BR75" i="1"/>
  <c r="BR34" i="1"/>
  <c r="BR68" i="1"/>
  <c r="BR76" i="1"/>
  <c r="BR83" i="1"/>
  <c r="BR11" i="1"/>
  <c r="BR35" i="1"/>
  <c r="BR69" i="1"/>
  <c r="BR77" i="1"/>
  <c r="BR84" i="1"/>
  <c r="BR12" i="1"/>
  <c r="BR28" i="1"/>
  <c r="BR36" i="1"/>
  <c r="BR60" i="1"/>
  <c r="BR70" i="1"/>
  <c r="BR13" i="1"/>
  <c r="BR29" i="1"/>
  <c r="BR61" i="1"/>
  <c r="BR71" i="1"/>
  <c r="CG20" i="1"/>
  <c r="CG18" i="1"/>
  <c r="CV42" i="1"/>
  <c r="CV43" i="1"/>
  <c r="CV44" i="1"/>
  <c r="CV37" i="1"/>
  <c r="CV38" i="1"/>
  <c r="CV39" i="1"/>
  <c r="CV40" i="1"/>
  <c r="CV41" i="1"/>
  <c r="CF12" i="1"/>
  <c r="CF14" i="1"/>
  <c r="CU40" i="1"/>
  <c r="CU41" i="1"/>
  <c r="CU42" i="1"/>
  <c r="CU43" i="1"/>
  <c r="CU44" i="1"/>
  <c r="CU37" i="1"/>
  <c r="CU38" i="1"/>
  <c r="CU39" i="1"/>
  <c r="CT38" i="1"/>
  <c r="CT54" i="1"/>
  <c r="CT39" i="1"/>
  <c r="CT55" i="1"/>
  <c r="CT40" i="1"/>
  <c r="CT56" i="1"/>
  <c r="CT41" i="1"/>
  <c r="CT57" i="1"/>
  <c r="CT42" i="1"/>
  <c r="CT58" i="1"/>
  <c r="CT43" i="1"/>
  <c r="CT59" i="1"/>
  <c r="CT44" i="1"/>
  <c r="CT37" i="1"/>
  <c r="CT53" i="1"/>
  <c r="CD15" i="1"/>
  <c r="CD16" i="1"/>
  <c r="CD11" i="1"/>
  <c r="CD13" i="1"/>
  <c r="BV72" i="1"/>
  <c r="BV73" i="1"/>
  <c r="BV74" i="1"/>
  <c r="BV75" i="1"/>
  <c r="BV68" i="1"/>
  <c r="BV76" i="1"/>
  <c r="BV83" i="1"/>
  <c r="BV69" i="1"/>
  <c r="BV77" i="1"/>
  <c r="BV84" i="1"/>
  <c r="BV70" i="1"/>
  <c r="BV71" i="1"/>
  <c r="BN15" i="1"/>
  <c r="BN23" i="1"/>
  <c r="BN31" i="1"/>
  <c r="BN73" i="1"/>
  <c r="BN16" i="1"/>
  <c r="BN24" i="1"/>
  <c r="BN32" i="1"/>
  <c r="BN74" i="1"/>
  <c r="BN17" i="1"/>
  <c r="BN25" i="1"/>
  <c r="BN33" i="1"/>
  <c r="BN75" i="1"/>
  <c r="BN18" i="1"/>
  <c r="BN26" i="1"/>
  <c r="BN34" i="1"/>
  <c r="BN68" i="1"/>
  <c r="BN76" i="1"/>
  <c r="BN83" i="1"/>
  <c r="BN11" i="1"/>
  <c r="BN19" i="1"/>
  <c r="BN27" i="1"/>
  <c r="BN35" i="1"/>
  <c r="BN69" i="1"/>
  <c r="BN77" i="1"/>
  <c r="BN84" i="1"/>
  <c r="BN12" i="1"/>
  <c r="BN20" i="1"/>
  <c r="BN28" i="1"/>
  <c r="BN36" i="1"/>
  <c r="BN60" i="1"/>
  <c r="BN70" i="1"/>
  <c r="BN13" i="1"/>
  <c r="BN21" i="1"/>
  <c r="BN29" i="1"/>
  <c r="BN61" i="1"/>
  <c r="BN71" i="1"/>
  <c r="BN14" i="1"/>
  <c r="BN22" i="1"/>
  <c r="BN30" i="1"/>
  <c r="BN62" i="1"/>
  <c r="BN72" i="1"/>
  <c r="BM16" i="1"/>
  <c r="BM24" i="1"/>
  <c r="BM32" i="1"/>
  <c r="BM74" i="1"/>
  <c r="BM84" i="1"/>
  <c r="BM60" i="1"/>
  <c r="BM17" i="1"/>
  <c r="BM25" i="1"/>
  <c r="BM33" i="1"/>
  <c r="BM75" i="1"/>
  <c r="BM76" i="1"/>
  <c r="BM35" i="1"/>
  <c r="BM36" i="1"/>
  <c r="BM62" i="1"/>
  <c r="BM18" i="1"/>
  <c r="BM26" i="1"/>
  <c r="BM34" i="1"/>
  <c r="BM68" i="1"/>
  <c r="BM83" i="1"/>
  <c r="BM69" i="1"/>
  <c r="BM71" i="1"/>
  <c r="BM11" i="1"/>
  <c r="BM19" i="1"/>
  <c r="BM27" i="1"/>
  <c r="BM77" i="1"/>
  <c r="BM12" i="1"/>
  <c r="BM20" i="1"/>
  <c r="BM28" i="1"/>
  <c r="BM70" i="1"/>
  <c r="BM13" i="1"/>
  <c r="BM21" i="1"/>
  <c r="BM29" i="1"/>
  <c r="BM61" i="1"/>
  <c r="BM72" i="1"/>
  <c r="BM14" i="1"/>
  <c r="BM22" i="1"/>
  <c r="BM30" i="1"/>
  <c r="BM73" i="1"/>
  <c r="BM15" i="1"/>
  <c r="BM23" i="1"/>
  <c r="BM31" i="1"/>
  <c r="CC12" i="1"/>
  <c r="CC13" i="1"/>
  <c r="CC14" i="1"/>
  <c r="CC15" i="1"/>
  <c r="CC16" i="1"/>
  <c r="CC11" i="1"/>
  <c r="BU36" i="1"/>
  <c r="BU35" i="1"/>
  <c r="JP86" i="1" l="1"/>
  <c r="IV86" i="1"/>
  <c r="IW86" i="1" s="1"/>
  <c r="IX86" i="1" s="1"/>
  <c r="IZ86" i="1" s="1"/>
  <c r="DU87" i="1"/>
  <c r="DX87" i="1" s="1"/>
  <c r="DU85" i="1"/>
  <c r="DX85" i="1" s="1"/>
  <c r="DU67" i="1"/>
  <c r="DX67" i="1" s="1"/>
  <c r="DU64" i="1"/>
  <c r="DX64" i="1" s="1"/>
  <c r="DU82" i="1"/>
  <c r="DX82" i="1" s="1"/>
  <c r="DU21" i="1"/>
  <c r="DX21" i="1" s="1"/>
  <c r="JP21" i="1" s="1"/>
  <c r="DU17" i="1"/>
  <c r="DX17" i="1" s="1"/>
  <c r="DU19" i="1"/>
  <c r="DX19" i="1" s="1"/>
  <c r="JP19" i="1" s="1"/>
  <c r="DU18" i="1"/>
  <c r="DX18" i="1" s="1"/>
  <c r="DU30" i="1"/>
  <c r="DX30" i="1" s="1"/>
  <c r="DU70" i="1"/>
  <c r="DX70" i="1" s="1"/>
  <c r="DU84" i="1"/>
  <c r="DX84" i="1" s="1"/>
  <c r="DU28" i="1"/>
  <c r="DX28" i="1" s="1"/>
  <c r="DU69" i="1"/>
  <c r="DX69" i="1" s="1"/>
  <c r="DU20" i="1"/>
  <c r="DX20" i="1" s="1"/>
  <c r="DU83" i="1"/>
  <c r="DX83" i="1" s="1"/>
  <c r="DU72" i="1"/>
  <c r="DX72" i="1" s="1"/>
  <c r="DU31" i="1"/>
  <c r="DX31" i="1" s="1"/>
  <c r="DU61" i="1"/>
  <c r="DX61" i="1" s="1"/>
  <c r="DU34" i="1"/>
  <c r="DX34" i="1" s="1"/>
  <c r="DU25" i="1"/>
  <c r="DX25" i="1" s="1"/>
  <c r="DU22" i="1"/>
  <c r="DX22" i="1" s="1"/>
  <c r="DU24" i="1"/>
  <c r="DX24" i="1" s="1"/>
  <c r="DU26" i="1"/>
  <c r="DX26" i="1" s="1"/>
  <c r="DU73" i="1"/>
  <c r="DX73" i="1" s="1"/>
  <c r="DU62" i="1"/>
  <c r="DX62" i="1" s="1"/>
  <c r="DU60" i="1"/>
  <c r="DX60" i="1" s="1"/>
  <c r="DU71" i="1"/>
  <c r="DX71" i="1" s="1"/>
  <c r="DU74" i="1"/>
  <c r="DX74" i="1" s="1"/>
  <c r="DU14" i="1"/>
  <c r="DX14" i="1" s="1"/>
  <c r="DU76" i="1"/>
  <c r="DX76" i="1" s="1"/>
  <c r="DU32" i="1"/>
  <c r="DX32" i="1" s="1"/>
  <c r="DU68" i="1"/>
  <c r="DX68" i="1" s="1"/>
  <c r="DU75" i="1"/>
  <c r="DX75" i="1" s="1"/>
  <c r="DU77" i="1"/>
  <c r="DX77" i="1" s="1"/>
  <c r="DU33" i="1"/>
  <c r="DX33" i="1" s="1"/>
  <c r="DU23" i="1"/>
  <c r="DX23" i="1" s="1"/>
  <c r="DU29" i="1"/>
  <c r="DX29" i="1" s="1"/>
  <c r="DU27" i="1"/>
  <c r="DX27" i="1" s="1"/>
  <c r="DU15" i="1"/>
  <c r="DX15" i="1" s="1"/>
  <c r="DU5" i="1"/>
  <c r="DX5" i="1" s="1"/>
  <c r="DU3" i="1"/>
  <c r="DX3" i="1" s="1"/>
  <c r="DU57" i="1"/>
  <c r="DX57" i="1" s="1"/>
  <c r="DU40" i="1"/>
  <c r="DX40" i="1" s="1"/>
  <c r="DU78" i="1"/>
  <c r="DX78" i="1" s="1"/>
  <c r="DU13" i="1"/>
  <c r="DX13" i="1" s="1"/>
  <c r="DU11" i="1"/>
  <c r="DX11" i="1" s="1"/>
  <c r="DU58" i="1"/>
  <c r="DX58" i="1" s="1"/>
  <c r="DU49" i="1"/>
  <c r="DX49" i="1" s="1"/>
  <c r="DU8" i="1"/>
  <c r="DX8" i="1" s="1"/>
  <c r="DU54" i="1"/>
  <c r="DX54" i="1" s="1"/>
  <c r="DU36" i="1"/>
  <c r="DX36" i="1" s="1"/>
  <c r="DU52" i="1"/>
  <c r="DX52" i="1" s="1"/>
  <c r="DU50" i="1"/>
  <c r="DX50" i="1" s="1"/>
  <c r="DU41" i="1"/>
  <c r="DX41" i="1" s="1"/>
  <c r="DU79" i="1"/>
  <c r="DX79" i="1" s="1"/>
  <c r="DU46" i="1"/>
  <c r="DX46" i="1" s="1"/>
  <c r="DU35" i="1"/>
  <c r="DX35" i="1" s="1"/>
  <c r="DU44" i="1"/>
  <c r="DX44" i="1" s="1"/>
  <c r="DU42" i="1"/>
  <c r="DX42" i="1" s="1"/>
  <c r="DU9" i="1"/>
  <c r="DX9" i="1" s="1"/>
  <c r="DU63" i="1"/>
  <c r="DX63" i="1" s="1"/>
  <c r="DU38" i="1"/>
  <c r="DX38" i="1" s="1"/>
  <c r="DU4" i="1"/>
  <c r="DX4" i="1" s="1"/>
  <c r="DU10" i="1"/>
  <c r="DX10" i="1" s="1"/>
  <c r="DU80" i="1"/>
  <c r="DX80" i="1" s="1"/>
  <c r="DU55" i="1"/>
  <c r="DX55" i="1" s="1"/>
  <c r="DU6" i="1"/>
  <c r="DX6" i="1" s="1"/>
  <c r="DU12" i="1"/>
  <c r="DX12" i="1" s="1"/>
  <c r="DU53" i="1"/>
  <c r="DX53" i="1" s="1"/>
  <c r="DU59" i="1"/>
  <c r="DX59" i="1" s="1"/>
  <c r="DU2" i="1"/>
  <c r="DX2" i="1" s="1"/>
  <c r="JP2" i="1" s="1"/>
  <c r="DU65" i="1"/>
  <c r="DX65" i="1" s="1"/>
  <c r="DU47" i="1"/>
  <c r="DX47" i="1" s="1"/>
  <c r="DU16" i="1"/>
  <c r="DX16" i="1" s="1"/>
  <c r="DU45" i="1"/>
  <c r="DX45" i="1" s="1"/>
  <c r="DU51" i="1"/>
  <c r="DX51" i="1" s="1"/>
  <c r="DU81" i="1"/>
  <c r="DX81" i="1" s="1"/>
  <c r="DU56" i="1"/>
  <c r="DX56" i="1" s="1"/>
  <c r="DU39" i="1"/>
  <c r="DX39" i="1" s="1"/>
  <c r="DU37" i="1"/>
  <c r="DX37" i="1" s="1"/>
  <c r="DU43" i="1"/>
  <c r="DX43" i="1" s="1"/>
  <c r="DU66" i="1"/>
  <c r="DX66" i="1" s="1"/>
  <c r="DU48" i="1"/>
  <c r="DX48" i="1" s="1"/>
  <c r="DU7" i="1"/>
  <c r="DX7" i="1" s="1"/>
  <c r="JP85" i="1" l="1"/>
  <c r="IV85" i="1"/>
  <c r="IW85" i="1" s="1"/>
  <c r="IX85" i="1" s="1"/>
  <c r="IZ85" i="1" s="1"/>
  <c r="IV87" i="1"/>
  <c r="IW87" i="1" s="1"/>
  <c r="IX87" i="1" s="1"/>
  <c r="IZ87" i="1" s="1"/>
  <c r="JP87" i="1"/>
  <c r="JM86" i="1"/>
  <c r="JO86" i="1"/>
  <c r="JL86" i="1"/>
  <c r="JH86" i="1"/>
  <c r="JI86" i="1" s="1"/>
  <c r="JJ86" i="1" s="1"/>
  <c r="JK86" i="1" s="1"/>
  <c r="JP82" i="1"/>
  <c r="IV82" i="1"/>
  <c r="IW82" i="1" s="1"/>
  <c r="JP64" i="1"/>
  <c r="IV64" i="1"/>
  <c r="IW64" i="1" s="1"/>
  <c r="IX64" i="1" s="1"/>
  <c r="IZ64" i="1" s="1"/>
  <c r="JP67" i="1"/>
  <c r="IV67" i="1"/>
  <c r="IW67" i="1" s="1"/>
  <c r="IX67" i="1" s="1"/>
  <c r="IZ67" i="1" s="1"/>
  <c r="IV19" i="1"/>
  <c r="IW19" i="1" s="1"/>
  <c r="IX19" i="1" s="1"/>
  <c r="IZ19" i="1" s="1"/>
  <c r="IV21" i="1"/>
  <c r="IW21" i="1" s="1"/>
  <c r="IX21" i="1" s="1"/>
  <c r="IZ21" i="1" s="1"/>
  <c r="IV16" i="1"/>
  <c r="IW16" i="1" s="1"/>
  <c r="IX16" i="1" s="1"/>
  <c r="IZ16" i="1" s="1"/>
  <c r="JP16" i="1"/>
  <c r="IV28" i="1"/>
  <c r="IW28" i="1" s="1"/>
  <c r="IX28" i="1" s="1"/>
  <c r="IZ28" i="1" s="1"/>
  <c r="JP28" i="1"/>
  <c r="IV43" i="1"/>
  <c r="IW43" i="1" s="1"/>
  <c r="IX43" i="1" s="1"/>
  <c r="IZ43" i="1" s="1"/>
  <c r="JP43" i="1"/>
  <c r="IV47" i="1"/>
  <c r="IW47" i="1" s="1"/>
  <c r="IX47" i="1" s="1"/>
  <c r="IZ47" i="1" s="1"/>
  <c r="JP47" i="1"/>
  <c r="IV80" i="1"/>
  <c r="IW80" i="1" s="1"/>
  <c r="IX80" i="1" s="1"/>
  <c r="IZ80" i="1" s="1"/>
  <c r="JP80" i="1"/>
  <c r="IV44" i="1"/>
  <c r="IW44" i="1" s="1"/>
  <c r="JP44" i="1"/>
  <c r="IV54" i="1"/>
  <c r="IW54" i="1" s="1"/>
  <c r="IX54" i="1" s="1"/>
  <c r="IZ54" i="1" s="1"/>
  <c r="JP54" i="1"/>
  <c r="IV40" i="1"/>
  <c r="IW40" i="1" s="1"/>
  <c r="IX40" i="1" s="1"/>
  <c r="IZ40" i="1" s="1"/>
  <c r="JP40" i="1"/>
  <c r="IV33" i="1"/>
  <c r="IW33" i="1" s="1"/>
  <c r="IX33" i="1" s="1"/>
  <c r="IZ33" i="1" s="1"/>
  <c r="JP33" i="1"/>
  <c r="IV71" i="1"/>
  <c r="IW71" i="1" s="1"/>
  <c r="IX71" i="1" s="1"/>
  <c r="IZ71" i="1" s="1"/>
  <c r="JP71" i="1"/>
  <c r="IV34" i="1"/>
  <c r="IW34" i="1" s="1"/>
  <c r="IX34" i="1" s="1"/>
  <c r="IZ34" i="1" s="1"/>
  <c r="JP34" i="1"/>
  <c r="IV84" i="1"/>
  <c r="IW84" i="1" s="1"/>
  <c r="IX84" i="1" s="1"/>
  <c r="IZ84" i="1" s="1"/>
  <c r="JP84" i="1"/>
  <c r="IV66" i="1"/>
  <c r="IW66" i="1" s="1"/>
  <c r="IX66" i="1" s="1"/>
  <c r="IZ66" i="1" s="1"/>
  <c r="JP66" i="1"/>
  <c r="IV74" i="1"/>
  <c r="IW74" i="1" s="1"/>
  <c r="IX74" i="1" s="1"/>
  <c r="IZ74" i="1" s="1"/>
  <c r="JP74" i="1"/>
  <c r="IV65" i="1"/>
  <c r="IW65" i="1" s="1"/>
  <c r="IX65" i="1" s="1"/>
  <c r="IZ65" i="1" s="1"/>
  <c r="JP65" i="1"/>
  <c r="IV10" i="1"/>
  <c r="IW10" i="1" s="1"/>
  <c r="IX10" i="1" s="1"/>
  <c r="IZ10" i="1" s="1"/>
  <c r="JP10" i="1"/>
  <c r="IV35" i="1"/>
  <c r="IW35" i="1" s="1"/>
  <c r="IX35" i="1" s="1"/>
  <c r="IZ35" i="1" s="1"/>
  <c r="JP35" i="1"/>
  <c r="IV8" i="1"/>
  <c r="IW8" i="1" s="1"/>
  <c r="IX8" i="1" s="1"/>
  <c r="IZ8" i="1" s="1"/>
  <c r="JP8" i="1"/>
  <c r="IV57" i="1"/>
  <c r="IW57" i="1" s="1"/>
  <c r="IX57" i="1" s="1"/>
  <c r="IZ57" i="1" s="1"/>
  <c r="JP57" i="1"/>
  <c r="IV77" i="1"/>
  <c r="IW77" i="1" s="1"/>
  <c r="IX77" i="1" s="1"/>
  <c r="IZ77" i="1" s="1"/>
  <c r="JP77" i="1"/>
  <c r="IV60" i="1"/>
  <c r="IW60" i="1" s="1"/>
  <c r="IX60" i="1" s="1"/>
  <c r="IZ60" i="1" s="1"/>
  <c r="JP60" i="1"/>
  <c r="IV61" i="1"/>
  <c r="IW61" i="1" s="1"/>
  <c r="IX61" i="1" s="1"/>
  <c r="IZ61" i="1" s="1"/>
  <c r="JP61" i="1"/>
  <c r="IV70" i="1"/>
  <c r="IW70" i="1" s="1"/>
  <c r="IX70" i="1" s="1"/>
  <c r="IZ70" i="1" s="1"/>
  <c r="JP70" i="1"/>
  <c r="IV23" i="1"/>
  <c r="IW23" i="1" s="1"/>
  <c r="IX23" i="1" s="1"/>
  <c r="IZ23" i="1" s="1"/>
  <c r="JP23" i="1"/>
  <c r="IV39" i="1"/>
  <c r="IW39" i="1" s="1"/>
  <c r="IX39" i="1" s="1"/>
  <c r="IZ39" i="1" s="1"/>
  <c r="JP39" i="1"/>
  <c r="IV4" i="1"/>
  <c r="IW4" i="1" s="1"/>
  <c r="IX4" i="1" s="1"/>
  <c r="IZ4" i="1" s="1"/>
  <c r="JP4" i="1"/>
  <c r="IV46" i="1"/>
  <c r="IW46" i="1" s="1"/>
  <c r="IX46" i="1" s="1"/>
  <c r="IZ46" i="1" s="1"/>
  <c r="JP46" i="1"/>
  <c r="IV49" i="1"/>
  <c r="IW49" i="1" s="1"/>
  <c r="IX49" i="1" s="1"/>
  <c r="IZ49" i="1" s="1"/>
  <c r="JP49" i="1"/>
  <c r="IV3" i="1"/>
  <c r="IW3" i="1" s="1"/>
  <c r="IX3" i="1" s="1"/>
  <c r="IZ3" i="1" s="1"/>
  <c r="JP3" i="1"/>
  <c r="IV75" i="1"/>
  <c r="IW75" i="1" s="1"/>
  <c r="IX75" i="1" s="1"/>
  <c r="IZ75" i="1" s="1"/>
  <c r="JP75" i="1"/>
  <c r="IV62" i="1"/>
  <c r="IW62" i="1" s="1"/>
  <c r="IX62" i="1" s="1"/>
  <c r="IZ62" i="1" s="1"/>
  <c r="JP62" i="1"/>
  <c r="IV31" i="1"/>
  <c r="IW31" i="1" s="1"/>
  <c r="IX31" i="1" s="1"/>
  <c r="IZ31" i="1" s="1"/>
  <c r="JP31" i="1"/>
  <c r="IV30" i="1"/>
  <c r="IW30" i="1" s="1"/>
  <c r="IX30" i="1" s="1"/>
  <c r="IZ30" i="1" s="1"/>
  <c r="JP30" i="1"/>
  <c r="IV42" i="1"/>
  <c r="IW42" i="1" s="1"/>
  <c r="IX42" i="1" s="1"/>
  <c r="IZ42" i="1" s="1"/>
  <c r="JP42" i="1"/>
  <c r="IV56" i="1"/>
  <c r="IW56" i="1" s="1"/>
  <c r="IX56" i="1" s="1"/>
  <c r="IZ56" i="1" s="1"/>
  <c r="JP56" i="1"/>
  <c r="IV59" i="1"/>
  <c r="IW59" i="1" s="1"/>
  <c r="IX59" i="1" s="1"/>
  <c r="IZ59" i="1" s="1"/>
  <c r="JP59" i="1"/>
  <c r="IV79" i="1"/>
  <c r="IW79" i="1" s="1"/>
  <c r="IX79" i="1" s="1"/>
  <c r="IZ79" i="1" s="1"/>
  <c r="JP79" i="1"/>
  <c r="IV58" i="1"/>
  <c r="IW58" i="1" s="1"/>
  <c r="IX58" i="1" s="1"/>
  <c r="IZ58" i="1" s="1"/>
  <c r="JP58" i="1"/>
  <c r="IV5" i="1"/>
  <c r="IW5" i="1" s="1"/>
  <c r="IX5" i="1" s="1"/>
  <c r="IZ5" i="1" s="1"/>
  <c r="JP5" i="1"/>
  <c r="IV68" i="1"/>
  <c r="IW68" i="1" s="1"/>
  <c r="IX68" i="1" s="1"/>
  <c r="IZ68" i="1" s="1"/>
  <c r="JP68" i="1"/>
  <c r="IV73" i="1"/>
  <c r="IW73" i="1" s="1"/>
  <c r="IX73" i="1" s="1"/>
  <c r="IZ73" i="1" s="1"/>
  <c r="JP73" i="1"/>
  <c r="IV72" i="1"/>
  <c r="IW72" i="1" s="1"/>
  <c r="IX72" i="1" s="1"/>
  <c r="IZ72" i="1" s="1"/>
  <c r="JP72" i="1"/>
  <c r="IV18" i="1"/>
  <c r="IW18" i="1" s="1"/>
  <c r="IX18" i="1" s="1"/>
  <c r="IZ18" i="1" s="1"/>
  <c r="JP18" i="1"/>
  <c r="IV78" i="1"/>
  <c r="IW78" i="1" s="1"/>
  <c r="IX78" i="1" s="1"/>
  <c r="IZ78" i="1" s="1"/>
  <c r="JP78" i="1"/>
  <c r="IV81" i="1"/>
  <c r="IW81" i="1" s="1"/>
  <c r="IX81" i="1" s="1"/>
  <c r="IZ81" i="1" s="1"/>
  <c r="JP81" i="1"/>
  <c r="IV53" i="1"/>
  <c r="IW53" i="1" s="1"/>
  <c r="IX53" i="1" s="1"/>
  <c r="IZ53" i="1" s="1"/>
  <c r="JP53" i="1"/>
  <c r="IV38" i="1"/>
  <c r="IW38" i="1" s="1"/>
  <c r="IX38" i="1" s="1"/>
  <c r="IZ38" i="1" s="1"/>
  <c r="JP38" i="1"/>
  <c r="IV41" i="1"/>
  <c r="IW41" i="1" s="1"/>
  <c r="IX41" i="1" s="1"/>
  <c r="IZ41" i="1" s="1"/>
  <c r="JP41" i="1"/>
  <c r="IV15" i="1"/>
  <c r="IW15" i="1" s="1"/>
  <c r="IX15" i="1" s="1"/>
  <c r="IZ15" i="1" s="1"/>
  <c r="JP15" i="1"/>
  <c r="IV32" i="1"/>
  <c r="IW32" i="1" s="1"/>
  <c r="IX32" i="1" s="1"/>
  <c r="IZ32" i="1" s="1"/>
  <c r="JP32" i="1"/>
  <c r="IV26" i="1"/>
  <c r="IW26" i="1" s="1"/>
  <c r="IX26" i="1" s="1"/>
  <c r="IZ26" i="1" s="1"/>
  <c r="JP26" i="1"/>
  <c r="IV83" i="1"/>
  <c r="IW83" i="1" s="1"/>
  <c r="IX83" i="1" s="1"/>
  <c r="IZ83" i="1" s="1"/>
  <c r="JP83" i="1"/>
  <c r="IV55" i="1"/>
  <c r="IW55" i="1" s="1"/>
  <c r="IX55" i="1" s="1"/>
  <c r="IZ55" i="1" s="1"/>
  <c r="JP55" i="1"/>
  <c r="IV25" i="1"/>
  <c r="IW25" i="1" s="1"/>
  <c r="IX25" i="1" s="1"/>
  <c r="IZ25" i="1" s="1"/>
  <c r="JP25" i="1"/>
  <c r="IV7" i="1"/>
  <c r="IW7" i="1" s="1"/>
  <c r="IX7" i="1" s="1"/>
  <c r="IZ7" i="1" s="1"/>
  <c r="JP7" i="1"/>
  <c r="IV51" i="1"/>
  <c r="IW51" i="1" s="1"/>
  <c r="IX51" i="1" s="1"/>
  <c r="IZ51" i="1" s="1"/>
  <c r="JP51" i="1"/>
  <c r="IV12" i="1"/>
  <c r="IW12" i="1" s="1"/>
  <c r="IX12" i="1" s="1"/>
  <c r="IZ12" i="1" s="1"/>
  <c r="JP12" i="1"/>
  <c r="IV63" i="1"/>
  <c r="IW63" i="1" s="1"/>
  <c r="IX63" i="1" s="1"/>
  <c r="IZ63" i="1" s="1"/>
  <c r="JP63" i="1"/>
  <c r="IV50" i="1"/>
  <c r="IW50" i="1" s="1"/>
  <c r="IX50" i="1" s="1"/>
  <c r="IZ50" i="1" s="1"/>
  <c r="JP50" i="1"/>
  <c r="IV11" i="1"/>
  <c r="IW11" i="1" s="1"/>
  <c r="IX11" i="1" s="1"/>
  <c r="IZ11" i="1" s="1"/>
  <c r="JP11" i="1"/>
  <c r="IV27" i="1"/>
  <c r="IW27" i="1" s="1"/>
  <c r="IX27" i="1" s="1"/>
  <c r="IZ27" i="1" s="1"/>
  <c r="JP27" i="1"/>
  <c r="IV76" i="1"/>
  <c r="IW76" i="1" s="1"/>
  <c r="IX76" i="1" s="1"/>
  <c r="IZ76" i="1" s="1"/>
  <c r="JP76" i="1"/>
  <c r="IV24" i="1"/>
  <c r="IW24" i="1" s="1"/>
  <c r="IX24" i="1" s="1"/>
  <c r="IZ24" i="1" s="1"/>
  <c r="JP24" i="1"/>
  <c r="IV20" i="1"/>
  <c r="IW20" i="1" s="1"/>
  <c r="IX20" i="1" s="1"/>
  <c r="IZ20" i="1" s="1"/>
  <c r="JP20" i="1"/>
  <c r="IV17" i="1"/>
  <c r="IW17" i="1" s="1"/>
  <c r="IX17" i="1" s="1"/>
  <c r="IZ17" i="1" s="1"/>
  <c r="JP17" i="1"/>
  <c r="IV36" i="1"/>
  <c r="IW36" i="1" s="1"/>
  <c r="IX36" i="1" s="1"/>
  <c r="IZ36" i="1" s="1"/>
  <c r="JP36" i="1"/>
  <c r="IV37" i="1"/>
  <c r="IW37" i="1" s="1"/>
  <c r="IX37" i="1" s="1"/>
  <c r="IZ37" i="1" s="1"/>
  <c r="JP37" i="1"/>
  <c r="IV48" i="1"/>
  <c r="IW48" i="1" s="1"/>
  <c r="IX48" i="1" s="1"/>
  <c r="IZ48" i="1" s="1"/>
  <c r="JP48" i="1"/>
  <c r="IV45" i="1"/>
  <c r="IW45" i="1" s="1"/>
  <c r="IX45" i="1" s="1"/>
  <c r="IZ45" i="1" s="1"/>
  <c r="JP45" i="1"/>
  <c r="IV6" i="1"/>
  <c r="IW6" i="1" s="1"/>
  <c r="IX6" i="1" s="1"/>
  <c r="IZ6" i="1" s="1"/>
  <c r="JP6" i="1"/>
  <c r="IV9" i="1"/>
  <c r="IW9" i="1" s="1"/>
  <c r="IX9" i="1" s="1"/>
  <c r="IZ9" i="1" s="1"/>
  <c r="JP9" i="1"/>
  <c r="IV52" i="1"/>
  <c r="IW52" i="1" s="1"/>
  <c r="IX52" i="1" s="1"/>
  <c r="IZ52" i="1" s="1"/>
  <c r="JP52" i="1"/>
  <c r="IV13" i="1"/>
  <c r="IW13" i="1" s="1"/>
  <c r="IX13" i="1" s="1"/>
  <c r="IZ13" i="1" s="1"/>
  <c r="JP13" i="1"/>
  <c r="IV29" i="1"/>
  <c r="IW29" i="1" s="1"/>
  <c r="IX29" i="1" s="1"/>
  <c r="IZ29" i="1" s="1"/>
  <c r="JP29" i="1"/>
  <c r="IV14" i="1"/>
  <c r="IW14" i="1" s="1"/>
  <c r="IX14" i="1" s="1"/>
  <c r="IZ14" i="1" s="1"/>
  <c r="JP14" i="1"/>
  <c r="IV22" i="1"/>
  <c r="IW22" i="1" s="1"/>
  <c r="IX22" i="1" s="1"/>
  <c r="IZ22" i="1" s="1"/>
  <c r="JP22" i="1"/>
  <c r="IV69" i="1"/>
  <c r="IW69" i="1" s="1"/>
  <c r="IX69" i="1" s="1"/>
  <c r="IZ69" i="1" s="1"/>
  <c r="JP69" i="1"/>
  <c r="IV2" i="1"/>
  <c r="IW2" i="1" s="1"/>
  <c r="IX2" i="1" s="1"/>
  <c r="IZ2" i="1" s="1"/>
  <c r="IX44" i="1"/>
  <c r="IZ44" i="1" s="1"/>
  <c r="FB86" i="1" l="1"/>
  <c r="FH86" i="1"/>
  <c r="FC86" i="1"/>
  <c r="FF86" i="1"/>
  <c r="FD86" i="1"/>
  <c r="FG86" i="1"/>
  <c r="HP86" i="1"/>
  <c r="HN86" i="1"/>
  <c r="HJ86" i="1"/>
  <c r="HK86" i="1"/>
  <c r="HL86" i="1"/>
  <c r="HO86" i="1"/>
  <c r="JL87" i="1"/>
  <c r="JH87" i="1"/>
  <c r="JM87" i="1"/>
  <c r="JO87" i="1"/>
  <c r="JH85" i="1"/>
  <c r="JO85" i="1"/>
  <c r="JM85" i="1"/>
  <c r="JL85" i="1"/>
  <c r="JO67" i="1"/>
  <c r="JH67" i="1"/>
  <c r="JL67" i="1"/>
  <c r="JM67" i="1"/>
  <c r="JM64" i="1"/>
  <c r="JL64" i="1"/>
  <c r="JO64" i="1"/>
  <c r="JH64" i="1"/>
  <c r="IY82" i="1"/>
  <c r="IZ82" i="1" s="1"/>
  <c r="IX82" i="1"/>
  <c r="JM19" i="1"/>
  <c r="GI19" i="1" s="1"/>
  <c r="JO19" i="1"/>
  <c r="JM71" i="1"/>
  <c r="HC71" i="1" s="1"/>
  <c r="JO71" i="1"/>
  <c r="JM76" i="1"/>
  <c r="GH76" i="1" s="1"/>
  <c r="JO76" i="1"/>
  <c r="JM58" i="1"/>
  <c r="HN58" i="1" s="1"/>
  <c r="JO58" i="1"/>
  <c r="JM54" i="1"/>
  <c r="HN54" i="1" s="1"/>
  <c r="JO54" i="1"/>
  <c r="JM14" i="1"/>
  <c r="GH14" i="1" s="1"/>
  <c r="JO14" i="1"/>
  <c r="JM37" i="1"/>
  <c r="HJ37" i="1" s="1"/>
  <c r="JO37" i="1"/>
  <c r="JM50" i="1"/>
  <c r="HT50" i="1" s="1"/>
  <c r="JO50" i="1"/>
  <c r="JM26" i="1"/>
  <c r="GK26" i="1" s="1"/>
  <c r="JO26" i="1"/>
  <c r="JM18" i="1"/>
  <c r="HB18" i="1" s="1"/>
  <c r="JO18" i="1"/>
  <c r="JM59" i="1"/>
  <c r="HR59" i="1" s="1"/>
  <c r="JO59" i="1"/>
  <c r="JM49" i="1"/>
  <c r="HS49" i="1" s="1"/>
  <c r="JO49" i="1"/>
  <c r="JM77" i="1"/>
  <c r="GH77" i="1" s="1"/>
  <c r="JO77" i="1"/>
  <c r="JM84" i="1"/>
  <c r="GQ84" i="1" s="1"/>
  <c r="K12" i="2" s="1"/>
  <c r="L12" i="2" s="1"/>
  <c r="JO84" i="1"/>
  <c r="JM40" i="1"/>
  <c r="HP40" i="1" s="1"/>
  <c r="JO40" i="1"/>
  <c r="JM6" i="1"/>
  <c r="HZ6" i="1" s="1"/>
  <c r="JO6" i="1"/>
  <c r="JM53" i="1"/>
  <c r="HN53" i="1" s="1"/>
  <c r="JO53" i="1"/>
  <c r="JM70" i="1"/>
  <c r="HC70" i="1" s="1"/>
  <c r="JO70" i="1"/>
  <c r="JM13" i="1"/>
  <c r="GG13" i="1" s="1"/>
  <c r="JO13" i="1"/>
  <c r="JM17" i="1"/>
  <c r="GG17" i="1" s="1"/>
  <c r="JO17" i="1"/>
  <c r="JM12" i="1"/>
  <c r="HB12" i="1" s="1"/>
  <c r="JO12" i="1"/>
  <c r="JM15" i="1"/>
  <c r="GG15" i="1" s="1"/>
  <c r="JO15" i="1"/>
  <c r="JM79" i="1"/>
  <c r="HJ79" i="1" s="1"/>
  <c r="JO79" i="1"/>
  <c r="JM75" i="1"/>
  <c r="GG75" i="1" s="1"/>
  <c r="JO75" i="1"/>
  <c r="JM61" i="1"/>
  <c r="GJ61" i="1" s="1"/>
  <c r="JO61" i="1"/>
  <c r="JM74" i="1"/>
  <c r="GR74" i="1" s="1"/>
  <c r="JO74" i="1"/>
  <c r="JM28" i="1"/>
  <c r="GJ28" i="1" s="1"/>
  <c r="JO28" i="1"/>
  <c r="JM36" i="1"/>
  <c r="GO36" i="1" s="1"/>
  <c r="JO36" i="1"/>
  <c r="JM72" i="1"/>
  <c r="HC72" i="1" s="1"/>
  <c r="JO72" i="1"/>
  <c r="JM34" i="1"/>
  <c r="GU34" i="1" s="1"/>
  <c r="JO34" i="1"/>
  <c r="JM69" i="1"/>
  <c r="HC69" i="1" s="1"/>
  <c r="JO69" i="1"/>
  <c r="JM45" i="1"/>
  <c r="HT45" i="1" s="1"/>
  <c r="JO45" i="1"/>
  <c r="JM27" i="1"/>
  <c r="GK27" i="1" s="1"/>
  <c r="JO27" i="1"/>
  <c r="JM55" i="1"/>
  <c r="JO55" i="1"/>
  <c r="JM81" i="1"/>
  <c r="JO81" i="1"/>
  <c r="JM73" i="1"/>
  <c r="GP73" i="1" s="1"/>
  <c r="JO73" i="1"/>
  <c r="JM42" i="1"/>
  <c r="HN42" i="1" s="1"/>
  <c r="JO42" i="1"/>
  <c r="JM4" i="1"/>
  <c r="HX4" i="1" s="1"/>
  <c r="K45" i="2" s="1"/>
  <c r="L45" i="2" s="1"/>
  <c r="JO4" i="1"/>
  <c r="JM8" i="1"/>
  <c r="HZ8" i="1" s="1"/>
  <c r="JO8" i="1"/>
  <c r="JM25" i="1"/>
  <c r="GH25" i="1" s="1"/>
  <c r="JO25" i="1"/>
  <c r="JM56" i="1"/>
  <c r="HR56" i="1" s="1"/>
  <c r="JO56" i="1"/>
  <c r="JM57" i="1"/>
  <c r="HQ57" i="1" s="1"/>
  <c r="JO57" i="1"/>
  <c r="JM22" i="1"/>
  <c r="GI22" i="1" s="1"/>
  <c r="JO22" i="1"/>
  <c r="JM20" i="1"/>
  <c r="HB20" i="1" s="1"/>
  <c r="JO20" i="1"/>
  <c r="JM51" i="1"/>
  <c r="HJ51" i="1" s="1"/>
  <c r="JO51" i="1"/>
  <c r="JM41" i="1"/>
  <c r="HL41" i="1" s="1"/>
  <c r="JO41" i="1"/>
  <c r="JM68" i="1"/>
  <c r="HC68" i="1" s="1"/>
  <c r="JO68" i="1"/>
  <c r="JM30" i="1"/>
  <c r="GN30" i="1" s="1"/>
  <c r="JO30" i="1"/>
  <c r="JM39" i="1"/>
  <c r="HO39" i="1" s="1"/>
  <c r="JO39" i="1"/>
  <c r="JM66" i="1"/>
  <c r="IB66" i="1" s="1"/>
  <c r="JO66" i="1"/>
  <c r="JM16" i="1"/>
  <c r="JO16" i="1"/>
  <c r="JM29" i="1"/>
  <c r="GM29" i="1" s="1"/>
  <c r="JO29" i="1"/>
  <c r="JM32" i="1"/>
  <c r="GU32" i="1" s="1"/>
  <c r="JO32" i="1"/>
  <c r="JM46" i="1"/>
  <c r="HT46" i="1" s="1"/>
  <c r="JO46" i="1"/>
  <c r="JM65" i="1"/>
  <c r="IB65" i="1" s="1"/>
  <c r="JO65" i="1"/>
  <c r="JM52" i="1"/>
  <c r="HS52" i="1" s="1"/>
  <c r="JO52" i="1"/>
  <c r="JM48" i="1"/>
  <c r="HS48" i="1" s="1"/>
  <c r="JO48" i="1"/>
  <c r="JM11" i="1"/>
  <c r="JO11" i="1"/>
  <c r="JM83" i="1"/>
  <c r="HD83" i="1" s="1"/>
  <c r="K25" i="2" s="1"/>
  <c r="L25" i="2" s="1"/>
  <c r="JO83" i="1"/>
  <c r="JM78" i="1"/>
  <c r="IA78" i="1" s="1"/>
  <c r="JO78" i="1"/>
  <c r="JM3" i="1"/>
  <c r="IE3" i="1" s="1"/>
  <c r="K52" i="2" s="1"/>
  <c r="L52" i="2" s="1"/>
  <c r="JO3" i="1"/>
  <c r="JM60" i="1"/>
  <c r="GG60" i="1" s="1"/>
  <c r="JO60" i="1"/>
  <c r="JM35" i="1"/>
  <c r="GO35" i="1" s="1"/>
  <c r="JO35" i="1"/>
  <c r="JM33" i="1"/>
  <c r="GG33" i="1" s="1"/>
  <c r="JO33" i="1"/>
  <c r="JM80" i="1"/>
  <c r="HJ80" i="1" s="1"/>
  <c r="JO80" i="1"/>
  <c r="JM21" i="1"/>
  <c r="GG21" i="1" s="1"/>
  <c r="JO21" i="1"/>
  <c r="JM63" i="1"/>
  <c r="IB63" i="1" s="1"/>
  <c r="JO63" i="1"/>
  <c r="JM62" i="1"/>
  <c r="GT62" i="1" s="1"/>
  <c r="JO62" i="1"/>
  <c r="JM43" i="1"/>
  <c r="HO43" i="1" s="1"/>
  <c r="JO43" i="1"/>
  <c r="JM44" i="1"/>
  <c r="HP44" i="1" s="1"/>
  <c r="JO44" i="1"/>
  <c r="JM9" i="1"/>
  <c r="HZ9" i="1" s="1"/>
  <c r="JO9" i="1"/>
  <c r="JM24" i="1"/>
  <c r="GK24" i="1" s="1"/>
  <c r="JO24" i="1"/>
  <c r="JM7" i="1"/>
  <c r="HU7" i="1" s="1"/>
  <c r="JO7" i="1"/>
  <c r="JM38" i="1"/>
  <c r="HP38" i="1" s="1"/>
  <c r="JO38" i="1"/>
  <c r="JM5" i="1"/>
  <c r="HK5" i="1" s="1"/>
  <c r="JO5" i="1"/>
  <c r="JM31" i="1"/>
  <c r="GG31" i="1" s="1"/>
  <c r="JO31" i="1"/>
  <c r="JM23" i="1"/>
  <c r="GK23" i="1" s="1"/>
  <c r="JO23" i="1"/>
  <c r="JM10" i="1"/>
  <c r="HK10" i="1" s="1"/>
  <c r="JO10" i="1"/>
  <c r="JM47" i="1"/>
  <c r="HK47" i="1" s="1"/>
  <c r="JO47" i="1"/>
  <c r="JM2" i="1"/>
  <c r="HV2" i="1" s="1"/>
  <c r="JO2" i="1"/>
  <c r="JH2" i="1"/>
  <c r="JL2" i="1"/>
  <c r="FN2" i="1" s="1"/>
  <c r="GJ14" i="1"/>
  <c r="JH14" i="1"/>
  <c r="JL14" i="1"/>
  <c r="JH9" i="1"/>
  <c r="JL9" i="1"/>
  <c r="FQ9" i="1" s="1"/>
  <c r="JH7" i="1"/>
  <c r="JL7" i="1"/>
  <c r="FR7" i="1" s="1"/>
  <c r="JH17" i="1"/>
  <c r="JL17" i="1"/>
  <c r="EA17" i="1" s="1"/>
  <c r="JH27" i="1"/>
  <c r="JL27" i="1"/>
  <c r="EB27" i="1" s="1"/>
  <c r="JH12" i="1"/>
  <c r="JL12" i="1"/>
  <c r="ET12" i="1" s="1"/>
  <c r="JH78" i="1"/>
  <c r="JL78" i="1"/>
  <c r="FS78" i="1" s="1"/>
  <c r="JH15" i="1"/>
  <c r="JL15" i="1"/>
  <c r="JH81" i="1"/>
  <c r="JL81" i="1"/>
  <c r="JH34" i="1"/>
  <c r="JL34" i="1"/>
  <c r="EB34" i="1" s="1"/>
  <c r="JH18" i="1"/>
  <c r="JL18" i="1"/>
  <c r="ET18" i="1" s="1"/>
  <c r="JH5" i="1"/>
  <c r="JL5" i="1"/>
  <c r="FQ5" i="1" s="1"/>
  <c r="JH59" i="1"/>
  <c r="JL59" i="1"/>
  <c r="FI59" i="1" s="1"/>
  <c r="JH25" i="1"/>
  <c r="JL25" i="1"/>
  <c r="EC25" i="1" s="1"/>
  <c r="JH62" i="1"/>
  <c r="JL62" i="1"/>
  <c r="ED62" i="1" s="1"/>
  <c r="JH46" i="1"/>
  <c r="JL46" i="1"/>
  <c r="FK46" i="1" s="1"/>
  <c r="JH36" i="1"/>
  <c r="JL36" i="1"/>
  <c r="EB36" i="1" s="1"/>
  <c r="JH77" i="1"/>
  <c r="JL77" i="1"/>
  <c r="DZ77" i="1" s="1"/>
  <c r="JH10" i="1"/>
  <c r="JL10" i="1"/>
  <c r="FK10" i="1" s="1"/>
  <c r="JH44" i="1"/>
  <c r="JL44" i="1"/>
  <c r="FG44" i="1" s="1"/>
  <c r="JH6" i="1"/>
  <c r="JL6" i="1"/>
  <c r="FK6" i="1" s="1"/>
  <c r="JH20" i="1"/>
  <c r="JL20" i="1"/>
  <c r="ET20" i="1" s="1"/>
  <c r="JH51" i="1"/>
  <c r="JL51" i="1"/>
  <c r="FC51" i="1" s="1"/>
  <c r="JH72" i="1"/>
  <c r="JL72" i="1"/>
  <c r="EU72" i="1" s="1"/>
  <c r="JH56" i="1"/>
  <c r="JL56" i="1"/>
  <c r="FC56" i="1" s="1"/>
  <c r="JH75" i="1"/>
  <c r="JL75" i="1"/>
  <c r="EH75" i="1" s="1"/>
  <c r="JH70" i="1"/>
  <c r="JL70" i="1"/>
  <c r="EU70" i="1" s="1"/>
  <c r="JH74" i="1"/>
  <c r="JL74" i="1"/>
  <c r="DZ74" i="1" s="1"/>
  <c r="JH29" i="1"/>
  <c r="JL29" i="1"/>
  <c r="DZ29" i="1" s="1"/>
  <c r="JH40" i="1"/>
  <c r="JL40" i="1"/>
  <c r="FF40" i="1" s="1"/>
  <c r="JH11" i="1"/>
  <c r="JL11" i="1"/>
  <c r="JH83" i="1"/>
  <c r="JL83" i="1"/>
  <c r="EV83" i="1" s="1"/>
  <c r="E25" i="2" s="1"/>
  <c r="H25" i="2" s="1"/>
  <c r="I25" i="2" s="1"/>
  <c r="O25" i="2" s="1"/>
  <c r="JH41" i="1"/>
  <c r="JL41" i="1"/>
  <c r="FH41" i="1" s="1"/>
  <c r="JH80" i="1"/>
  <c r="JL80" i="1"/>
  <c r="FK80" i="1" s="1"/>
  <c r="JH58" i="1"/>
  <c r="JL58" i="1"/>
  <c r="FD58" i="1" s="1"/>
  <c r="JH42" i="1"/>
  <c r="JL42" i="1"/>
  <c r="FH42" i="1" s="1"/>
  <c r="JH4" i="1"/>
  <c r="JL4" i="1"/>
  <c r="FP4" i="1" s="1"/>
  <c r="E45" i="2" s="1"/>
  <c r="H45" i="2" s="1"/>
  <c r="I45" i="2" s="1"/>
  <c r="O45" i="2" s="1"/>
  <c r="JH57" i="1"/>
  <c r="JL57" i="1"/>
  <c r="FI57" i="1" s="1"/>
  <c r="JH65" i="1"/>
  <c r="JL65" i="1"/>
  <c r="FT65" i="1" s="1"/>
  <c r="JH69" i="1"/>
  <c r="JL69" i="1"/>
  <c r="EU69" i="1" s="1"/>
  <c r="JH13" i="1"/>
  <c r="JL13" i="1"/>
  <c r="JH45" i="1"/>
  <c r="JL45" i="1"/>
  <c r="FB45" i="1" s="1"/>
  <c r="JH28" i="1"/>
  <c r="JL28" i="1"/>
  <c r="EE28" i="1" s="1"/>
  <c r="JH24" i="1"/>
  <c r="JL24" i="1"/>
  <c r="EB24" i="1" s="1"/>
  <c r="JH50" i="1"/>
  <c r="JL50" i="1"/>
  <c r="FK50" i="1" s="1"/>
  <c r="JH71" i="1"/>
  <c r="JL71" i="1"/>
  <c r="EU71" i="1" s="1"/>
  <c r="JH26" i="1"/>
  <c r="JL26" i="1"/>
  <c r="DY26" i="1" s="1"/>
  <c r="JH38" i="1"/>
  <c r="JL38" i="1"/>
  <c r="FB38" i="1" s="1"/>
  <c r="JH21" i="1"/>
  <c r="JL21" i="1"/>
  <c r="EA21" i="1" s="1"/>
  <c r="JH23" i="1"/>
  <c r="JL23" i="1"/>
  <c r="EB23" i="1" s="1"/>
  <c r="JH73" i="1"/>
  <c r="JL73" i="1"/>
  <c r="DY73" i="1" s="1"/>
  <c r="JH79" i="1"/>
  <c r="JL79" i="1"/>
  <c r="FQ79" i="1" s="1"/>
  <c r="JH39" i="1"/>
  <c r="JL39" i="1"/>
  <c r="FC39" i="1" s="1"/>
  <c r="JH30" i="1"/>
  <c r="JL30" i="1"/>
  <c r="EL30" i="1" s="1"/>
  <c r="JH3" i="1"/>
  <c r="JL3" i="1"/>
  <c r="FW3" i="1" s="1"/>
  <c r="E52" i="2" s="1"/>
  <c r="H52" i="2" s="1"/>
  <c r="I52" i="2" s="1"/>
  <c r="O52" i="2" s="1"/>
  <c r="JH33" i="1"/>
  <c r="JL33" i="1"/>
  <c r="EL33" i="1" s="1"/>
  <c r="JH61" i="1"/>
  <c r="JL61" i="1"/>
  <c r="EB61" i="1" s="1"/>
  <c r="JH8" i="1"/>
  <c r="JL8" i="1"/>
  <c r="FM8" i="1" s="1"/>
  <c r="JH37" i="1"/>
  <c r="JL37" i="1"/>
  <c r="FH37" i="1" s="1"/>
  <c r="JH16" i="1"/>
  <c r="JL16" i="1"/>
  <c r="JH22" i="1"/>
  <c r="JL22" i="1"/>
  <c r="EA22" i="1" s="1"/>
  <c r="JH52" i="1"/>
  <c r="JL52" i="1"/>
  <c r="FK52" i="1" s="1"/>
  <c r="JH48" i="1"/>
  <c r="JL48" i="1"/>
  <c r="FB48" i="1" s="1"/>
  <c r="JH55" i="1"/>
  <c r="JL55" i="1"/>
  <c r="FC55" i="1" s="1"/>
  <c r="JH76" i="1"/>
  <c r="JL76" i="1"/>
  <c r="EJ76" i="1" s="1"/>
  <c r="JH63" i="1"/>
  <c r="JL63" i="1"/>
  <c r="FT63" i="1" s="1"/>
  <c r="JH47" i="1"/>
  <c r="JL47" i="1"/>
  <c r="FC47" i="1" s="1"/>
  <c r="JH32" i="1"/>
  <c r="JL32" i="1"/>
  <c r="EL32" i="1" s="1"/>
  <c r="JH53" i="1"/>
  <c r="JL53" i="1"/>
  <c r="FD53" i="1" s="1"/>
  <c r="JH19" i="1"/>
  <c r="JL19" i="1"/>
  <c r="EA19" i="1" s="1"/>
  <c r="JH66" i="1"/>
  <c r="JL66" i="1"/>
  <c r="FT66" i="1" s="1"/>
  <c r="JH68" i="1"/>
  <c r="JL68" i="1"/>
  <c r="EU68" i="1" s="1"/>
  <c r="JH54" i="1"/>
  <c r="JL54" i="1"/>
  <c r="FC54" i="1" s="1"/>
  <c r="JH31" i="1"/>
  <c r="JL31" i="1"/>
  <c r="EB31" i="1" s="1"/>
  <c r="JH49" i="1"/>
  <c r="JL49" i="1"/>
  <c r="FK49" i="1" s="1"/>
  <c r="JH43" i="1"/>
  <c r="JL43" i="1"/>
  <c r="FD43" i="1" s="1"/>
  <c r="JH60" i="1"/>
  <c r="JL60" i="1"/>
  <c r="EB60" i="1" s="1"/>
  <c r="JH35" i="1"/>
  <c r="JL35" i="1"/>
  <c r="EG35" i="1" s="1"/>
  <c r="JH84" i="1"/>
  <c r="JL84" i="1"/>
  <c r="DZ84" i="1" s="1"/>
  <c r="GT15" i="1"/>
  <c r="GT12" i="1"/>
  <c r="GL15" i="1"/>
  <c r="GY14" i="1"/>
  <c r="GL14" i="1"/>
  <c r="GT14" i="1"/>
  <c r="GT11" i="1"/>
  <c r="GN15" i="1"/>
  <c r="GW12" i="1"/>
  <c r="GJ12" i="1"/>
  <c r="GN12" i="1"/>
  <c r="GZ12" i="1"/>
  <c r="GL12" i="1"/>
  <c r="GY12" i="1"/>
  <c r="GJ15" i="1"/>
  <c r="GN14" i="1"/>
  <c r="GW14" i="1"/>
  <c r="GZ14" i="1"/>
  <c r="GW15" i="1"/>
  <c r="HN87" i="1" l="1"/>
  <c r="HK87" i="1"/>
  <c r="HJ87" i="1"/>
  <c r="HQ87" i="1"/>
  <c r="HL87" i="1"/>
  <c r="HR87" i="1"/>
  <c r="JI87" i="1"/>
  <c r="JJ87" i="1" s="1"/>
  <c r="JK87" i="1" s="1"/>
  <c r="FI87" i="1"/>
  <c r="FB87" i="1"/>
  <c r="FJ87" i="1"/>
  <c r="FC87" i="1"/>
  <c r="FD87" i="1"/>
  <c r="FF87" i="1"/>
  <c r="FC85" i="1"/>
  <c r="FQ85" i="1"/>
  <c r="FK85" i="1"/>
  <c r="FM85" i="1"/>
  <c r="FB85" i="1"/>
  <c r="FR85" i="1"/>
  <c r="HY85" i="1"/>
  <c r="HZ85" i="1"/>
  <c r="HU85" i="1"/>
  <c r="HJ85" i="1"/>
  <c r="HS85" i="1"/>
  <c r="HK85" i="1"/>
  <c r="JI85" i="1"/>
  <c r="JJ85" i="1" s="1"/>
  <c r="JK85" i="1" s="1"/>
  <c r="GL77" i="1"/>
  <c r="GR77" i="1"/>
  <c r="GL72" i="1"/>
  <c r="JI35" i="1"/>
  <c r="JI31" i="1"/>
  <c r="JI19" i="1"/>
  <c r="JI63" i="1"/>
  <c r="JI52" i="1"/>
  <c r="JI8" i="1"/>
  <c r="JI30" i="1"/>
  <c r="JI23" i="1"/>
  <c r="JI71" i="1"/>
  <c r="JI45" i="1"/>
  <c r="JI57" i="1"/>
  <c r="JI80" i="1"/>
  <c r="JI40" i="1"/>
  <c r="JI75" i="1"/>
  <c r="JI20" i="1"/>
  <c r="JI77" i="1"/>
  <c r="JI25" i="1"/>
  <c r="JI34" i="1"/>
  <c r="JI12" i="1"/>
  <c r="JI9" i="1"/>
  <c r="JI64" i="1"/>
  <c r="GP77" i="1"/>
  <c r="JI60" i="1"/>
  <c r="JI54" i="1"/>
  <c r="JI53" i="1"/>
  <c r="JI76" i="1"/>
  <c r="JI22" i="1"/>
  <c r="JI61" i="1"/>
  <c r="JI39" i="1"/>
  <c r="JI21" i="1"/>
  <c r="JI50" i="1"/>
  <c r="JI13" i="1"/>
  <c r="JI4" i="1"/>
  <c r="JI41" i="1"/>
  <c r="JI29" i="1"/>
  <c r="JI56" i="1"/>
  <c r="JI6" i="1"/>
  <c r="JI36" i="1"/>
  <c r="JI59" i="1"/>
  <c r="JI81" i="1"/>
  <c r="JI27" i="1"/>
  <c r="JI14" i="1"/>
  <c r="JI43" i="1"/>
  <c r="JI68" i="1"/>
  <c r="JI32" i="1"/>
  <c r="JI55" i="1"/>
  <c r="JI16" i="1"/>
  <c r="JI33" i="1"/>
  <c r="JI79" i="1"/>
  <c r="JI38" i="1"/>
  <c r="JI24" i="1"/>
  <c r="JI69" i="1"/>
  <c r="JI42" i="1"/>
  <c r="JI83" i="1"/>
  <c r="JI74" i="1"/>
  <c r="JI72" i="1"/>
  <c r="JI44" i="1"/>
  <c r="JI46" i="1"/>
  <c r="JI5" i="1"/>
  <c r="JI15" i="1"/>
  <c r="JI17" i="1"/>
  <c r="JI2" i="1"/>
  <c r="HK53" i="1"/>
  <c r="JI84" i="1"/>
  <c r="JI49" i="1"/>
  <c r="JI66" i="1"/>
  <c r="JI47" i="1"/>
  <c r="JI48" i="1"/>
  <c r="JI37" i="1"/>
  <c r="JI3" i="1"/>
  <c r="JI73" i="1"/>
  <c r="JI26" i="1"/>
  <c r="JI28" i="1"/>
  <c r="JI65" i="1"/>
  <c r="JI58" i="1"/>
  <c r="JI11" i="1"/>
  <c r="JI70" i="1"/>
  <c r="JI51" i="1"/>
  <c r="JI10" i="1"/>
  <c r="JI62" i="1"/>
  <c r="JI18" i="1"/>
  <c r="JI78" i="1"/>
  <c r="JI7" i="1"/>
  <c r="JI67" i="1"/>
  <c r="GH18" i="1"/>
  <c r="GJ72" i="1"/>
  <c r="HL53" i="1"/>
  <c r="HR53" i="1"/>
  <c r="GL61" i="1"/>
  <c r="GT61" i="1"/>
  <c r="GG27" i="1"/>
  <c r="GG32" i="1"/>
  <c r="GN61" i="1"/>
  <c r="HQ53" i="1"/>
  <c r="HP42" i="1"/>
  <c r="GH27" i="1"/>
  <c r="GN77" i="1"/>
  <c r="HR54" i="1"/>
  <c r="GJ32" i="1"/>
  <c r="HK42" i="1"/>
  <c r="HK51" i="1"/>
  <c r="HK54" i="1"/>
  <c r="HJ56" i="1"/>
  <c r="HJ54" i="1"/>
  <c r="GG61" i="1"/>
  <c r="GV61" i="1"/>
  <c r="GN72" i="1"/>
  <c r="HS51" i="1"/>
  <c r="HL54" i="1"/>
  <c r="GN32" i="1"/>
  <c r="GG26" i="1"/>
  <c r="GH61" i="1"/>
  <c r="GJ77" i="1"/>
  <c r="GJ26" i="1"/>
  <c r="GP72" i="1"/>
  <c r="HJ53" i="1"/>
  <c r="GG72" i="1"/>
  <c r="GH72" i="1"/>
  <c r="GG19" i="1"/>
  <c r="GG77" i="1"/>
  <c r="HN56" i="1"/>
  <c r="HQ56" i="1"/>
  <c r="HP39" i="1"/>
  <c r="HJ42" i="1"/>
  <c r="GH26" i="1"/>
  <c r="HT51" i="1"/>
  <c r="HK56" i="1"/>
  <c r="HL39" i="1"/>
  <c r="HJ39" i="1"/>
  <c r="HO42" i="1"/>
  <c r="GG12" i="1"/>
  <c r="GS72" i="1"/>
  <c r="GJ27" i="1"/>
  <c r="HQ54" i="1"/>
  <c r="GL32" i="1"/>
  <c r="GH19" i="1"/>
  <c r="HL42" i="1"/>
  <c r="HN39" i="1"/>
  <c r="GN71" i="1"/>
  <c r="GG14" i="1"/>
  <c r="HW4" i="1"/>
  <c r="GP71" i="1"/>
  <c r="HA18" i="1"/>
  <c r="GN84" i="1"/>
  <c r="GT34" i="1"/>
  <c r="GJ74" i="1"/>
  <c r="FK64" i="1"/>
  <c r="FQ64" i="1"/>
  <c r="FB64" i="1"/>
  <c r="FM64" i="1"/>
  <c r="FS64" i="1"/>
  <c r="FC64" i="1"/>
  <c r="FT64" i="1"/>
  <c r="HJ64" i="1"/>
  <c r="HU64" i="1"/>
  <c r="HK64" i="1"/>
  <c r="IB64" i="1"/>
  <c r="HS64" i="1"/>
  <c r="IA64" i="1"/>
  <c r="HY64" i="1"/>
  <c r="HJ67" i="1"/>
  <c r="HU67" i="1"/>
  <c r="HK67" i="1"/>
  <c r="HY67" i="1"/>
  <c r="IA67" i="1"/>
  <c r="IB67" i="1"/>
  <c r="HS67" i="1"/>
  <c r="FM67" i="1"/>
  <c r="FK67" i="1"/>
  <c r="FQ67" i="1"/>
  <c r="FT67" i="1"/>
  <c r="FB67" i="1"/>
  <c r="FS67" i="1"/>
  <c r="FC67" i="1"/>
  <c r="JM82" i="1"/>
  <c r="JO82" i="1"/>
  <c r="JH82" i="1"/>
  <c r="JL82" i="1"/>
  <c r="HO41" i="1"/>
  <c r="HJ4" i="1"/>
  <c r="GN70" i="1"/>
  <c r="IA66" i="1"/>
  <c r="FU81" i="1"/>
  <c r="DY81" i="1"/>
  <c r="HU81" i="1"/>
  <c r="GG81" i="1"/>
  <c r="GH35" i="1"/>
  <c r="ID78" i="1"/>
  <c r="IC78" i="1"/>
  <c r="HS78" i="1"/>
  <c r="HT52" i="1"/>
  <c r="IA63" i="1"/>
  <c r="GG35" i="1"/>
  <c r="HU63" i="1"/>
  <c r="HK63" i="1"/>
  <c r="GL35" i="1"/>
  <c r="HY9" i="1"/>
  <c r="HR57" i="1"/>
  <c r="HT47" i="1"/>
  <c r="HS5" i="1"/>
  <c r="HJ5" i="1"/>
  <c r="GH31" i="1"/>
  <c r="HJ48" i="1"/>
  <c r="GL34" i="1"/>
  <c r="GP84" i="1"/>
  <c r="GP74" i="1"/>
  <c r="GG34" i="1"/>
  <c r="HJ46" i="1"/>
  <c r="HL57" i="1"/>
  <c r="HK2" i="1"/>
  <c r="GH15" i="1"/>
  <c r="HP41" i="1"/>
  <c r="HS66" i="1"/>
  <c r="GH34" i="1"/>
  <c r="GS71" i="1"/>
  <c r="HV4" i="1"/>
  <c r="GU33" i="1"/>
  <c r="GH74" i="1"/>
  <c r="GH70" i="1"/>
  <c r="HU4" i="1"/>
  <c r="GG70" i="1"/>
  <c r="HN41" i="1"/>
  <c r="GG62" i="1"/>
  <c r="HK41" i="1"/>
  <c r="GN34" i="1"/>
  <c r="GL71" i="1"/>
  <c r="GG24" i="1"/>
  <c r="GL74" i="1"/>
  <c r="GP70" i="1"/>
  <c r="GJ70" i="1"/>
  <c r="GP76" i="1"/>
  <c r="GJ69" i="1"/>
  <c r="GN68" i="1"/>
  <c r="HK48" i="1"/>
  <c r="GT31" i="1"/>
  <c r="HY66" i="1"/>
  <c r="GT33" i="1"/>
  <c r="GU31" i="1"/>
  <c r="GH24" i="1"/>
  <c r="HY81" i="1"/>
  <c r="GJ62" i="1"/>
  <c r="HJ41" i="1"/>
  <c r="GJ24" i="1"/>
  <c r="HK66" i="1"/>
  <c r="GN31" i="1"/>
  <c r="HJ2" i="1"/>
  <c r="GL84" i="1"/>
  <c r="GG84" i="1"/>
  <c r="GL70" i="1"/>
  <c r="GJ71" i="1"/>
  <c r="HU66" i="1"/>
  <c r="ID79" i="1"/>
  <c r="HS4" i="1"/>
  <c r="GJ84" i="1"/>
  <c r="GS70" i="1"/>
  <c r="GH84" i="1"/>
  <c r="GJ34" i="1"/>
  <c r="GH71" i="1"/>
  <c r="GG71" i="1"/>
  <c r="HK4" i="1"/>
  <c r="GG18" i="1"/>
  <c r="GG74" i="1"/>
  <c r="GN74" i="1"/>
  <c r="GG36" i="1"/>
  <c r="HT48" i="1"/>
  <c r="HZ5" i="1"/>
  <c r="HJ47" i="1"/>
  <c r="HJ9" i="1"/>
  <c r="HJ66" i="1"/>
  <c r="HS46" i="1"/>
  <c r="HS63" i="1"/>
  <c r="GH33" i="1"/>
  <c r="HK78" i="1"/>
  <c r="HY78" i="1"/>
  <c r="HK9" i="1"/>
  <c r="HS2" i="1"/>
  <c r="HU2" i="1"/>
  <c r="GL62" i="1"/>
  <c r="HK46" i="1"/>
  <c r="HK43" i="1"/>
  <c r="HU78" i="1"/>
  <c r="HJ63" i="1"/>
  <c r="GT32" i="1"/>
  <c r="GH62" i="1"/>
  <c r="GN62" i="1"/>
  <c r="HN57" i="1"/>
  <c r="HK57" i="1"/>
  <c r="HJ78" i="1"/>
  <c r="GJ31" i="1"/>
  <c r="HS9" i="1"/>
  <c r="GV62" i="1"/>
  <c r="GN33" i="1"/>
  <c r="GJ33" i="1"/>
  <c r="GL33" i="1"/>
  <c r="GL31" i="1"/>
  <c r="HS47" i="1"/>
  <c r="HY5" i="1"/>
  <c r="HL38" i="1"/>
  <c r="GH16" i="1"/>
  <c r="GI16" i="1"/>
  <c r="EP15" i="1"/>
  <c r="EA15" i="1"/>
  <c r="GX15" i="1"/>
  <c r="GI15" i="1"/>
  <c r="GI17" i="1"/>
  <c r="EP16" i="1"/>
  <c r="EA16" i="1"/>
  <c r="GX13" i="1"/>
  <c r="GI13" i="1"/>
  <c r="EP13" i="1"/>
  <c r="EA13" i="1"/>
  <c r="EP11" i="1"/>
  <c r="EA11" i="1"/>
  <c r="GX11" i="1"/>
  <c r="GI11" i="1"/>
  <c r="HA14" i="1"/>
  <c r="HB14" i="1"/>
  <c r="K23" i="2" s="1"/>
  <c r="L23" i="2" s="1"/>
  <c r="EB14" i="1"/>
  <c r="ES14" i="1"/>
  <c r="ET14" i="1"/>
  <c r="E23" i="2" s="1"/>
  <c r="H23" i="2" s="1"/>
  <c r="EQ12" i="1"/>
  <c r="ES12" i="1"/>
  <c r="GH12" i="1"/>
  <c r="HA12" i="1"/>
  <c r="HK50" i="1"/>
  <c r="GH20" i="1"/>
  <c r="HJ45" i="1"/>
  <c r="GG30" i="1"/>
  <c r="GS83" i="1"/>
  <c r="HU9" i="1"/>
  <c r="HK52" i="1"/>
  <c r="HJ52" i="1"/>
  <c r="HY63" i="1"/>
  <c r="HK39" i="1"/>
  <c r="GH32" i="1"/>
  <c r="GJ35" i="1"/>
  <c r="K24" i="2"/>
  <c r="L24" i="2" s="1"/>
  <c r="HU5" i="1"/>
  <c r="HL56" i="1"/>
  <c r="GL30" i="1"/>
  <c r="GN35" i="1"/>
  <c r="EB28" i="1"/>
  <c r="HJ8" i="1"/>
  <c r="GG11" i="1"/>
  <c r="HJ43" i="1"/>
  <c r="GJ23" i="1"/>
  <c r="HW3" i="1"/>
  <c r="GN76" i="1"/>
  <c r="HS79" i="1"/>
  <c r="IA79" i="1"/>
  <c r="HL40" i="1"/>
  <c r="GP68" i="1"/>
  <c r="GL69" i="1"/>
  <c r="GG68" i="1"/>
  <c r="GW13" i="1"/>
  <c r="HQ59" i="1"/>
  <c r="HK81" i="1"/>
  <c r="HU8" i="1"/>
  <c r="GG28" i="1"/>
  <c r="HJ57" i="1"/>
  <c r="HK80" i="1"/>
  <c r="HZ10" i="1"/>
  <c r="HK8" i="1"/>
  <c r="GH13" i="1"/>
  <c r="HK79" i="1"/>
  <c r="GH22" i="1"/>
  <c r="GJ68" i="1"/>
  <c r="HS8" i="1"/>
  <c r="HJ7" i="1"/>
  <c r="HL43" i="1"/>
  <c r="HJ65" i="1"/>
  <c r="GJ76" i="1"/>
  <c r="HZ7" i="1"/>
  <c r="GN11" i="1"/>
  <c r="GH11" i="1"/>
  <c r="HY79" i="1"/>
  <c r="GG69" i="1"/>
  <c r="GN13" i="1"/>
  <c r="ID81" i="1"/>
  <c r="HN37" i="1"/>
  <c r="GW11" i="1"/>
  <c r="HJ40" i="1"/>
  <c r="HS3" i="1"/>
  <c r="HO40" i="1"/>
  <c r="IC81" i="1"/>
  <c r="GS68" i="1"/>
  <c r="HK40" i="1"/>
  <c r="HO37" i="1"/>
  <c r="HL37" i="1"/>
  <c r="HP43" i="1"/>
  <c r="HY65" i="1"/>
  <c r="GH23" i="1"/>
  <c r="HS80" i="1"/>
  <c r="GN16" i="1"/>
  <c r="GL68" i="1"/>
  <c r="HK3" i="1"/>
  <c r="HJ3" i="1"/>
  <c r="HN43" i="1"/>
  <c r="HS65" i="1"/>
  <c r="GG23" i="1"/>
  <c r="HN59" i="1"/>
  <c r="GM28" i="1"/>
  <c r="K8" i="2" s="1"/>
  <c r="L8" i="2" s="1"/>
  <c r="HY80" i="1"/>
  <c r="GP69" i="1"/>
  <c r="IA81" i="1"/>
  <c r="HN40" i="1"/>
  <c r="GJ13" i="1"/>
  <c r="HU3" i="1"/>
  <c r="HK59" i="1"/>
  <c r="GN69" i="1"/>
  <c r="HS7" i="1"/>
  <c r="HL59" i="1"/>
  <c r="GG22" i="1"/>
  <c r="GL76" i="1"/>
  <c r="HJ81" i="1"/>
  <c r="HY7" i="1"/>
  <c r="HK65" i="1"/>
  <c r="HU65" i="1"/>
  <c r="GR76" i="1"/>
  <c r="GW16" i="1"/>
  <c r="GS69" i="1"/>
  <c r="HV3" i="1"/>
  <c r="HJ59" i="1"/>
  <c r="GL16" i="1"/>
  <c r="GL13" i="1"/>
  <c r="HK37" i="1"/>
  <c r="GG76" i="1"/>
  <c r="IA65" i="1"/>
  <c r="GK28" i="1"/>
  <c r="GL11" i="1"/>
  <c r="HU79" i="1"/>
  <c r="HK7" i="1"/>
  <c r="GH69" i="1"/>
  <c r="GJ11" i="1"/>
  <c r="HY8" i="1"/>
  <c r="HS81" i="1"/>
  <c r="GH28" i="1"/>
  <c r="GG16" i="1"/>
  <c r="GT13" i="1"/>
  <c r="IC79" i="1"/>
  <c r="HP37" i="1"/>
  <c r="GH68" i="1"/>
  <c r="IA80" i="1"/>
  <c r="GJ16" i="1"/>
  <c r="HJ49" i="1"/>
  <c r="GH30" i="1"/>
  <c r="GL29" i="1"/>
  <c r="HS45" i="1"/>
  <c r="HK58" i="1"/>
  <c r="GN83" i="1"/>
  <c r="GN73" i="1"/>
  <c r="HK6" i="1"/>
  <c r="HJ44" i="1"/>
  <c r="GN75" i="1"/>
  <c r="HJ38" i="1"/>
  <c r="HO44" i="1"/>
  <c r="GH21" i="1"/>
  <c r="GH73" i="1"/>
  <c r="GH60" i="1"/>
  <c r="HY10" i="1"/>
  <c r="GK25" i="1"/>
  <c r="GH17" i="1"/>
  <c r="GT16" i="1"/>
  <c r="IC80" i="1"/>
  <c r="GI21" i="1"/>
  <c r="GJ75" i="1"/>
  <c r="K10" i="2"/>
  <c r="L10" i="2" s="1"/>
  <c r="GG29" i="1"/>
  <c r="HK44" i="1"/>
  <c r="GG25" i="1"/>
  <c r="HA20" i="1"/>
  <c r="GP83" i="1"/>
  <c r="HT49" i="1"/>
  <c r="GJ73" i="1"/>
  <c r="HS6" i="1"/>
  <c r="GJ29" i="1"/>
  <c r="HJ58" i="1"/>
  <c r="HY6" i="1"/>
  <c r="GL36" i="1"/>
  <c r="GL60" i="1"/>
  <c r="GV60" i="1"/>
  <c r="GN60" i="1"/>
  <c r="GT60" i="1"/>
  <c r="GL28" i="1"/>
  <c r="GX16" i="1"/>
  <c r="HK45" i="1"/>
  <c r="HJ50" i="1"/>
  <c r="GG83" i="1"/>
  <c r="GJ25" i="1"/>
  <c r="GN36" i="1"/>
  <c r="HK49" i="1"/>
  <c r="GJ36" i="1"/>
  <c r="GH29" i="1"/>
  <c r="GT30" i="1"/>
  <c r="HU10" i="1"/>
  <c r="GJ30" i="1"/>
  <c r="GL83" i="1"/>
  <c r="HL58" i="1"/>
  <c r="HJ6" i="1"/>
  <c r="GJ83" i="1"/>
  <c r="GU30" i="1"/>
  <c r="GH83" i="1"/>
  <c r="HS50" i="1"/>
  <c r="GH36" i="1"/>
  <c r="GH75" i="1"/>
  <c r="HN38" i="1"/>
  <c r="GG73" i="1"/>
  <c r="HQ58" i="1"/>
  <c r="HR58" i="1"/>
  <c r="HO38" i="1"/>
  <c r="GR75" i="1"/>
  <c r="GL75" i="1"/>
  <c r="GJ60" i="1"/>
  <c r="GP75" i="1"/>
  <c r="HS10" i="1"/>
  <c r="ID80" i="1"/>
  <c r="HU80" i="1"/>
  <c r="GR73" i="1"/>
  <c r="HJ10" i="1"/>
  <c r="HU6" i="1"/>
  <c r="HL44" i="1"/>
  <c r="HK38" i="1"/>
  <c r="GL73" i="1"/>
  <c r="HN44" i="1"/>
  <c r="GK29" i="1"/>
  <c r="GG20" i="1"/>
  <c r="DY28" i="1"/>
  <c r="EC28" i="1"/>
  <c r="DZ28" i="1"/>
  <c r="FC10" i="1"/>
  <c r="FV80" i="1"/>
  <c r="FD42" i="1"/>
  <c r="ED28" i="1"/>
  <c r="FK3" i="1"/>
  <c r="FM3" i="1"/>
  <c r="FO3" i="1"/>
  <c r="FG42" i="1"/>
  <c r="FJ55" i="1"/>
  <c r="FC3" i="1"/>
  <c r="FB3" i="1"/>
  <c r="FN3" i="1"/>
  <c r="DY84" i="1"/>
  <c r="DY16" i="1"/>
  <c r="FB42" i="1"/>
  <c r="FB55" i="1"/>
  <c r="EB16" i="1"/>
  <c r="DZ16" i="1"/>
  <c r="FI55" i="1"/>
  <c r="EI84" i="1"/>
  <c r="E12" i="2" s="1"/>
  <c r="H12" i="2" s="1"/>
  <c r="I12" i="2" s="1"/>
  <c r="EH84" i="1"/>
  <c r="EO16" i="1"/>
  <c r="ED84" i="1"/>
  <c r="FF55" i="1"/>
  <c r="EB84" i="1"/>
  <c r="EL16" i="1"/>
  <c r="FD55" i="1"/>
  <c r="ED16" i="1"/>
  <c r="FO4" i="1"/>
  <c r="EJ77" i="1"/>
  <c r="FB39" i="1"/>
  <c r="ED77" i="1"/>
  <c r="FC4" i="1"/>
  <c r="DY77" i="1"/>
  <c r="EB77" i="1"/>
  <c r="EH77" i="1"/>
  <c r="FC80" i="1"/>
  <c r="FB10" i="1"/>
  <c r="FU80" i="1"/>
  <c r="FD57" i="1"/>
  <c r="DZ23" i="1"/>
  <c r="FC57" i="1"/>
  <c r="FM80" i="1"/>
  <c r="FQ10" i="1"/>
  <c r="FR10" i="1"/>
  <c r="DY23" i="1"/>
  <c r="FS80" i="1"/>
  <c r="FM10" i="1"/>
  <c r="FQ80" i="1"/>
  <c r="FB80" i="1"/>
  <c r="FB57" i="1"/>
  <c r="EC23" i="1"/>
  <c r="FJ57" i="1"/>
  <c r="FQ78" i="1"/>
  <c r="FC43" i="1"/>
  <c r="FH39" i="1"/>
  <c r="FF39" i="1"/>
  <c r="FD39" i="1"/>
  <c r="FH43" i="1"/>
  <c r="FB43" i="1"/>
  <c r="FG39" i="1"/>
  <c r="FF43" i="1"/>
  <c r="FG43" i="1"/>
  <c r="FN4" i="1"/>
  <c r="FM4" i="1"/>
  <c r="FB4" i="1"/>
  <c r="FK4" i="1"/>
  <c r="HN55" i="1"/>
  <c r="HJ55" i="1"/>
  <c r="HK55" i="1"/>
  <c r="HQ55" i="1"/>
  <c r="HL55" i="1"/>
  <c r="HR55" i="1"/>
  <c r="EH70" i="1"/>
  <c r="FU78" i="1"/>
  <c r="DZ70" i="1"/>
  <c r="FM78" i="1"/>
  <c r="EK70" i="1"/>
  <c r="FK78" i="1"/>
  <c r="ED70" i="1"/>
  <c r="FC78" i="1"/>
  <c r="EB70" i="1"/>
  <c r="FB78" i="1"/>
  <c r="FV78" i="1"/>
  <c r="DY70" i="1"/>
  <c r="FC42" i="1"/>
  <c r="FF42" i="1"/>
  <c r="FM5" i="1"/>
  <c r="FB5" i="1"/>
  <c r="FC5" i="1"/>
  <c r="DZ30" i="1"/>
  <c r="FK65" i="1"/>
  <c r="FJ56" i="1"/>
  <c r="FS65" i="1"/>
  <c r="FD56" i="1"/>
  <c r="FQ65" i="1"/>
  <c r="FB56" i="1"/>
  <c r="FF56" i="1"/>
  <c r="FC65" i="1"/>
  <c r="FI56" i="1"/>
  <c r="FB65" i="1"/>
  <c r="FM65" i="1"/>
  <c r="FF57" i="1"/>
  <c r="EH72" i="1"/>
  <c r="EB30" i="1"/>
  <c r="FR5" i="1"/>
  <c r="FK5" i="1"/>
  <c r="EM30" i="1"/>
  <c r="DZ24" i="1"/>
  <c r="DY24" i="1"/>
  <c r="EF35" i="1"/>
  <c r="DY35" i="1"/>
  <c r="DZ18" i="1"/>
  <c r="EC24" i="1"/>
  <c r="ES18" i="1"/>
  <c r="EB75" i="1"/>
  <c r="DY75" i="1"/>
  <c r="FB2" i="1"/>
  <c r="EJ75" i="1"/>
  <c r="FS66" i="1"/>
  <c r="DZ15" i="1"/>
  <c r="DZ75" i="1"/>
  <c r="ED75" i="1"/>
  <c r="FK66" i="1"/>
  <c r="DY18" i="1"/>
  <c r="ED74" i="1"/>
  <c r="FQ66" i="1"/>
  <c r="FC66" i="1"/>
  <c r="EK68" i="1"/>
  <c r="ED68" i="1"/>
  <c r="FB66" i="1"/>
  <c r="FM66" i="1"/>
  <c r="DZ34" i="1"/>
  <c r="DY34" i="1"/>
  <c r="EB62" i="1"/>
  <c r="EL34" i="1"/>
  <c r="ES20" i="1"/>
  <c r="DY62" i="1"/>
  <c r="ED33" i="1"/>
  <c r="ED13" i="1"/>
  <c r="EL62" i="1"/>
  <c r="FF59" i="1"/>
  <c r="FM2" i="1"/>
  <c r="DZ33" i="1"/>
  <c r="DZ12" i="1"/>
  <c r="DY33" i="1"/>
  <c r="EB33" i="1"/>
  <c r="ED34" i="1"/>
  <c r="EK71" i="1"/>
  <c r="FC50" i="1"/>
  <c r="FB6" i="1"/>
  <c r="FL50" i="1"/>
  <c r="FQ6" i="1"/>
  <c r="DZ62" i="1"/>
  <c r="ED71" i="1"/>
  <c r="FB50" i="1"/>
  <c r="FC7" i="1"/>
  <c r="ED12" i="1"/>
  <c r="EM33" i="1"/>
  <c r="EO12" i="1"/>
  <c r="FB7" i="1"/>
  <c r="FL47" i="1"/>
  <c r="DY12" i="1"/>
  <c r="EL12" i="1"/>
  <c r="FB47" i="1"/>
  <c r="EN62" i="1"/>
  <c r="DY20" i="1"/>
  <c r="DZ13" i="1"/>
  <c r="DY13" i="1"/>
  <c r="ER14" i="1"/>
  <c r="FB59" i="1"/>
  <c r="FC2" i="1"/>
  <c r="DZ68" i="1"/>
  <c r="EB68" i="1"/>
  <c r="EH68" i="1"/>
  <c r="DZ72" i="1"/>
  <c r="DY72" i="1"/>
  <c r="ED30" i="1"/>
  <c r="EK72" i="1"/>
  <c r="DY68" i="1"/>
  <c r="DY30" i="1"/>
  <c r="ED72" i="1"/>
  <c r="EB72" i="1"/>
  <c r="FD59" i="1"/>
  <c r="FK47" i="1"/>
  <c r="FC59" i="1"/>
  <c r="FC46" i="1"/>
  <c r="FB54" i="1"/>
  <c r="FJ59" i="1"/>
  <c r="FL46" i="1"/>
  <c r="EH76" i="1"/>
  <c r="FB46" i="1"/>
  <c r="DY15" i="1"/>
  <c r="FB44" i="1"/>
  <c r="FC53" i="1"/>
  <c r="DZ61" i="1"/>
  <c r="FF44" i="1"/>
  <c r="FC81" i="1"/>
  <c r="FD44" i="1"/>
  <c r="DY31" i="1"/>
  <c r="FJ53" i="1"/>
  <c r="FL48" i="1"/>
  <c r="FI53" i="1"/>
  <c r="FK48" i="1"/>
  <c r="EL61" i="1"/>
  <c r="FB8" i="1"/>
  <c r="ED69" i="1"/>
  <c r="FM81" i="1"/>
  <c r="DY25" i="1"/>
  <c r="DZ31" i="1"/>
  <c r="DY61" i="1"/>
  <c r="EB69" i="1"/>
  <c r="EN61" i="1"/>
  <c r="FC44" i="1"/>
  <c r="FG41" i="1"/>
  <c r="FK81" i="1"/>
  <c r="DZ69" i="1"/>
  <c r="EM31" i="1"/>
  <c r="FB81" i="1"/>
  <c r="FB53" i="1"/>
  <c r="FF41" i="1"/>
  <c r="FH44" i="1"/>
  <c r="FS81" i="1"/>
  <c r="E24" i="2"/>
  <c r="H24" i="2" s="1"/>
  <c r="I24" i="2" s="1"/>
  <c r="O24" i="2" s="1"/>
  <c r="EH69" i="1"/>
  <c r="EL31" i="1"/>
  <c r="FC41" i="1"/>
  <c r="FD41" i="1"/>
  <c r="FQ81" i="1"/>
  <c r="EK69" i="1"/>
  <c r="DY69" i="1"/>
  <c r="ED31" i="1"/>
  <c r="ED15" i="1"/>
  <c r="FB41" i="1"/>
  <c r="FF53" i="1"/>
  <c r="FV81" i="1"/>
  <c r="ED61" i="1"/>
  <c r="EB15" i="1"/>
  <c r="EO15" i="1"/>
  <c r="FC48" i="1"/>
  <c r="EL15" i="1"/>
  <c r="EB25" i="1"/>
  <c r="EB74" i="1"/>
  <c r="ED35" i="1"/>
  <c r="EJ74" i="1"/>
  <c r="FJ54" i="1"/>
  <c r="FR8" i="1"/>
  <c r="FI54" i="1"/>
  <c r="DY76" i="1"/>
  <c r="EB73" i="1"/>
  <c r="EJ73" i="1"/>
  <c r="FC49" i="1"/>
  <c r="FF54" i="1"/>
  <c r="FL49" i="1"/>
  <c r="EB35" i="1"/>
  <c r="FB49" i="1"/>
  <c r="EH74" i="1"/>
  <c r="EH73" i="1"/>
  <c r="FD54" i="1"/>
  <c r="DY74" i="1"/>
  <c r="FC9" i="1"/>
  <c r="FM9" i="1"/>
  <c r="FR9" i="1"/>
  <c r="ED73" i="1"/>
  <c r="DZ73" i="1"/>
  <c r="ED76" i="1"/>
  <c r="FB9" i="1"/>
  <c r="FK9" i="1"/>
  <c r="FK8" i="1"/>
  <c r="DZ76" i="1"/>
  <c r="DZ35" i="1"/>
  <c r="EB76" i="1"/>
  <c r="DY22" i="1"/>
  <c r="ED36" i="1"/>
  <c r="DY11" i="1"/>
  <c r="EN60" i="1"/>
  <c r="EC29" i="1"/>
  <c r="EE29" i="1"/>
  <c r="E8" i="2" s="1"/>
  <c r="H8" i="2" s="1"/>
  <c r="I8" i="2" s="1"/>
  <c r="O8" i="2" s="1"/>
  <c r="EL60" i="1"/>
  <c r="DY60" i="1"/>
  <c r="EB26" i="1"/>
  <c r="FH40" i="1"/>
  <c r="DZ11" i="1"/>
  <c r="DZ25" i="1"/>
  <c r="DZ22" i="1"/>
  <c r="DZ20" i="1"/>
  <c r="EB11" i="1"/>
  <c r="EL13" i="1"/>
  <c r="FB40" i="1"/>
  <c r="FD40" i="1"/>
  <c r="FK7" i="1"/>
  <c r="FQ7" i="1"/>
  <c r="DY29" i="1"/>
  <c r="DY36" i="1"/>
  <c r="EB29" i="1"/>
  <c r="EB13" i="1"/>
  <c r="EB12" i="1"/>
  <c r="ED29" i="1"/>
  <c r="EM34" i="1"/>
  <c r="FM63" i="1"/>
  <c r="DZ26" i="1"/>
  <c r="DZ60" i="1"/>
  <c r="EC26" i="1"/>
  <c r="ED60" i="1"/>
  <c r="EG36" i="1"/>
  <c r="E10" i="2" s="1"/>
  <c r="H10" i="2" s="1"/>
  <c r="I10" i="2" s="1"/>
  <c r="O10" i="2" s="1"/>
  <c r="FB63" i="1"/>
  <c r="DZ36" i="1"/>
  <c r="EO11" i="1"/>
  <c r="EF36" i="1"/>
  <c r="ER12" i="1"/>
  <c r="FG40" i="1"/>
  <c r="EB32" i="1"/>
  <c r="EL11" i="1"/>
  <c r="ED11" i="1"/>
  <c r="EO13" i="1"/>
  <c r="FC40" i="1"/>
  <c r="FK2" i="1"/>
  <c r="FM7" i="1"/>
  <c r="DY14" i="1"/>
  <c r="FL51" i="1"/>
  <c r="FC6" i="1"/>
  <c r="FB51" i="1"/>
  <c r="FK51" i="1"/>
  <c r="FR6" i="1"/>
  <c r="DZ71" i="1"/>
  <c r="DZ17" i="1"/>
  <c r="EH71" i="1"/>
  <c r="EQ14" i="1"/>
  <c r="FM6" i="1"/>
  <c r="K21" i="2"/>
  <c r="L21" i="2" s="1"/>
  <c r="EB71" i="1"/>
  <c r="DZ19" i="1"/>
  <c r="FS79" i="1"/>
  <c r="DY17" i="1"/>
  <c r="EO14" i="1"/>
  <c r="FL45" i="1"/>
  <c r="DY71" i="1"/>
  <c r="DY19" i="1"/>
  <c r="DZ14" i="1"/>
  <c r="ED14" i="1"/>
  <c r="EL14" i="1"/>
  <c r="FC45" i="1"/>
  <c r="FK45" i="1"/>
  <c r="FF38" i="1"/>
  <c r="FH38" i="1"/>
  <c r="FC38" i="1"/>
  <c r="FD38" i="1"/>
  <c r="FG38" i="1"/>
  <c r="DY83" i="1"/>
  <c r="DZ27" i="1"/>
  <c r="ED32" i="1"/>
  <c r="FC63" i="1"/>
  <c r="FQ63" i="1"/>
  <c r="FC58" i="1"/>
  <c r="FJ58" i="1"/>
  <c r="FK63" i="1"/>
  <c r="FB58" i="1"/>
  <c r="FI58" i="1"/>
  <c r="FM79" i="1"/>
  <c r="DZ32" i="1"/>
  <c r="FC79" i="1"/>
  <c r="FL52" i="1"/>
  <c r="FK79" i="1"/>
  <c r="FV79" i="1"/>
  <c r="FB79" i="1"/>
  <c r="FU79" i="1"/>
  <c r="DY32" i="1"/>
  <c r="DY27" i="1"/>
  <c r="EC27" i="1"/>
  <c r="EM32" i="1"/>
  <c r="FC52" i="1"/>
  <c r="FF58" i="1"/>
  <c r="FB52" i="1"/>
  <c r="FS63" i="1"/>
  <c r="K20" i="2"/>
  <c r="L20" i="2" s="1"/>
  <c r="DZ21" i="1"/>
  <c r="DY21" i="1"/>
  <c r="ED83" i="1"/>
  <c r="EK83" i="1"/>
  <c r="EB83" i="1"/>
  <c r="EH83" i="1"/>
  <c r="DZ83" i="1"/>
  <c r="FG37" i="1"/>
  <c r="FQ8" i="1"/>
  <c r="FF37" i="1"/>
  <c r="FD37" i="1"/>
  <c r="FC37" i="1"/>
  <c r="FB37" i="1"/>
  <c r="FC8" i="1"/>
  <c r="JJ56" i="1" l="1"/>
  <c r="JJ70" i="1"/>
  <c r="JJ37" i="1"/>
  <c r="JJ17" i="1"/>
  <c r="JK17" i="1" s="1"/>
  <c r="JJ42" i="1"/>
  <c r="JK42" i="1" s="1"/>
  <c r="JJ32" i="1"/>
  <c r="JK32" i="1" s="1"/>
  <c r="JJ6" i="1"/>
  <c r="JK6" i="1" s="1"/>
  <c r="JJ39" i="1"/>
  <c r="JK39" i="1" s="1"/>
  <c r="JJ64" i="1"/>
  <c r="JJ40" i="1"/>
  <c r="JK40" i="1" s="1"/>
  <c r="JJ52" i="1"/>
  <c r="JK52" i="1" s="1"/>
  <c r="JJ67" i="1"/>
  <c r="JK67" i="1" s="1"/>
  <c r="JJ48" i="1"/>
  <c r="JK48" i="1" s="1"/>
  <c r="JJ15" i="1"/>
  <c r="JK15" i="1" s="1"/>
  <c r="JJ68" i="1"/>
  <c r="JK68" i="1" s="1"/>
  <c r="JJ63" i="1"/>
  <c r="JK63" i="1" s="1"/>
  <c r="JJ7" i="1"/>
  <c r="JJ58" i="1"/>
  <c r="JK58" i="1" s="1"/>
  <c r="JJ47" i="1"/>
  <c r="JK47" i="1" s="1"/>
  <c r="JJ5" i="1"/>
  <c r="JK5" i="1" s="1"/>
  <c r="JJ24" i="1"/>
  <c r="JK24" i="1" s="1"/>
  <c r="JJ43" i="1"/>
  <c r="JK43" i="1" s="1"/>
  <c r="JJ29" i="1"/>
  <c r="JK29" i="1" s="1"/>
  <c r="JJ22" i="1"/>
  <c r="JK22" i="1" s="1"/>
  <c r="JJ12" i="1"/>
  <c r="JK12" i="1" s="1"/>
  <c r="JJ57" i="1"/>
  <c r="JK57" i="1" s="1"/>
  <c r="JJ19" i="1"/>
  <c r="JK19" i="1" s="1"/>
  <c r="JJ69" i="1"/>
  <c r="JK69" i="1" s="1"/>
  <c r="JJ78" i="1"/>
  <c r="JK78" i="1" s="1"/>
  <c r="JJ65" i="1"/>
  <c r="JK65" i="1" s="1"/>
  <c r="JJ66" i="1"/>
  <c r="JK66" i="1" s="1"/>
  <c r="JJ46" i="1"/>
  <c r="JK46" i="1" s="1"/>
  <c r="JJ38" i="1"/>
  <c r="JK38" i="1" s="1"/>
  <c r="JJ14" i="1"/>
  <c r="JK14" i="1" s="1"/>
  <c r="JJ41" i="1"/>
  <c r="JK41" i="1" s="1"/>
  <c r="JJ76" i="1"/>
  <c r="JK76" i="1" s="1"/>
  <c r="JJ34" i="1"/>
  <c r="JK34" i="1" s="1"/>
  <c r="JJ45" i="1"/>
  <c r="JK45" i="1" s="1"/>
  <c r="JJ31" i="1"/>
  <c r="JK31" i="1" s="1"/>
  <c r="JJ18" i="1"/>
  <c r="JK18" i="1" s="1"/>
  <c r="JJ28" i="1"/>
  <c r="JK28" i="1" s="1"/>
  <c r="JJ49" i="1"/>
  <c r="JK49" i="1" s="1"/>
  <c r="JJ44" i="1"/>
  <c r="JJ79" i="1"/>
  <c r="JK79" i="1" s="1"/>
  <c r="JJ27" i="1"/>
  <c r="JK27" i="1" s="1"/>
  <c r="JJ4" i="1"/>
  <c r="JK4" i="1" s="1"/>
  <c r="JJ53" i="1"/>
  <c r="JK53" i="1" s="1"/>
  <c r="JJ25" i="1"/>
  <c r="JK25" i="1" s="1"/>
  <c r="JJ71" i="1"/>
  <c r="JK71" i="1" s="1"/>
  <c r="JJ35" i="1"/>
  <c r="JJ80" i="1"/>
  <c r="JK80" i="1" s="1"/>
  <c r="JJ62" i="1"/>
  <c r="JK62" i="1" s="1"/>
  <c r="JJ26" i="1"/>
  <c r="JK26" i="1" s="1"/>
  <c r="JJ84" i="1"/>
  <c r="JK84" i="1" s="1"/>
  <c r="JJ72" i="1"/>
  <c r="JK72" i="1" s="1"/>
  <c r="JJ33" i="1"/>
  <c r="JK33" i="1" s="1"/>
  <c r="JJ81" i="1"/>
  <c r="JK81" i="1" s="1"/>
  <c r="JJ13" i="1"/>
  <c r="JK13" i="1" s="1"/>
  <c r="JJ54" i="1"/>
  <c r="JK54" i="1" s="1"/>
  <c r="JJ77" i="1"/>
  <c r="JK77" i="1" s="1"/>
  <c r="JJ23" i="1"/>
  <c r="JK23" i="1" s="1"/>
  <c r="JJ9" i="1"/>
  <c r="JK9" i="1" s="1"/>
  <c r="JJ10" i="1"/>
  <c r="JK10" i="1" s="1"/>
  <c r="JJ73" i="1"/>
  <c r="JK73" i="1" s="1"/>
  <c r="JJ74" i="1"/>
  <c r="JK74" i="1" s="1"/>
  <c r="JJ16" i="1"/>
  <c r="JK16" i="1" s="1"/>
  <c r="JJ59" i="1"/>
  <c r="JK59" i="1" s="1"/>
  <c r="JJ50" i="1"/>
  <c r="JK50" i="1" s="1"/>
  <c r="JJ60" i="1"/>
  <c r="JK60" i="1" s="1"/>
  <c r="JJ20" i="1"/>
  <c r="JK20" i="1" s="1"/>
  <c r="JJ30" i="1"/>
  <c r="JK30" i="1" s="1"/>
  <c r="JJ11" i="1"/>
  <c r="JK11" i="1" s="1"/>
  <c r="JJ61" i="1"/>
  <c r="JK61" i="1" s="1"/>
  <c r="JJ51" i="1"/>
  <c r="JK51" i="1" s="1"/>
  <c r="JJ3" i="1"/>
  <c r="JK3" i="1" s="1"/>
  <c r="JJ2" i="1"/>
  <c r="JK2" i="1" s="1"/>
  <c r="JJ83" i="1"/>
  <c r="JK83" i="1" s="1"/>
  <c r="JJ55" i="1"/>
  <c r="JK55" i="1" s="1"/>
  <c r="JJ36" i="1"/>
  <c r="JK36" i="1" s="1"/>
  <c r="JJ21" i="1"/>
  <c r="JK21" i="1" s="1"/>
  <c r="JJ75" i="1"/>
  <c r="JK75" i="1" s="1"/>
  <c r="JJ8" i="1"/>
  <c r="JK8" i="1" s="1"/>
  <c r="JK44" i="1"/>
  <c r="JK70" i="1"/>
  <c r="JK37" i="1"/>
  <c r="JK56" i="1"/>
  <c r="JI82" i="1"/>
  <c r="JK7" i="1"/>
  <c r="JK64" i="1"/>
  <c r="JK35" i="1"/>
  <c r="K44" i="2"/>
  <c r="L44" i="2" s="1"/>
  <c r="K49" i="2"/>
  <c r="L49" i="2" s="1"/>
  <c r="E49" i="2"/>
  <c r="H49" i="2" s="1"/>
  <c r="I49" i="2" s="1"/>
  <c r="O49" i="2" s="1"/>
  <c r="FS82" i="1"/>
  <c r="E48" i="2" s="1"/>
  <c r="H48" i="2" s="1"/>
  <c r="I48" i="2" s="1"/>
  <c r="O48" i="2" s="1"/>
  <c r="FV82" i="1"/>
  <c r="E51" i="2" s="1"/>
  <c r="H51" i="2" s="1"/>
  <c r="I51" i="2" s="1"/>
  <c r="O51" i="2" s="1"/>
  <c r="FC82" i="1"/>
  <c r="E32" i="2" s="1"/>
  <c r="H32" i="2" s="1"/>
  <c r="I32" i="2" s="1"/>
  <c r="O32" i="2" s="1"/>
  <c r="FK82" i="1"/>
  <c r="E40" i="2" s="1"/>
  <c r="H40" i="2" s="1"/>
  <c r="I40" i="2" s="1"/>
  <c r="O40" i="2" s="1"/>
  <c r="FB82" i="1"/>
  <c r="E31" i="2" s="1"/>
  <c r="H31" i="2" s="1"/>
  <c r="I31" i="2" s="1"/>
  <c r="FU82" i="1"/>
  <c r="E50" i="2" s="1"/>
  <c r="H50" i="2" s="1"/>
  <c r="I50" i="2" s="1"/>
  <c r="O50" i="2" s="1"/>
  <c r="FM82" i="1"/>
  <c r="E42" i="2" s="1"/>
  <c r="H42" i="2" s="1"/>
  <c r="I42" i="2" s="1"/>
  <c r="O42" i="2" s="1"/>
  <c r="FQ82" i="1"/>
  <c r="E46" i="2" s="1"/>
  <c r="H46" i="2" s="1"/>
  <c r="I46" i="2" s="1"/>
  <c r="O46" i="2" s="1"/>
  <c r="HY82" i="1"/>
  <c r="K46" i="2" s="1"/>
  <c r="L46" i="2" s="1"/>
  <c r="IA82" i="1"/>
  <c r="K48" i="2" s="1"/>
  <c r="L48" i="2" s="1"/>
  <c r="HJ82" i="1"/>
  <c r="K31" i="2" s="1"/>
  <c r="L31" i="2" s="1"/>
  <c r="HU82" i="1"/>
  <c r="K42" i="2" s="1"/>
  <c r="L42" i="2" s="1"/>
  <c r="HS82" i="1"/>
  <c r="K40" i="2" s="1"/>
  <c r="L40" i="2" s="1"/>
  <c r="IC82" i="1"/>
  <c r="K50" i="2" s="1"/>
  <c r="L50" i="2" s="1"/>
  <c r="ID82" i="1"/>
  <c r="K51" i="2" s="1"/>
  <c r="L51" i="2" s="1"/>
  <c r="HK82" i="1"/>
  <c r="K32" i="2" s="1"/>
  <c r="L32" i="2" s="1"/>
  <c r="K39" i="2"/>
  <c r="L39" i="2" s="1"/>
  <c r="K16" i="2"/>
  <c r="L16" i="2" s="1"/>
  <c r="K43" i="2"/>
  <c r="L43" i="2" s="1"/>
  <c r="K41" i="2"/>
  <c r="L41" i="2" s="1"/>
  <c r="K17" i="2"/>
  <c r="L17" i="2" s="1"/>
  <c r="K22" i="2"/>
  <c r="L22" i="2" s="1"/>
  <c r="E19" i="2"/>
  <c r="H19" i="2" s="1"/>
  <c r="E4" i="2"/>
  <c r="H4" i="2" s="1"/>
  <c r="I4" i="2" s="1"/>
  <c r="O4" i="2" s="1"/>
  <c r="K19" i="2"/>
  <c r="L19" i="2" s="1"/>
  <c r="K37" i="2"/>
  <c r="L37" i="2" s="1"/>
  <c r="K4" i="2"/>
  <c r="L4" i="2" s="1"/>
  <c r="E20" i="2"/>
  <c r="H20" i="2" s="1"/>
  <c r="I20" i="2" s="1"/>
  <c r="E44" i="2"/>
  <c r="H44" i="2" s="1"/>
  <c r="I44" i="2" s="1"/>
  <c r="O44" i="2" s="1"/>
  <c r="K18" i="2"/>
  <c r="L18" i="2" s="1"/>
  <c r="K47" i="2"/>
  <c r="L47" i="2" s="1"/>
  <c r="K33" i="2"/>
  <c r="L33" i="2" s="1"/>
  <c r="I23" i="2"/>
  <c r="O23" i="2" s="1"/>
  <c r="I19" i="2"/>
  <c r="O19" i="2" s="1"/>
  <c r="Q19" i="2"/>
  <c r="K15" i="2"/>
  <c r="L15" i="2" s="1"/>
  <c r="K11" i="2"/>
  <c r="L11" i="2" s="1"/>
  <c r="K14" i="2"/>
  <c r="L14" i="2" s="1"/>
  <c r="K6" i="2"/>
  <c r="L6" i="2" s="1"/>
  <c r="E43" i="2"/>
  <c r="H43" i="2" s="1"/>
  <c r="I43" i="2" s="1"/>
  <c r="O43" i="2" s="1"/>
  <c r="K35" i="2"/>
  <c r="L35" i="2" s="1"/>
  <c r="K7" i="2"/>
  <c r="L7" i="2" s="1"/>
  <c r="K5" i="2"/>
  <c r="L5" i="2" s="1"/>
  <c r="K36" i="2"/>
  <c r="L36" i="2" s="1"/>
  <c r="K38" i="2"/>
  <c r="L38" i="2" s="1"/>
  <c r="K2" i="2"/>
  <c r="L2" i="2" s="1"/>
  <c r="K13" i="2"/>
  <c r="L13" i="2" s="1"/>
  <c r="K3" i="2"/>
  <c r="L3" i="2" s="1"/>
  <c r="K9" i="2"/>
  <c r="L9" i="2" s="1"/>
  <c r="E22" i="2"/>
  <c r="H22" i="2" s="1"/>
  <c r="I22" i="2" s="1"/>
  <c r="O22" i="2" s="1"/>
  <c r="E9" i="2"/>
  <c r="H9" i="2" s="1"/>
  <c r="I9" i="2" s="1"/>
  <c r="O9" i="2" s="1"/>
  <c r="E39" i="2"/>
  <c r="H39" i="2" s="1"/>
  <c r="I39" i="2" s="1"/>
  <c r="O39" i="2" s="1"/>
  <c r="E21" i="2"/>
  <c r="H21" i="2" s="1"/>
  <c r="E38" i="2"/>
  <c r="H38" i="2" s="1"/>
  <c r="I38" i="2" s="1"/>
  <c r="O38" i="2" s="1"/>
  <c r="E16" i="2"/>
  <c r="H16" i="2" s="1"/>
  <c r="I16" i="2" s="1"/>
  <c r="O16" i="2" s="1"/>
  <c r="E13" i="2"/>
  <c r="H13" i="2" s="1"/>
  <c r="I13" i="2" s="1"/>
  <c r="O13" i="2" s="1"/>
  <c r="E14" i="2"/>
  <c r="H14" i="2" s="1"/>
  <c r="I14" i="2" s="1"/>
  <c r="O14" i="2" s="1"/>
  <c r="E18" i="2"/>
  <c r="H18" i="2" s="1"/>
  <c r="I18" i="2" s="1"/>
  <c r="O18" i="2" s="1"/>
  <c r="E41" i="2"/>
  <c r="H41" i="2" s="1"/>
  <c r="I41" i="2" s="1"/>
  <c r="O41" i="2" s="1"/>
  <c r="E47" i="2"/>
  <c r="H47" i="2" s="1"/>
  <c r="I47" i="2" s="1"/>
  <c r="O47" i="2" s="1"/>
  <c r="E37" i="2"/>
  <c r="H37" i="2" s="1"/>
  <c r="I37" i="2" s="1"/>
  <c r="O37" i="2" s="1"/>
  <c r="E17" i="2"/>
  <c r="H17" i="2" s="1"/>
  <c r="I17" i="2" s="1"/>
  <c r="O17" i="2" s="1"/>
  <c r="E11" i="2"/>
  <c r="H11" i="2" s="1"/>
  <c r="I11" i="2" s="1"/>
  <c r="O11" i="2" s="1"/>
  <c r="E5" i="2"/>
  <c r="H5" i="2" s="1"/>
  <c r="I5" i="2" s="1"/>
  <c r="E15" i="2"/>
  <c r="H15" i="2" s="1"/>
  <c r="I15" i="2" s="1"/>
  <c r="O15" i="2" s="1"/>
  <c r="E6" i="2"/>
  <c r="H6" i="2" s="1"/>
  <c r="I6" i="2" s="1"/>
  <c r="O6" i="2" s="1"/>
  <c r="E36" i="2"/>
  <c r="H36" i="2" s="1"/>
  <c r="I36" i="2" s="1"/>
  <c r="O36" i="2" s="1"/>
  <c r="E2" i="2"/>
  <c r="H2" i="2" s="1"/>
  <c r="I2" i="2" s="1"/>
  <c r="O2" i="2" s="1"/>
  <c r="E3" i="2"/>
  <c r="H3" i="2" s="1"/>
  <c r="I3" i="2" s="1"/>
  <c r="O3" i="2" s="1"/>
  <c r="E33" i="2"/>
  <c r="H33" i="2" s="1"/>
  <c r="I33" i="2" s="1"/>
  <c r="O33" i="2" s="1"/>
  <c r="E7" i="2"/>
  <c r="H7" i="2" s="1"/>
  <c r="I7" i="2" s="1"/>
  <c r="O7" i="2" s="1"/>
  <c r="E35" i="2"/>
  <c r="H35" i="2" s="1"/>
  <c r="I35" i="2" s="1"/>
  <c r="O35" i="2" s="1"/>
  <c r="JJ82" i="1" l="1"/>
  <c r="JK82" i="1" s="1"/>
  <c r="I21" i="2"/>
  <c r="O21" i="2" s="1"/>
  <c r="Q21" i="2"/>
  <c r="O5" i="2"/>
  <c r="O31" i="2"/>
  <c r="O12" i="2"/>
  <c r="O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6AC28C-1041-4428-9D16-6FD80498A1D9}" keepAlive="1" name="Query - AS3000_AMBIENTDERATETEMP" description="Connection to the 'AS3000_AMBIENTDERATETEMP' query in the workbook." type="5" refreshedVersion="6" background="1">
    <dbPr connection="Provider=Microsoft.Mashup.OleDb.1;Data Source=$Workbook$;Location=AS3000_AMBIENTDERATETEMP;Extended Properties=&quot;&quot;" command="SELECT * FROM [AS3000_AMBIENTDERATETEMP]"/>
  </connection>
</connections>
</file>

<file path=xl/sharedStrings.xml><?xml version="1.0" encoding="utf-8"?>
<sst xmlns="http://schemas.openxmlformats.org/spreadsheetml/2006/main" count="1162" uniqueCount="550">
  <si>
    <t>LENGTH</t>
  </si>
  <si>
    <t>M01PU1121</t>
  </si>
  <si>
    <t>M02PU1121</t>
  </si>
  <si>
    <t>M02PU1122</t>
  </si>
  <si>
    <t>M03PU2011</t>
  </si>
  <si>
    <t>M03PU2012</t>
  </si>
  <si>
    <t>M03PU2097</t>
  </si>
  <si>
    <t>M03AG2102</t>
  </si>
  <si>
    <t>M03AG2202</t>
  </si>
  <si>
    <t>M03AG2302</t>
  </si>
  <si>
    <t>M15PU3110</t>
  </si>
  <si>
    <t>M15CC3120</t>
  </si>
  <si>
    <t>M15PU3150</t>
  </si>
  <si>
    <t>M15PU3158</t>
  </si>
  <si>
    <t>M15PU3160</t>
  </si>
  <si>
    <t>M15PU3180</t>
  </si>
  <si>
    <t>M16PU3110</t>
  </si>
  <si>
    <t>M16CC3120</t>
  </si>
  <si>
    <t>M16PU3150</t>
  </si>
  <si>
    <t>M16PU3158</t>
  </si>
  <si>
    <t>M16PU3160</t>
  </si>
  <si>
    <t>M16PU3180</t>
  </si>
  <si>
    <t>M05PU1027</t>
  </si>
  <si>
    <t>M05PU1038</t>
  </si>
  <si>
    <t>M05PU1050</t>
  </si>
  <si>
    <t>M05PU1060</t>
  </si>
  <si>
    <t>M05PU1093</t>
  </si>
  <si>
    <t>M05PU1100</t>
  </si>
  <si>
    <t>M05PU1200</t>
  </si>
  <si>
    <t>M06PU1027</t>
  </si>
  <si>
    <t>M06PU1038</t>
  </si>
  <si>
    <t>M06PU1050</t>
  </si>
  <si>
    <t>M06PU1060</t>
  </si>
  <si>
    <t>M06PU1093</t>
  </si>
  <si>
    <t>M06PU1100</t>
  </si>
  <si>
    <t>M06PU1200</t>
  </si>
  <si>
    <t>M07PU2011</t>
  </si>
  <si>
    <t>M07PU2012</t>
  </si>
  <si>
    <t>M07PU2013</t>
  </si>
  <si>
    <t>M07PU2014</t>
  </si>
  <si>
    <t>M07PU2097</t>
  </si>
  <si>
    <t>M07AG2102</t>
  </si>
  <si>
    <t>M07AG2202</t>
  </si>
  <si>
    <t>M07AG2302</t>
  </si>
  <si>
    <t>M08PU2011</t>
  </si>
  <si>
    <t>M08PU2012</t>
  </si>
  <si>
    <t>M08PU2013</t>
  </si>
  <si>
    <t>M08PU2014</t>
  </si>
  <si>
    <t>M08PU2097</t>
  </si>
  <si>
    <t>M08AG2102</t>
  </si>
  <si>
    <t>M08AG2202</t>
  </si>
  <si>
    <t>M08AG2302</t>
  </si>
  <si>
    <t>M09PU2011</t>
  </si>
  <si>
    <t>M09PU2012</t>
  </si>
  <si>
    <t>M09PU2013</t>
  </si>
  <si>
    <t>M09PU2014</t>
  </si>
  <si>
    <t>M09PU2097</t>
  </si>
  <si>
    <t>M09AG2102</t>
  </si>
  <si>
    <t>M09AG2202</t>
  </si>
  <si>
    <t>C01PU4810</t>
  </si>
  <si>
    <t>C01PU4815</t>
  </si>
  <si>
    <t>C01PU4880</t>
  </si>
  <si>
    <t>M10PU2011</t>
  </si>
  <si>
    <t>M10PU2097</t>
  </si>
  <si>
    <t>M10AG2102</t>
  </si>
  <si>
    <t>A01PU2011</t>
  </si>
  <si>
    <t>A01PU2012</t>
  </si>
  <si>
    <t>A01PU2013</t>
  </si>
  <si>
    <t>B01PU2031</t>
  </si>
  <si>
    <t>A01PU2097</t>
  </si>
  <si>
    <t>B01AG2102</t>
  </si>
  <si>
    <t>A01AG2102</t>
  </si>
  <si>
    <t>B01AG2202</t>
  </si>
  <si>
    <t>A01AG2202</t>
  </si>
  <si>
    <t>B01AG2402</t>
  </si>
  <si>
    <t>U01PU3410</t>
  </si>
  <si>
    <t>U01PU3420</t>
  </si>
  <si>
    <t>U01PU3513</t>
  </si>
  <si>
    <t>U01PU3613</t>
  </si>
  <si>
    <t>LOADIN 1 SILOS PUMP 1</t>
  </si>
  <si>
    <t>LOADIN 2 SILOS PUMP 1</t>
  </si>
  <si>
    <t>LOADIN 2 SILOS PUMP 2</t>
  </si>
  <si>
    <t>RM SILOS CIPR PUMP</t>
  </si>
  <si>
    <t>RM SILO 1 AGITATOR</t>
  </si>
  <si>
    <t>RM SILO 2 AGITATOR</t>
  </si>
  <si>
    <t>RM SILO 3 AGITATOR</t>
  </si>
  <si>
    <t>UF1 PLANT FEED PUMP</t>
  </si>
  <si>
    <t>UF1 PLANT RET PUMP</t>
  </si>
  <si>
    <t>UF1 PLANT PERM PUMP</t>
  </si>
  <si>
    <t>UF1 PLANT PERM PHE HW PUMP</t>
  </si>
  <si>
    <t>UF1 PLANT CIP BOOST PUMP</t>
  </si>
  <si>
    <t>UF1 PLANT LOOP 1 PUMP</t>
  </si>
  <si>
    <t>UF1 PLANT LOOP 2 PUMP</t>
  </si>
  <si>
    <t>UF2 PLANT FEED PUMP</t>
  </si>
  <si>
    <t>UF2 PLANT RET PUMP</t>
  </si>
  <si>
    <t>UF2 PLANT PERM PUMP</t>
  </si>
  <si>
    <t>UF2 PLANT PERM PHE HW PU</t>
  </si>
  <si>
    <t>UF2 PLANT CIP BOOST PUMP</t>
  </si>
  <si>
    <t>UF2 PLANT LOOP 1 PUMP</t>
  </si>
  <si>
    <t>UF2 PLANT LOOP 2 PUMP</t>
  </si>
  <si>
    <t>CRM SILOS CIPR PUMP</t>
  </si>
  <si>
    <t>CRM SILO 1 AGITATOR</t>
  </si>
  <si>
    <t>CRM SILO 2 AGITATOR</t>
  </si>
  <si>
    <t>CRM SILO 3 AGITATOR</t>
  </si>
  <si>
    <t>LP SKIM SILOS CIPR P</t>
  </si>
  <si>
    <t>LP SKIM SILO 1 AGITATOR</t>
  </si>
  <si>
    <t>LP SKIM SILO 2 AGITATOR</t>
  </si>
  <si>
    <t>LP SKIM SILO 3 AGITATOR</t>
  </si>
  <si>
    <t>HP SKIM SILOS CIPR PUMP</t>
  </si>
  <si>
    <t>HP SKIM SILO 1 AGITATOR</t>
  </si>
  <si>
    <t>HP SKIM SILO 2 AGITATOR</t>
  </si>
  <si>
    <t>CHEESE MILK PAST TIMING PUMP</t>
  </si>
  <si>
    <t>CHEESE MILK PAST HW PUMP</t>
  </si>
  <si>
    <t>LOADOUT SILO 1 AGITATOR</t>
  </si>
  <si>
    <t>CRM CRIST/ESL/DUAL TKS CIPR PUMP</t>
  </si>
  <si>
    <t>CRM CRIST TK 1 AGITATOR</t>
  </si>
  <si>
    <t>ESL TK 1 AGITATOR</t>
  </si>
  <si>
    <t>CRM CRIST TK 2 AGITATOR</t>
  </si>
  <si>
    <t>ESL TK 2 AGITATOR</t>
  </si>
  <si>
    <t xml:space="preserve">BUTTER EGLI OEM </t>
  </si>
  <si>
    <t xml:space="preserve">ESL DS TRIPLE OEM </t>
  </si>
  <si>
    <t>DESCRIPTION</t>
  </si>
  <si>
    <t>CABLE</t>
  </si>
  <si>
    <t>FITOFF</t>
  </si>
  <si>
    <t>XCAPACITY</t>
  </si>
  <si>
    <t>SEG1</t>
  </si>
  <si>
    <t>SEG2</t>
  </si>
  <si>
    <t>SEG3</t>
  </si>
  <si>
    <t>SEG4</t>
  </si>
  <si>
    <t>SEG5</t>
  </si>
  <si>
    <t>SEG6</t>
  </si>
  <si>
    <t>SEG7</t>
  </si>
  <si>
    <t>SEG8</t>
  </si>
  <si>
    <t>SEG9</t>
  </si>
  <si>
    <t>SEG10</t>
  </si>
  <si>
    <t>SEG11</t>
  </si>
  <si>
    <t>SEG12</t>
  </si>
  <si>
    <t>SEG13</t>
  </si>
  <si>
    <t>SEG14</t>
  </si>
  <si>
    <t>SEG15</t>
  </si>
  <si>
    <t>SEG16</t>
  </si>
  <si>
    <t>SEG17</t>
  </si>
  <si>
    <t>SEG18</t>
  </si>
  <si>
    <t>SEG19</t>
  </si>
  <si>
    <t>SEG20</t>
  </si>
  <si>
    <t>SEG21</t>
  </si>
  <si>
    <t>SEG22</t>
  </si>
  <si>
    <t>SEG23</t>
  </si>
  <si>
    <t>SEG24</t>
  </si>
  <si>
    <t>SEG25</t>
  </si>
  <si>
    <t>SEG26</t>
  </si>
  <si>
    <t>SEG27</t>
  </si>
  <si>
    <t>SEG28</t>
  </si>
  <si>
    <t>SEG29</t>
  </si>
  <si>
    <t>SEG30</t>
  </si>
  <si>
    <t>SEG31</t>
  </si>
  <si>
    <t>SEG32</t>
  </si>
  <si>
    <t>SEG33</t>
  </si>
  <si>
    <t>SEG34</t>
  </si>
  <si>
    <t>SEG35</t>
  </si>
  <si>
    <t>SEG36</t>
  </si>
  <si>
    <t>SEG37</t>
  </si>
  <si>
    <t>SEG38</t>
  </si>
  <si>
    <t>SEG39</t>
  </si>
  <si>
    <t>SEG40</t>
  </si>
  <si>
    <t>SEGL1</t>
  </si>
  <si>
    <t>SEGL2</t>
  </si>
  <si>
    <t>SEGL3</t>
  </si>
  <si>
    <t>SEGL4</t>
  </si>
  <si>
    <t>SEGL5</t>
  </si>
  <si>
    <t>SEGL6</t>
  </si>
  <si>
    <t>SEGL7</t>
  </si>
  <si>
    <t>SEGL8</t>
  </si>
  <si>
    <t>SEGL9</t>
  </si>
  <si>
    <t>SEGL10</t>
  </si>
  <si>
    <t>SEGL11</t>
  </si>
  <si>
    <t>SEGL12</t>
  </si>
  <si>
    <t>SEGL13</t>
  </si>
  <si>
    <t>SEGL14</t>
  </si>
  <si>
    <t>SEGL15</t>
  </si>
  <si>
    <t>SEGL16</t>
  </si>
  <si>
    <t>SEGL17</t>
  </si>
  <si>
    <t>SEGL18</t>
  </si>
  <si>
    <t>SEGL19</t>
  </si>
  <si>
    <t>SEGL20</t>
  </si>
  <si>
    <t>SEGL21</t>
  </si>
  <si>
    <t>SEGL22</t>
  </si>
  <si>
    <t>SEGL23</t>
  </si>
  <si>
    <t>SEGL24</t>
  </si>
  <si>
    <t>SEGL25</t>
  </si>
  <si>
    <t>SEGL26</t>
  </si>
  <si>
    <t>SEGL27</t>
  </si>
  <si>
    <t>SEGL28</t>
  </si>
  <si>
    <t>SEGL29</t>
  </si>
  <si>
    <t>SEGL30</t>
  </si>
  <si>
    <t>SEGL31</t>
  </si>
  <si>
    <t>SEGL32</t>
  </si>
  <si>
    <t>SEGL33</t>
  </si>
  <si>
    <t>SEGL34</t>
  </si>
  <si>
    <t>SEGL35</t>
  </si>
  <si>
    <t>SEGL36</t>
  </si>
  <si>
    <t>SEGL37</t>
  </si>
  <si>
    <t>SEGL38</t>
  </si>
  <si>
    <t>SEGL39</t>
  </si>
  <si>
    <t>SEGL40</t>
  </si>
  <si>
    <t>SEGL41</t>
  </si>
  <si>
    <t>SEGL42</t>
  </si>
  <si>
    <t>SEGL43</t>
  </si>
  <si>
    <t>SEGL44</t>
  </si>
  <si>
    <t>SEGL45</t>
  </si>
  <si>
    <t>SEGL46</t>
  </si>
  <si>
    <t>SEGL47</t>
  </si>
  <si>
    <t>SEGL48</t>
  </si>
  <si>
    <t>SEGL49</t>
  </si>
  <si>
    <t>SEGL50</t>
  </si>
  <si>
    <t>SEGL51</t>
  </si>
  <si>
    <t>SEGL52</t>
  </si>
  <si>
    <t>SEGL53</t>
  </si>
  <si>
    <t>SEGL54</t>
  </si>
  <si>
    <t>SEGL55</t>
  </si>
  <si>
    <t>SEGL56</t>
  </si>
  <si>
    <t>SEGL57</t>
  </si>
  <si>
    <t>SEGL58</t>
  </si>
  <si>
    <t>SEGL59</t>
  </si>
  <si>
    <t>SEGL60</t>
  </si>
  <si>
    <t>SEG41</t>
  </si>
  <si>
    <t>SEG42</t>
  </si>
  <si>
    <t>SEG43</t>
  </si>
  <si>
    <t>SEG44</t>
  </si>
  <si>
    <t>SEG45</t>
  </si>
  <si>
    <t>SEG46</t>
  </si>
  <si>
    <t>SEG47</t>
  </si>
  <si>
    <t>SEG48</t>
  </si>
  <si>
    <t>SEG49</t>
  </si>
  <si>
    <t>SEG50</t>
  </si>
  <si>
    <t>SEG51</t>
  </si>
  <si>
    <t>SEG52</t>
  </si>
  <si>
    <t>SEG53</t>
  </si>
  <si>
    <t>SEG54</t>
  </si>
  <si>
    <t>SEG55</t>
  </si>
  <si>
    <t>SEG56</t>
  </si>
  <si>
    <t>SEG57</t>
  </si>
  <si>
    <t>SEG58</t>
  </si>
  <si>
    <t>SEG59</t>
  </si>
  <si>
    <t>SEG60</t>
  </si>
  <si>
    <t>current carrying capacity</t>
  </si>
  <si>
    <t>MM^2</t>
  </si>
  <si>
    <t>AMBIENT</t>
  </si>
  <si>
    <t>DERATE</t>
  </si>
  <si>
    <t>Default Power Factor</t>
  </si>
  <si>
    <t>System Voltage</t>
  </si>
  <si>
    <t>AMBIENT_DERATING</t>
  </si>
  <si>
    <t>CABLESIZE_METHOD1</t>
  </si>
  <si>
    <t>MAX_VDROP</t>
  </si>
  <si>
    <t>Maximum Voltage Drop %</t>
  </si>
  <si>
    <t>Vc</t>
  </si>
  <si>
    <t>VC_CALC</t>
  </si>
  <si>
    <t>CABLESIZE_METHOD2</t>
  </si>
  <si>
    <t>AMP_RATING</t>
  </si>
  <si>
    <t>ambient temperature derating</t>
  </si>
  <si>
    <t>voltage drop Vc</t>
  </si>
  <si>
    <t>VSD</t>
  </si>
  <si>
    <t>DOL</t>
  </si>
  <si>
    <t>LOAD</t>
  </si>
  <si>
    <t>DIAMETER</t>
  </si>
  <si>
    <t>MASS</t>
  </si>
  <si>
    <t>vsd cable spec</t>
  </si>
  <si>
    <t>dol cable spec</t>
  </si>
  <si>
    <t>load cable spec</t>
  </si>
  <si>
    <t>used olflex VAROLEX 3C+E</t>
  </si>
  <si>
    <t>used olflex VERSOLEX 3C+E</t>
  </si>
  <si>
    <t>used olflex VERSOLEX 4C+E</t>
  </si>
  <si>
    <t>LOAD_KW</t>
  </si>
  <si>
    <t>LOAD_TYPE</t>
  </si>
  <si>
    <t>LOAD TYPE</t>
  </si>
  <si>
    <t>CABLE_DIAMETER</t>
  </si>
  <si>
    <t>CABLE_SIZE</t>
  </si>
  <si>
    <t>mass is kg per 1m</t>
  </si>
  <si>
    <t>SEGL_TOTAL</t>
  </si>
  <si>
    <t>SEGD1</t>
  </si>
  <si>
    <t>SEGD12</t>
  </si>
  <si>
    <t>SEGD13</t>
  </si>
  <si>
    <t>SEGD14</t>
  </si>
  <si>
    <t>SEGD15</t>
  </si>
  <si>
    <t>SEGD16</t>
  </si>
  <si>
    <t>SEGD2</t>
  </si>
  <si>
    <t>SEGD3</t>
  </si>
  <si>
    <t>SEGD4</t>
  </si>
  <si>
    <t>SEGD5</t>
  </si>
  <si>
    <t>SEGD6</t>
  </si>
  <si>
    <t>SEGD7</t>
  </si>
  <si>
    <t>SEGD8</t>
  </si>
  <si>
    <t>SEGD9</t>
  </si>
  <si>
    <t>SEGD10</t>
  </si>
  <si>
    <t>SEGD11</t>
  </si>
  <si>
    <t>SEGD17</t>
  </si>
  <si>
    <t>SEGD18</t>
  </si>
  <si>
    <t>SEGD19</t>
  </si>
  <si>
    <t>SEGD20</t>
  </si>
  <si>
    <t>SEGD21</t>
  </si>
  <si>
    <t>SEGD22</t>
  </si>
  <si>
    <t>SEGD23</t>
  </si>
  <si>
    <t>SEGD24</t>
  </si>
  <si>
    <t>SEGD25</t>
  </si>
  <si>
    <t>SEGD26</t>
  </si>
  <si>
    <t>SEGD27</t>
  </si>
  <si>
    <t>SEGD28</t>
  </si>
  <si>
    <t>SEGD29</t>
  </si>
  <si>
    <t>SEGD30</t>
  </si>
  <si>
    <t>SEGD31</t>
  </si>
  <si>
    <t>SEGD32</t>
  </si>
  <si>
    <t>SEGD33</t>
  </si>
  <si>
    <t>SEGD34</t>
  </si>
  <si>
    <t>SEGD35</t>
  </si>
  <si>
    <t>SEGD36</t>
  </si>
  <si>
    <t>SEGD37</t>
  </si>
  <si>
    <t>SEGD38</t>
  </si>
  <si>
    <t>SEGD39</t>
  </si>
  <si>
    <t>SEGD40</t>
  </si>
  <si>
    <t>SEGD41</t>
  </si>
  <si>
    <t>SEGD42</t>
  </si>
  <si>
    <t>SEGD43</t>
  </si>
  <si>
    <t>SEGD44</t>
  </si>
  <si>
    <t>SEGD45</t>
  </si>
  <si>
    <t>SEGD46</t>
  </si>
  <si>
    <t>SEGD47</t>
  </si>
  <si>
    <t>SEGD48</t>
  </si>
  <si>
    <t>SEGD49</t>
  </si>
  <si>
    <t>SEGD50</t>
  </si>
  <si>
    <t>SEGD51</t>
  </si>
  <si>
    <t>SEGD52</t>
  </si>
  <si>
    <t>SEGD53</t>
  </si>
  <si>
    <t>SEGD54</t>
  </si>
  <si>
    <t>SEGD55</t>
  </si>
  <si>
    <t>SEGD56</t>
  </si>
  <si>
    <t>SEGD57</t>
  </si>
  <si>
    <t>SEGD58</t>
  </si>
  <si>
    <t>SEGD59</t>
  </si>
  <si>
    <t>SEGD60</t>
  </si>
  <si>
    <t>SEGM1</t>
  </si>
  <si>
    <t>SEGM2</t>
  </si>
  <si>
    <t>SEGM3</t>
  </si>
  <si>
    <t>SEGM4</t>
  </si>
  <si>
    <t>SEGM5</t>
  </si>
  <si>
    <t>SEGM6</t>
  </si>
  <si>
    <t>SEGM7</t>
  </si>
  <si>
    <t>SEGM8</t>
  </si>
  <si>
    <t>SEGM9</t>
  </si>
  <si>
    <t>SEGM10</t>
  </si>
  <si>
    <t>SEGM11</t>
  </si>
  <si>
    <t>SEGM12</t>
  </si>
  <si>
    <t>SEGM13</t>
  </si>
  <si>
    <t>SEGM14</t>
  </si>
  <si>
    <t>SEGM15</t>
  </si>
  <si>
    <t>SEGM16</t>
  </si>
  <si>
    <t>SEGM17</t>
  </si>
  <si>
    <t>SEGM18</t>
  </si>
  <si>
    <t>SEGM19</t>
  </si>
  <si>
    <t>SEGM20</t>
  </si>
  <si>
    <t>SEGM21</t>
  </si>
  <si>
    <t>SEGM22</t>
  </si>
  <si>
    <t>SEGM23</t>
  </si>
  <si>
    <t>SEGM24</t>
  </si>
  <si>
    <t>SEGM25</t>
  </si>
  <si>
    <t>SEGM26</t>
  </si>
  <si>
    <t>SEGM27</t>
  </si>
  <si>
    <t>SEGM28</t>
  </si>
  <si>
    <t>SEGM29</t>
  </si>
  <si>
    <t>SEGM30</t>
  </si>
  <si>
    <t>SEGM31</t>
  </si>
  <si>
    <t>SEGM32</t>
  </si>
  <si>
    <t>SEGM33</t>
  </si>
  <si>
    <t>SEGM34</t>
  </si>
  <si>
    <t>SEGM35</t>
  </si>
  <si>
    <t>SEGM36</t>
  </si>
  <si>
    <t>SEGM37</t>
  </si>
  <si>
    <t>SEGM38</t>
  </si>
  <si>
    <t>SEGM39</t>
  </si>
  <si>
    <t>SEGM40</t>
  </si>
  <si>
    <t>SEGM41</t>
  </si>
  <si>
    <t>SEGM42</t>
  </si>
  <si>
    <t>SEGM43</t>
  </si>
  <si>
    <t>SEGM44</t>
  </si>
  <si>
    <t>SEGM45</t>
  </si>
  <si>
    <t>SEGM46</t>
  </si>
  <si>
    <t>SEGM47</t>
  </si>
  <si>
    <t>SEGM48</t>
  </si>
  <si>
    <t>SEGM49</t>
  </si>
  <si>
    <t>SEGM50</t>
  </si>
  <si>
    <t>SEGM51</t>
  </si>
  <si>
    <t>SEGM52</t>
  </si>
  <si>
    <t>SEGM53</t>
  </si>
  <si>
    <t>SEGM54</t>
  </si>
  <si>
    <t>SEGM55</t>
  </si>
  <si>
    <t>SEGM56</t>
  </si>
  <si>
    <t>SEGM57</t>
  </si>
  <si>
    <t>SEGM58</t>
  </si>
  <si>
    <t>SEGM59</t>
  </si>
  <si>
    <t>SEGM60</t>
  </si>
  <si>
    <t>CABLE_MASS</t>
  </si>
  <si>
    <t>SEG_ID</t>
  </si>
  <si>
    <t>WIDTH</t>
  </si>
  <si>
    <t>HORIZONTAL</t>
  </si>
  <si>
    <t>VERTICAL</t>
  </si>
  <si>
    <t>INITIAL_DIAMETER</t>
  </si>
  <si>
    <t>X_CAPACITY</t>
  </si>
  <si>
    <t>LAYERS</t>
  </si>
  <si>
    <t>MIN_TRAYWIDTH</t>
  </si>
  <si>
    <t>CABLE_TRAY</t>
  </si>
  <si>
    <t>TRAY_MASS</t>
  </si>
  <si>
    <t>vsd = shielded 3C+E</t>
  </si>
  <si>
    <t>dol = 3C+E</t>
  </si>
  <si>
    <t>load = 4C+E</t>
  </si>
  <si>
    <t>cable layering</t>
  </si>
  <si>
    <t>allow single layer</t>
  </si>
  <si>
    <t>allow double layer</t>
  </si>
  <si>
    <t>PART_NUMBER</t>
  </si>
  <si>
    <t>LOADING</t>
  </si>
  <si>
    <t>BRACE_SPAN</t>
  </si>
  <si>
    <t>Cable Tray Spec</t>
  </si>
  <si>
    <t>used unistrut AL20 cable ladder</t>
  </si>
  <si>
    <t>6m lengths</t>
  </si>
  <si>
    <t>900mm</t>
  </si>
  <si>
    <t>750mm</t>
  </si>
  <si>
    <t>600mm</t>
  </si>
  <si>
    <t>450mm</t>
  </si>
  <si>
    <t>300mm</t>
  </si>
  <si>
    <t>150mm</t>
  </si>
  <si>
    <t>ERROR</t>
  </si>
  <si>
    <t>6m</t>
  </si>
  <si>
    <t>5m</t>
  </si>
  <si>
    <t>4m</t>
  </si>
  <si>
    <t>2m</t>
  </si>
  <si>
    <t>3m</t>
  </si>
  <si>
    <t>choose span to fit mass loading</t>
  </si>
  <si>
    <t>SELECTED_TRAY</t>
  </si>
  <si>
    <t>TRAY_OVERIDE</t>
  </si>
  <si>
    <t>SPAN_BRACE</t>
  </si>
  <si>
    <t>Copper Constant</t>
  </si>
  <si>
    <t>Aluminium Constant</t>
  </si>
  <si>
    <t>Phase Voltage</t>
  </si>
  <si>
    <t>DEVICE</t>
  </si>
  <si>
    <t>EARTH</t>
  </si>
  <si>
    <t>protective device</t>
  </si>
  <si>
    <t>LMAX</t>
  </si>
  <si>
    <t>OVERRIDE_PDEVICE</t>
  </si>
  <si>
    <t>RECOMMEND_PDEVICE</t>
  </si>
  <si>
    <t>SELECTED_PDEVICE</t>
  </si>
  <si>
    <t>PDEVICE_CURVE</t>
  </si>
  <si>
    <t>B</t>
  </si>
  <si>
    <t>C</t>
  </si>
  <si>
    <t>D</t>
  </si>
  <si>
    <t>protective device curve</t>
  </si>
  <si>
    <t>MULTIPLIER</t>
  </si>
  <si>
    <t>conductor material</t>
  </si>
  <si>
    <t>DEVICE_CURVE</t>
  </si>
  <si>
    <t>CONDUCTOR_MATERIAL</t>
  </si>
  <si>
    <t>CONSTANT</t>
  </si>
  <si>
    <t>COPPER</t>
  </si>
  <si>
    <t>ALUMINIUM</t>
  </si>
  <si>
    <t>MATERIAL_CONSTANT</t>
  </si>
  <si>
    <t>SPH</t>
  </si>
  <si>
    <t>SPE</t>
  </si>
  <si>
    <t>earth conductor size</t>
  </si>
  <si>
    <t>PDEVICE_IA</t>
  </si>
  <si>
    <t>LMAX SATISFIED</t>
  </si>
  <si>
    <t>INITIAL_CABLESIZE</t>
  </si>
  <si>
    <t>OVERRIDE_CABLESIZE</t>
  </si>
  <si>
    <t>SELECTED_CABLESIZE</t>
  </si>
  <si>
    <t>ESTIMATED_CABLE_LENGTH</t>
  </si>
  <si>
    <t>CABLE_LENGTH</t>
  </si>
  <si>
    <t>LOAD_AMPS</t>
  </si>
  <si>
    <t>CALCULATED_AMPS</t>
  </si>
  <si>
    <t>PROTECTION_DEVICE</t>
  </si>
  <si>
    <t>CABLE_TOTAL</t>
  </si>
  <si>
    <t>TRAY_LENGTH</t>
  </si>
  <si>
    <t xml:space="preserve">note: no VERSOLEX &gt; 95mm2 </t>
  </si>
  <si>
    <t>Using alternative values</t>
  </si>
  <si>
    <t>RM SILOS TO SEP 1 PUMP</t>
  </si>
  <si>
    <t>RM SILOS TO SEP 2 PUMP</t>
  </si>
  <si>
    <t>SEP 1 FEED PUMP</t>
  </si>
  <si>
    <t>SEP 1 SEPARATOR</t>
  </si>
  <si>
    <t>SEP 1 CREAM PUMP</t>
  </si>
  <si>
    <t>LP SKIM 1 TRANSFER PUMP</t>
  </si>
  <si>
    <t>SEP 1 CREAM PHE CHW PUMP</t>
  </si>
  <si>
    <t>SEP 1 PHE HW PUMP</t>
  </si>
  <si>
    <t>SEP 2 FEED PUMP</t>
  </si>
  <si>
    <t>SEP 2 SEPARATOR</t>
  </si>
  <si>
    <t>SEP 2 CREAM PUMP</t>
  </si>
  <si>
    <t>LP SKIM 2 TRANSFER PUMP</t>
  </si>
  <si>
    <t>SEP 2 CREAM PHE CHW PUMP</t>
  </si>
  <si>
    <t>SEP 2 PHE HW PUMP</t>
  </si>
  <si>
    <t>CRM TO PWDR 1 STD PUMP</t>
  </si>
  <si>
    <t>CRM TO PWDR 2 STD PUMP</t>
  </si>
  <si>
    <t>CRM TO CHEESE STD PUMP</t>
  </si>
  <si>
    <t>CRM TO ESL STD PUMP</t>
  </si>
  <si>
    <t>LP SKIM TO PWDR 1 STD PUMP</t>
  </si>
  <si>
    <t>LP SKIM TO PWDR 2 STD PUMP</t>
  </si>
  <si>
    <t>LP SKIM TO CHEESE STD PUMP</t>
  </si>
  <si>
    <t>LP SKIM TO ESL STD PUMP</t>
  </si>
  <si>
    <t>HP SKIM TO PWDR 1 STD PUMP</t>
  </si>
  <si>
    <t>HP SKIM TO PWDR 2 STD PUMP</t>
  </si>
  <si>
    <t>HP SKIM TO CHEESE STD PUMP</t>
  </si>
  <si>
    <t>HP SKIM TO ESL STD PUMP</t>
  </si>
  <si>
    <t>CHEESE MILK PAST FEED PUMP</t>
  </si>
  <si>
    <t>M10AG2202</t>
  </si>
  <si>
    <t>ESL TKS TO FILLER 1 PUMP</t>
  </si>
  <si>
    <t>ESL TKS TO FILLER 2 PUMP</t>
  </si>
  <si>
    <t>ESL TKS TO ESL LOADOUT PUMP</t>
  </si>
  <si>
    <t>CRM CRYST TKS TO BUTTER PLANT PUMP</t>
  </si>
  <si>
    <t>CRM CRYST TK 3 AGITATOR</t>
  </si>
  <si>
    <t>CIP SET 1 CIPS 1 PUMP</t>
  </si>
  <si>
    <t>CIP SET 1 CIPS 2 PUMP</t>
  </si>
  <si>
    <t>CIP SET 1 CAUSTIC TK RECIRC PUMP</t>
  </si>
  <si>
    <t>CIP SET 1 ACID TK RECIRC PUMP</t>
  </si>
  <si>
    <t>U06PU4340</t>
  </si>
  <si>
    <t>CONDENSATE RETURN PUMP</t>
  </si>
  <si>
    <t>LOADOUT SILOS TO LOAD OUT PUMP</t>
  </si>
  <si>
    <t>LOADOUT SILOS TO PWDR1 STD PUMP</t>
  </si>
  <si>
    <t>LOADOUT SILOS CIPR PUMP</t>
  </si>
  <si>
    <t>LOADOUT SILO 2 AGITATOR</t>
  </si>
  <si>
    <t>B01MC0001</t>
  </si>
  <si>
    <t>A02MC0001</t>
  </si>
  <si>
    <t>AMP_SPACED_RAW</t>
  </si>
  <si>
    <t>AMP_SPACED</t>
  </si>
  <si>
    <t>AMP_TOUCHING_RAW</t>
  </si>
  <si>
    <t>AMP_TOUCHING</t>
  </si>
  <si>
    <t>TABLE 14 OF ASNZ 3008.1.1-2017</t>
  </si>
  <si>
    <t>TABLE 27(1) OF ASNZ 3008.1.1-2017</t>
  </si>
  <si>
    <t>INSTALL_METHOD</t>
  </si>
  <si>
    <t>UNENCLOSED_SPACED</t>
  </si>
  <si>
    <t>UNENCLOSED_TOUCHING</t>
  </si>
  <si>
    <t>CONSTANT (K)</t>
  </si>
  <si>
    <t>TABLE 52 OF ASNZS 3008.1.1-2017</t>
  </si>
  <si>
    <t>AMBIENT_TEMP</t>
  </si>
  <si>
    <t>K VALUES FOR COPPER AT AMBIENT TEMP</t>
  </si>
  <si>
    <t>V1-NZ</t>
  </si>
  <si>
    <t>V2-AUS</t>
  </si>
  <si>
    <t>CHANGE</t>
  </si>
  <si>
    <t>NOTE_1</t>
  </si>
  <si>
    <t>NOTE_2</t>
  </si>
  <si>
    <t>Cable reduced due to increased voltage drop allowance</t>
  </si>
  <si>
    <t>Cable increased due to increased safety margin</t>
  </si>
  <si>
    <t>M03SC2402</t>
  </si>
  <si>
    <t>EXTRA AGITATOR VSD #1</t>
  </si>
  <si>
    <t>M07AG2402</t>
  </si>
  <si>
    <t>EXTRA AGITATOR DOL #1</t>
  </si>
  <si>
    <t>M09AG2302</t>
  </si>
  <si>
    <t>EXTRA AGITATOR DOL #2</t>
  </si>
  <si>
    <t>M10PU2012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</si>
</sst>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Fill="1"/>
    <xf numFmtId="0" fontId="0" fillId="0" borderId="0" xfId="0" applyNumberFormat="1" applyFill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NumberFormat="1" applyFill="1"/>
  </cellXfs>
  <cellStyles count="1">
    <cellStyle name="Normal" xfId="0" builtinId="0"/>
  </cellStyles>
  <dxfs count="3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4B2FD-7B33-45AD-8FDD-71DE6B555611}" name="CABLES" displayName="CABLES" ref="A1:JQ87" totalsRowShown="0" headerRowDxfId="301" dataDxfId="300">
  <autoFilter ref="A1:JQ87" xr:uid="{F1E63546-6843-4B24-9C07-8B7E2138325B}"/>
  <tableColumns count="277">
    <tableColumn id="1" xr3:uid="{C0E9D725-726B-4F8E-A19B-63B1E50A31B1}" name="CABLE" dataDxfId="299"/>
    <tableColumn id="2" xr3:uid="{1B2F9263-2D51-4479-BB79-6DE6A75A5CD3}" name="DESCRIPTION" dataDxfId="298"/>
    <tableColumn id="140" xr3:uid="{1DC0C6A2-6853-449F-BD4F-AE4B31FC5FB7}" name="LOAD_TYPE" dataDxfId="297"/>
    <tableColumn id="128" xr3:uid="{2D5C37EF-7856-46CB-871B-14F0E3906295}" name="LOAD_KW" dataDxfId="296"/>
    <tableColumn id="3" xr3:uid="{E72DF951-0214-469F-96C0-81A2298053F3}" name="SEG1" dataDxfId="295"/>
    <tableColumn id="4" xr3:uid="{947D289B-C3DC-4384-9095-312D5D73F3A4}" name="SEG2" dataDxfId="294"/>
    <tableColumn id="5" xr3:uid="{245BB87F-D30E-49F1-B8D6-419BA17BBEDE}" name="SEG3" dataDxfId="293"/>
    <tableColumn id="6" xr3:uid="{09BE49B0-F6BB-48FF-984A-257E4081756D}" name="SEG4" dataDxfId="292"/>
    <tableColumn id="7" xr3:uid="{78C207C2-D8CC-446D-A8A0-1C31096B78EB}" name="SEG5" dataDxfId="291"/>
    <tableColumn id="8" xr3:uid="{B828CEC3-7B24-4DB3-AAE5-4EFA7BA81304}" name="SEG6" dataDxfId="290"/>
    <tableColumn id="9" xr3:uid="{856FE8B8-2247-4D46-8E33-651A5D0B0147}" name="SEG7" dataDxfId="289"/>
    <tableColumn id="10" xr3:uid="{C9C08B68-B87D-4602-8A62-25C232100A2A}" name="SEG8" dataDxfId="288"/>
    <tableColumn id="11" xr3:uid="{9E9F08E5-0E1D-47CD-821C-1DC85651E947}" name="SEG9" dataDxfId="287"/>
    <tableColumn id="12" xr3:uid="{0D4A2642-43FC-4ED0-8084-51A6280D6EA9}" name="SEG10" dataDxfId="286"/>
    <tableColumn id="137" xr3:uid="{2A9E05E1-7FF8-4A86-AAE9-445D7E5011FC}" name="SEG11" dataDxfId="285"/>
    <tableColumn id="13" xr3:uid="{AF79CE59-D893-4C85-9438-D5513B3691C2}" name="SEG12" dataDxfId="284"/>
    <tableColumn id="14" xr3:uid="{015F006B-1A0F-44E2-80B3-298669BB6AC4}" name="SEG13" dataDxfId="283"/>
    <tableColumn id="15" xr3:uid="{BD5B5C6E-BD07-4527-9010-78129DA941D4}" name="SEG14" dataDxfId="282"/>
    <tableColumn id="16" xr3:uid="{D1F95E90-89BE-4039-9D96-6927F55389F1}" name="SEG15" dataDxfId="281"/>
    <tableColumn id="17" xr3:uid="{C4AED781-F0FD-48E2-B749-C2E501F67880}" name="SEG16" dataDxfId="280"/>
    <tableColumn id="18" xr3:uid="{2FE4362A-9404-4BAB-A34A-D3BA42933893}" name="SEG17" dataDxfId="279"/>
    <tableColumn id="19" xr3:uid="{E23478B1-E41D-4EEA-B3FA-F125342D2FB3}" name="SEG18" dataDxfId="278"/>
    <tableColumn id="20" xr3:uid="{C1F7496B-6EE3-41F1-8D0D-5751BF1A6B26}" name="SEG19" dataDxfId="277"/>
    <tableColumn id="21" xr3:uid="{A8320F32-EE14-4F57-B884-E7BB8D3F5775}" name="SEG20" dataDxfId="276"/>
    <tableColumn id="22" xr3:uid="{EE7DF377-FFF9-4604-B817-112339221902}" name="SEG21" dataDxfId="275"/>
    <tableColumn id="23" xr3:uid="{35F86839-8EFC-483B-BDDA-C2585DCC4C1F}" name="SEG22" dataDxfId="274"/>
    <tableColumn id="24" xr3:uid="{ACC9595D-AA65-447B-A099-3D02A67AC96D}" name="SEG23" dataDxfId="273"/>
    <tableColumn id="25" xr3:uid="{179192FC-C4EA-4D95-A3BA-5ED4A48D6E80}" name="SEG24" dataDxfId="272"/>
    <tableColumn id="26" xr3:uid="{C59700F0-B2BF-444F-BC46-0A7AE83AE825}" name="SEG25" dataDxfId="271"/>
    <tableColumn id="27" xr3:uid="{FB60D22D-96F7-43BB-B8F1-35FEE295C743}" name="SEG26" dataDxfId="270"/>
    <tableColumn id="28" xr3:uid="{9572A167-B4A2-4E65-B675-F6A670A3399F}" name="SEG27" dataDxfId="269"/>
    <tableColumn id="29" xr3:uid="{CCAD4472-D82D-4383-9EF7-84A3D54FDB5A}" name="SEG28" dataDxfId="268"/>
    <tableColumn id="30" xr3:uid="{41F2585A-0205-4912-8068-E262A544564E}" name="SEG29" dataDxfId="267"/>
    <tableColumn id="31" xr3:uid="{94328885-FEA2-4ECB-860B-C0C6836F3AD3}" name="SEG30" dataDxfId="266"/>
    <tableColumn id="32" xr3:uid="{50A46C60-D648-4429-9BF2-EEA1FF2EEE27}" name="SEG31" dataDxfId="265"/>
    <tableColumn id="33" xr3:uid="{08321D30-FB77-4AB4-BB8E-DAC435DD9687}" name="SEG32" dataDxfId="264"/>
    <tableColumn id="34" xr3:uid="{2C2E03B9-EB5C-4EF5-B601-7024FF9D4E99}" name="SEG33" dataDxfId="263"/>
    <tableColumn id="35" xr3:uid="{4803891A-FB95-4406-910A-864B04FE22B8}" name="SEG34" dataDxfId="262"/>
    <tableColumn id="36" xr3:uid="{12BCE6B0-C31F-41AD-90A2-C0C327769EFF}" name="SEG35" dataDxfId="261"/>
    <tableColumn id="37" xr3:uid="{19511F0F-26A4-451E-A7C2-9FCD2493F193}" name="SEG36" dataDxfId="260"/>
    <tableColumn id="38" xr3:uid="{6E3965A3-819D-4D8E-8D8B-315EA256E790}" name="SEG37" dataDxfId="259"/>
    <tableColumn id="39" xr3:uid="{44AFE400-65BE-46A8-BA1E-6256DF624078}" name="SEG38" dataDxfId="258"/>
    <tableColumn id="40" xr3:uid="{B2004616-0C72-4E4D-BEE3-517BD1262473}" name="SEG39" dataDxfId="257"/>
    <tableColumn id="41" xr3:uid="{A85973D9-087D-4642-B06E-E69176458CCA}" name="SEG40" dataDxfId="256"/>
    <tableColumn id="42" xr3:uid="{26157DD0-CED6-4A72-9583-E1931A10BC85}" name="SEG41" dataDxfId="255"/>
    <tableColumn id="108" xr3:uid="{F9AA3386-1149-4580-9A9B-187425B5E1B3}" name="SEG42" dataDxfId="254"/>
    <tableColumn id="109" xr3:uid="{66313FFB-1268-44D7-AB15-F59D1EE77952}" name="SEG43" dataDxfId="253"/>
    <tableColumn id="110" xr3:uid="{06CED61B-A394-468D-AD04-F7C0F1CDB61A}" name="SEG44" dataDxfId="252"/>
    <tableColumn id="111" xr3:uid="{284A7B5A-334B-4948-8947-E51E248E738C}" name="SEG45" dataDxfId="251"/>
    <tableColumn id="112" xr3:uid="{774F21DD-F267-4CB1-974F-8CBF2AE8B97B}" name="SEG46" dataDxfId="250"/>
    <tableColumn id="113" xr3:uid="{4A77C46A-005C-40EC-BD6F-2AB3D003EF67}" name="SEG47" dataDxfId="249"/>
    <tableColumn id="114" xr3:uid="{34AB6DD1-E5B1-4AA6-838A-0BF9B3A6F654}" name="SEG48" dataDxfId="248"/>
    <tableColumn id="115" xr3:uid="{1E631E54-A189-4790-8AC2-88B5EBBBA4EF}" name="SEG49" dataDxfId="247"/>
    <tableColumn id="116" xr3:uid="{1EB2D815-98E2-4F9B-A682-729167FBC9BC}" name="SEG50" dataDxfId="246"/>
    <tableColumn id="117" xr3:uid="{8EE6E010-7F9F-4481-AA50-043B3FCB0E8E}" name="SEG51" dataDxfId="245"/>
    <tableColumn id="118" xr3:uid="{BFB8DE54-540F-454D-B9B9-1A560FE9A7BC}" name="SEG52" dataDxfId="244"/>
    <tableColumn id="119" xr3:uid="{1B96BC9B-4BE4-4F8F-9763-38C3499F257C}" name="SEG53" dataDxfId="243"/>
    <tableColumn id="120" xr3:uid="{321D6094-31AF-4C1F-9DA2-CC865F0C3067}" name="SEG54" dataDxfId="242"/>
    <tableColumn id="121" xr3:uid="{784756F2-5FEB-48F0-BE57-AA25853FBBDE}" name="SEG55" dataDxfId="241"/>
    <tableColumn id="122" xr3:uid="{46E82490-6449-4477-9FFA-5FF2A19F235E}" name="SEG56" dataDxfId="240"/>
    <tableColumn id="123" xr3:uid="{55A97345-9FAF-4ED5-8F4D-E96DDEE427D8}" name="SEG57" dataDxfId="239"/>
    <tableColumn id="124" xr3:uid="{DC168447-E08F-42A6-BBF1-0B3D65780685}" name="SEG58" dataDxfId="238"/>
    <tableColumn id="125" xr3:uid="{94468911-D40F-454F-AD9E-BFBFED2E463F}" name="SEG59" dataDxfId="237"/>
    <tableColumn id="126" xr3:uid="{E2304AF6-4E1F-4194-8749-6811A3BB3627}" name="SEG60" dataDxfId="236"/>
    <tableColumn id="127" xr3:uid="{B8484E27-9B7F-4343-923C-2D762924464A}" name="SEGL1" dataDxfId="235">
      <calculatedColumnFormula xml:space="preserve"> IF(CABLES[[#This Row],[SEG1]] &gt;0, INDEX(SEGMENTS[], MATCH(CABLES[[#Headers],[SEG1]],SEGMENTS[SEG_ID],0),4),0)</calculatedColumnFormula>
    </tableColumn>
    <tableColumn id="43" xr3:uid="{81AEEA64-DE83-4C34-B54D-2AC1DFF62119}" name="SEGL2" dataDxfId="234">
      <calculatedColumnFormula xml:space="preserve"> IF(CABLES[[#This Row],[SEG2]] &gt;0, INDEX(SEGMENTS[], MATCH(CABLES[[#Headers],[SEG2]],SEGMENTS[SEG_ID],0),4),0)</calculatedColumnFormula>
    </tableColumn>
    <tableColumn id="44" xr3:uid="{91A315BC-89DA-4F58-9327-DEDAE07B5632}" name="SEGL3" dataDxfId="233">
      <calculatedColumnFormula xml:space="preserve"> IF(CABLES[[#This Row],[SEG3]] &gt;0, INDEX(SEGMENTS[], MATCH(CABLES[[#Headers],[SEG3]],SEGMENTS[SEG_ID],0),4),0)</calculatedColumnFormula>
    </tableColumn>
    <tableColumn id="45" xr3:uid="{DB9BAECB-4AB0-43EE-AA48-F149BA2890C8}" name="SEGL4" dataDxfId="232">
      <calculatedColumnFormula xml:space="preserve"> IF(CABLES[[#This Row],[SEG4]] &gt;0, INDEX(SEGMENTS[], MATCH(CABLES[[#Headers],[SEG4]],SEGMENTS[SEG_ID],0),4),0)</calculatedColumnFormula>
    </tableColumn>
    <tableColumn id="47" xr3:uid="{BD5EC118-D073-476D-9EAA-0A358891F5FF}" name="SEGL5" dataDxfId="231">
      <calculatedColumnFormula xml:space="preserve"> IF(CABLES[[#This Row],[SEG5]] &gt;0,INDEX(SEGMENTS[], MATCH(CABLES[[#Headers],[SEG5]],SEGMENTS[SEG_ID],0),4),0)</calculatedColumnFormula>
    </tableColumn>
    <tableColumn id="48" xr3:uid="{176E93F0-087A-4E42-9A9A-F1E9345967B5}" name="SEGL6" dataDxfId="230">
      <calculatedColumnFormula xml:space="preserve"> IF(CABLES[[#This Row],[SEG6]] &gt;0,INDEX(SEGMENTS[], MATCH(CABLES[[#Headers],[SEG6]],SEGMENTS[SEG_ID],0),4),0)</calculatedColumnFormula>
    </tableColumn>
    <tableColumn id="49" xr3:uid="{D71C7CCF-E95A-42AD-AA37-E2B5637306E9}" name="SEGL7" dataDxfId="229">
      <calculatedColumnFormula xml:space="preserve"> IF(CABLES[[#This Row],[SEG7]] &gt;0,INDEX(SEGMENTS[], MATCH(CABLES[[#Headers],[SEG7]],SEGMENTS[SEG_ID],0),4),0)</calculatedColumnFormula>
    </tableColumn>
    <tableColumn id="50" xr3:uid="{DFFEE5D5-F211-4270-B0A2-AEABF74C6D4B}" name="SEGL8" dataDxfId="228">
      <calculatedColumnFormula xml:space="preserve"> IF(CABLES[[#This Row],[SEG8]] &gt;0,INDEX(SEGMENTS[], MATCH(CABLES[[#Headers],[SEG8]],SEGMENTS[SEG_ID],0),4),0)</calculatedColumnFormula>
    </tableColumn>
    <tableColumn id="51" xr3:uid="{85079134-B49E-4239-8F65-E0D5998351B1}" name="SEGL9" dataDxfId="227">
      <calculatedColumnFormula xml:space="preserve"> IF(CABLES[[#This Row],[SEG9]] &gt;0,INDEX(SEGMENTS[], MATCH(CABLES[[#Headers],[SEG9]],SEGMENTS[SEG_ID],0),4),0)</calculatedColumnFormula>
    </tableColumn>
    <tableColumn id="52" xr3:uid="{042BC2B4-655A-4CB7-88E9-3D0806AC85F6}" name="SEGL10" dataDxfId="226">
      <calculatedColumnFormula xml:space="preserve"> IF(CABLES[[#This Row],[SEG10]] &gt;0,INDEX(SEGMENTS[], MATCH(CABLES[[#Headers],[SEG10]],SEGMENTS[SEG_ID],0),4),0)</calculatedColumnFormula>
    </tableColumn>
    <tableColumn id="53" xr3:uid="{7890423C-9BE5-4C92-8EA1-132C60607283}" name="SEGL11" dataDxfId="225">
      <calculatedColumnFormula xml:space="preserve"> IF(CABLES[[#This Row],[SEG11]] &gt;0,INDEX(SEGMENTS[], MATCH(CABLES[[#Headers],[SEG11]],SEGMENTS[SEG_ID],0),4),0)</calculatedColumnFormula>
    </tableColumn>
    <tableColumn id="54" xr3:uid="{44A687DA-9C9E-4DD9-9E18-4CB96F218F9F}" name="SEGL12" dataDxfId="224">
      <calculatedColumnFormula>IF(CABLES[[#This Row],[SEG12]] &gt;0, INDEX(SEGMENTS[], MATCH(CABLES[[#Headers],[SEG12]],SEGMENTS[SEG_ID],0),4),0)</calculatedColumnFormula>
    </tableColumn>
    <tableColumn id="55" xr3:uid="{7A698806-FB41-4AA0-B293-09A39A805C4E}" name="SEGL13" dataDxfId="223">
      <calculatedColumnFormula xml:space="preserve"> IF(CABLES[[#This Row],[SEG13]] &gt;0,INDEX(SEGMENTS[], MATCH(CABLES[[#Headers],[SEG13]],SEGMENTS[SEG_ID],0),4),0)</calculatedColumnFormula>
    </tableColumn>
    <tableColumn id="56" xr3:uid="{1CA181BE-3BA1-40D1-BCFD-316361B7CE57}" name="SEGL14" dataDxfId="222">
      <calculatedColumnFormula xml:space="preserve"> IF(CABLES[[#This Row],[SEG14]] &gt;0,INDEX(SEGMENTS[], MATCH(CABLES[[#Headers],[SEG14]],SEGMENTS[SEG_ID],0),4),0)</calculatedColumnFormula>
    </tableColumn>
    <tableColumn id="57" xr3:uid="{59913A2A-6066-42C2-969F-B7ABD95020AE}" name="SEGL15" dataDxfId="221">
      <calculatedColumnFormula xml:space="preserve"> IF(CABLES[[#This Row],[SEG15]] &gt;0,INDEX(SEGMENTS[], MATCH(CABLES[[#Headers],[SEG15]],SEGMENTS[SEG_ID],0),4),0)</calculatedColumnFormula>
    </tableColumn>
    <tableColumn id="58" xr3:uid="{4E64624C-C17E-4432-8CB2-19E40892A0CA}" name="SEGL16" dataDxfId="220">
      <calculatedColumnFormula xml:space="preserve"> IF(CABLES[[#This Row],[SEG16]] &gt;0,INDEX(SEGMENTS[], MATCH(CABLES[[#Headers],[SEG16]],SEGMENTS[SEG_ID],0),4),0)</calculatedColumnFormula>
    </tableColumn>
    <tableColumn id="59" xr3:uid="{988CF46E-E31F-4017-B97E-50FF32207C9E}" name="SEGL17" dataDxfId="219">
      <calculatedColumnFormula xml:space="preserve"> IF(CABLES[[#This Row],[SEG17]] &gt;0,INDEX(SEGMENTS[], MATCH(CABLES[[#Headers],[SEG17]],SEGMENTS[SEG_ID],0),4),0)</calculatedColumnFormula>
    </tableColumn>
    <tableColumn id="60" xr3:uid="{CD1B9706-A06A-43EC-BFE3-E6A64AE76D1F}" name="SEGL18" dataDxfId="218">
      <calculatedColumnFormula xml:space="preserve"> IF(CABLES[[#This Row],[SEG18]] &gt;0,INDEX(SEGMENTS[], MATCH(CABLES[[#Headers],[SEG18]],SEGMENTS[SEG_ID],0),4),0)</calculatedColumnFormula>
    </tableColumn>
    <tableColumn id="61" xr3:uid="{88D3D24C-DF5E-4460-A050-ED5C995DC0E6}" name="SEGL19" dataDxfId="217">
      <calculatedColumnFormula>IF(CABLES[[#This Row],[SEG19]] &gt;0, INDEX(SEGMENTS[], MATCH(CABLES[[#Headers],[SEG19]],SEGMENTS[SEG_ID],0),4),0)</calculatedColumnFormula>
    </tableColumn>
    <tableColumn id="62" xr3:uid="{486FB81A-7D35-457A-9CBD-CFE92BD3C497}" name="SEGL20" dataDxfId="216">
      <calculatedColumnFormula>IF(CABLES[[#This Row],[SEG20]] &gt;0, INDEX(SEGMENTS[], MATCH(CABLES[[#Headers],[SEG20]],SEGMENTS[SEG_ID],0),4),0)</calculatedColumnFormula>
    </tableColumn>
    <tableColumn id="63" xr3:uid="{FFD03D96-0099-4B49-AC97-6119438343A7}" name="SEGL21" dataDxfId="215">
      <calculatedColumnFormula xml:space="preserve"> IF(CABLES[[#This Row],[SEG21]] &gt;0,INDEX(SEGMENTS[], MATCH(CABLES[[#Headers],[SEG21]],SEGMENTS[SEG_ID],0),4),0)</calculatedColumnFormula>
    </tableColumn>
    <tableColumn id="64" xr3:uid="{418AA87A-AF27-4798-AE8C-330BA710ADBE}" name="SEGL22" dataDxfId="214">
      <calculatedColumnFormula xml:space="preserve"> IF(CABLES[[#This Row],[SEG22]] &gt;0,INDEX(SEGMENTS[], MATCH(CABLES[[#Headers],[SEG22]],SEGMENTS[SEG_ID],0),4),0)</calculatedColumnFormula>
    </tableColumn>
    <tableColumn id="65" xr3:uid="{B1C03834-BC39-487D-B47B-90C42A783B07}" name="SEGL23" dataDxfId="213">
      <calculatedColumnFormula>IF(CABLES[[#This Row],[SEG23]] &gt;0, INDEX(SEGMENTS[], MATCH(CABLES[[#Headers],[SEG23]],SEGMENTS[SEG_ID],0),4),0)</calculatedColumnFormula>
    </tableColumn>
    <tableColumn id="66" xr3:uid="{3A5DB6E0-FC8C-4034-A4C3-39857E78A347}" name="SEGL24" dataDxfId="212">
      <calculatedColumnFormula xml:space="preserve"> IF(CABLES[[#This Row],[SEG24]] &gt;0,INDEX(SEGMENTS[], MATCH(CABLES[[#Headers],[SEG24]],SEGMENTS[SEG_ID],0),4),0)</calculatedColumnFormula>
    </tableColumn>
    <tableColumn id="67" xr3:uid="{99446D2F-2C7D-4C0F-B7CE-D814B7AF6C6E}" name="SEGL25" dataDxfId="211">
      <calculatedColumnFormula>IF(CABLES[[#This Row],[SEG25]] &gt;0, INDEX(SEGMENTS[], MATCH(CABLES[[#Headers],[SEG25]],SEGMENTS[SEG_ID],0),4),0)</calculatedColumnFormula>
    </tableColumn>
    <tableColumn id="68" xr3:uid="{586B0540-D43F-48A7-AD8F-4D566614C64D}" name="SEGL26" dataDxfId="210">
      <calculatedColumnFormula>IF(CABLES[[#This Row],[SEG26]] &gt;0, INDEX(SEGMENTS[], MATCH(CABLES[[#Headers],[SEG26]],SEGMENTS[SEG_ID],0),4),0)</calculatedColumnFormula>
    </tableColumn>
    <tableColumn id="69" xr3:uid="{75ECC2F0-ABC1-4A0F-9A51-5F7C793425C9}" name="SEGL27" dataDxfId="209">
      <calculatedColumnFormula xml:space="preserve"> IF(CABLES[[#This Row],[SEG27]] &gt;0,INDEX(SEGMENTS[], MATCH(CABLES[[#Headers],[SEG27]],SEGMENTS[SEG_ID],0),4),0)</calculatedColumnFormula>
    </tableColumn>
    <tableColumn id="70" xr3:uid="{ACD9AAF0-7859-4085-8FB0-4FF0D677B109}" name="SEGL28" dataDxfId="208">
      <calculatedColumnFormula xml:space="preserve"> IF(CABLES[[#This Row],[SEG28]] &gt;0,INDEX(SEGMENTS[], MATCH(CABLES[[#Headers],[SEG28]],SEGMENTS[SEG_ID],0),4),0)</calculatedColumnFormula>
    </tableColumn>
    <tableColumn id="71" xr3:uid="{82F13C66-B8BC-482E-A309-16E2D7432CFB}" name="SEGL29" dataDxfId="207">
      <calculatedColumnFormula xml:space="preserve"> IF(CABLES[[#This Row],[SEG29]] &gt;0,INDEX(SEGMENTS[], MATCH(CABLES[[#Headers],[SEG29]],SEGMENTS[SEG_ID],0),4),0)</calculatedColumnFormula>
    </tableColumn>
    <tableColumn id="72" xr3:uid="{8BF9D9A6-13AF-4D08-AFD6-1AF2BFD6A77F}" name="SEGL30" dataDxfId="206">
      <calculatedColumnFormula xml:space="preserve"> IF(CABLES[[#This Row],[SEG30]] &gt;0,INDEX(SEGMENTS[], MATCH(CABLES[[#Headers],[SEG30]],SEGMENTS[SEG_ID],0),4),0)</calculatedColumnFormula>
    </tableColumn>
    <tableColumn id="73" xr3:uid="{A83F7D78-DDF7-4E0C-927C-16033E3FBCB3}" name="SEGL31" dataDxfId="205">
      <calculatedColumnFormula>IF(CABLES[[#This Row],[SEG31]] &gt;0, INDEX(SEGMENTS[], MATCH(CABLES[[#Headers],[SEG31]],SEGMENTS[SEG_ID],0),4),0)</calculatedColumnFormula>
    </tableColumn>
    <tableColumn id="74" xr3:uid="{10BA9D75-65AB-40B2-8A27-F448BB3A4DA1}" name="SEGL32" dataDxfId="204">
      <calculatedColumnFormula xml:space="preserve"> IF(CABLES[[#This Row],[SEG32]] &gt;0,INDEX(SEGMENTS[], MATCH(CABLES[[#Headers],[SEG32]],SEGMENTS[SEG_ID],0),4),0)</calculatedColumnFormula>
    </tableColumn>
    <tableColumn id="75" xr3:uid="{FEB0369B-5EF9-4BE7-A4C7-37142A196106}" name="SEGL33" dataDxfId="203">
      <calculatedColumnFormula xml:space="preserve"> IF(CABLES[[#This Row],[SEG33]] &gt;0,INDEX(SEGMENTS[], MATCH(CABLES[[#Headers],[SEG33]],SEGMENTS[SEG_ID],0),4),0)</calculatedColumnFormula>
    </tableColumn>
    <tableColumn id="76" xr3:uid="{7875225E-CDFC-48A0-BEC1-E1C12BD49C23}" name="SEGL34" dataDxfId="202">
      <calculatedColumnFormula>IF(CABLES[[#This Row],[SEG34]] &gt;0, INDEX(SEGMENTS[], MATCH(CABLES[[#Headers],[SEG34]],SEGMENTS[SEG_ID],0),4),0)</calculatedColumnFormula>
    </tableColumn>
    <tableColumn id="77" xr3:uid="{E65721C6-D0E4-4D6B-849E-1A2AFE4D8FDC}" name="SEGL35" dataDxfId="201">
      <calculatedColumnFormula xml:space="preserve"> IF(CABLES[[#This Row],[SEG35]] &gt;0,INDEX(SEGMENTS[], MATCH(CABLES[[#Headers],[SEG35]],SEGMENTS[SEG_ID],0),4),0)</calculatedColumnFormula>
    </tableColumn>
    <tableColumn id="78" xr3:uid="{84C2C689-3AE1-4667-AD07-EAA461E7ADA5}" name="SEGL36" dataDxfId="200">
      <calculatedColumnFormula xml:space="preserve"> IF(CABLES[[#This Row],[SEG36]] &gt;0,INDEX(SEGMENTS[], MATCH(CABLES[[#Headers],[SEG36]],SEGMENTS[SEG_ID],0),4),0)</calculatedColumnFormula>
    </tableColumn>
    <tableColumn id="79" xr3:uid="{13D4F5C2-7279-4988-A021-99FCA6ADC5ED}" name="SEGL37" dataDxfId="199">
      <calculatedColumnFormula xml:space="preserve"> IF(CABLES[[#This Row],[SEG37]] &gt;0,INDEX(SEGMENTS[], MATCH(CABLES[[#Headers],[SEG37]],SEGMENTS[SEG_ID],0),4),0)</calculatedColumnFormula>
    </tableColumn>
    <tableColumn id="80" xr3:uid="{9CA3B5A1-BC89-46D4-8C0E-01E14ACB6CCD}" name="SEGL38" dataDxfId="198">
      <calculatedColumnFormula xml:space="preserve"> IF(CABLES[[#This Row],[SEG38]] &gt;0,INDEX(SEGMENTS[], MATCH(CABLES[[#Headers],[SEG38]],SEGMENTS[SEG_ID],0),4),0)</calculatedColumnFormula>
    </tableColumn>
    <tableColumn id="81" xr3:uid="{A425973B-196D-412D-9D6C-0B41CF84E023}" name="SEGL39" dataDxfId="197">
      <calculatedColumnFormula xml:space="preserve"> IF(CABLES[[#This Row],[SEG39]] &gt;0,INDEX(SEGMENTS[], MATCH(CABLES[[#Headers],[SEG39]],SEGMENTS[SEG_ID],0),4),0)</calculatedColumnFormula>
    </tableColumn>
    <tableColumn id="82" xr3:uid="{CEA46E1C-9C71-49A1-B5E2-0C8FD34AC8C7}" name="SEGL40" dataDxfId="196">
      <calculatedColumnFormula xml:space="preserve"> IF(CABLES[[#This Row],[SEG40]] &gt;0,INDEX(SEGMENTS[], MATCH(CABLES[[#Headers],[SEG40]],SEGMENTS[SEG_ID],0),4),0)</calculatedColumnFormula>
    </tableColumn>
    <tableColumn id="83" xr3:uid="{13E81C86-49A3-4888-8483-F785782061ED}" name="SEGL41" dataDxfId="195">
      <calculatedColumnFormula xml:space="preserve"> IF(CABLES[[#This Row],[SEG41]] &gt;0,INDEX(SEGMENTS[], MATCH(CABLES[[#Headers],[SEG41]],SEGMENTS[SEG_ID],0),4),0)</calculatedColumnFormula>
    </tableColumn>
    <tableColumn id="92" xr3:uid="{46352B27-EB2B-4262-9803-E12C3BC98600}" name="SEGL42" dataDxfId="194">
      <calculatedColumnFormula xml:space="preserve"> IF(CABLES[[#This Row],[SEG42]] &gt;0,INDEX(SEGMENTS[], MATCH(CABLES[[#Headers],[SEG42]],SEGMENTS[SEG_ID],0),4),0)</calculatedColumnFormula>
    </tableColumn>
    <tableColumn id="96" xr3:uid="{F93B029B-B266-4155-8B46-1533B037AC27}" name="SEGL43" dataDxfId="193">
      <calculatedColumnFormula xml:space="preserve"> IF(CABLES[[#This Row],[SEG43]] &gt;0,INDEX(SEGMENTS[], MATCH(CABLES[[#Headers],[SEG43]],SEGMENTS[SEG_ID],0),4),0)</calculatedColumnFormula>
    </tableColumn>
    <tableColumn id="97" xr3:uid="{3016161B-B0F3-4E47-A2CB-AC029BAC1CF2}" name="SEGL44" dataDxfId="192">
      <calculatedColumnFormula xml:space="preserve"> IF(CABLES[[#This Row],[SEG44]] &gt;0,INDEX(SEGMENTS[], MATCH(CABLES[[#Headers],[SEG44]],SEGMENTS[SEG_ID],0),4),0)</calculatedColumnFormula>
    </tableColumn>
    <tableColumn id="98" xr3:uid="{DFE2C9EF-BC7C-45D5-BBED-1A01153804FB}" name="SEGL45" dataDxfId="191">
      <calculatedColumnFormula xml:space="preserve"> IF(CABLES[[#This Row],[SEG45]] &gt;0,INDEX(SEGMENTS[], MATCH(CABLES[[#Headers],[SEG45]],SEGMENTS[SEG_ID],0),4),0)</calculatedColumnFormula>
    </tableColumn>
    <tableColumn id="99" xr3:uid="{15050192-FCE0-409A-933E-C7836B674CE8}" name="SEGL46" dataDxfId="190">
      <calculatedColumnFormula xml:space="preserve"> IF(CABLES[[#This Row],[SEG46]] &gt;0,INDEX(SEGMENTS[], MATCH(CABLES[[#Headers],[SEG46]],SEGMENTS[SEG_ID],0),4),0)</calculatedColumnFormula>
    </tableColumn>
    <tableColumn id="100" xr3:uid="{CE3CE5BA-808F-4C51-BD05-CA35A3F7F450}" name="SEGL47" dataDxfId="189">
      <calculatedColumnFormula xml:space="preserve"> IF(CABLES[[#This Row],[SEG47]] &gt;0,INDEX(SEGMENTS[], MATCH(CABLES[[#Headers],[SEG47]],SEGMENTS[SEG_ID],0),4),0)</calculatedColumnFormula>
    </tableColumn>
    <tableColumn id="101" xr3:uid="{666DC722-2952-4A58-B628-CFF23576A83F}" name="SEGL48" dataDxfId="188">
      <calculatedColumnFormula xml:space="preserve"> IF(CABLES[[#This Row],[SEG48]] &gt;0,INDEX(SEGMENTS[], MATCH(CABLES[[#Headers],[SEG48]],SEGMENTS[SEG_ID],0),4),0)</calculatedColumnFormula>
    </tableColumn>
    <tableColumn id="93" xr3:uid="{6B6E3FA4-6287-4F6B-A517-6FFBF2EF19A8}" name="SEGL49" dataDxfId="187">
      <calculatedColumnFormula xml:space="preserve"> IF(CABLES[[#This Row],[SEG49]] &gt;0,INDEX(SEGMENTS[], MATCH(CABLES[[#Headers],[SEG49]],SEGMENTS[SEG_ID],0),4),0)</calculatedColumnFormula>
    </tableColumn>
    <tableColumn id="94" xr3:uid="{6FC51990-2335-4F3B-A2F2-76A43BFEA452}" name="SEGL50" dataDxfId="186">
      <calculatedColumnFormula xml:space="preserve"> IF(CABLES[[#This Row],[SEG50]] &gt;0,INDEX(SEGMENTS[], MATCH(CABLES[[#Headers],[SEG50]],SEGMENTS[SEG_ID],0),4),0)</calculatedColumnFormula>
    </tableColumn>
    <tableColumn id="95" xr3:uid="{4C4F92C9-FE8F-4C7A-9F5F-74D6C92BFB44}" name="SEGL51" dataDxfId="185">
      <calculatedColumnFormula xml:space="preserve"> IF(CABLES[[#This Row],[SEG51]] &gt;0,INDEX(SEGMENTS[], MATCH(CABLES[[#Headers],[SEG51]],SEGMENTS[SEG_ID],0),4),0)</calculatedColumnFormula>
    </tableColumn>
    <tableColumn id="88" xr3:uid="{3A2FADE5-623C-42AB-9E42-5384A97EA67E}" name="SEGL52" dataDxfId="184">
      <calculatedColumnFormula xml:space="preserve"> IF(CABLES[[#This Row],[SEG52]] &gt;0,INDEX(SEGMENTS[], MATCH(CABLES[[#Headers],[SEG52]],SEGMENTS[SEG_ID],0),4),0)</calculatedColumnFormula>
    </tableColumn>
    <tableColumn id="89" xr3:uid="{319EAFE5-D3BF-41DA-9FE9-17BD7C8F2EF4}" name="SEGL53" dataDxfId="183">
      <calculatedColumnFormula xml:space="preserve"> IF(CABLES[[#This Row],[SEG53]] &gt;0,INDEX(SEGMENTS[], MATCH(CABLES[[#Headers],[SEG53]],SEGMENTS[SEG_ID],0),4),0)</calculatedColumnFormula>
    </tableColumn>
    <tableColumn id="90" xr3:uid="{700F0E62-ECFA-4A3E-97E6-8900895590CE}" name="SEGL54" dataDxfId="182">
      <calculatedColumnFormula xml:space="preserve"> IF(CABLES[[#This Row],[SEG54]] &gt;0,INDEX(SEGMENTS[], MATCH(CABLES[[#Headers],[SEG54]],SEGMENTS[SEG_ID],0),4),0)</calculatedColumnFormula>
    </tableColumn>
    <tableColumn id="91" xr3:uid="{75B7796B-AF24-4ADA-A4FC-A4114E5B289E}" name="SEGL55" dataDxfId="181">
      <calculatedColumnFormula xml:space="preserve"> IF(CABLES[[#This Row],[SEG55]] &gt;0,INDEX(SEGMENTS[], MATCH(CABLES[[#Headers],[SEG55]],SEGMENTS[SEG_ID],0),4),0)</calculatedColumnFormula>
    </tableColumn>
    <tableColumn id="102" xr3:uid="{D7F779AE-66E9-486E-B138-8976876E4AB6}" name="SEGL56" dataDxfId="180">
      <calculatedColumnFormula xml:space="preserve"> IF(CABLES[[#This Row],[SEG56]] &gt;0,INDEX(SEGMENTS[], MATCH(CABLES[[#Headers],[SEG56]],SEGMENTS[SEG_ID],0),4),0)</calculatedColumnFormula>
    </tableColumn>
    <tableColumn id="103" xr3:uid="{D9909161-DB72-4E60-9573-5161AA446396}" name="SEGL57" dataDxfId="179">
      <calculatedColumnFormula xml:space="preserve"> IF(CABLES[[#This Row],[SEG57]] &gt;0,INDEX(SEGMENTS[], MATCH(CABLES[[#Headers],[SEG57]],SEGMENTS[SEG_ID],0),4),0)</calculatedColumnFormula>
    </tableColumn>
    <tableColumn id="104" xr3:uid="{DEAF1270-1AF2-441F-8CC2-ACF20213C780}" name="SEGL58" dataDxfId="178">
      <calculatedColumnFormula xml:space="preserve"> IF(CABLES[[#This Row],[SEG58]] &gt;0,INDEX(SEGMENTS[], MATCH(CABLES[[#Headers],[SEG58]],SEGMENTS[SEG_ID],0),4),0)</calculatedColumnFormula>
    </tableColumn>
    <tableColumn id="105" xr3:uid="{A0F97C83-13C9-4B7B-A148-B82A3932F35B}" name="SEGL59" dataDxfId="177">
      <calculatedColumnFormula xml:space="preserve"> IF(CABLES[[#This Row],[SEG59]] &gt;0,INDEX(SEGMENTS[], MATCH(CABLES[[#Headers],[SEG59]],SEGMENTS[SEG_ID],0),4),0)</calculatedColumnFormula>
    </tableColumn>
    <tableColumn id="106" xr3:uid="{8DC0CA19-A850-4AF8-8883-CDE65DA82C92}" name="SEGL60" dataDxfId="176">
      <calculatedColumnFormula xml:space="preserve"> IF(CABLES[[#This Row],[SEG60]] &gt;0,INDEX(SEGMENTS[], MATCH(CABLES[[#Headers],[SEG60]],SEGMENTS[SEG_ID],0),4),0)</calculatedColumnFormula>
    </tableColumn>
    <tableColumn id="107" xr3:uid="{EE0E063F-7C54-41B2-80F1-7F14A935ACAB}" name="SEGL_TOTAL" dataDxfId="175">
      <calculatedColumnFormula>SUM(CABLES[[#This Row],[SEGL1]:[SEGL60]])</calculatedColumnFormula>
    </tableColumn>
    <tableColumn id="84" xr3:uid="{BA339211-0E94-4CB9-B74B-A824A3819C7E}" name="FITOFF" dataDxfId="174">
      <calculatedColumnFormula>SUM(CABLES[[#This Row],[SEGL1]:[SEGL60]])</calculatedColumnFormula>
    </tableColumn>
    <tableColumn id="85" xr3:uid="{E8E4A6D0-30D5-4CDC-B742-590C18B33440}" name="XCAPACITY" dataDxfId="173"/>
    <tableColumn id="86" xr3:uid="{6411698B-863E-420B-9FE5-CCD95C2AA12C}" name="ESTIMATED_CABLE_LENGTH" dataDxfId="172">
      <calculatedColumnFormula xml:space="preserve"> IF(CABLES[[#This Row],[SEGL_TOTAL]]&gt;0, (CABLES[[#This Row],[SEGL_TOTAL]] + CABLES[[#This Row],[FITOFF]]) *CABLES[[#This Row],[XCAPACITY]],0)</calculatedColumnFormula>
    </tableColumn>
    <tableColumn id="87" xr3:uid="{974995E0-A4E3-4DD8-ADBE-F56F6951A090}" name="SEGD1" dataDxfId="171">
      <calculatedColumnFormula>IF(CABLES[[#This Row],[SEG1]]&gt;0,CABLES[[#This Row],[CABLE_DIAMETER]],0)</calculatedColumnFormula>
    </tableColumn>
    <tableColumn id="146" xr3:uid="{B475BACC-DA0C-4C04-86D3-0DB9E2681A48}" name="SEGD2" dataDxfId="170">
      <calculatedColumnFormula>IF(CABLES[[#This Row],[SEG2]]&gt;0,CABLES[[#This Row],[CABLE_DIAMETER]],0)</calculatedColumnFormula>
    </tableColumn>
    <tableColumn id="147" xr3:uid="{BF783049-57F4-4076-BD6F-65ED1341B516}" name="SEGD3" dataDxfId="169">
      <calculatedColumnFormula>IF(CABLES[[#This Row],[SEG3]]&gt;0,CABLES[[#This Row],[CABLE_DIAMETER]],0)</calculatedColumnFormula>
    </tableColumn>
    <tableColumn id="148" xr3:uid="{291072FF-FA75-4FF9-A9A4-6A39FC359FAB}" name="SEGD4" dataDxfId="168">
      <calculatedColumnFormula>IF(CABLES[[#This Row],[SEG4]]&gt;0,CABLES[[#This Row],[CABLE_DIAMETER]],0)</calculatedColumnFormula>
    </tableColumn>
    <tableColumn id="143" xr3:uid="{08C57A22-49CA-4C48-AEA2-02794AEE6AAF}" name="SEGD5" dataDxfId="167">
      <calculatedColumnFormula>IF(CABLES[[#This Row],[SEG5]]&gt;0,CABLES[[#This Row],[CABLE_DIAMETER]],0)</calculatedColumnFormula>
    </tableColumn>
    <tableColumn id="144" xr3:uid="{047D50CB-0945-4683-AFAB-5016D63A09EF}" name="SEGD6" dataDxfId="166">
      <calculatedColumnFormula>IF(CABLES[[#This Row],[SEG6]]&gt;0,CABLES[[#This Row],[CABLE_DIAMETER]],0)</calculatedColumnFormula>
    </tableColumn>
    <tableColumn id="145" xr3:uid="{C01AA733-68AF-4FFC-9A18-229B79B6F977}" name="SEGD7" dataDxfId="165">
      <calculatedColumnFormula>IF(CABLES[[#This Row],[SEG7]]&gt;0,CABLES[[#This Row],[CABLE_DIAMETER]],0)</calculatedColumnFormula>
    </tableColumn>
    <tableColumn id="149" xr3:uid="{D6D07BFA-DA5E-402C-A839-92598607E175}" name="SEGD8" dataDxfId="164">
      <calculatedColumnFormula>IF(CABLES[[#This Row],[SEG9]]&gt;0,CABLES[[#This Row],[CABLE_DIAMETER]],0)</calculatedColumnFormula>
    </tableColumn>
    <tableColumn id="150" xr3:uid="{C0121B01-70E8-462A-BA5B-8FA430D09397}" name="SEGD9" dataDxfId="163">
      <calculatedColumnFormula>IF(CABLES[[#This Row],[SEG9]]&gt;0,CABLES[[#This Row],[CABLE_DIAMETER]],0)</calculatedColumnFormula>
    </tableColumn>
    <tableColumn id="151" xr3:uid="{CAEB63EB-B747-4546-ACEE-04D2AE602628}" name="SEGD10" dataDxfId="162">
      <calculatedColumnFormula>IF(CABLES[[#This Row],[SEG10]]&gt;0,CABLES[[#This Row],[CABLE_DIAMETER]],0)</calculatedColumnFormula>
    </tableColumn>
    <tableColumn id="152" xr3:uid="{76AD2740-9CCD-4418-B9BF-48DD503D1175}" name="SEGD11" dataDxfId="161">
      <calculatedColumnFormula>IF(CABLES[[#This Row],[SEG11]]&gt;0,CABLES[[#This Row],[CABLE_DIAMETER]],0)</calculatedColumnFormula>
    </tableColumn>
    <tableColumn id="153" xr3:uid="{89084483-2FD2-410D-951D-36B76E740711}" name="SEGD12" dataDxfId="160">
      <calculatedColumnFormula>IF(CABLES[[#This Row],[SEG12]]&gt;0,CABLES[[#This Row],[CABLE_DIAMETER]],0)</calculatedColumnFormula>
    </tableColumn>
    <tableColumn id="154" xr3:uid="{FC9E4CC1-C159-42F1-95B5-9D01BA32440D}" name="SEGD13" dataDxfId="159">
      <calculatedColumnFormula>IF(CABLES[[#This Row],[SEG13]]&gt;0,CABLES[[#This Row],[CABLE_DIAMETER]],0)</calculatedColumnFormula>
    </tableColumn>
    <tableColumn id="155" xr3:uid="{AD18BE24-0A15-4955-9B2B-EB6F56854472}" name="SEGD14" dataDxfId="158">
      <calculatedColumnFormula>IF(CABLES[[#This Row],[SEG14]]&gt;0,CABLES[[#This Row],[CABLE_DIAMETER]],0)</calculatedColumnFormula>
    </tableColumn>
    <tableColumn id="156" xr3:uid="{1236B253-FEA8-49F7-B4C3-92B3D961D312}" name="SEGD15" dataDxfId="157">
      <calculatedColumnFormula>IF(CABLES[[#This Row],[SEG15]]&gt;0,CABLES[[#This Row],[CABLE_DIAMETER]],0)</calculatedColumnFormula>
    </tableColumn>
    <tableColumn id="157" xr3:uid="{8992C877-2171-448F-B01C-9A6583BFB14A}" name="SEGD16" dataDxfId="156">
      <calculatedColumnFormula>IF(CABLES[[#This Row],[SEG16]]&gt;0,CABLES[[#This Row],[CABLE_DIAMETER]],0)</calculatedColumnFormula>
    </tableColumn>
    <tableColumn id="158" xr3:uid="{883D84B6-39AC-40CD-B12E-9A889FE67B1A}" name="SEGD17" dataDxfId="155">
      <calculatedColumnFormula>IF(CABLES[[#This Row],[SEG17]]&gt;0,CABLES[[#This Row],[CABLE_DIAMETER]],0)</calculatedColumnFormula>
    </tableColumn>
    <tableColumn id="159" xr3:uid="{F7EF304B-D28D-4E12-9C0A-B2DF4E391B63}" name="SEGD18" dataDxfId="154">
      <calculatedColumnFormula>IF(CABLES[[#This Row],[SEG18]]&gt;0,CABLES[[#This Row],[CABLE_DIAMETER]],0)</calculatedColumnFormula>
    </tableColumn>
    <tableColumn id="160" xr3:uid="{B80CA7B8-A1AB-4352-B8D2-E788AA5BB366}" name="SEGD19" dataDxfId="153">
      <calculatedColumnFormula>IF(CABLES[[#This Row],[SEG19]]&gt;0,CABLES[[#This Row],[CABLE_DIAMETER]],0)</calculatedColumnFormula>
    </tableColumn>
    <tableColumn id="161" xr3:uid="{8A3055E1-3A61-413B-9F80-4601ACD0514B}" name="SEGD20" dataDxfId="152">
      <calculatedColumnFormula>IF(CABLES[[#This Row],[SEG20]]&gt;0,CABLES[[#This Row],[CABLE_DIAMETER]],0)</calculatedColumnFormula>
    </tableColumn>
    <tableColumn id="162" xr3:uid="{859EFBF8-8419-4B1B-BAE7-773413B98042}" name="SEGD21" dataDxfId="151">
      <calculatedColumnFormula>IF(CABLES[[#This Row],[SEG21]]&gt;0,CABLES[[#This Row],[CABLE_DIAMETER]],0)</calculatedColumnFormula>
    </tableColumn>
    <tableColumn id="163" xr3:uid="{B32C1AB9-C39D-4638-8D82-5F8A38E8E8E2}" name="SEGD22" dataDxfId="150">
      <calculatedColumnFormula>IF(CABLES[[#This Row],[SEG22]]&gt;0,CABLES[[#This Row],[CABLE_DIAMETER]],0)</calculatedColumnFormula>
    </tableColumn>
    <tableColumn id="164" xr3:uid="{0725BB7D-2E5A-4393-8E5B-D159A3C4F250}" name="SEGD23" dataDxfId="149">
      <calculatedColumnFormula>IF(CABLES[[#This Row],[SEG23]]&gt;0,CABLES[[#This Row],[CABLE_DIAMETER]],0)</calculatedColumnFormula>
    </tableColumn>
    <tableColumn id="165" xr3:uid="{CAB45AEA-28C7-4EB4-B4A8-3537A40C5E37}" name="SEGD24" dataDxfId="148">
      <calculatedColumnFormula>IF(CABLES[[#This Row],[SEG24]]&gt;0,CABLES[[#This Row],[CABLE_DIAMETER]],0)</calculatedColumnFormula>
    </tableColumn>
    <tableColumn id="166" xr3:uid="{77729B2C-D62C-4144-B215-21391D622011}" name="SEGD25" dataDxfId="147">
      <calculatedColumnFormula>IF(CABLES[[#This Row],[SEG25]]&gt;0,CABLES[[#This Row],[CABLE_DIAMETER]],0)</calculatedColumnFormula>
    </tableColumn>
    <tableColumn id="167" xr3:uid="{1AE97E8F-BD46-4AB1-9558-03E519C45C3E}" name="SEGD26" dataDxfId="146">
      <calculatedColumnFormula>IF(CABLES[[#This Row],[SEG26]]&gt;0,CABLES[[#This Row],[CABLE_DIAMETER]],0)</calculatedColumnFormula>
    </tableColumn>
    <tableColumn id="168" xr3:uid="{877FACE7-AFCA-47CF-B48E-1D80BF260859}" name="SEGD27" dataDxfId="145">
      <calculatedColumnFormula>IF(CABLES[[#This Row],[SEG27]]&gt;0,CABLES[[#This Row],[CABLE_DIAMETER]],0)</calculatedColumnFormula>
    </tableColumn>
    <tableColumn id="169" xr3:uid="{DCE58088-7DE0-4359-82CC-48C127221410}" name="SEGD28" dataDxfId="144">
      <calculatedColumnFormula>IF(CABLES[[#This Row],[SEG28]]&gt;0,CABLES[[#This Row],[CABLE_DIAMETER]],0)</calculatedColumnFormula>
    </tableColumn>
    <tableColumn id="170" xr3:uid="{07580AE8-0A26-4D99-8709-A9C80DB4052F}" name="SEGD29" dataDxfId="143">
      <calculatedColumnFormula>IF(CABLES[[#This Row],[SEG29]]&gt;0,CABLES[[#This Row],[CABLE_DIAMETER]],0)</calculatedColumnFormula>
    </tableColumn>
    <tableColumn id="171" xr3:uid="{533B9B0D-BA33-4528-B571-84BABD1C8E0A}" name="SEGD30" dataDxfId="142">
      <calculatedColumnFormula>IF(CABLES[[#This Row],[SEG30]]&gt;0,CABLES[[#This Row],[CABLE_DIAMETER]],0)</calculatedColumnFormula>
    </tableColumn>
    <tableColumn id="172" xr3:uid="{A383D7D8-8357-422D-886E-5679CF455FF0}" name="SEGD31" dataDxfId="141">
      <calculatedColumnFormula>IF(CABLES[[#This Row],[SEG31]]&gt;0,CABLES[[#This Row],[CABLE_DIAMETER]],0)</calculatedColumnFormula>
    </tableColumn>
    <tableColumn id="173" xr3:uid="{0944BC66-9495-4072-BD55-C806FDCF23DC}" name="SEGD32" dataDxfId="140">
      <calculatedColumnFormula>IF(CABLES[[#This Row],[SEG32]]&gt;0,CABLES[[#This Row],[CABLE_DIAMETER]],0)</calculatedColumnFormula>
    </tableColumn>
    <tableColumn id="174" xr3:uid="{19E976F2-7AFE-44B4-B2D6-B87CC843C354}" name="SEGD33" dataDxfId="139">
      <calculatedColumnFormula>IF(CABLES[[#This Row],[SEG33]]&gt;0,CABLES[[#This Row],[CABLE_DIAMETER]],0)</calculatedColumnFormula>
    </tableColumn>
    <tableColumn id="175" xr3:uid="{D0973120-D2B3-4FCE-974E-F232F119AFF1}" name="SEGD34" dataDxfId="138">
      <calculatedColumnFormula>IF(CABLES[[#This Row],[SEG34]]&gt;0,CABLES[[#This Row],[CABLE_DIAMETER]],0)</calculatedColumnFormula>
    </tableColumn>
    <tableColumn id="176" xr3:uid="{534B9DF2-287E-4059-AB6A-94E1880A6ED3}" name="SEGD35" dataDxfId="137">
      <calculatedColumnFormula>IF(CABLES[[#This Row],[SEG35]]&gt;0,CABLES[[#This Row],[CABLE_DIAMETER]],0)</calculatedColumnFormula>
    </tableColumn>
    <tableColumn id="177" xr3:uid="{886952C0-87E4-453A-9DE0-E56E2C466E01}" name="SEGD36" dataDxfId="136">
      <calculatedColumnFormula>IF(CABLES[[#This Row],[SEG36]]&gt;0,CABLES[[#This Row],[CABLE_DIAMETER]],0)</calculatedColumnFormula>
    </tableColumn>
    <tableColumn id="178" xr3:uid="{5E86886F-BEDB-4AFF-8566-4740CDF0A90E}" name="SEGD37" dataDxfId="135">
      <calculatedColumnFormula>IF(CABLES[[#This Row],[SEG37]]&gt;0,CABLES[[#This Row],[CABLE_DIAMETER]],0)</calculatedColumnFormula>
    </tableColumn>
    <tableColumn id="179" xr3:uid="{7B745795-469C-4894-803D-F519F9592CFE}" name="SEGD38" dataDxfId="134">
      <calculatedColumnFormula>IF(CABLES[[#This Row],[SEG38]]&gt;0,CABLES[[#This Row],[CABLE_DIAMETER]],0)</calculatedColumnFormula>
    </tableColumn>
    <tableColumn id="180" xr3:uid="{8789A1E1-D425-4A80-856D-AB511F041FB2}" name="SEGD39" dataDxfId="133">
      <calculatedColumnFormula>IF(CABLES[[#This Row],[SEG39]]&gt;0,CABLES[[#This Row],[CABLE_DIAMETER]],0)</calculatedColumnFormula>
    </tableColumn>
    <tableColumn id="181" xr3:uid="{628E7B6A-189B-427B-B3D5-AD387324BCD0}" name="SEGD40" dataDxfId="132">
      <calculatedColumnFormula>IF(CABLES[[#This Row],[SEG40]]&gt;0,CABLES[[#This Row],[CABLE_DIAMETER]],0)</calculatedColumnFormula>
    </tableColumn>
    <tableColumn id="182" xr3:uid="{C56B7F57-880A-4B8D-A35B-10373C7BAF41}" name="SEGD41" dataDxfId="131">
      <calculatedColumnFormula>IF(CABLES[[#This Row],[SEG41]]&gt;0,CABLES[[#This Row],[CABLE_DIAMETER]],0)</calculatedColumnFormula>
    </tableColumn>
    <tableColumn id="183" xr3:uid="{EF7C8A28-464B-4697-8E1C-4719033A6E94}" name="SEGD42" dataDxfId="130">
      <calculatedColumnFormula>IF(CABLES[[#This Row],[SEG42]]&gt;0,CABLES[[#This Row],[CABLE_DIAMETER]],0)</calculatedColumnFormula>
    </tableColumn>
    <tableColumn id="184" xr3:uid="{FE35BF0E-E796-4D1A-B2A5-37F74A3EAB20}" name="SEGD43" dataDxfId="129">
      <calculatedColumnFormula>IF(CABLES[[#This Row],[SEG43]]&gt;0,CABLES[[#This Row],[CABLE_DIAMETER]],0)</calculatedColumnFormula>
    </tableColumn>
    <tableColumn id="185" xr3:uid="{E3757798-65D4-48CC-A6F8-69A023D4C63C}" name="SEGD44" dataDxfId="128">
      <calculatedColumnFormula>IF(CABLES[[#This Row],[SEG44]]&gt;0,CABLES[[#This Row],[CABLE_DIAMETER]],0)</calculatedColumnFormula>
    </tableColumn>
    <tableColumn id="186" xr3:uid="{89D67196-DDB0-467E-B571-E1CC4539014A}" name="SEGD45" dataDxfId="127">
      <calculatedColumnFormula>IF(CABLES[[#This Row],[SEG45]]&gt;0,CABLES[[#This Row],[CABLE_DIAMETER]],0)</calculatedColumnFormula>
    </tableColumn>
    <tableColumn id="187" xr3:uid="{98FD2BF4-3561-4BCF-93C9-BD027DA7CA92}" name="SEGD46" dataDxfId="126">
      <calculatedColumnFormula>IF(CABLES[[#This Row],[SEG46]]&gt;0,CABLES[[#This Row],[CABLE_DIAMETER]],0)</calculatedColumnFormula>
    </tableColumn>
    <tableColumn id="188" xr3:uid="{423980DE-845D-4649-80DC-473CCCBAF2FA}" name="SEGD47" dataDxfId="125">
      <calculatedColumnFormula>IF(CABLES[[#This Row],[SEG47]]&gt;0,CABLES[[#This Row],[CABLE_DIAMETER]],0)</calculatedColumnFormula>
    </tableColumn>
    <tableColumn id="189" xr3:uid="{BE09486F-DB95-4965-B538-C2B946FA01E3}" name="SEGD48" dataDxfId="124">
      <calculatedColumnFormula>IF(CABLES[[#This Row],[SEG48]]&gt;0,CABLES[[#This Row],[CABLE_DIAMETER]],0)</calculatedColumnFormula>
    </tableColumn>
    <tableColumn id="190" xr3:uid="{5EAED4A2-A1D1-4F0D-A53D-6EEC7E06A8F6}" name="SEGD49" dataDxfId="123">
      <calculatedColumnFormula>IF(CABLES[[#This Row],[SEG49]]&gt;0,CABLES[[#This Row],[CABLE_DIAMETER]],0)</calculatedColumnFormula>
    </tableColumn>
    <tableColumn id="191" xr3:uid="{B6765D42-47B1-46D3-9D43-AE3401264904}" name="SEGD50" dataDxfId="122">
      <calculatedColumnFormula>IF(CABLES[[#This Row],[SEG50]]&gt;0,CABLES[[#This Row],[CABLE_DIAMETER]],0)</calculatedColumnFormula>
    </tableColumn>
    <tableColumn id="192" xr3:uid="{B056A91B-CF0E-4A3F-9EF0-8CF26994701C}" name="SEGD51" dataDxfId="121">
      <calculatedColumnFormula>IF(CABLES[[#This Row],[SEG51]]&gt;0,CABLES[[#This Row],[CABLE_DIAMETER]],0)</calculatedColumnFormula>
    </tableColumn>
    <tableColumn id="193" xr3:uid="{2C6D26A8-CA5A-47D1-B56F-C9CD8BB3A44D}" name="SEGD52" dataDxfId="120">
      <calculatedColumnFormula>IF(CABLES[[#This Row],[SEG52]]&gt;0,CABLES[[#This Row],[CABLE_DIAMETER]],0)</calculatedColumnFormula>
    </tableColumn>
    <tableColumn id="194" xr3:uid="{27A9B41F-29D1-43AB-AACF-12F8D6F488A7}" name="SEGD53" dataDxfId="119">
      <calculatedColumnFormula>IF(CABLES[[#This Row],[SEG53]]&gt;0,CABLES[[#This Row],[CABLE_DIAMETER]],0)</calculatedColumnFormula>
    </tableColumn>
    <tableColumn id="195" xr3:uid="{B3463A75-A77C-42D5-B8B2-6DDC8268698B}" name="SEGD54" dataDxfId="118">
      <calculatedColumnFormula>IF(CABLES[[#This Row],[SEG54]]&gt;0,CABLES[[#This Row],[CABLE_DIAMETER]],0)</calculatedColumnFormula>
    </tableColumn>
    <tableColumn id="196" xr3:uid="{88B2BF93-573B-4367-8F87-34A69126C83B}" name="SEGD55" dataDxfId="117">
      <calculatedColumnFormula>IF(CABLES[[#This Row],[SEG55]]&gt;0,CABLES[[#This Row],[CABLE_DIAMETER]],0)</calculatedColumnFormula>
    </tableColumn>
    <tableColumn id="197" xr3:uid="{B4F960E6-A788-48B6-9413-830E8D10CBE4}" name="SEGD56" dataDxfId="116">
      <calculatedColumnFormula>IF(CABLES[[#This Row],[SEG56]]&gt;0,CABLES[[#This Row],[CABLE_DIAMETER]],0)</calculatedColumnFormula>
    </tableColumn>
    <tableColumn id="198" xr3:uid="{37DE926B-E13C-4223-B107-7DC4744735F7}" name="SEGD57" dataDxfId="115">
      <calculatedColumnFormula>IF(CABLES[[#This Row],[SEG57]]&gt;0,CABLES[[#This Row],[CABLE_DIAMETER]],0)</calculatedColumnFormula>
    </tableColumn>
    <tableColumn id="199" xr3:uid="{309D7B23-DA33-4CA9-8E8E-DBD82779708C}" name="SEGD58" dataDxfId="114">
      <calculatedColumnFormula>IF(CABLES[[#This Row],[SEG58]]&gt;0,CABLES[[#This Row],[CABLE_DIAMETER]],0)</calculatedColumnFormula>
    </tableColumn>
    <tableColumn id="200" xr3:uid="{670AF30A-4324-4145-ABC4-EEF372BA5CB0}" name="SEGD59" dataDxfId="113">
      <calculatedColumnFormula>IF(CABLES[[#This Row],[SEG59]]&gt;0,CABLES[[#This Row],[CABLE_DIAMETER]],0)</calculatedColumnFormula>
    </tableColumn>
    <tableColumn id="201" xr3:uid="{8016E28E-5FA8-444F-8F11-224257632AD0}" name="SEGD60" dataDxfId="112">
      <calculatedColumnFormula>IF(CABLES[[#This Row],[SEG60]]&gt;0,CABLES[[#This Row],[CABLE_DIAMETER]],0)</calculatedColumnFormula>
    </tableColumn>
    <tableColumn id="202" xr3:uid="{3777E4BF-9979-4145-B31C-714971C1B2F8}" name="SEGM1" dataDxfId="111">
      <calculatedColumnFormula>IF(CABLES[[#This Row],[SEG1]]&gt;0,CABLES[[#This Row],[CABLE_MASS]],0)</calculatedColumnFormula>
    </tableColumn>
    <tableColumn id="203" xr3:uid="{C7F710E9-0AE7-446F-AC05-CB939F241663}" name="SEGM2" dataDxfId="110">
      <calculatedColumnFormula>IF(CABLES[[#This Row],[SEG2]]&gt;0,CABLES[[#This Row],[CABLE_MASS]],0)</calculatedColumnFormula>
    </tableColumn>
    <tableColumn id="204" xr3:uid="{0AB5DB9D-434E-41F8-8C28-279EE8FA4918}" name="SEGM3" dataDxfId="109">
      <calculatedColumnFormula>IF(CABLES[[#This Row],[SEG3]]&gt;0,CABLES[[#This Row],[CABLE_MASS]],0)</calculatedColumnFormula>
    </tableColumn>
    <tableColumn id="205" xr3:uid="{0D862CF3-7E97-4367-ABEA-ACA57D7F4191}" name="SEGM4" dataDxfId="108">
      <calculatedColumnFormula>IF(CABLES[[#This Row],[SEG4]]&gt;0,CABLES[[#This Row],[CABLE_MASS]],0)</calculatedColumnFormula>
    </tableColumn>
    <tableColumn id="206" xr3:uid="{A5078661-F001-40FE-93CC-CB880F3E3EE7}" name="SEGM5" dataDxfId="107">
      <calculatedColumnFormula>IF(CABLES[[#This Row],[SEG5]]&gt;0,CABLES[[#This Row],[CABLE_MASS]],0)</calculatedColumnFormula>
    </tableColumn>
    <tableColumn id="207" xr3:uid="{CE706AF3-2BA5-4023-9CE4-E7047C4A8706}" name="SEGM6" dataDxfId="106">
      <calculatedColumnFormula>IF(CABLES[[#This Row],[SEG6]]&gt;0,CABLES[[#This Row],[CABLE_MASS]],0)</calculatedColumnFormula>
    </tableColumn>
    <tableColumn id="208" xr3:uid="{D2CE6981-3149-4140-9DB2-215EA2BBBE6F}" name="SEGM7" dataDxfId="105">
      <calculatedColumnFormula>IF(CABLES[[#This Row],[SEG7]]&gt;0,CABLES[[#This Row],[CABLE_MASS]],0)</calculatedColumnFormula>
    </tableColumn>
    <tableColumn id="209" xr3:uid="{A98EC0B4-24E1-4F43-8984-2936B475A6B6}" name="SEGM8" dataDxfId="104">
      <calculatedColumnFormula>IF(CABLES[[#This Row],[SEG8]]&gt;0,CABLES[[#This Row],[CABLE_MASS]],0)</calculatedColumnFormula>
    </tableColumn>
    <tableColumn id="210" xr3:uid="{C8C31356-3B47-40E1-BC02-705A40256079}" name="SEGM9" dataDxfId="103">
      <calculatedColumnFormula>IF(CABLES[[#This Row],[SEG9]]&gt;0,CABLES[[#This Row],[CABLE_MASS]],0)</calculatedColumnFormula>
    </tableColumn>
    <tableColumn id="211" xr3:uid="{32A3AFB9-528C-485E-B2F7-1A1FDC50D556}" name="SEGM10" dataDxfId="102">
      <calculatedColumnFormula>IF(CABLES[[#This Row],[SEG10]]&gt;0,CABLES[[#This Row],[CABLE_MASS]],0)</calculatedColumnFormula>
    </tableColumn>
    <tableColumn id="212" xr3:uid="{7B84B6C6-6F90-4527-A40B-723FECEF9F87}" name="SEGM11" dataDxfId="101">
      <calculatedColumnFormula>IF(CABLES[[#This Row],[SEG11]]&gt;0,CABLES[[#This Row],[CABLE_MASS]],0)</calculatedColumnFormula>
    </tableColumn>
    <tableColumn id="213" xr3:uid="{D413E3FE-1A20-4F72-B92A-C1928DAD04C3}" name="SEGM12" dataDxfId="100">
      <calculatedColumnFormula>IF(CABLES[[#This Row],[SEG12]]&gt;0,CABLES[[#This Row],[CABLE_MASS]],0)</calculatedColumnFormula>
    </tableColumn>
    <tableColumn id="214" xr3:uid="{C978B42A-7E59-465F-8EB4-2B82826B454F}" name="SEGM13" dataDxfId="99">
      <calculatedColumnFormula>IF(CABLES[[#This Row],[SEG13]]&gt;0,CABLES[[#This Row],[CABLE_MASS]],0)</calculatedColumnFormula>
    </tableColumn>
    <tableColumn id="215" xr3:uid="{E675DD18-08E4-44A8-AF09-65477DC42D84}" name="SEGM14" dataDxfId="98">
      <calculatedColumnFormula>IF(CABLES[[#This Row],[SEG14]]&gt;0,CABLES[[#This Row],[CABLE_MASS]],0)</calculatedColumnFormula>
    </tableColumn>
    <tableColumn id="216" xr3:uid="{0B4AF8FC-2118-477B-A5C9-89E0F69D8713}" name="SEGM15" dataDxfId="97">
      <calculatedColumnFormula>IF(CABLES[[#This Row],[SEG15]]&gt;0,CABLES[[#This Row],[CABLE_MASS]],0)</calculatedColumnFormula>
    </tableColumn>
    <tableColumn id="217" xr3:uid="{82BC338C-E2AA-4D20-B8F6-BA70154EF3D0}" name="SEGM16" dataDxfId="96">
      <calculatedColumnFormula>IF(CABLES[[#This Row],[SEG16]]&gt;0,CABLES[[#This Row],[CABLE_MASS]],0)</calculatedColumnFormula>
    </tableColumn>
    <tableColumn id="218" xr3:uid="{68C11CC6-6629-4A10-814F-818E234CC3C7}" name="SEGM17" dataDxfId="95">
      <calculatedColumnFormula>IF(CABLES[[#This Row],[SEG17]]&gt;0,CABLES[[#This Row],[CABLE_MASS]],0)</calculatedColumnFormula>
    </tableColumn>
    <tableColumn id="219" xr3:uid="{351BC9BA-D966-4CFF-981B-608E3798943A}" name="SEGM18" dataDxfId="94">
      <calculatedColumnFormula>IF(CABLES[[#This Row],[SEG18]]&gt;0,CABLES[[#This Row],[CABLE_MASS]],0)</calculatedColumnFormula>
    </tableColumn>
    <tableColumn id="220" xr3:uid="{1D5503E6-9951-41DC-95E8-ED353E77BE2B}" name="SEGM19" dataDxfId="93">
      <calculatedColumnFormula>IF(CABLES[[#This Row],[SEG19]]&gt;0,CABLES[[#This Row],[CABLE_MASS]],0)</calculatedColumnFormula>
    </tableColumn>
    <tableColumn id="221" xr3:uid="{26CBAAC6-9A99-49A4-8696-F7C570DEBB48}" name="SEGM20" dataDxfId="92">
      <calculatedColumnFormula>IF(CABLES[[#This Row],[SEG20]]&gt;0,CABLES[[#This Row],[CABLE_MASS]],0)</calculatedColumnFormula>
    </tableColumn>
    <tableColumn id="222" xr3:uid="{7BBEE948-1DE0-40C7-B3FC-A85071BF5CBD}" name="SEGM21" dataDxfId="91">
      <calculatedColumnFormula>IF(CABLES[[#This Row],[SEG21]]&gt;0,CABLES[[#This Row],[CABLE_MASS]],0)</calculatedColumnFormula>
    </tableColumn>
    <tableColumn id="223" xr3:uid="{1B688466-6750-44DA-9BA7-7368378AD432}" name="SEGM22" dataDxfId="90">
      <calculatedColumnFormula>IF(CABLES[[#This Row],[SEG22]]&gt;0,CABLES[[#This Row],[CABLE_MASS]],0)</calculatedColumnFormula>
    </tableColumn>
    <tableColumn id="224" xr3:uid="{6B7E7471-6CD9-4DF9-B8C7-98C963C5190E}" name="SEGM23" dataDxfId="89">
      <calculatedColumnFormula>IF(CABLES[[#This Row],[SEG23]]&gt;0,CABLES[[#This Row],[CABLE_MASS]],0)</calculatedColumnFormula>
    </tableColumn>
    <tableColumn id="225" xr3:uid="{5C1EBAFD-9676-4653-A4BA-0D516035AC32}" name="SEGM24" dataDxfId="88">
      <calculatedColumnFormula>IF(CABLES[[#This Row],[SEG24]]&gt;0,CABLES[[#This Row],[CABLE_MASS]],0)</calculatedColumnFormula>
    </tableColumn>
    <tableColumn id="226" xr3:uid="{E8EF17AC-345D-45BE-906A-7CF93FD7C8BF}" name="SEGM25" dataDxfId="87">
      <calculatedColumnFormula>IF(CABLES[[#This Row],[SEG25]]&gt;0,CABLES[[#This Row],[CABLE_MASS]],0)</calculatedColumnFormula>
    </tableColumn>
    <tableColumn id="227" xr3:uid="{56E3CAA3-1286-48B6-97A1-02526F3F6051}" name="SEGM26" dataDxfId="86">
      <calculatedColumnFormula>IF(CABLES[[#This Row],[SEG26]]&gt;0,CABLES[[#This Row],[CABLE_MASS]],0)</calculatedColumnFormula>
    </tableColumn>
    <tableColumn id="228" xr3:uid="{08C90F6F-6CF6-479C-9F74-0D23F747B797}" name="SEGM27" dataDxfId="85">
      <calculatedColumnFormula>IF(CABLES[[#This Row],[SEG27]]&gt;0,CABLES[[#This Row],[CABLE_MASS]],0)</calculatedColumnFormula>
    </tableColumn>
    <tableColumn id="229" xr3:uid="{FE6733E4-D2BA-443A-9CC4-FFB645C815B0}" name="SEGM28" dataDxfId="84">
      <calculatedColumnFormula>IF(CABLES[[#This Row],[SEG28]]&gt;0,CABLES[[#This Row],[CABLE_MASS]],0)</calculatedColumnFormula>
    </tableColumn>
    <tableColumn id="230" xr3:uid="{0C96CD5C-46E8-4DD3-A885-4CD06080E35E}" name="SEGM29" dataDxfId="83">
      <calculatedColumnFormula>IF(CABLES[[#This Row],[SEG29]]&gt;0,CABLES[[#This Row],[CABLE_MASS]],0)</calculatedColumnFormula>
    </tableColumn>
    <tableColumn id="231" xr3:uid="{08CCAE82-1138-4BA4-B7A1-4E1D446AA17B}" name="SEGM30" dataDxfId="82">
      <calculatedColumnFormula>IF(CABLES[[#This Row],[SEG30]]&gt;0,CABLES[[#This Row],[CABLE_MASS]],0)</calculatedColumnFormula>
    </tableColumn>
    <tableColumn id="232" xr3:uid="{C5DC3F50-6AEC-4220-9F27-1185600BC9C3}" name="SEGM31" dataDxfId="81">
      <calculatedColumnFormula>IF(CABLES[[#This Row],[SEG31]]&gt;0,CABLES[[#This Row],[CABLE_MASS]],0)</calculatedColumnFormula>
    </tableColumn>
    <tableColumn id="233" xr3:uid="{2A7BAAD1-4FF0-4205-96B2-FF2B714F0160}" name="SEGM32" dataDxfId="80">
      <calculatedColumnFormula>IF(CABLES[[#This Row],[SEG32]]&gt;0,CABLES[[#This Row],[CABLE_MASS]],0)</calculatedColumnFormula>
    </tableColumn>
    <tableColumn id="234" xr3:uid="{B05C526C-7A36-48DA-A0FF-E7AA218B8BAF}" name="SEGM33" dataDxfId="79">
      <calculatedColumnFormula>IF(CABLES[[#This Row],[SEG33]]&gt;0,CABLES[[#This Row],[CABLE_MASS]],0)</calculatedColumnFormula>
    </tableColumn>
    <tableColumn id="235" xr3:uid="{749EA4E1-2F2A-4563-8F4B-FDC442B2A87E}" name="SEGM34" dataDxfId="78">
      <calculatedColumnFormula>IF(CABLES[[#This Row],[SEG34]]&gt;0,CABLES[[#This Row],[CABLE_MASS]],0)</calculatedColumnFormula>
    </tableColumn>
    <tableColumn id="236" xr3:uid="{62D2048D-C5C8-4E6B-95ED-7565E4D677CA}" name="SEGM35" dataDxfId="77">
      <calculatedColumnFormula>IF(CABLES[[#This Row],[SEG35]]&gt;0,CABLES[[#This Row],[CABLE_MASS]],0)</calculatedColumnFormula>
    </tableColumn>
    <tableColumn id="237" xr3:uid="{B13C0442-8672-44BE-A75E-94279084D874}" name="SEGM36" dataDxfId="76">
      <calculatedColumnFormula>IF(CABLES[[#This Row],[SEG36]]&gt;0,CABLES[[#This Row],[CABLE_MASS]],0)</calculatedColumnFormula>
    </tableColumn>
    <tableColumn id="238" xr3:uid="{729CEF3A-BE9E-4245-BAFD-118E3305F6B2}" name="SEGM37" dataDxfId="75">
      <calculatedColumnFormula>IF(CABLES[[#This Row],[SEG37]]&gt;0,CABLES[[#This Row],[CABLE_MASS]],0)</calculatedColumnFormula>
    </tableColumn>
    <tableColumn id="239" xr3:uid="{15CFFF2A-C8D0-4B15-8245-4EF50E0B94AE}" name="SEGM38" dataDxfId="74">
      <calculatedColumnFormula>IF(CABLES[[#This Row],[SEG38]]&gt;0,CABLES[[#This Row],[CABLE_MASS]],0)</calculatedColumnFormula>
    </tableColumn>
    <tableColumn id="240" xr3:uid="{1DAAE354-8429-4165-A810-6B31D55AF79B}" name="SEGM39" dataDxfId="73">
      <calculatedColumnFormula>IF(CABLES[[#This Row],[SEG39]]&gt;0,CABLES[[#This Row],[CABLE_MASS]],0)</calculatedColumnFormula>
    </tableColumn>
    <tableColumn id="241" xr3:uid="{874C6A23-15C0-4F50-BEF5-331525C16984}" name="SEGM40" dataDxfId="72">
      <calculatedColumnFormula>IF(CABLES[[#This Row],[SEG40]]&gt;0,CABLES[[#This Row],[CABLE_MASS]],0)</calculatedColumnFormula>
    </tableColumn>
    <tableColumn id="242" xr3:uid="{06D425F0-2290-4AE2-845E-4414CD2CA7DB}" name="SEGM41" dataDxfId="71">
      <calculatedColumnFormula>IF(CABLES[[#This Row],[SEG41]]&gt;0,CABLES[[#This Row],[CABLE_MASS]],0)</calculatedColumnFormula>
    </tableColumn>
    <tableColumn id="243" xr3:uid="{F5D36136-5221-4F1A-B046-437D08B254FB}" name="SEGM42" dataDxfId="70">
      <calculatedColumnFormula>IF(CABLES[[#This Row],[SEG42]]&gt;0,CABLES[[#This Row],[CABLE_MASS]],0)</calculatedColumnFormula>
    </tableColumn>
    <tableColumn id="244" xr3:uid="{D850952C-34C3-4E4F-9102-ECBC2E128003}" name="SEGM43" dataDxfId="69">
      <calculatedColumnFormula>IF(CABLES[[#This Row],[SEG43]]&gt;0,CABLES[[#This Row],[CABLE_MASS]],0)</calculatedColumnFormula>
    </tableColumn>
    <tableColumn id="245" xr3:uid="{E44234B5-ACEF-4760-93A6-30395D13BCDF}" name="SEGM44" dataDxfId="68">
      <calculatedColumnFormula>IF(CABLES[[#This Row],[SEG44]]&gt;0,CABLES[[#This Row],[CABLE_MASS]],0)</calculatedColumnFormula>
    </tableColumn>
    <tableColumn id="246" xr3:uid="{822CA91E-E937-4863-9494-AC4413E01529}" name="SEGM45" dataDxfId="67">
      <calculatedColumnFormula>IF(CABLES[[#This Row],[SEG45]]&gt;0,CABLES[[#This Row],[CABLE_MASS]],0)</calculatedColumnFormula>
    </tableColumn>
    <tableColumn id="247" xr3:uid="{3ED8D0CC-5DCE-429D-8838-4BF5310C830E}" name="SEGM46" dataDxfId="66">
      <calculatedColumnFormula>IF(CABLES[[#This Row],[SEG46]]&gt;0,CABLES[[#This Row],[CABLE_MASS]],0)</calculatedColumnFormula>
    </tableColumn>
    <tableColumn id="248" xr3:uid="{469EF0D6-333E-4A5A-9EAC-03142D440F19}" name="SEGM47" dataDxfId="65">
      <calculatedColumnFormula>IF(CABLES[[#This Row],[SEG47]]&gt;0,CABLES[[#This Row],[CABLE_MASS]],0)</calculatedColumnFormula>
    </tableColumn>
    <tableColumn id="249" xr3:uid="{F126B468-B387-4FDF-A361-A900C2A9ABDE}" name="SEGM48" dataDxfId="64">
      <calculatedColumnFormula>IF(CABLES[[#This Row],[SEG48]]&gt;0,CABLES[[#This Row],[CABLE_MASS]],0)</calculatedColumnFormula>
    </tableColumn>
    <tableColumn id="250" xr3:uid="{F1D55D90-0BFC-40E6-89EF-4AD0163F0A81}" name="SEGM49" dataDxfId="63">
      <calculatedColumnFormula>IF(CABLES[[#This Row],[SEG49]]&gt;0,CABLES[[#This Row],[CABLE_MASS]],0)</calculatedColumnFormula>
    </tableColumn>
    <tableColumn id="251" xr3:uid="{09B78CA8-FD18-427B-8636-7F4B21B95D24}" name="SEGM50" dataDxfId="62">
      <calculatedColumnFormula>IF(CABLES[[#This Row],[SEG50]]&gt;0,CABLES[[#This Row],[CABLE_MASS]],0)</calculatedColumnFormula>
    </tableColumn>
    <tableColumn id="252" xr3:uid="{1ADE417D-423B-4628-A2C3-A158301AD440}" name="SEGM51" dataDxfId="61">
      <calculatedColumnFormula>IF(CABLES[[#This Row],[SEG51]]&gt;0,CABLES[[#This Row],[CABLE_MASS]],0)</calculatedColumnFormula>
    </tableColumn>
    <tableColumn id="253" xr3:uid="{293AB47B-1EBF-4953-952E-DCE498C33308}" name="SEGM52" dataDxfId="60">
      <calculatedColumnFormula>IF(CABLES[[#This Row],[SEG52]]&gt;0,CABLES[[#This Row],[CABLE_MASS]],0)</calculatedColumnFormula>
    </tableColumn>
    <tableColumn id="254" xr3:uid="{E492ACFC-D9E4-47B7-9276-248F6739B74C}" name="SEGM53" dataDxfId="59">
      <calculatedColumnFormula>IF(CABLES[[#This Row],[SEG53]]&gt;0,CABLES[[#This Row],[CABLE_MASS]],0)</calculatedColumnFormula>
    </tableColumn>
    <tableColumn id="255" xr3:uid="{3274D9AD-7BB0-4792-8F48-BCF9AC3A246E}" name="SEGM54" dataDxfId="58">
      <calculatedColumnFormula>IF(CABLES[[#This Row],[SEG54]]&gt;0,CABLES[[#This Row],[CABLE_MASS]],0)</calculatedColumnFormula>
    </tableColumn>
    <tableColumn id="256" xr3:uid="{813088DE-789F-451F-9E8B-75F3B6D67871}" name="SEGM55" dataDxfId="57">
      <calculatedColumnFormula>IF(CABLES[[#This Row],[SEG55]]&gt;0,CABLES[[#This Row],[CABLE_MASS]],0)</calculatedColumnFormula>
    </tableColumn>
    <tableColumn id="257" xr3:uid="{6D8EE54D-C3B5-4156-BFEE-37FD1BBEEC57}" name="SEGM56" dataDxfId="56">
      <calculatedColumnFormula>IF(CABLES[[#This Row],[SEG56]]&gt;0,CABLES[[#This Row],[CABLE_MASS]],0)</calculatedColumnFormula>
    </tableColumn>
    <tableColumn id="258" xr3:uid="{1C565F35-5535-4D45-9D71-7F6E2853A333}" name="SEGM57" dataDxfId="55">
      <calculatedColumnFormula>IF(CABLES[[#This Row],[SEG57]]&gt;0,CABLES[[#This Row],[CABLE_MASS]],0)</calculatedColumnFormula>
    </tableColumn>
    <tableColumn id="259" xr3:uid="{E81AEDFB-9271-4636-91B1-CBBA127FBC70}" name="SEGM58" dataDxfId="54">
      <calculatedColumnFormula>IF(CABLES[[#This Row],[SEG58]]&gt;0,CABLES[[#This Row],[CABLE_MASS]],0)</calculatedColumnFormula>
    </tableColumn>
    <tableColumn id="260" xr3:uid="{60D5EA71-310A-4677-8AC1-B5C411358DB4}" name="SEGM59" dataDxfId="53">
      <calculatedColumnFormula>IF(CABLES[[#This Row],[SEG59]]&gt;0,CABLES[[#This Row],[CABLE_MASS]],0)</calculatedColumnFormula>
    </tableColumn>
    <tableColumn id="261" xr3:uid="{C97AA67F-1C1F-4C2D-8795-DAC1D3F6C8E1}" name="SEGM60" dataDxfId="52">
      <calculatedColumnFormula>IF(CABLES[[#This Row],[SEG60]]&gt;0,CABLES[[#This Row],[CABLE_MASS]],0)</calculatedColumnFormula>
    </tableColumn>
    <tableColumn id="262" xr3:uid="{14920B8C-DCB0-4A46-978D-5E6B1AA7DF1E}" name="CALCULATED_AMPS" dataDxfId="51">
      <calculatedColumnFormula xml:space="preserve">  (CABLES[[#This Row],[LOAD_KW]]/(SQRT(3)*SYSTEM_VOLTAGE*POWER_FACTOR))*1000</calculatedColumnFormula>
    </tableColumn>
    <tableColumn id="129" xr3:uid="{DD0F4FB4-48CA-40D9-97B7-72BC14A768EE}" name="AMBIENT" dataDxfId="50">
      <calculatedColumnFormula xml:space="preserve">  (CABLES[[#This Row],[LOAD_KW]]/(SQRT(3)*SYSTEM_VOLTAGE*POWER_FACTOR))*1000</calculatedColumnFormula>
    </tableColumn>
    <tableColumn id="130" xr3:uid="{C8D2BB98-B704-48AB-9343-6235F6AE6282}" name="AMBIENT_DERATING" dataDxfId="49">
      <calculatedColumnFormula xml:space="preserve"> INDEX(AS3000_AMBIENTDERATE[], MATCH(CABLES[[#This Row],[AMBIENT]],AS3000_AMBIENTDERATE[AMBIENT],0), 2)</calculatedColumnFormula>
    </tableColumn>
    <tableColumn id="131" xr3:uid="{B2081CC2-AF76-466E-8A2F-30939F9A0833}" name="AMP_RATING" dataDxfId="48">
      <calculatedColumnFormula xml:space="preserve"> ROUNDUP( CABLES[[#This Row],[CALCULATED_AMPS]]/CABLES[[#This Row],[AMBIENT_DERATING]],1)</calculatedColumnFormula>
    </tableColumn>
    <tableColumn id="138" xr3:uid="{80B31740-4854-4BE8-9EAA-6FC18826F0A1}" name="INSTALL_METHOD" dataDxfId="47"/>
    <tableColumn id="132" xr3:uid="{2022D256-9900-4F54-8D63-967DB266486D}" name="CABLESIZE_METHOD1" dataDxfId="46">
      <calculatedColumnFormula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calculatedColumnFormula>
    </tableColumn>
    <tableColumn id="133" xr3:uid="{45A90909-C0DC-4578-8BAA-7FEC08731756}" name="MAX_VDROP" dataDxfId="45">
      <calculatedColumnFormula>SYSTEM_VOLTAGE * MAX_VDROP_PERCENT</calculatedColumnFormula>
    </tableColumn>
    <tableColumn id="134" xr3:uid="{073ACD72-44C6-42AD-AFA8-F5D5E9744DC1}" name="VC_CALC" dataDxfId="44">
      <calculatedColumnFormula>(1000*CABLES[[#This Row],[MAX_VDROP]])/(CABLES[[#This Row],[ESTIMATED_CABLE_LENGTH]]*CABLES[[#This Row],[AMP_RATING]])</calculatedColumnFormula>
    </tableColumn>
    <tableColumn id="135" xr3:uid="{E7A461B3-A5FB-441D-B668-D7A373465117}" name="CABLESIZE_METHOD2" dataDxfId="43">
      <calculatedColumnFormula xml:space="preserve"> INDEX(AS3000_VDROP[], MATCH(CABLES[[#This Row],[VC_CALC]],AS3000_VDROP[Vc],1),1)</calculatedColumnFormula>
    </tableColumn>
    <tableColumn id="136" xr3:uid="{4C12546D-5623-427B-86EE-EEA3E27C6884}" name="INITIAL_CABLESIZE" dataDxfId="42">
      <calculatedColumnFormula>MAX(CABLES[[#This Row],[CABLESIZE_METHOD1]],CABLES[[#This Row],[CABLESIZE_METHOD2]])</calculatedColumnFormula>
    </tableColumn>
    <tableColumn id="272" xr3:uid="{2C0377F8-6F4D-4C28-B3F2-15B7BABCCA81}" name="OVERRIDE_CABLESIZE" dataDxfId="41">
      <calculatedColumnFormula>MAX(CABLES[[#This Row],[CABLESIZE_METHOD1]],CABLES[[#This Row],[CABLESIZE_METHOD2]])</calculatedColumnFormula>
    </tableColumn>
    <tableColumn id="273" xr3:uid="{6762A856-6040-4FC5-BB0E-8D49DB64ADB0}" name="SELECTED_CABLESIZE" dataDxfId="40">
      <calculatedColumnFormula>IF(LEN(CABLES[[#This Row],[OVERRIDE_CABLESIZE]])&gt;0,CABLES[[#This Row],[OVERRIDE_CABLESIZE]],CABLES[[#This Row],[INITIAL_CABLESIZE]])</calculatedColumnFormula>
    </tableColumn>
    <tableColumn id="271" xr3:uid="{05F6F9F7-3AFF-42A4-8675-A55E92539369}" name="RECOMMEND_PDEVICE" dataDxfId="39">
      <calculatedColumnFormula>INDEX(PROTECTIVE_DEVICE[DEVICE], MATCH(CABLES[[#This Row],[CALCULATED_AMPS]],PROTECTIVE_DEVICE[DEVICE],-1),1)</calculatedColumnFormula>
    </tableColumn>
    <tableColumn id="139" xr3:uid="{AE88AAB3-38B1-4C38-95D9-60B4EA593569}" name="OVERRIDE_PDEVICE" dataDxfId="38">
      <calculatedColumnFormula>INDEX(PROTECTIVE_DEVICE[DEVICE], MATCH(CABLES[[#This Row],[CALCULATED_AMPS]],PROTECTIVE_DEVICE[DEVICE],-1),1)</calculatedColumnFormula>
    </tableColumn>
    <tableColumn id="263" xr3:uid="{4BEEAB2E-E51C-40DF-9AED-6BB80A7107A2}" name="SELECTED_PDEVICE" dataDxfId="37">
      <calculatedColumnFormula>IF(LEN(CABLES[[#This Row],[OVERRIDE_PDEVICE]])&gt;0, CABLES[[#This Row],[OVERRIDE_PDEVICE]],CABLES[[#This Row],[RECOMMEND_PDEVICE]])</calculatedColumnFormula>
    </tableColumn>
    <tableColumn id="264" xr3:uid="{A7B92E12-0353-4307-97D0-33DA3E8AEEB4}" name="PDEVICE_CURVE" dataDxfId="36">
      <calculatedColumnFormula>IF(LEN(CABLES[[#This Row],[OVERRIDE_PDEVICE]])&gt;0, CABLES[[#This Row],[OVERRIDE_PDEVICE]],CABLES[[#This Row],[RECOMMEND_PDEVICE]])</calculatedColumnFormula>
    </tableColumn>
    <tableColumn id="265" xr3:uid="{925E8943-873B-47B8-A220-543DC34245B2}" name="PDEVICE_IA" dataDxfId="35">
      <calculatedColumnFormula xml:space="preserve"> CABLES[[#This Row],[SELECTED_PDEVICE]] * INDEX(DEVICE_CURVE[], MATCH(CABLES[[#This Row],[PDEVICE_CURVE]], DEVICE_CURVE[DEVICE_CURVE],0),2)</calculatedColumnFormula>
    </tableColumn>
    <tableColumn id="270" xr3:uid="{59C82B8B-F504-4BE7-BD19-EF65CD3E95EB}" name="CONDUCTOR_MATERIAL" dataDxfId="34">
      <calculatedColumnFormula xml:space="preserve"> CABLES[[#This Row],[SELECTED_PDEVICE]] * INDEX(DEVICE_CURVE[], MATCH(CABLES[[#This Row],[PDEVICE_CURVE]], DEVICE_CURVE[DEVICE_CURVE],0),2)</calculatedColumnFormula>
    </tableColumn>
    <tableColumn id="266" xr3:uid="{76357E02-DB20-4B8F-B67D-CB8F3B61D890}" name="MATERIAL_CONSTANT" dataDxfId="33">
      <calculatedColumnFormula xml:space="preserve"> INDEX(CONDUCTOR_MATERIAL[], MATCH(CABLES[[#This Row],[CONDUCTOR_MATERIAL]],CONDUCTOR_MATERIAL[CONDUCTOR_MATERIAL],0),2)</calculatedColumnFormula>
    </tableColumn>
    <tableColumn id="267" xr3:uid="{CED21B76-C79B-480B-9DCD-3D6C53DFB5A1}" name="SPH" dataDxfId="32">
      <calculatedColumnFormula>CABLES[[#This Row],[SELECTED_CABLESIZE]]</calculatedColumnFormula>
    </tableColumn>
    <tableColumn id="268" xr3:uid="{B7C05D5E-5F4C-439B-8D5D-1275D8853707}" name="SPE" dataDxfId="31">
      <calculatedColumnFormula xml:space="preserve"> INDEX( EARTH_CONDUCTOR_SIZE[], MATCH(CABLES[[#This Row],[SPH]],EARTH_CONDUCTOR_SIZE[MM^2],-1), 2)</calculatedColumnFormula>
    </tableColumn>
    <tableColumn id="269" xr3:uid="{C4E0971B-C72C-4E03-A33A-218189907D24}" name="LMAX" dataDxfId="30">
      <calculatedColumnFormula>(0.8*PHASE_VOLTAGE*CABLES[[#This Row],[SPH]]*CABLES[[#This Row],[SPE]])/(CABLES[[#This Row],[PDEVICE_IA]]*CABLES[[#This Row],[MATERIAL_CONSTANT]]*(CABLES[[#This Row],[SPH]]+CABLES[[#This Row],[SPE]]))</calculatedColumnFormula>
    </tableColumn>
    <tableColumn id="46" xr3:uid="{0AAEC68F-29BA-44B0-8435-F00B101BD25A}" name="LMAX SATISFIED" dataDxfId="29">
      <calculatedColumnFormula>IF(CABLES[[#This Row],[LMAX]]&gt;CABLES[[#This Row],[ESTIMATED_CABLE_LENGTH]], "PASS", "ERROR")</calculatedColumnFormula>
    </tableColumn>
    <tableColumn id="141" xr3:uid="{CD7590F0-4F47-4CDE-BCCA-D7EDB10C6C62}" name="CABLE_DIAMETER" dataDxfId="28">
      <calculatedColumnFormula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calculatedColumnFormula>
    </tableColumn>
    <tableColumn id="142" xr3:uid="{24D201E4-5813-4997-ABD2-54613E112C36}" name="CABLE_MASS" dataDxfId="27">
      <calculatedColumnFormula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calculatedColumnFormula>
    </tableColumn>
    <tableColumn id="275" xr3:uid="{B262709C-209A-4C0F-B455-52135975E420}" name="LOAD_AMPS" dataDxfId="26">
      <calculatedColumnFormula xml:space="preserve"> ROUNDUP( CABLES[[#This Row],[CALCULATED_AMPS]],1)</calculatedColumnFormula>
    </tableColumn>
    <tableColumn id="277" xr3:uid="{5C74C003-7E7C-47CF-AD27-8DB89FC8A765}" name="CABLE_SIZE" dataDxfId="25">
      <calculatedColumnFormula>CABLES[[#This Row],[SELECTED_CABLESIZE]]</calculatedColumnFormula>
    </tableColumn>
    <tableColumn id="274" xr3:uid="{3F648C8A-CAAD-419E-8DF1-C6AEEAE40F99}" name="CABLE_LENGTH" dataDxfId="24">
      <calculatedColumnFormula>CABLES[[#This Row],[ESTIMATED_CABLE_LENGTH]]</calculatedColumnFormula>
    </tableColumn>
    <tableColumn id="276" xr3:uid="{8ED18BAC-B24E-450C-8C29-72A56680DCEB}" name="PROTECTION_DEVICE" dataDxfId="23">
      <calculatedColumnFormula>CABLES[[#This Row],[SELECTED_PDEVICE]]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B8E247-234D-4857-A4A7-0EE1C19C1CB5}" name="LAYERS" displayName="LAYERS" ref="AO2:AO4" totalsRowShown="0">
  <autoFilter ref="AO2:AO4" xr:uid="{B34469C3-5774-4B6B-B50C-F6769B83AA35}"/>
  <tableColumns count="1">
    <tableColumn id="1" xr3:uid="{E672C96C-291E-4FF0-A4FD-6EC21F4DE2C0}" name="LAYER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2A4E87-A41E-4AEB-A198-60930FBBACE1}" name="CABLE_TRAY" displayName="CABLE_TRAY" ref="AR2:AS10" totalsRowShown="0">
  <autoFilter ref="AR2:AS10" xr:uid="{1A450CC6-8DD3-45D3-940B-8C6C4E4F4CDF}"/>
  <tableColumns count="2">
    <tableColumn id="1" xr3:uid="{48500D46-1801-4F9D-8B5B-671F5BD1809E}" name="WIDTH"/>
    <tableColumn id="2" xr3:uid="{F5F26E77-04C1-426E-891E-80B3E25816E0}" name="PART_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776744-25B6-447C-92C7-4C3C16955760}" name="SPAN_BRACE" displayName="SPAN_BRACE" ref="AV2:AW7" totalsRowShown="0">
  <autoFilter ref="AV2:AW7" xr:uid="{246331E8-923C-42BF-A1E6-9AAAF8CBA50D}"/>
  <tableColumns count="2">
    <tableColumn id="1" xr3:uid="{9DE79FE0-D6BE-470A-B7AD-48C4B1C04AAC}" name="LOADING"/>
    <tableColumn id="2" xr3:uid="{29F1EE14-BDD1-4326-8580-72E9B41DC676}" name="BRACE_SPA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960C19-1B0E-4AF1-8CA7-843FB5A051CE}" name="PROTECTIVE_DEVICE" displayName="PROTECTIVE_DEVICE" ref="AZ2:AZ18" totalsRowShown="0">
  <autoFilter ref="AZ2:AZ18" xr:uid="{00521BEF-5E40-4AFB-997F-78399B48DAD2}"/>
  <tableColumns count="1">
    <tableColumn id="1" xr3:uid="{70996566-A380-4230-B569-27797B10A126}" name="DEVIC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154E81-8536-454A-8EEB-647904E8EC2C}" name="DEVICE_CURVE" displayName="DEVICE_CURVE" ref="BC2:BD5" totalsRowShown="0">
  <autoFilter ref="BC2:BD5" xr:uid="{F30FEE36-1A4E-4A2C-9D66-B221712A0319}"/>
  <tableColumns count="2">
    <tableColumn id="1" xr3:uid="{C64C2291-55A1-4E79-A4C6-4684FA8D88D1}" name="DEVICE_CURVE"/>
    <tableColumn id="2" xr3:uid="{76D18D93-9EDD-4A2A-A244-EEE980593AAF}" name="MULTIPLIE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C06A4B3-E09C-400A-9045-D1260A833416}" name="CONDUCTOR_MATERIAL" displayName="CONDUCTOR_MATERIAL" ref="BG2:BH4" totalsRowShown="0">
  <autoFilter ref="BG2:BH4" xr:uid="{42674529-85CC-4629-8D6C-56365FCD7EDC}"/>
  <tableColumns count="2">
    <tableColumn id="1" xr3:uid="{2D997F81-AB71-4722-BEC4-D04E340E91EF}" name="CONDUCTOR_MATERIAL"/>
    <tableColumn id="2" xr3:uid="{D4FD5C39-2798-457C-BCFF-A65BA62AB88A}" name="CONSTA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8C9E618-5E82-4878-A5BE-5EE7DA60DC83}" name="EARTH_CONDUCTOR_SIZE" displayName="EARTH_CONDUCTOR_SIZE" ref="BK2:BL21" totalsRowShown="0">
  <autoFilter ref="BK2:BL21" xr:uid="{2124C662-1741-4636-A402-1B0EA74E745A}"/>
  <tableColumns count="2">
    <tableColumn id="1" xr3:uid="{021A7063-2896-49C5-BD3A-5C5766CCB098}" name="MM^2"/>
    <tableColumn id="2" xr3:uid="{3DFB4C7B-1F41-4DCC-81F9-7EB6996B0093}" name="EARTH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4A3D3AA-8A19-404E-B5F0-BCBB7B69F1B9}" name="INSTALL_METHOD" displayName="INSTALL_METHOD" ref="M2:M4" totalsRowShown="0">
  <autoFilter ref="M2:M4" xr:uid="{CFE2DD97-8DF5-4F42-82E2-F069F158173B}"/>
  <tableColumns count="1">
    <tableColumn id="1" xr3:uid="{A727017E-5545-4650-8DBE-9604EC458DC8}" name="INSTALL_METHO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427D23-85B7-48DF-A933-AE14B6B39935}" name="AS3000_AMBIENTDERATE19" displayName="AS3000_AMBIENTDERATE19" ref="D2:E8" totalsRowShown="0">
  <autoFilter ref="D2:E8" xr:uid="{798C3A33-C798-4813-8B59-280FA1CF3C49}"/>
  <tableColumns count="2">
    <tableColumn id="1" xr3:uid="{A6FD85DD-60B8-4BCB-83FF-53AD0D39AC96}" name="AMBIENT_TEMP"/>
    <tableColumn id="2" xr3:uid="{E03CDD76-2296-4B5D-97DD-F9F1E1B12E4C}" name="CONSTANT (K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B222193-95F7-4AF6-8356-D489C79C3F52}" name="CABLE_COMPARISON" displayName="CABLE_COMPARISON" ref="A1:G84" totalsRowShown="0">
  <autoFilter ref="A1:G84" xr:uid="{323E9E64-380F-4333-83D6-A9380C9BFB3F}"/>
  <tableColumns count="7">
    <tableColumn id="1" xr3:uid="{5436400E-5057-4447-8933-2C9C2599BAB0}" name="CABLE"/>
    <tableColumn id="2" xr3:uid="{3DA522DC-FEC8-4B4E-87FB-AC23EB2C5155}" name="DESCRIPTION"/>
    <tableColumn id="3" xr3:uid="{6BFEEE32-F5B5-4276-A026-B0D53F59AFF4}" name="V1-NZ"/>
    <tableColumn id="4" xr3:uid="{6849AB7E-0544-478E-BFDF-F4CD4DA1422F}" name="V2-AUS"/>
    <tableColumn id="5" xr3:uid="{02241303-1E8F-43D4-99D0-4B518FD20CC9}" name="CHANGE">
      <calculatedColumnFormula>IF(C2&lt;&gt;D2,"YES","NO")</calculatedColumnFormula>
    </tableColumn>
    <tableColumn id="6" xr3:uid="{A6E31E7D-96AC-4D88-879E-AB7ACE1994CD}" name="NOTE_1">
      <calculatedColumnFormula>IF(CABLE_COMPARISON[[#This Row],[CHANGE]]="YES",CABLE_COMPARISON[[#This Row],[V1-NZ]] &amp;"mm^2 -&gt; " &amp;CABLE_COMPARISON[[#This Row],[V2-AUS]] &amp; "mm^2","")</calculatedColumnFormula>
    </tableColumn>
    <tableColumn id="7" xr3:uid="{D89BEA8F-CF75-4D5A-942C-16EFBA8C7D5C}" name="NOTE_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F686D-E39E-4115-93CA-CE4969BC4103}" name="SEGMENTS" displayName="SEGMENTS" ref="A1:O61" totalsRowShown="0" headerRowDxfId="22" dataDxfId="21">
  <autoFilter ref="A1:O61" xr:uid="{84746854-0557-45B0-9136-861989AADCF1}"/>
  <tableColumns count="15">
    <tableColumn id="1" xr3:uid="{12F9A010-5EE6-4F27-A5C9-FE3D1B1BBAC3}" name="SEG_ID" dataDxfId="20"/>
    <tableColumn id="3" xr3:uid="{3690F7BB-AFD3-4080-BF14-8FD70DD1F8DD}" name="HORIZONTAL" dataDxfId="19"/>
    <tableColumn id="4" xr3:uid="{79468881-74BF-4C74-B5CD-F1A8EC725111}" name="VERTICAL" dataDxfId="18"/>
    <tableColumn id="5" xr3:uid="{59881121-51CA-40D6-B026-BD3AA3FA053E}" name="LENGTH" dataDxfId="17">
      <calculatedColumnFormula>B2+C2</calculatedColumnFormula>
    </tableColumn>
    <tableColumn id="7" xr3:uid="{0B95CEA5-C5EF-4BA4-BFCC-D594903D9450}" name="INITIAL_DIAMETER" dataDxfId="16">
      <calculatedColumnFormula>SUM(CABLES[SEGD1])</calculatedColumnFormula>
    </tableColumn>
    <tableColumn id="9" xr3:uid="{0880749E-68B8-46DE-9361-8C331EBC58B4}" name="LAYERS" dataDxfId="15"/>
    <tableColumn id="8" xr3:uid="{3F4A7D3C-93C1-4880-9F0F-D4905F126721}" name="X_CAPACITY" dataDxfId="14"/>
    <tableColumn id="10" xr3:uid="{12360910-995C-4821-9A46-9D2C0C800558}" name="MIN_TRAYWIDTH" dataDxfId="13">
      <calculatedColumnFormula>(SEGMENTS[[#This Row],[INITIAL_DIAMETER]]*SEGMENTS[[#This Row],[X_CAPACITY]])/SEGMENTS[[#This Row],[LAYERS]]</calculatedColumnFormula>
    </tableColumn>
    <tableColumn id="12" xr3:uid="{686CA172-7F36-4E51-9846-BCDD931E2EEF}" name="SELECTED_TRAY" dataDxfId="12">
      <calculatedColumnFormula>IF(SEGMENTS[[#This Row],[CABLE_TOTAL]]&gt;0, INDEX(CABLE_TRAY[], MATCH(SEGMENTS[[#This Row],[MIN_TRAYWIDTH]],CABLE_TRAY[WIDTH],-1), 2), "")</calculatedColumnFormula>
    </tableColumn>
    <tableColumn id="15" xr3:uid="{743F9C9A-B159-4793-8400-C4CFA0AEBEC5}" name="TRAY_OVERIDE" dataDxfId="11"/>
    <tableColumn id="11" xr3:uid="{69C8936E-B9D8-469B-9958-3033C27977AC}" name="TRAY_MASS" dataDxfId="10"/>
    <tableColumn id="17" xr3:uid="{827E84AF-9769-4372-A025-66A822804708}" name="SPAN_BRACE" dataDxfId="9">
      <calculatedColumnFormula xml:space="preserve"> INDEX(SPAN_BRACE[], MATCH(SEGMENTS[[#This Row],[TRAY_MASS]],SPAN_BRACE[LOADING],-1),2)</calculatedColumnFormula>
    </tableColumn>
    <tableColumn id="13" xr3:uid="{7C9DAD5C-0512-4D63-8572-3776CC35D97E}" name="CABLE_TOTAL" dataDxfId="8"/>
    <tableColumn id="6" xr3:uid="{6E23C619-43A0-45B7-A391-1041EE510DE4}" name="TRAY_LENGTH" dataDxfId="7">
      <calculatedColumnFormula>SEGMENTS[[#This Row],[LENGTH]]</calculatedColumnFormula>
    </tableColumn>
    <tableColumn id="2" xr3:uid="{88FCF071-C519-4FE6-AC4C-506CAEE07550}" name="CABLE_TRAY" dataDxfId="6">
      <calculatedColumnFormula>IF(LEN(SEGMENTS[[#This Row],[TRAY_OVERIDE]])&gt;0, SEGMENTS[[#This Row],[TRAY_OVERIDE]],  IF(LEN(SEGMENTS[[#This Row],[SELECTED_TRAY]])&gt;0, SEGMENTS[[#This Row],[SELECTED_TRAY]], "NOT IN USE"))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82CD33-9545-4EA5-9527-D1F209DF6E70}" name="AS3000_CURRENTCAPACITY" displayName="AS3000_CURRENTCAPACITY" ref="G2:K21" totalsRowShown="0">
  <autoFilter ref="G2:K21" xr:uid="{B2F3E262-C6BE-4748-B1BE-602562849F7C}"/>
  <tableColumns count="5">
    <tableColumn id="1" xr3:uid="{9BEF4B82-6692-46FF-8F5E-810BEBF1A6A5}" name="MM^2"/>
    <tableColumn id="6" xr3:uid="{52AABA4E-D7D3-4835-9A34-CF5B1271A85F}" name="AMP_SPACED_RAW"/>
    <tableColumn id="4" xr3:uid="{CF959A92-0E24-4384-BE19-BD89320689BA}" name="AMP_SPACED" dataDxfId="5">
      <calculatedColumnFormula>AS3000_CURRENTCAPACITY[[#This Row],[AMP_SPACED_RAW]]*0.8</calculatedColumnFormula>
    </tableColumn>
    <tableColumn id="5" xr3:uid="{26643E85-46AC-4EC3-8F01-F143188051C9}" name="AMP_TOUCHING_RAW"/>
    <tableColumn id="3" xr3:uid="{E51E5752-C9C2-42AE-9128-DDAAAA26EE15}" name="AMP_TOUCHING" dataDxfId="4">
      <calculatedColumnFormula>AS3000_CURRENTCAPACITY[[#This Row],[AMP_TOUCHING_RAW]]*0.8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B2F8B-D54C-42BE-A488-51F9E8A07AA4}" name="AS3000_AMBIENTDERATE" displayName="AS3000_AMBIENTDERATE" ref="O2:P7" totalsRowShown="0">
  <autoFilter ref="O2:P7" xr:uid="{FCBADFC0-C873-40F3-ABB2-90D8103AE1F8}"/>
  <tableColumns count="2">
    <tableColumn id="1" xr3:uid="{60D45BE3-5AD1-4863-AA56-4ADAACA91B52}" name="AMBIENT"/>
    <tableColumn id="2" xr3:uid="{ADB5F5F3-3ABE-4135-B508-B1F3998EC724}" name="DE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BAEDAC-4433-4806-964E-0DE69904C6EE}" name="AS3000_VDROP" displayName="AS3000_VDROP" ref="S2:T21" totalsRowShown="0" headerRowDxfId="3" headerRowBorderDxfId="2" tableBorderDxfId="1">
  <autoFilter ref="S2:T21" xr:uid="{24D6C052-98F3-41F9-A1F8-B68BE04E32E2}"/>
  <tableColumns count="2">
    <tableColumn id="1" xr3:uid="{880FF6C1-E13E-46F7-9C4A-94211EBDC9DD}" name="MM^2" dataDxfId="0"/>
    <tableColumn id="2" xr3:uid="{CCA4660F-76BC-4D79-AC04-EF543D06B661}" name="V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E2AEE1-AD1C-4104-B5E2-CF0E0F837405}" name="VSD_CABLESPEC" displayName="VSD_CABLESPEC" ref="W2:Y17" totalsRowShown="0">
  <autoFilter ref="W2:Y17" xr:uid="{C63A7AAE-589A-4638-AD5A-173DF31A5A6D}"/>
  <tableColumns count="3">
    <tableColumn id="1" xr3:uid="{36924650-A7BC-4485-8DD8-176A47F3E488}" name="MM^2"/>
    <tableColumn id="2" xr3:uid="{81CAC403-3C1E-4DC9-962A-57821B52476A}" name="DIAMETER"/>
    <tableColumn id="3" xr3:uid="{53F3EB77-CA71-42C5-9426-1964A4982FFC}" name="MAS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FBF7CA-334D-44FA-8E42-ED46446DDBDF}" name="DOL_CABLESPEC" displayName="DOL_CABLESPEC" ref="AB2:AD13" totalsRowShown="0">
  <autoFilter ref="AB2:AD13" xr:uid="{EB70BD50-5D97-4AD3-9CDD-94EE5E9621D3}"/>
  <tableColumns count="3">
    <tableColumn id="1" xr3:uid="{64573304-70FD-4ED4-A83F-288FBF8784FA}" name="MM^2"/>
    <tableColumn id="2" xr3:uid="{7EF4F829-3EC1-4676-869D-050FF79E7D93}" name="DIAMETER"/>
    <tableColumn id="3" xr3:uid="{DF1E576A-1920-422F-BDF5-EFB6EAE7CF16}" name="MAS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4A74FA-0CC6-461A-900F-59E1974615B9}" name="LOAD_CABLESPEC" displayName="LOAD_CABLESPEC" ref="AG2:AI14" totalsRowShown="0">
  <autoFilter ref="AG2:AI14" xr:uid="{F372237F-5BF3-43C9-A3D0-5DF1D7826C38}"/>
  <tableColumns count="3">
    <tableColumn id="1" xr3:uid="{5B8D8064-3667-429D-8BC4-287D517CFDE3}" name="MM^2"/>
    <tableColumn id="2" xr3:uid="{30F4D462-DFCF-47BB-9ADC-C6F904F42E93}" name="DIAMETER"/>
    <tableColumn id="3" xr3:uid="{0FC3F002-6C05-494F-BC9D-A00423ADD057}" name="MA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023727-39D8-4F41-844C-7463921F4FE9}" name="LOAD_TYPE" displayName="LOAD_TYPE" ref="AL2:AL5" totalsRowShown="0">
  <autoFilter ref="AL2:AL5" xr:uid="{44D90E30-E1B6-417B-9B1E-A4D4BB4A12BE}"/>
  <tableColumns count="1">
    <tableColumn id="1" xr3:uid="{05098445-1590-4B16-8B33-41C02FB2E630}" name="LOAD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87"/>
  <sheetViews>
    <sheetView topLeftCell="DU1" workbookViewId="0">
      <pane ySplit="1" topLeftCell="A2" activePane="bottomLeft" state="frozen"/>
      <selection pane="bottomLeft" activeCell="IU2" sqref="IU2"/>
    </sheetView>
  </sheetViews>
  <sheetFormatPr defaultColWidth="5.54296875" defaultRowHeight="14.5" x14ac:dyDescent="0.35"/>
  <cols>
    <col min="1" max="1" width="11.26953125" style="5" bestFit="1" customWidth="1"/>
    <col min="2" max="2" width="36.81640625" style="5" bestFit="1" customWidth="1"/>
    <col min="3" max="3" width="12.81640625" style="5" bestFit="1" customWidth="1"/>
    <col min="4" max="4" width="11.6328125" style="5" bestFit="1" customWidth="1"/>
    <col min="5" max="13" width="7.26953125" style="5" bestFit="1" customWidth="1"/>
    <col min="14" max="64" width="8.26953125" style="5" bestFit="1" customWidth="1"/>
    <col min="65" max="73" width="8.08984375" style="5" bestFit="1" customWidth="1"/>
    <col min="74" max="124" width="9.08984375" style="5" bestFit="1" customWidth="1"/>
    <col min="125" max="125" width="13.453125" style="5" bestFit="1" customWidth="1"/>
    <col min="126" max="126" width="8.7265625" style="5" bestFit="1" customWidth="1"/>
    <col min="127" max="127" width="12.36328125" style="5" bestFit="1" customWidth="1"/>
    <col min="128" max="128" width="26.81640625" style="5" bestFit="1" customWidth="1"/>
    <col min="129" max="137" width="8.54296875" style="5" hidden="1" customWidth="1"/>
    <col min="138" max="188" width="9.54296875" style="5" hidden="1" customWidth="1"/>
    <col min="189" max="197" width="9" style="5" hidden="1" customWidth="1"/>
    <col min="198" max="248" width="10" style="5" hidden="1" customWidth="1"/>
    <col min="249" max="249" width="19.90625" style="5" bestFit="1" customWidth="1"/>
    <col min="250" max="250" width="10.90625" style="5" bestFit="1" customWidth="1"/>
    <col min="251" max="251" width="20.7265625" style="5" bestFit="1" customWidth="1"/>
    <col min="252" max="252" width="14.453125" style="5" bestFit="1" customWidth="1"/>
    <col min="253" max="253" width="22.453125" bestFit="1" customWidth="1"/>
    <col min="254" max="254" width="21.54296875" style="5" bestFit="1" customWidth="1"/>
    <col min="255" max="255" width="14.08984375" style="5" bestFit="1" customWidth="1"/>
    <col min="256" max="256" width="11.81640625" style="5" bestFit="1" customWidth="1"/>
    <col min="257" max="257" width="21.54296875" style="5" bestFit="1" customWidth="1"/>
    <col min="258" max="258" width="18.7265625" style="5" bestFit="1" customWidth="1"/>
    <col min="259" max="259" width="21.453125" style="5" bestFit="1" customWidth="1"/>
    <col min="260" max="260" width="21" style="5" bestFit="1" customWidth="1"/>
    <col min="261" max="261" width="23" style="5" bestFit="1" customWidth="1"/>
    <col min="262" max="262" width="20" style="5" bestFit="1" customWidth="1"/>
    <col min="263" max="263" width="19.54296875" style="5" bestFit="1" customWidth="1"/>
    <col min="264" max="264" width="17" style="5" bestFit="1" customWidth="1"/>
    <col min="265" max="265" width="13" style="5" bestFit="1" customWidth="1"/>
    <col min="266" max="266" width="23.7265625" style="5" bestFit="1" customWidth="1"/>
    <col min="267" max="267" width="21.90625" style="5" bestFit="1" customWidth="1"/>
    <col min="268" max="268" width="6.36328125" style="5" bestFit="1" customWidth="1"/>
    <col min="269" max="269" width="6.08984375" style="5" bestFit="1" customWidth="1"/>
    <col min="270" max="270" width="11.81640625" style="5" bestFit="1" customWidth="1"/>
    <col min="271" max="271" width="16.7265625" style="5" bestFit="1" customWidth="1"/>
    <col min="272" max="272" width="18.1796875" style="5" bestFit="1" customWidth="1"/>
    <col min="273" max="273" width="14" style="5" bestFit="1" customWidth="1"/>
    <col min="274" max="274" width="13.6328125" style="5" bestFit="1" customWidth="1"/>
    <col min="275" max="275" width="12.7265625" style="5" bestFit="1" customWidth="1"/>
    <col min="276" max="276" width="16" style="5" bestFit="1" customWidth="1"/>
    <col min="277" max="277" width="22.1796875" style="5" bestFit="1" customWidth="1"/>
    <col min="278" max="278" width="16.81640625" style="5" bestFit="1" customWidth="1"/>
    <col min="279" max="279" width="22.1796875" style="5" bestFit="1" customWidth="1"/>
    <col min="280" max="281" width="22.54296875" style="5" bestFit="1" customWidth="1"/>
    <col min="282" max="282" width="23.81640625" style="5" customWidth="1"/>
    <col min="283" max="283" width="5.26953125" style="5" customWidth="1"/>
    <col min="284" max="284" width="9.26953125" style="5" bestFit="1" customWidth="1"/>
    <col min="285" max="285" width="8.26953125" style="5" bestFit="1" customWidth="1"/>
    <col min="286" max="286" width="8.7265625" style="5" bestFit="1" customWidth="1"/>
    <col min="287" max="16384" width="5.54296875" style="5"/>
  </cols>
  <sheetData>
    <row r="1" spans="1:277" x14ac:dyDescent="0.35">
      <c r="A1" s="5" t="s">
        <v>122</v>
      </c>
      <c r="B1" s="5" t="s">
        <v>121</v>
      </c>
      <c r="C1" s="5" t="s">
        <v>273</v>
      </c>
      <c r="D1" s="5" t="s">
        <v>272</v>
      </c>
      <c r="E1" s="5" t="s">
        <v>125</v>
      </c>
      <c r="F1" s="5" t="s">
        <v>126</v>
      </c>
      <c r="G1" s="5" t="s">
        <v>127</v>
      </c>
      <c r="H1" s="5" t="s">
        <v>128</v>
      </c>
      <c r="I1" s="5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5" t="s">
        <v>142</v>
      </c>
      <c r="W1" s="5" t="s">
        <v>143</v>
      </c>
      <c r="X1" s="5" t="s">
        <v>144</v>
      </c>
      <c r="Y1" s="5" t="s">
        <v>145</v>
      </c>
      <c r="Z1" s="5" t="s">
        <v>146</v>
      </c>
      <c r="AA1" s="5" t="s">
        <v>147</v>
      </c>
      <c r="AB1" s="5" t="s">
        <v>148</v>
      </c>
      <c r="AC1" s="5" t="s">
        <v>149</v>
      </c>
      <c r="AD1" s="5" t="s">
        <v>150</v>
      </c>
      <c r="AE1" s="5" t="s">
        <v>151</v>
      </c>
      <c r="AF1" s="5" t="s">
        <v>152</v>
      </c>
      <c r="AG1" s="5" t="s">
        <v>153</v>
      </c>
      <c r="AH1" s="5" t="s">
        <v>154</v>
      </c>
      <c r="AI1" s="5" t="s">
        <v>155</v>
      </c>
      <c r="AJ1" s="5" t="s">
        <v>156</v>
      </c>
      <c r="AK1" s="5" t="s">
        <v>157</v>
      </c>
      <c r="AL1" s="5" t="s">
        <v>158</v>
      </c>
      <c r="AM1" s="5" t="s">
        <v>159</v>
      </c>
      <c r="AN1" s="5" t="s">
        <v>160</v>
      </c>
      <c r="AO1" s="5" t="s">
        <v>161</v>
      </c>
      <c r="AP1" s="5" t="s">
        <v>162</v>
      </c>
      <c r="AQ1" s="5" t="s">
        <v>163</v>
      </c>
      <c r="AR1" s="5" t="s">
        <v>164</v>
      </c>
      <c r="AS1" s="5" t="s">
        <v>225</v>
      </c>
      <c r="AT1" s="5" t="s">
        <v>226</v>
      </c>
      <c r="AU1" s="5" t="s">
        <v>227</v>
      </c>
      <c r="AV1" s="5" t="s">
        <v>228</v>
      </c>
      <c r="AW1" s="5" t="s">
        <v>229</v>
      </c>
      <c r="AX1" s="5" t="s">
        <v>230</v>
      </c>
      <c r="AY1" s="5" t="s">
        <v>231</v>
      </c>
      <c r="AZ1" s="5" t="s">
        <v>232</v>
      </c>
      <c r="BA1" s="5" t="s">
        <v>233</v>
      </c>
      <c r="BB1" s="5" t="s">
        <v>234</v>
      </c>
      <c r="BC1" s="5" t="s">
        <v>235</v>
      </c>
      <c r="BD1" s="5" t="s">
        <v>236</v>
      </c>
      <c r="BE1" s="5" t="s">
        <v>237</v>
      </c>
      <c r="BF1" s="5" t="s">
        <v>238</v>
      </c>
      <c r="BG1" s="5" t="s">
        <v>239</v>
      </c>
      <c r="BH1" s="5" t="s">
        <v>240</v>
      </c>
      <c r="BI1" s="5" t="s">
        <v>241</v>
      </c>
      <c r="BJ1" s="5" t="s">
        <v>242</v>
      </c>
      <c r="BK1" s="5" t="s">
        <v>243</v>
      </c>
      <c r="BL1" s="5" t="s">
        <v>244</v>
      </c>
      <c r="BM1" s="5" t="s">
        <v>165</v>
      </c>
      <c r="BN1" s="5" t="s">
        <v>166</v>
      </c>
      <c r="BO1" s="5" t="s">
        <v>167</v>
      </c>
      <c r="BP1" s="5" t="s">
        <v>168</v>
      </c>
      <c r="BQ1" s="5" t="s">
        <v>169</v>
      </c>
      <c r="BR1" s="5" t="s">
        <v>170</v>
      </c>
      <c r="BS1" s="5" t="s">
        <v>171</v>
      </c>
      <c r="BT1" s="5" t="s">
        <v>172</v>
      </c>
      <c r="BU1" s="5" t="s">
        <v>173</v>
      </c>
      <c r="BV1" s="5" t="s">
        <v>174</v>
      </c>
      <c r="BW1" s="5" t="s">
        <v>175</v>
      </c>
      <c r="BX1" s="5" t="s">
        <v>176</v>
      </c>
      <c r="BY1" s="5" t="s">
        <v>177</v>
      </c>
      <c r="BZ1" s="5" t="s">
        <v>178</v>
      </c>
      <c r="CA1" s="5" t="s">
        <v>179</v>
      </c>
      <c r="CB1" s="5" t="s">
        <v>180</v>
      </c>
      <c r="CC1" s="5" t="s">
        <v>181</v>
      </c>
      <c r="CD1" s="5" t="s">
        <v>182</v>
      </c>
      <c r="CE1" s="5" t="s">
        <v>183</v>
      </c>
      <c r="CF1" s="5" t="s">
        <v>184</v>
      </c>
      <c r="CG1" s="5" t="s">
        <v>185</v>
      </c>
      <c r="CH1" s="5" t="s">
        <v>186</v>
      </c>
      <c r="CI1" s="5" t="s">
        <v>187</v>
      </c>
      <c r="CJ1" s="5" t="s">
        <v>188</v>
      </c>
      <c r="CK1" s="5" t="s">
        <v>189</v>
      </c>
      <c r="CL1" s="5" t="s">
        <v>190</v>
      </c>
      <c r="CM1" s="5" t="s">
        <v>191</v>
      </c>
      <c r="CN1" s="5" t="s">
        <v>192</v>
      </c>
      <c r="CO1" s="5" t="s">
        <v>193</v>
      </c>
      <c r="CP1" s="5" t="s">
        <v>194</v>
      </c>
      <c r="CQ1" s="5" t="s">
        <v>195</v>
      </c>
      <c r="CR1" s="5" t="s">
        <v>196</v>
      </c>
      <c r="CS1" s="5" t="s">
        <v>197</v>
      </c>
      <c r="CT1" s="5" t="s">
        <v>198</v>
      </c>
      <c r="CU1" s="5" t="s">
        <v>199</v>
      </c>
      <c r="CV1" s="5" t="s">
        <v>200</v>
      </c>
      <c r="CW1" s="5" t="s">
        <v>201</v>
      </c>
      <c r="CX1" s="5" t="s">
        <v>202</v>
      </c>
      <c r="CY1" s="5" t="s">
        <v>203</v>
      </c>
      <c r="CZ1" s="5" t="s">
        <v>204</v>
      </c>
      <c r="DA1" s="5" t="s">
        <v>205</v>
      </c>
      <c r="DB1" s="5" t="s">
        <v>206</v>
      </c>
      <c r="DC1" s="5" t="s">
        <v>207</v>
      </c>
      <c r="DD1" s="5" t="s">
        <v>208</v>
      </c>
      <c r="DE1" s="5" t="s">
        <v>209</v>
      </c>
      <c r="DF1" s="5" t="s">
        <v>210</v>
      </c>
      <c r="DG1" s="5" t="s">
        <v>211</v>
      </c>
      <c r="DH1" s="5" t="s">
        <v>212</v>
      </c>
      <c r="DI1" s="5" t="s">
        <v>213</v>
      </c>
      <c r="DJ1" s="5" t="s">
        <v>214</v>
      </c>
      <c r="DK1" s="5" t="s">
        <v>215</v>
      </c>
      <c r="DL1" s="5" t="s">
        <v>216</v>
      </c>
      <c r="DM1" s="5" t="s">
        <v>217</v>
      </c>
      <c r="DN1" s="5" t="s">
        <v>218</v>
      </c>
      <c r="DO1" s="5" t="s">
        <v>219</v>
      </c>
      <c r="DP1" s="5" t="s">
        <v>220</v>
      </c>
      <c r="DQ1" s="5" t="s">
        <v>221</v>
      </c>
      <c r="DR1" s="5" t="s">
        <v>222</v>
      </c>
      <c r="DS1" s="5" t="s">
        <v>223</v>
      </c>
      <c r="DT1" s="5" t="s">
        <v>224</v>
      </c>
      <c r="DU1" s="5" t="s">
        <v>278</v>
      </c>
      <c r="DV1" s="5" t="s">
        <v>123</v>
      </c>
      <c r="DW1" s="5" t="s">
        <v>124</v>
      </c>
      <c r="DX1" s="5" t="s">
        <v>469</v>
      </c>
      <c r="DY1" s="5" t="s">
        <v>279</v>
      </c>
      <c r="DZ1" s="5" t="s">
        <v>285</v>
      </c>
      <c r="EA1" s="5" t="s">
        <v>286</v>
      </c>
      <c r="EB1" s="5" t="s">
        <v>287</v>
      </c>
      <c r="EC1" s="5" t="s">
        <v>288</v>
      </c>
      <c r="ED1" s="5" t="s">
        <v>289</v>
      </c>
      <c r="EE1" s="5" t="s">
        <v>290</v>
      </c>
      <c r="EF1" s="5" t="s">
        <v>291</v>
      </c>
      <c r="EG1" s="5" t="s">
        <v>292</v>
      </c>
      <c r="EH1" s="5" t="s">
        <v>293</v>
      </c>
      <c r="EI1" s="5" t="s">
        <v>294</v>
      </c>
      <c r="EJ1" s="5" t="s">
        <v>280</v>
      </c>
      <c r="EK1" s="5" t="s">
        <v>281</v>
      </c>
      <c r="EL1" s="5" t="s">
        <v>282</v>
      </c>
      <c r="EM1" s="5" t="s">
        <v>283</v>
      </c>
      <c r="EN1" s="5" t="s">
        <v>284</v>
      </c>
      <c r="EO1" s="5" t="s">
        <v>295</v>
      </c>
      <c r="EP1" s="5" t="s">
        <v>296</v>
      </c>
      <c r="EQ1" s="5" t="s">
        <v>297</v>
      </c>
      <c r="ER1" s="5" t="s">
        <v>298</v>
      </c>
      <c r="ES1" s="5" t="s">
        <v>299</v>
      </c>
      <c r="ET1" s="5" t="s">
        <v>300</v>
      </c>
      <c r="EU1" s="5" t="s">
        <v>301</v>
      </c>
      <c r="EV1" s="5" t="s">
        <v>302</v>
      </c>
      <c r="EW1" s="5" t="s">
        <v>303</v>
      </c>
      <c r="EX1" s="5" t="s">
        <v>304</v>
      </c>
      <c r="EY1" s="5" t="s">
        <v>305</v>
      </c>
      <c r="EZ1" s="5" t="s">
        <v>306</v>
      </c>
      <c r="FA1" s="5" t="s">
        <v>307</v>
      </c>
      <c r="FB1" s="5" t="s">
        <v>308</v>
      </c>
      <c r="FC1" s="5" t="s">
        <v>309</v>
      </c>
      <c r="FD1" s="5" t="s">
        <v>310</v>
      </c>
      <c r="FE1" s="5" t="s">
        <v>311</v>
      </c>
      <c r="FF1" s="5" t="s">
        <v>312</v>
      </c>
      <c r="FG1" s="5" t="s">
        <v>313</v>
      </c>
      <c r="FH1" s="5" t="s">
        <v>314</v>
      </c>
      <c r="FI1" s="5" t="s">
        <v>315</v>
      </c>
      <c r="FJ1" s="5" t="s">
        <v>316</v>
      </c>
      <c r="FK1" s="5" t="s">
        <v>317</v>
      </c>
      <c r="FL1" s="5" t="s">
        <v>318</v>
      </c>
      <c r="FM1" s="5" t="s">
        <v>319</v>
      </c>
      <c r="FN1" s="5" t="s">
        <v>320</v>
      </c>
      <c r="FO1" s="5" t="s">
        <v>321</v>
      </c>
      <c r="FP1" s="5" t="s">
        <v>322</v>
      </c>
      <c r="FQ1" s="5" t="s">
        <v>323</v>
      </c>
      <c r="FR1" s="5" t="s">
        <v>324</v>
      </c>
      <c r="FS1" s="5" t="s">
        <v>325</v>
      </c>
      <c r="FT1" s="5" t="s">
        <v>326</v>
      </c>
      <c r="FU1" s="5" t="s">
        <v>327</v>
      </c>
      <c r="FV1" s="5" t="s">
        <v>328</v>
      </c>
      <c r="FW1" s="5" t="s">
        <v>329</v>
      </c>
      <c r="FX1" s="5" t="s">
        <v>330</v>
      </c>
      <c r="FY1" s="5" t="s">
        <v>331</v>
      </c>
      <c r="FZ1" s="5" t="s">
        <v>332</v>
      </c>
      <c r="GA1" s="5" t="s">
        <v>333</v>
      </c>
      <c r="GB1" s="5" t="s">
        <v>334</v>
      </c>
      <c r="GC1" s="5" t="s">
        <v>335</v>
      </c>
      <c r="GD1" s="5" t="s">
        <v>336</v>
      </c>
      <c r="GE1" s="5" t="s">
        <v>337</v>
      </c>
      <c r="GF1" s="5" t="s">
        <v>338</v>
      </c>
      <c r="GG1" s="5" t="s">
        <v>339</v>
      </c>
      <c r="GH1" s="5" t="s">
        <v>340</v>
      </c>
      <c r="GI1" s="5" t="s">
        <v>341</v>
      </c>
      <c r="GJ1" s="5" t="s">
        <v>342</v>
      </c>
      <c r="GK1" s="5" t="s">
        <v>343</v>
      </c>
      <c r="GL1" s="5" t="s">
        <v>344</v>
      </c>
      <c r="GM1" s="5" t="s">
        <v>345</v>
      </c>
      <c r="GN1" s="5" t="s">
        <v>346</v>
      </c>
      <c r="GO1" s="5" t="s">
        <v>347</v>
      </c>
      <c r="GP1" s="5" t="s">
        <v>348</v>
      </c>
      <c r="GQ1" s="5" t="s">
        <v>349</v>
      </c>
      <c r="GR1" s="5" t="s">
        <v>350</v>
      </c>
      <c r="GS1" s="5" t="s">
        <v>351</v>
      </c>
      <c r="GT1" s="5" t="s">
        <v>352</v>
      </c>
      <c r="GU1" s="5" t="s">
        <v>353</v>
      </c>
      <c r="GV1" s="5" t="s">
        <v>354</v>
      </c>
      <c r="GW1" s="5" t="s">
        <v>355</v>
      </c>
      <c r="GX1" s="5" t="s">
        <v>356</v>
      </c>
      <c r="GY1" s="5" t="s">
        <v>357</v>
      </c>
      <c r="GZ1" s="5" t="s">
        <v>358</v>
      </c>
      <c r="HA1" s="5" t="s">
        <v>359</v>
      </c>
      <c r="HB1" s="5" t="s">
        <v>360</v>
      </c>
      <c r="HC1" s="5" t="s">
        <v>361</v>
      </c>
      <c r="HD1" s="5" t="s">
        <v>362</v>
      </c>
      <c r="HE1" s="5" t="s">
        <v>363</v>
      </c>
      <c r="HF1" s="5" t="s">
        <v>364</v>
      </c>
      <c r="HG1" s="5" t="s">
        <v>365</v>
      </c>
      <c r="HH1" s="5" t="s">
        <v>366</v>
      </c>
      <c r="HI1" s="5" t="s">
        <v>367</v>
      </c>
      <c r="HJ1" s="5" t="s">
        <v>368</v>
      </c>
      <c r="HK1" s="5" t="s">
        <v>369</v>
      </c>
      <c r="HL1" s="5" t="s">
        <v>370</v>
      </c>
      <c r="HM1" s="5" t="s">
        <v>371</v>
      </c>
      <c r="HN1" s="5" t="s">
        <v>372</v>
      </c>
      <c r="HO1" s="5" t="s">
        <v>373</v>
      </c>
      <c r="HP1" s="5" t="s">
        <v>374</v>
      </c>
      <c r="HQ1" s="5" t="s">
        <v>375</v>
      </c>
      <c r="HR1" s="5" t="s">
        <v>376</v>
      </c>
      <c r="HS1" s="5" t="s">
        <v>377</v>
      </c>
      <c r="HT1" s="5" t="s">
        <v>378</v>
      </c>
      <c r="HU1" s="5" t="s">
        <v>379</v>
      </c>
      <c r="HV1" s="5" t="s">
        <v>380</v>
      </c>
      <c r="HW1" s="5" t="s">
        <v>381</v>
      </c>
      <c r="HX1" s="5" t="s">
        <v>382</v>
      </c>
      <c r="HY1" s="5" t="s">
        <v>383</v>
      </c>
      <c r="HZ1" s="5" t="s">
        <v>384</v>
      </c>
      <c r="IA1" s="5" t="s">
        <v>385</v>
      </c>
      <c r="IB1" s="5" t="s">
        <v>386</v>
      </c>
      <c r="IC1" s="5" t="s">
        <v>387</v>
      </c>
      <c r="ID1" s="5" t="s">
        <v>388</v>
      </c>
      <c r="IE1" s="5" t="s">
        <v>389</v>
      </c>
      <c r="IF1" s="5" t="s">
        <v>390</v>
      </c>
      <c r="IG1" s="5" t="s">
        <v>391</v>
      </c>
      <c r="IH1" s="5" t="s">
        <v>392</v>
      </c>
      <c r="II1" s="5" t="s">
        <v>393</v>
      </c>
      <c r="IJ1" s="5" t="s">
        <v>394</v>
      </c>
      <c r="IK1" s="5" t="s">
        <v>395</v>
      </c>
      <c r="IL1" s="5" t="s">
        <v>396</v>
      </c>
      <c r="IM1" s="5" t="s">
        <v>397</v>
      </c>
      <c r="IN1" s="5" t="s">
        <v>398</v>
      </c>
      <c r="IO1" s="5" t="s">
        <v>472</v>
      </c>
      <c r="IP1" s="5" t="s">
        <v>247</v>
      </c>
      <c r="IQ1" s="5" t="s">
        <v>251</v>
      </c>
      <c r="IR1" s="5" t="s">
        <v>258</v>
      </c>
      <c r="IS1" s="5" t="s">
        <v>529</v>
      </c>
      <c r="IT1" s="5" t="s">
        <v>252</v>
      </c>
      <c r="IU1" s="5" t="s">
        <v>253</v>
      </c>
      <c r="IV1" s="5" t="s">
        <v>256</v>
      </c>
      <c r="IW1" s="5" t="s">
        <v>257</v>
      </c>
      <c r="IX1" s="5" t="s">
        <v>466</v>
      </c>
      <c r="IY1" s="5" t="s">
        <v>467</v>
      </c>
      <c r="IZ1" s="5" t="s">
        <v>468</v>
      </c>
      <c r="JA1" s="5" t="s">
        <v>446</v>
      </c>
      <c r="JB1" s="5" t="s">
        <v>445</v>
      </c>
      <c r="JC1" s="5" t="s">
        <v>447</v>
      </c>
      <c r="JD1" s="5" t="s">
        <v>448</v>
      </c>
      <c r="JE1" s="5" t="s">
        <v>464</v>
      </c>
      <c r="JF1" s="5" t="s">
        <v>456</v>
      </c>
      <c r="JG1" s="5" t="s">
        <v>460</v>
      </c>
      <c r="JH1" s="5" t="s">
        <v>461</v>
      </c>
      <c r="JI1" s="5" t="s">
        <v>462</v>
      </c>
      <c r="JJ1" s="5" t="s">
        <v>444</v>
      </c>
      <c r="JK1" s="5" t="s">
        <v>465</v>
      </c>
      <c r="JL1" s="5" t="s">
        <v>275</v>
      </c>
      <c r="JM1" s="5" t="s">
        <v>399</v>
      </c>
      <c r="JN1" s="5" t="s">
        <v>471</v>
      </c>
      <c r="JO1" s="5" t="s">
        <v>276</v>
      </c>
      <c r="JP1" s="5" t="s">
        <v>470</v>
      </c>
      <c r="JQ1" s="5" t="s">
        <v>473</v>
      </c>
    </row>
    <row r="2" spans="1:277" x14ac:dyDescent="0.35">
      <c r="A2" s="5" t="s">
        <v>1</v>
      </c>
      <c r="B2" s="5" t="s">
        <v>79</v>
      </c>
      <c r="C2" s="10" t="s">
        <v>261</v>
      </c>
      <c r="D2" s="9">
        <v>15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1</v>
      </c>
      <c r="AI2" s="9">
        <v>1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1</v>
      </c>
      <c r="AR2" s="9">
        <v>0</v>
      </c>
      <c r="AS2" s="9">
        <v>1</v>
      </c>
      <c r="AT2" s="9">
        <v>1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f xml:space="preserve"> IF(CABLES[[#This Row],[SEG1]] &gt;0, INDEX(SEGMENTS[], MATCH(CABLES[[#Headers],[SEG1]],SEGMENTS[SEG_ID],0),4),0)</f>
        <v>0</v>
      </c>
      <c r="BN2" s="9">
        <f xml:space="preserve"> IF(CABLES[[#This Row],[SEG2]] &gt;0, INDEX(SEGMENTS[], MATCH(CABLES[[#Headers],[SEG2]],SEGMENTS[SEG_ID],0),4),0)</f>
        <v>0</v>
      </c>
      <c r="BO2" s="9">
        <f xml:space="preserve"> IF(CABLES[[#This Row],[SEG3]] &gt;0, INDEX(SEGMENTS[], MATCH(CABLES[[#Headers],[SEG3]],SEGMENTS[SEG_ID],0),4),0)</f>
        <v>0</v>
      </c>
      <c r="BP2" s="9">
        <f xml:space="preserve"> IF(CABLES[[#This Row],[SEG4]] &gt;0, INDEX(SEGMENTS[], MATCH(CABLES[[#Headers],[SEG4]],SEGMENTS[SEG_ID],0),4),0)</f>
        <v>0</v>
      </c>
      <c r="BQ2" s="9">
        <f xml:space="preserve"> IF(CABLES[[#This Row],[SEG5]] &gt;0,INDEX(SEGMENTS[], MATCH(CABLES[[#Headers],[SEG5]],SEGMENTS[SEG_ID],0),4),0)</f>
        <v>0</v>
      </c>
      <c r="BR2" s="9">
        <f xml:space="preserve"> IF(CABLES[[#This Row],[SEG6]] &gt;0,INDEX(SEGMENTS[], MATCH(CABLES[[#Headers],[SEG6]],SEGMENTS[SEG_ID],0),4),0)</f>
        <v>0</v>
      </c>
      <c r="BS2" s="9">
        <f xml:space="preserve"> IF(CABLES[[#This Row],[SEG7]] &gt;0,INDEX(SEGMENTS[], MATCH(CABLES[[#Headers],[SEG7]],SEGMENTS[SEG_ID],0),4),0)</f>
        <v>0</v>
      </c>
      <c r="BT2" s="9">
        <f xml:space="preserve"> IF(CABLES[[#This Row],[SEG8]] &gt;0,INDEX(SEGMENTS[], MATCH(CABLES[[#Headers],[SEG8]],SEGMENTS[SEG_ID],0),4),0)</f>
        <v>0</v>
      </c>
      <c r="BU2" s="9">
        <f xml:space="preserve"> IF(CABLES[[#This Row],[SEG9]] &gt;0,INDEX(SEGMENTS[], MATCH(CABLES[[#Headers],[SEG9]],SEGMENTS[SEG_ID],0),4),0)</f>
        <v>0</v>
      </c>
      <c r="BV2" s="9">
        <f xml:space="preserve"> IF(CABLES[[#This Row],[SEG10]] &gt;0,INDEX(SEGMENTS[], MATCH(CABLES[[#Headers],[SEG10]],SEGMENTS[SEG_ID],0),4),0)</f>
        <v>0</v>
      </c>
      <c r="BW2" s="9">
        <f xml:space="preserve"> IF(CABLES[[#This Row],[SEG11]] &gt;0,INDEX(SEGMENTS[], MATCH(CABLES[[#Headers],[SEG11]],SEGMENTS[SEG_ID],0),4),0)</f>
        <v>0</v>
      </c>
      <c r="BX2" s="9">
        <f>IF(CABLES[[#This Row],[SEG12]] &gt;0, INDEX(SEGMENTS[], MATCH(CABLES[[#Headers],[SEG12]],SEGMENTS[SEG_ID],0),4),0)</f>
        <v>0</v>
      </c>
      <c r="BY2" s="9">
        <f xml:space="preserve"> IF(CABLES[[#This Row],[SEG13]] &gt;0,INDEX(SEGMENTS[], MATCH(CABLES[[#Headers],[SEG13]],SEGMENTS[SEG_ID],0),4),0)</f>
        <v>0</v>
      </c>
      <c r="BZ2" s="9">
        <f xml:space="preserve"> IF(CABLES[[#This Row],[SEG14]] &gt;0,INDEX(SEGMENTS[], MATCH(CABLES[[#Headers],[SEG14]],SEGMENTS[SEG_ID],0),4),0)</f>
        <v>0</v>
      </c>
      <c r="CA2" s="9">
        <f xml:space="preserve"> IF(CABLES[[#This Row],[SEG15]] &gt;0,INDEX(SEGMENTS[], MATCH(CABLES[[#Headers],[SEG15]],SEGMENTS[SEG_ID],0),4),0)</f>
        <v>0</v>
      </c>
      <c r="CB2" s="9">
        <f xml:space="preserve"> IF(CABLES[[#This Row],[SEG16]] &gt;0,INDEX(SEGMENTS[], MATCH(CABLES[[#Headers],[SEG16]],SEGMENTS[SEG_ID],0),4),0)</f>
        <v>0</v>
      </c>
      <c r="CC2" s="9">
        <f xml:space="preserve"> IF(CABLES[[#This Row],[SEG17]] &gt;0,INDEX(SEGMENTS[], MATCH(CABLES[[#Headers],[SEG17]],SEGMENTS[SEG_ID],0),4),0)</f>
        <v>0</v>
      </c>
      <c r="CD2" s="9">
        <f xml:space="preserve"> IF(CABLES[[#This Row],[SEG18]] &gt;0,INDEX(SEGMENTS[], MATCH(CABLES[[#Headers],[SEG18]],SEGMENTS[SEG_ID],0),4),0)</f>
        <v>0</v>
      </c>
      <c r="CE2" s="9">
        <f>IF(CABLES[[#This Row],[SEG19]] &gt;0, INDEX(SEGMENTS[], MATCH(CABLES[[#Headers],[SEG19]],SEGMENTS[SEG_ID],0),4),0)</f>
        <v>0</v>
      </c>
      <c r="CF2" s="9">
        <f>IF(CABLES[[#This Row],[SEG20]] &gt;0, INDEX(SEGMENTS[], MATCH(CABLES[[#Headers],[SEG20]],SEGMENTS[SEG_ID],0),4),0)</f>
        <v>0</v>
      </c>
      <c r="CG2" s="9">
        <f xml:space="preserve"> IF(CABLES[[#This Row],[SEG21]] &gt;0,INDEX(SEGMENTS[], MATCH(CABLES[[#Headers],[SEG21]],SEGMENTS[SEG_ID],0),4),0)</f>
        <v>0</v>
      </c>
      <c r="CH2" s="9">
        <f xml:space="preserve"> IF(CABLES[[#This Row],[SEG22]] &gt;0,INDEX(SEGMENTS[], MATCH(CABLES[[#Headers],[SEG22]],SEGMENTS[SEG_ID],0),4),0)</f>
        <v>0</v>
      </c>
      <c r="CI2" s="9">
        <f>IF(CABLES[[#This Row],[SEG23]] &gt;0, INDEX(SEGMENTS[], MATCH(CABLES[[#Headers],[SEG23]],SEGMENTS[SEG_ID],0),4),0)</f>
        <v>0</v>
      </c>
      <c r="CJ2" s="9">
        <f xml:space="preserve"> IF(CABLES[[#This Row],[SEG24]] &gt;0,INDEX(SEGMENTS[], MATCH(CABLES[[#Headers],[SEG24]],SEGMENTS[SEG_ID],0),4),0)</f>
        <v>0</v>
      </c>
      <c r="CK2" s="9">
        <f>IF(CABLES[[#This Row],[SEG25]] &gt;0, INDEX(SEGMENTS[], MATCH(CABLES[[#Headers],[SEG25]],SEGMENTS[SEG_ID],0),4),0)</f>
        <v>0</v>
      </c>
      <c r="CL2" s="9">
        <f>IF(CABLES[[#This Row],[SEG26]] &gt;0, INDEX(SEGMENTS[], MATCH(CABLES[[#Headers],[SEG26]],SEGMENTS[SEG_ID],0),4),0)</f>
        <v>0</v>
      </c>
      <c r="CM2" s="9">
        <f xml:space="preserve"> IF(CABLES[[#This Row],[SEG27]] &gt;0,INDEX(SEGMENTS[], MATCH(CABLES[[#Headers],[SEG27]],SEGMENTS[SEG_ID],0),4),0)</f>
        <v>0</v>
      </c>
      <c r="CN2" s="9">
        <f xml:space="preserve"> IF(CABLES[[#This Row],[SEG28]] &gt;0,INDEX(SEGMENTS[], MATCH(CABLES[[#Headers],[SEG28]],SEGMENTS[SEG_ID],0),4),0)</f>
        <v>0</v>
      </c>
      <c r="CO2" s="9">
        <f xml:space="preserve"> IF(CABLES[[#This Row],[SEG29]] &gt;0,INDEX(SEGMENTS[], MATCH(CABLES[[#Headers],[SEG29]],SEGMENTS[SEG_ID],0),4),0)</f>
        <v>0</v>
      </c>
      <c r="CP2" s="9">
        <f xml:space="preserve"> IF(CABLES[[#This Row],[SEG30]] &gt;0,INDEX(SEGMENTS[], MATCH(CABLES[[#Headers],[SEG30]],SEGMENTS[SEG_ID],0),4),0)</f>
        <v>6</v>
      </c>
      <c r="CQ2" s="9">
        <f>IF(CABLES[[#This Row],[SEG31]] &gt;0, INDEX(SEGMENTS[], MATCH(CABLES[[#Headers],[SEG31]],SEGMENTS[SEG_ID],0),4),0)</f>
        <v>3</v>
      </c>
      <c r="CR2" s="9">
        <f xml:space="preserve"> IF(CABLES[[#This Row],[SEG32]] &gt;0,INDEX(SEGMENTS[], MATCH(CABLES[[#Headers],[SEG32]],SEGMENTS[SEG_ID],0),4),0)</f>
        <v>0</v>
      </c>
      <c r="CS2" s="9">
        <f xml:space="preserve"> IF(CABLES[[#This Row],[SEG33]] &gt;0,INDEX(SEGMENTS[], MATCH(CABLES[[#Headers],[SEG33]],SEGMENTS[SEG_ID],0),4),0)</f>
        <v>0</v>
      </c>
      <c r="CT2" s="9">
        <f>IF(CABLES[[#This Row],[SEG34]] &gt;0, INDEX(SEGMENTS[], MATCH(CABLES[[#Headers],[SEG34]],SEGMENTS[SEG_ID],0),4),0)</f>
        <v>0</v>
      </c>
      <c r="CU2" s="9">
        <f xml:space="preserve"> IF(CABLES[[#This Row],[SEG35]] &gt;0,INDEX(SEGMENTS[], MATCH(CABLES[[#Headers],[SEG35]],SEGMENTS[SEG_ID],0),4),0)</f>
        <v>0</v>
      </c>
      <c r="CV2" s="9">
        <f xml:space="preserve"> IF(CABLES[[#This Row],[SEG36]] &gt;0,INDEX(SEGMENTS[], MATCH(CABLES[[#Headers],[SEG36]],SEGMENTS[SEG_ID],0),4),0)</f>
        <v>0</v>
      </c>
      <c r="CW2" s="9">
        <f xml:space="preserve"> IF(CABLES[[#This Row],[SEG37]] &gt;0,INDEX(SEGMENTS[], MATCH(CABLES[[#Headers],[SEG37]],SEGMENTS[SEG_ID],0),4),0)</f>
        <v>0</v>
      </c>
      <c r="CX2" s="9">
        <f xml:space="preserve"> IF(CABLES[[#This Row],[SEG38]] &gt;0,INDEX(SEGMENTS[], MATCH(CABLES[[#Headers],[SEG38]],SEGMENTS[SEG_ID],0),4),0)</f>
        <v>0</v>
      </c>
      <c r="CY2" s="9">
        <f xml:space="preserve"> IF(CABLES[[#This Row],[SEG39]] &gt;0,INDEX(SEGMENTS[], MATCH(CABLES[[#Headers],[SEG39]],SEGMENTS[SEG_ID],0),4),0)</f>
        <v>8</v>
      </c>
      <c r="CZ2" s="9">
        <f xml:space="preserve"> IF(CABLES[[#This Row],[SEG40]] &gt;0,INDEX(SEGMENTS[], MATCH(CABLES[[#Headers],[SEG40]],SEGMENTS[SEG_ID],0),4),0)</f>
        <v>0</v>
      </c>
      <c r="DA2" s="9">
        <f xml:space="preserve"> IF(CABLES[[#This Row],[SEG41]] &gt;0,INDEX(SEGMENTS[], MATCH(CABLES[[#Headers],[SEG41]],SEGMENTS[SEG_ID],0),4),0)</f>
        <v>8</v>
      </c>
      <c r="DB2" s="9">
        <f xml:space="preserve"> IF(CABLES[[#This Row],[SEG42]] &gt;0,INDEX(SEGMENTS[], MATCH(CABLES[[#Headers],[SEG42]],SEGMENTS[SEG_ID],0),4),0)</f>
        <v>22</v>
      </c>
      <c r="DC2" s="9">
        <f xml:space="preserve"> IF(CABLES[[#This Row],[SEG43]] &gt;0,INDEX(SEGMENTS[], MATCH(CABLES[[#Headers],[SEG43]],SEGMENTS[SEG_ID],0),4),0)</f>
        <v>0</v>
      </c>
      <c r="DD2" s="9">
        <f xml:space="preserve"> IF(CABLES[[#This Row],[SEG44]] &gt;0,INDEX(SEGMENTS[], MATCH(CABLES[[#Headers],[SEG44]],SEGMENTS[SEG_ID],0),4),0)</f>
        <v>0</v>
      </c>
      <c r="DE2" s="9">
        <f xml:space="preserve"> IF(CABLES[[#This Row],[SEG45]] &gt;0,INDEX(SEGMENTS[], MATCH(CABLES[[#Headers],[SEG45]],SEGMENTS[SEG_ID],0),4),0)</f>
        <v>0</v>
      </c>
      <c r="DF2" s="9">
        <f xml:space="preserve"> IF(CABLES[[#This Row],[SEG46]] &gt;0,INDEX(SEGMENTS[], MATCH(CABLES[[#Headers],[SEG46]],SEGMENTS[SEG_ID],0),4),0)</f>
        <v>0</v>
      </c>
      <c r="DG2" s="9">
        <f xml:space="preserve"> IF(CABLES[[#This Row],[SEG47]] &gt;0,INDEX(SEGMENTS[], MATCH(CABLES[[#Headers],[SEG47]],SEGMENTS[SEG_ID],0),4),0)</f>
        <v>0</v>
      </c>
      <c r="DH2" s="9">
        <f xml:space="preserve"> IF(CABLES[[#This Row],[SEG48]] &gt;0,INDEX(SEGMENTS[], MATCH(CABLES[[#Headers],[SEG48]],SEGMENTS[SEG_ID],0),4),0)</f>
        <v>0</v>
      </c>
      <c r="DI2" s="9">
        <f xml:space="preserve"> IF(CABLES[[#This Row],[SEG49]] &gt;0,INDEX(SEGMENTS[], MATCH(CABLES[[#Headers],[SEG49]],SEGMENTS[SEG_ID],0),4),0)</f>
        <v>0</v>
      </c>
      <c r="DJ2" s="9">
        <f xml:space="preserve"> IF(CABLES[[#This Row],[SEG50]] &gt;0,INDEX(SEGMENTS[], MATCH(CABLES[[#Headers],[SEG50]],SEGMENTS[SEG_ID],0),4),0)</f>
        <v>0</v>
      </c>
      <c r="DK2" s="9">
        <f xml:space="preserve"> IF(CABLES[[#This Row],[SEG51]] &gt;0,INDEX(SEGMENTS[], MATCH(CABLES[[#Headers],[SEG51]],SEGMENTS[SEG_ID],0),4),0)</f>
        <v>0</v>
      </c>
      <c r="DL2" s="9">
        <f xml:space="preserve"> IF(CABLES[[#This Row],[SEG52]] &gt;0,INDEX(SEGMENTS[], MATCH(CABLES[[#Headers],[SEG52]],SEGMENTS[SEG_ID],0),4),0)</f>
        <v>0</v>
      </c>
      <c r="DM2" s="9">
        <f xml:space="preserve"> IF(CABLES[[#This Row],[SEG53]] &gt;0,INDEX(SEGMENTS[], MATCH(CABLES[[#Headers],[SEG53]],SEGMENTS[SEG_ID],0),4),0)</f>
        <v>0</v>
      </c>
      <c r="DN2" s="9">
        <f xml:space="preserve"> IF(CABLES[[#This Row],[SEG54]] &gt;0,INDEX(SEGMENTS[], MATCH(CABLES[[#Headers],[SEG54]],SEGMENTS[SEG_ID],0),4),0)</f>
        <v>0</v>
      </c>
      <c r="DO2" s="9">
        <f xml:space="preserve"> IF(CABLES[[#This Row],[SEG55]] &gt;0,INDEX(SEGMENTS[], MATCH(CABLES[[#Headers],[SEG55]],SEGMENTS[SEG_ID],0),4),0)</f>
        <v>0</v>
      </c>
      <c r="DP2" s="9">
        <f xml:space="preserve"> IF(CABLES[[#This Row],[SEG56]] &gt;0,INDEX(SEGMENTS[], MATCH(CABLES[[#Headers],[SEG56]],SEGMENTS[SEG_ID],0),4),0)</f>
        <v>0</v>
      </c>
      <c r="DQ2" s="9">
        <f xml:space="preserve"> IF(CABLES[[#This Row],[SEG57]] &gt;0,INDEX(SEGMENTS[], MATCH(CABLES[[#Headers],[SEG57]],SEGMENTS[SEG_ID],0),4),0)</f>
        <v>0</v>
      </c>
      <c r="DR2" s="9">
        <f xml:space="preserve"> IF(CABLES[[#This Row],[SEG58]] &gt;0,INDEX(SEGMENTS[], MATCH(CABLES[[#Headers],[SEG58]],SEGMENTS[SEG_ID],0),4),0)</f>
        <v>0</v>
      </c>
      <c r="DS2" s="9">
        <f xml:space="preserve"> IF(CABLES[[#This Row],[SEG59]] &gt;0,INDEX(SEGMENTS[], MATCH(CABLES[[#Headers],[SEG59]],SEGMENTS[SEG_ID],0),4),0)</f>
        <v>0</v>
      </c>
      <c r="DT2" s="9">
        <f xml:space="preserve"> IF(CABLES[[#This Row],[SEG60]] &gt;0,INDEX(SEGMENTS[], MATCH(CABLES[[#Headers],[SEG60]],SEGMENTS[SEG_ID],0),4),0)</f>
        <v>0</v>
      </c>
      <c r="DU2" s="10">
        <f>SUM(CABLES[[#This Row],[SEGL1]:[SEGL60]])</f>
        <v>47</v>
      </c>
      <c r="DV2" s="10">
        <v>5</v>
      </c>
      <c r="DW2" s="10">
        <v>1.2</v>
      </c>
      <c r="DX2" s="10">
        <f xml:space="preserve"> IF(CABLES[[#This Row],[SEGL_TOTAL]]&gt;0, (CABLES[[#This Row],[SEGL_TOTAL]] + CABLES[[#This Row],[FITOFF]]) *CABLES[[#This Row],[XCAPACITY]],0)</f>
        <v>62.4</v>
      </c>
      <c r="DY2" s="10">
        <f>IF(CABLES[[#This Row],[SEG1]]&gt;0,CABLES[[#This Row],[CABLE_DIAMETER]],0)</f>
        <v>0</v>
      </c>
      <c r="DZ2" s="10">
        <f>IF(CABLES[[#This Row],[SEG2]]&gt;0,CABLES[[#This Row],[CABLE_DIAMETER]],0)</f>
        <v>0</v>
      </c>
      <c r="EA2" s="10">
        <f>IF(CABLES[[#This Row],[SEG3]]&gt;0,CABLES[[#This Row],[CABLE_DIAMETER]],0)</f>
        <v>0</v>
      </c>
      <c r="EB2" s="10">
        <f>IF(CABLES[[#This Row],[SEG4]]&gt;0,CABLES[[#This Row],[CABLE_DIAMETER]],0)</f>
        <v>0</v>
      </c>
      <c r="EC2" s="10">
        <f>IF(CABLES[[#This Row],[SEG5]]&gt;0,CABLES[[#This Row],[CABLE_DIAMETER]],0)</f>
        <v>0</v>
      </c>
      <c r="ED2" s="10">
        <f>IF(CABLES[[#This Row],[SEG6]]&gt;0,CABLES[[#This Row],[CABLE_DIAMETER]],0)</f>
        <v>0</v>
      </c>
      <c r="EE2" s="10">
        <f>IF(CABLES[[#This Row],[SEG7]]&gt;0,CABLES[[#This Row],[CABLE_DIAMETER]],0)</f>
        <v>0</v>
      </c>
      <c r="EF2" s="10">
        <f>IF(CABLES[[#This Row],[SEG9]]&gt;0,CABLES[[#This Row],[CABLE_DIAMETER]],0)</f>
        <v>0</v>
      </c>
      <c r="EG2" s="10">
        <f>IF(CABLES[[#This Row],[SEG9]]&gt;0,CABLES[[#This Row],[CABLE_DIAMETER]],0)</f>
        <v>0</v>
      </c>
      <c r="EH2" s="10">
        <f>IF(CABLES[[#This Row],[SEG10]]&gt;0,CABLES[[#This Row],[CABLE_DIAMETER]],0)</f>
        <v>0</v>
      </c>
      <c r="EI2" s="10">
        <f>IF(CABLES[[#This Row],[SEG11]]&gt;0,CABLES[[#This Row],[CABLE_DIAMETER]],0)</f>
        <v>0</v>
      </c>
      <c r="EJ2" s="10">
        <f>IF(CABLES[[#This Row],[SEG12]]&gt;0,CABLES[[#This Row],[CABLE_DIAMETER]],0)</f>
        <v>0</v>
      </c>
      <c r="EK2" s="10">
        <f>IF(CABLES[[#This Row],[SEG13]]&gt;0,CABLES[[#This Row],[CABLE_DIAMETER]],0)</f>
        <v>0</v>
      </c>
      <c r="EL2" s="10">
        <f>IF(CABLES[[#This Row],[SEG14]]&gt;0,CABLES[[#This Row],[CABLE_DIAMETER]],0)</f>
        <v>0</v>
      </c>
      <c r="EM2" s="10">
        <f>IF(CABLES[[#This Row],[SEG15]]&gt;0,CABLES[[#This Row],[CABLE_DIAMETER]],0)</f>
        <v>0</v>
      </c>
      <c r="EN2" s="10">
        <f>IF(CABLES[[#This Row],[SEG16]]&gt;0,CABLES[[#This Row],[CABLE_DIAMETER]],0)</f>
        <v>0</v>
      </c>
      <c r="EO2" s="10">
        <f>IF(CABLES[[#This Row],[SEG17]]&gt;0,CABLES[[#This Row],[CABLE_DIAMETER]],0)</f>
        <v>0</v>
      </c>
      <c r="EP2" s="10">
        <f>IF(CABLES[[#This Row],[SEG18]]&gt;0,CABLES[[#This Row],[CABLE_DIAMETER]],0)</f>
        <v>0</v>
      </c>
      <c r="EQ2" s="10">
        <f>IF(CABLES[[#This Row],[SEG19]]&gt;0,CABLES[[#This Row],[CABLE_DIAMETER]],0)</f>
        <v>0</v>
      </c>
      <c r="ER2" s="10">
        <f>IF(CABLES[[#This Row],[SEG20]]&gt;0,CABLES[[#This Row],[CABLE_DIAMETER]],0)</f>
        <v>0</v>
      </c>
      <c r="ES2" s="10">
        <f>IF(CABLES[[#This Row],[SEG21]]&gt;0,CABLES[[#This Row],[CABLE_DIAMETER]],0)</f>
        <v>0</v>
      </c>
      <c r="ET2" s="10">
        <f>IF(CABLES[[#This Row],[SEG22]]&gt;0,CABLES[[#This Row],[CABLE_DIAMETER]],0)</f>
        <v>0</v>
      </c>
      <c r="EU2" s="10">
        <f>IF(CABLES[[#This Row],[SEG23]]&gt;0,CABLES[[#This Row],[CABLE_DIAMETER]],0)</f>
        <v>0</v>
      </c>
      <c r="EV2" s="10">
        <f>IF(CABLES[[#This Row],[SEG24]]&gt;0,CABLES[[#This Row],[CABLE_DIAMETER]],0)</f>
        <v>0</v>
      </c>
      <c r="EW2" s="10">
        <f>IF(CABLES[[#This Row],[SEG25]]&gt;0,CABLES[[#This Row],[CABLE_DIAMETER]],0)</f>
        <v>0</v>
      </c>
      <c r="EX2" s="10">
        <f>IF(CABLES[[#This Row],[SEG26]]&gt;0,CABLES[[#This Row],[CABLE_DIAMETER]],0)</f>
        <v>0</v>
      </c>
      <c r="EY2" s="10">
        <f>IF(CABLES[[#This Row],[SEG27]]&gt;0,CABLES[[#This Row],[CABLE_DIAMETER]],0)</f>
        <v>0</v>
      </c>
      <c r="EZ2" s="10">
        <f>IF(CABLES[[#This Row],[SEG28]]&gt;0,CABLES[[#This Row],[CABLE_DIAMETER]],0)</f>
        <v>0</v>
      </c>
      <c r="FA2" s="10">
        <f>IF(CABLES[[#This Row],[SEG29]]&gt;0,CABLES[[#This Row],[CABLE_DIAMETER]],0)</f>
        <v>0</v>
      </c>
      <c r="FB2" s="10">
        <f>IF(CABLES[[#This Row],[SEG30]]&gt;0,CABLES[[#This Row],[CABLE_DIAMETER]],0)</f>
        <v>16.5</v>
      </c>
      <c r="FC2" s="10">
        <f>IF(CABLES[[#This Row],[SEG31]]&gt;0,CABLES[[#This Row],[CABLE_DIAMETER]],0)</f>
        <v>16.5</v>
      </c>
      <c r="FD2" s="10">
        <f>IF(CABLES[[#This Row],[SEG32]]&gt;0,CABLES[[#This Row],[CABLE_DIAMETER]],0)</f>
        <v>0</v>
      </c>
      <c r="FE2" s="10">
        <f>IF(CABLES[[#This Row],[SEG33]]&gt;0,CABLES[[#This Row],[CABLE_DIAMETER]],0)</f>
        <v>0</v>
      </c>
      <c r="FF2" s="10">
        <f>IF(CABLES[[#This Row],[SEG34]]&gt;0,CABLES[[#This Row],[CABLE_DIAMETER]],0)</f>
        <v>0</v>
      </c>
      <c r="FG2" s="10">
        <f>IF(CABLES[[#This Row],[SEG35]]&gt;0,CABLES[[#This Row],[CABLE_DIAMETER]],0)</f>
        <v>0</v>
      </c>
      <c r="FH2" s="10">
        <f>IF(CABLES[[#This Row],[SEG36]]&gt;0,CABLES[[#This Row],[CABLE_DIAMETER]],0)</f>
        <v>0</v>
      </c>
      <c r="FI2" s="10">
        <f>IF(CABLES[[#This Row],[SEG37]]&gt;0,CABLES[[#This Row],[CABLE_DIAMETER]],0)</f>
        <v>0</v>
      </c>
      <c r="FJ2" s="10">
        <f>IF(CABLES[[#This Row],[SEG38]]&gt;0,CABLES[[#This Row],[CABLE_DIAMETER]],0)</f>
        <v>0</v>
      </c>
      <c r="FK2" s="10">
        <f>IF(CABLES[[#This Row],[SEG39]]&gt;0,CABLES[[#This Row],[CABLE_DIAMETER]],0)</f>
        <v>16.5</v>
      </c>
      <c r="FL2" s="10">
        <f>IF(CABLES[[#This Row],[SEG40]]&gt;0,CABLES[[#This Row],[CABLE_DIAMETER]],0)</f>
        <v>0</v>
      </c>
      <c r="FM2" s="10">
        <f>IF(CABLES[[#This Row],[SEG41]]&gt;0,CABLES[[#This Row],[CABLE_DIAMETER]],0)</f>
        <v>16.5</v>
      </c>
      <c r="FN2" s="10">
        <f>IF(CABLES[[#This Row],[SEG42]]&gt;0,CABLES[[#This Row],[CABLE_DIAMETER]],0)</f>
        <v>16.5</v>
      </c>
      <c r="FO2" s="10">
        <f>IF(CABLES[[#This Row],[SEG43]]&gt;0,CABLES[[#This Row],[CABLE_DIAMETER]],0)</f>
        <v>0</v>
      </c>
      <c r="FP2" s="10">
        <f>IF(CABLES[[#This Row],[SEG44]]&gt;0,CABLES[[#This Row],[CABLE_DIAMETER]],0)</f>
        <v>0</v>
      </c>
      <c r="FQ2" s="10">
        <f>IF(CABLES[[#This Row],[SEG45]]&gt;0,CABLES[[#This Row],[CABLE_DIAMETER]],0)</f>
        <v>0</v>
      </c>
      <c r="FR2" s="10">
        <f>IF(CABLES[[#This Row],[SEG46]]&gt;0,CABLES[[#This Row],[CABLE_DIAMETER]],0)</f>
        <v>0</v>
      </c>
      <c r="FS2" s="10">
        <f>IF(CABLES[[#This Row],[SEG47]]&gt;0,CABLES[[#This Row],[CABLE_DIAMETER]],0)</f>
        <v>0</v>
      </c>
      <c r="FT2" s="10">
        <f>IF(CABLES[[#This Row],[SEG48]]&gt;0,CABLES[[#This Row],[CABLE_DIAMETER]],0)</f>
        <v>0</v>
      </c>
      <c r="FU2" s="10">
        <f>IF(CABLES[[#This Row],[SEG49]]&gt;0,CABLES[[#This Row],[CABLE_DIAMETER]],0)</f>
        <v>0</v>
      </c>
      <c r="FV2" s="10">
        <f>IF(CABLES[[#This Row],[SEG50]]&gt;0,CABLES[[#This Row],[CABLE_DIAMETER]],0)</f>
        <v>0</v>
      </c>
      <c r="FW2" s="10">
        <f>IF(CABLES[[#This Row],[SEG51]]&gt;0,CABLES[[#This Row],[CABLE_DIAMETER]],0)</f>
        <v>0</v>
      </c>
      <c r="FX2" s="10">
        <f>IF(CABLES[[#This Row],[SEG52]]&gt;0,CABLES[[#This Row],[CABLE_DIAMETER]],0)</f>
        <v>0</v>
      </c>
      <c r="FY2" s="10">
        <f>IF(CABLES[[#This Row],[SEG53]]&gt;0,CABLES[[#This Row],[CABLE_DIAMETER]],0)</f>
        <v>0</v>
      </c>
      <c r="FZ2" s="10">
        <f>IF(CABLES[[#This Row],[SEG54]]&gt;0,CABLES[[#This Row],[CABLE_DIAMETER]],0)</f>
        <v>0</v>
      </c>
      <c r="GA2" s="10">
        <f>IF(CABLES[[#This Row],[SEG55]]&gt;0,CABLES[[#This Row],[CABLE_DIAMETER]],0)</f>
        <v>0</v>
      </c>
      <c r="GB2" s="10">
        <f>IF(CABLES[[#This Row],[SEG56]]&gt;0,CABLES[[#This Row],[CABLE_DIAMETER]],0)</f>
        <v>0</v>
      </c>
      <c r="GC2" s="10">
        <f>IF(CABLES[[#This Row],[SEG57]]&gt;0,CABLES[[#This Row],[CABLE_DIAMETER]],0)</f>
        <v>0</v>
      </c>
      <c r="GD2" s="10">
        <f>IF(CABLES[[#This Row],[SEG58]]&gt;0,CABLES[[#This Row],[CABLE_DIAMETER]],0)</f>
        <v>0</v>
      </c>
      <c r="GE2" s="10">
        <f>IF(CABLES[[#This Row],[SEG59]]&gt;0,CABLES[[#This Row],[CABLE_DIAMETER]],0)</f>
        <v>0</v>
      </c>
      <c r="GF2" s="10">
        <f>IF(CABLES[[#This Row],[SEG60]]&gt;0,CABLES[[#This Row],[CABLE_DIAMETER]],0)</f>
        <v>0</v>
      </c>
      <c r="GG2" s="10">
        <f>IF(CABLES[[#This Row],[SEG1]]&gt;0,CABLES[[#This Row],[CABLE_MASS]],0)</f>
        <v>0</v>
      </c>
      <c r="GH2" s="10">
        <f>IF(CABLES[[#This Row],[SEG2]]&gt;0,CABLES[[#This Row],[CABLE_MASS]],0)</f>
        <v>0</v>
      </c>
      <c r="GI2" s="10">
        <f>IF(CABLES[[#This Row],[SEG3]]&gt;0,CABLES[[#This Row],[CABLE_MASS]],0)</f>
        <v>0</v>
      </c>
      <c r="GJ2" s="10">
        <f>IF(CABLES[[#This Row],[SEG4]]&gt;0,CABLES[[#This Row],[CABLE_MASS]],0)</f>
        <v>0</v>
      </c>
      <c r="GK2" s="10">
        <f>IF(CABLES[[#This Row],[SEG5]]&gt;0,CABLES[[#This Row],[CABLE_MASS]],0)</f>
        <v>0</v>
      </c>
      <c r="GL2" s="10">
        <f>IF(CABLES[[#This Row],[SEG6]]&gt;0,CABLES[[#This Row],[CABLE_MASS]],0)</f>
        <v>0</v>
      </c>
      <c r="GM2" s="10">
        <f>IF(CABLES[[#This Row],[SEG7]]&gt;0,CABLES[[#This Row],[CABLE_MASS]],0)</f>
        <v>0</v>
      </c>
      <c r="GN2" s="10">
        <f>IF(CABLES[[#This Row],[SEG8]]&gt;0,CABLES[[#This Row],[CABLE_MASS]],0)</f>
        <v>0</v>
      </c>
      <c r="GO2" s="10">
        <f>IF(CABLES[[#This Row],[SEG9]]&gt;0,CABLES[[#This Row],[CABLE_MASS]],0)</f>
        <v>0</v>
      </c>
      <c r="GP2" s="10">
        <f>IF(CABLES[[#This Row],[SEG10]]&gt;0,CABLES[[#This Row],[CABLE_MASS]],0)</f>
        <v>0</v>
      </c>
      <c r="GQ2" s="10">
        <f>IF(CABLES[[#This Row],[SEG11]]&gt;0,CABLES[[#This Row],[CABLE_MASS]],0)</f>
        <v>0</v>
      </c>
      <c r="GR2" s="10">
        <f>IF(CABLES[[#This Row],[SEG12]]&gt;0,CABLES[[#This Row],[CABLE_MASS]],0)</f>
        <v>0</v>
      </c>
      <c r="GS2" s="10">
        <f>IF(CABLES[[#This Row],[SEG13]]&gt;0,CABLES[[#This Row],[CABLE_MASS]],0)</f>
        <v>0</v>
      </c>
      <c r="GT2" s="10">
        <f>IF(CABLES[[#This Row],[SEG14]]&gt;0,CABLES[[#This Row],[CABLE_MASS]],0)</f>
        <v>0</v>
      </c>
      <c r="GU2" s="10">
        <f>IF(CABLES[[#This Row],[SEG15]]&gt;0,CABLES[[#This Row],[CABLE_MASS]],0)</f>
        <v>0</v>
      </c>
      <c r="GV2" s="10">
        <f>IF(CABLES[[#This Row],[SEG16]]&gt;0,CABLES[[#This Row],[CABLE_MASS]],0)</f>
        <v>0</v>
      </c>
      <c r="GW2" s="10">
        <f>IF(CABLES[[#This Row],[SEG17]]&gt;0,CABLES[[#This Row],[CABLE_MASS]],0)</f>
        <v>0</v>
      </c>
      <c r="GX2" s="10">
        <f>IF(CABLES[[#This Row],[SEG18]]&gt;0,CABLES[[#This Row],[CABLE_MASS]],0)</f>
        <v>0</v>
      </c>
      <c r="GY2" s="10">
        <f>IF(CABLES[[#This Row],[SEG19]]&gt;0,CABLES[[#This Row],[CABLE_MASS]],0)</f>
        <v>0</v>
      </c>
      <c r="GZ2" s="10">
        <f>IF(CABLES[[#This Row],[SEG20]]&gt;0,CABLES[[#This Row],[CABLE_MASS]],0)</f>
        <v>0</v>
      </c>
      <c r="HA2" s="10">
        <f>IF(CABLES[[#This Row],[SEG21]]&gt;0,CABLES[[#This Row],[CABLE_MASS]],0)</f>
        <v>0</v>
      </c>
      <c r="HB2" s="10">
        <f>IF(CABLES[[#This Row],[SEG22]]&gt;0,CABLES[[#This Row],[CABLE_MASS]],0)</f>
        <v>0</v>
      </c>
      <c r="HC2" s="10">
        <f>IF(CABLES[[#This Row],[SEG23]]&gt;0,CABLES[[#This Row],[CABLE_MASS]],0)</f>
        <v>0</v>
      </c>
      <c r="HD2" s="10">
        <f>IF(CABLES[[#This Row],[SEG24]]&gt;0,CABLES[[#This Row],[CABLE_MASS]],0)</f>
        <v>0</v>
      </c>
      <c r="HE2" s="10">
        <f>IF(CABLES[[#This Row],[SEG25]]&gt;0,CABLES[[#This Row],[CABLE_MASS]],0)</f>
        <v>0</v>
      </c>
      <c r="HF2" s="10">
        <f>IF(CABLES[[#This Row],[SEG26]]&gt;0,CABLES[[#This Row],[CABLE_MASS]],0)</f>
        <v>0</v>
      </c>
      <c r="HG2" s="10">
        <f>IF(CABLES[[#This Row],[SEG27]]&gt;0,CABLES[[#This Row],[CABLE_MASS]],0)</f>
        <v>0</v>
      </c>
      <c r="HH2" s="10">
        <f>IF(CABLES[[#This Row],[SEG28]]&gt;0,CABLES[[#This Row],[CABLE_MASS]],0)</f>
        <v>0</v>
      </c>
      <c r="HI2" s="10">
        <f>IF(CABLES[[#This Row],[SEG29]]&gt;0,CABLES[[#This Row],[CABLE_MASS]],0)</f>
        <v>0</v>
      </c>
      <c r="HJ2" s="10">
        <f>IF(CABLES[[#This Row],[SEG30]]&gt;0,CABLES[[#This Row],[CABLE_MASS]],0)</f>
        <v>0.41</v>
      </c>
      <c r="HK2" s="10">
        <f>IF(CABLES[[#This Row],[SEG31]]&gt;0,CABLES[[#This Row],[CABLE_MASS]],0)</f>
        <v>0.41</v>
      </c>
      <c r="HL2" s="10">
        <f>IF(CABLES[[#This Row],[SEG32]]&gt;0,CABLES[[#This Row],[CABLE_MASS]],0)</f>
        <v>0</v>
      </c>
      <c r="HM2" s="10">
        <f>IF(CABLES[[#This Row],[SEG33]]&gt;0,CABLES[[#This Row],[CABLE_MASS]],0)</f>
        <v>0</v>
      </c>
      <c r="HN2" s="10">
        <f>IF(CABLES[[#This Row],[SEG34]]&gt;0,CABLES[[#This Row],[CABLE_MASS]],0)</f>
        <v>0</v>
      </c>
      <c r="HO2" s="10">
        <f>IF(CABLES[[#This Row],[SEG35]]&gt;0,CABLES[[#This Row],[CABLE_MASS]],0)</f>
        <v>0</v>
      </c>
      <c r="HP2" s="10">
        <f>IF(CABLES[[#This Row],[SEG36]]&gt;0,CABLES[[#This Row],[CABLE_MASS]],0)</f>
        <v>0</v>
      </c>
      <c r="HQ2" s="10">
        <f>IF(CABLES[[#This Row],[SEG37]]&gt;0,CABLES[[#This Row],[CABLE_MASS]],0)</f>
        <v>0</v>
      </c>
      <c r="HR2" s="10">
        <f>IF(CABLES[[#This Row],[SEG38]]&gt;0,CABLES[[#This Row],[CABLE_MASS]],0)</f>
        <v>0</v>
      </c>
      <c r="HS2" s="10">
        <f>IF(CABLES[[#This Row],[SEG39]]&gt;0,CABLES[[#This Row],[CABLE_MASS]],0)</f>
        <v>0.41</v>
      </c>
      <c r="HT2" s="10">
        <f>IF(CABLES[[#This Row],[SEG40]]&gt;0,CABLES[[#This Row],[CABLE_MASS]],0)</f>
        <v>0</v>
      </c>
      <c r="HU2" s="10">
        <f>IF(CABLES[[#This Row],[SEG41]]&gt;0,CABLES[[#This Row],[CABLE_MASS]],0)</f>
        <v>0.41</v>
      </c>
      <c r="HV2" s="10">
        <f>IF(CABLES[[#This Row],[SEG42]]&gt;0,CABLES[[#This Row],[CABLE_MASS]],0)</f>
        <v>0.41</v>
      </c>
      <c r="HW2" s="10">
        <f>IF(CABLES[[#This Row],[SEG43]]&gt;0,CABLES[[#This Row],[CABLE_MASS]],0)</f>
        <v>0</v>
      </c>
      <c r="HX2" s="10">
        <f>IF(CABLES[[#This Row],[SEG44]]&gt;0,CABLES[[#This Row],[CABLE_MASS]],0)</f>
        <v>0</v>
      </c>
      <c r="HY2" s="10">
        <f>IF(CABLES[[#This Row],[SEG45]]&gt;0,CABLES[[#This Row],[CABLE_MASS]],0)</f>
        <v>0</v>
      </c>
      <c r="HZ2" s="10">
        <f>IF(CABLES[[#This Row],[SEG46]]&gt;0,CABLES[[#This Row],[CABLE_MASS]],0)</f>
        <v>0</v>
      </c>
      <c r="IA2" s="10">
        <f>IF(CABLES[[#This Row],[SEG47]]&gt;0,CABLES[[#This Row],[CABLE_MASS]],0)</f>
        <v>0</v>
      </c>
      <c r="IB2" s="10">
        <f>IF(CABLES[[#This Row],[SEG48]]&gt;0,CABLES[[#This Row],[CABLE_MASS]],0)</f>
        <v>0</v>
      </c>
      <c r="IC2" s="10">
        <f>IF(CABLES[[#This Row],[SEG49]]&gt;0,CABLES[[#This Row],[CABLE_MASS]],0)</f>
        <v>0</v>
      </c>
      <c r="ID2" s="10">
        <f>IF(CABLES[[#This Row],[SEG50]]&gt;0,CABLES[[#This Row],[CABLE_MASS]],0)</f>
        <v>0</v>
      </c>
      <c r="IE2" s="10">
        <f>IF(CABLES[[#This Row],[SEG51]]&gt;0,CABLES[[#This Row],[CABLE_MASS]],0)</f>
        <v>0</v>
      </c>
      <c r="IF2" s="10">
        <f>IF(CABLES[[#This Row],[SEG52]]&gt;0,CABLES[[#This Row],[CABLE_MASS]],0)</f>
        <v>0</v>
      </c>
      <c r="IG2" s="10">
        <f>IF(CABLES[[#This Row],[SEG53]]&gt;0,CABLES[[#This Row],[CABLE_MASS]],0)</f>
        <v>0</v>
      </c>
      <c r="IH2" s="10">
        <f>IF(CABLES[[#This Row],[SEG54]]&gt;0,CABLES[[#This Row],[CABLE_MASS]],0)</f>
        <v>0</v>
      </c>
      <c r="II2" s="10">
        <f>IF(CABLES[[#This Row],[SEG55]]&gt;0,CABLES[[#This Row],[CABLE_MASS]],0)</f>
        <v>0</v>
      </c>
      <c r="IJ2" s="10">
        <f>IF(CABLES[[#This Row],[SEG56]]&gt;0,CABLES[[#This Row],[CABLE_MASS]],0)</f>
        <v>0</v>
      </c>
      <c r="IK2" s="10">
        <f>IF(CABLES[[#This Row],[SEG57]]&gt;0,CABLES[[#This Row],[CABLE_MASS]],0)</f>
        <v>0</v>
      </c>
      <c r="IL2" s="10">
        <f>IF(CABLES[[#This Row],[SEG58]]&gt;0,CABLES[[#This Row],[CABLE_MASS]],0)</f>
        <v>0</v>
      </c>
      <c r="IM2" s="10">
        <f>IF(CABLES[[#This Row],[SEG59]]&gt;0,CABLES[[#This Row],[CABLE_MASS]],0)</f>
        <v>0</v>
      </c>
      <c r="IN2" s="10">
        <f>IF(CABLES[[#This Row],[SEG60]]&gt;0,CABLES[[#This Row],[CABLE_MASS]],0)</f>
        <v>0</v>
      </c>
      <c r="IO2" s="10">
        <f xml:space="preserve">  (CABLES[[#This Row],[LOAD_KW]]/(SQRT(3)*SYSTEM_VOLTAGE*POWER_FACTOR))*1000</f>
        <v>24.056261216234407</v>
      </c>
      <c r="IP2" s="10">
        <v>45</v>
      </c>
      <c r="IQ2" s="10">
        <f xml:space="preserve"> INDEX(AS3000_AMBIENTDERATE[], MATCH(CABLES[[#This Row],[AMBIENT]],AS3000_AMBIENTDERATE[AMBIENT],0), 2)</f>
        <v>0.94</v>
      </c>
      <c r="IR2" s="10">
        <f xml:space="preserve"> ROUNDUP( CABLES[[#This Row],[CALCULATED_AMPS]]/CABLES[[#This Row],[AMBIENT_DERATING]],1)</f>
        <v>25.6</v>
      </c>
      <c r="IS2" s="10" t="s">
        <v>531</v>
      </c>
      <c r="IT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4</v>
      </c>
      <c r="IU2" s="10">
        <f t="shared" ref="IU2:IU33" si="0">SYSTEM_VOLTAGE * MAX_VDROP_PERCENT</f>
        <v>28.000000000000004</v>
      </c>
      <c r="IV2" s="10">
        <f>(1000*CABLES[[#This Row],[MAX_VDROP]])/(CABLES[[#This Row],[ESTIMATED_CABLE_LENGTH]]*CABLES[[#This Row],[AMP_RATING]])</f>
        <v>17.528044871794872</v>
      </c>
      <c r="IW2" s="10">
        <f xml:space="preserve"> INDEX(AS3000_VDROP[], MATCH(CABLES[[#This Row],[VC_CALC]],AS3000_VDROP[Vc],1),1)</f>
        <v>2.5</v>
      </c>
      <c r="IX2" s="10">
        <f>MAX(CABLES[[#This Row],[CABLESIZE_METHOD1]],CABLES[[#This Row],[CABLESIZE_METHOD2]])</f>
        <v>4</v>
      </c>
      <c r="IY2" s="10"/>
      <c r="IZ2" s="10">
        <f>IF(LEN(CABLES[[#This Row],[OVERRIDE_CABLESIZE]])&gt;0,CABLES[[#This Row],[OVERRIDE_CABLESIZE]],CABLES[[#This Row],[INITIAL_CABLESIZE]])</f>
        <v>4</v>
      </c>
      <c r="JA2" s="10">
        <f>INDEX(PROTECTIVE_DEVICE[DEVICE], MATCH(CABLES[[#This Row],[CALCULATED_AMPS]],PROTECTIVE_DEVICE[DEVICE],-1),1)</f>
        <v>25</v>
      </c>
      <c r="JB2" s="10"/>
      <c r="JC2" s="10">
        <f>IF(LEN(CABLES[[#This Row],[OVERRIDE_PDEVICE]])&gt;0, CABLES[[#This Row],[OVERRIDE_PDEVICE]],CABLES[[#This Row],[RECOMMEND_PDEVICE]])</f>
        <v>25</v>
      </c>
      <c r="JD2" s="10" t="s">
        <v>450</v>
      </c>
      <c r="JE2" s="10">
        <f xml:space="preserve"> CABLES[[#This Row],[SELECTED_PDEVICE]] * INDEX(DEVICE_CURVE[], MATCH(CABLES[[#This Row],[PDEVICE_CURVE]], DEVICE_CURVE[DEVICE_CURVE],0),2)</f>
        <v>162.5</v>
      </c>
      <c r="JF2" s="10" t="s">
        <v>458</v>
      </c>
      <c r="JG2" s="10">
        <f xml:space="preserve"> INDEX(CONDUCTOR_MATERIAL[], MATCH(CABLES[[#This Row],[CONDUCTOR_MATERIAL]],CONDUCTOR_MATERIAL[CONDUCTOR_MATERIAL],0),2)</f>
        <v>2.2499999999999999E-2</v>
      </c>
      <c r="JH2" s="10">
        <f>CABLES[[#This Row],[SELECTED_CABLESIZE]]</f>
        <v>4</v>
      </c>
      <c r="JI2" s="10">
        <f xml:space="preserve"> INDEX( EARTH_CONDUCTOR_SIZE[], MATCH(CABLES[[#This Row],[SPH]],EARTH_CONDUCTOR_SIZE[MM^2],-1), 2)</f>
        <v>2.5</v>
      </c>
      <c r="JJ2" s="10">
        <f>(0.8*PHASE_VOLTAGE*CABLES[[#This Row],[SPH]]*CABLES[[#This Row],[SPE]])/(CABLES[[#This Row],[PDEVICE_IA]]*CABLES[[#This Row],[MATERIAL_CONSTANT]]*(CABLES[[#This Row],[SPH]]+CABLES[[#This Row],[SPE]]))</f>
        <v>77.422748191978968</v>
      </c>
      <c r="JK2" s="10" t="str">
        <f>IF(CABLES[[#This Row],[LMAX]]&gt;CABLES[[#This Row],[ESTIMATED_CABLE_LENGTH]], "PASS", "ERROR")</f>
        <v>PASS</v>
      </c>
      <c r="JL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16.5</v>
      </c>
      <c r="JM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0.41</v>
      </c>
      <c r="JN2" s="6">
        <f xml:space="preserve"> ROUNDUP( CABLES[[#This Row],[CALCULATED_AMPS]],1)</f>
        <v>24.1</v>
      </c>
      <c r="JO2" s="6">
        <f>CABLES[[#This Row],[SELECTED_CABLESIZE]]</f>
        <v>4</v>
      </c>
      <c r="JP2" s="10">
        <f>CABLES[[#This Row],[ESTIMATED_CABLE_LENGTH]]</f>
        <v>62.4</v>
      </c>
      <c r="JQ2" s="6">
        <f>CABLES[[#This Row],[SELECTED_PDEVICE]]</f>
        <v>25</v>
      </c>
    </row>
    <row r="3" spans="1:277" x14ac:dyDescent="0.35">
      <c r="A3" s="5" t="s">
        <v>2</v>
      </c>
      <c r="B3" s="5" t="s">
        <v>80</v>
      </c>
      <c r="C3" s="10" t="s">
        <v>261</v>
      </c>
      <c r="D3" s="9">
        <v>15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1</v>
      </c>
      <c r="AI3" s="9">
        <v>1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1</v>
      </c>
      <c r="AR3" s="9">
        <v>0</v>
      </c>
      <c r="AS3" s="9">
        <v>1</v>
      </c>
      <c r="AT3" s="9">
        <v>1</v>
      </c>
      <c r="AU3" s="9">
        <v>1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1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f xml:space="preserve"> IF(CABLES[[#This Row],[SEG1]] &gt;0, INDEX(SEGMENTS[], MATCH(CABLES[[#Headers],[SEG1]],SEGMENTS[SEG_ID],0),4),0)</f>
        <v>0</v>
      </c>
      <c r="BN3" s="9">
        <f xml:space="preserve"> IF(CABLES[[#This Row],[SEG2]] &gt;0, INDEX(SEGMENTS[], MATCH(CABLES[[#Headers],[SEG2]],SEGMENTS[SEG_ID],0),4),0)</f>
        <v>0</v>
      </c>
      <c r="BO3" s="9">
        <f xml:space="preserve"> IF(CABLES[[#This Row],[SEG3]] &gt;0, INDEX(SEGMENTS[], MATCH(CABLES[[#Headers],[SEG3]],SEGMENTS[SEG_ID],0),4),0)</f>
        <v>0</v>
      </c>
      <c r="BP3" s="9">
        <f xml:space="preserve"> IF(CABLES[[#This Row],[SEG4]] &gt;0, INDEX(SEGMENTS[], MATCH(CABLES[[#Headers],[SEG4]],SEGMENTS[SEG_ID],0),4),0)</f>
        <v>0</v>
      </c>
      <c r="BQ3" s="9">
        <f xml:space="preserve"> IF(CABLES[[#This Row],[SEG5]] &gt;0,INDEX(SEGMENTS[], MATCH(CABLES[[#Headers],[SEG5]],SEGMENTS[SEG_ID],0),4),0)</f>
        <v>0</v>
      </c>
      <c r="BR3" s="9">
        <f xml:space="preserve"> IF(CABLES[[#This Row],[SEG6]] &gt;0,INDEX(SEGMENTS[], MATCH(CABLES[[#Headers],[SEG6]],SEGMENTS[SEG_ID],0),4),0)</f>
        <v>0</v>
      </c>
      <c r="BS3" s="9">
        <f xml:space="preserve"> IF(CABLES[[#This Row],[SEG7]] &gt;0,INDEX(SEGMENTS[], MATCH(CABLES[[#Headers],[SEG7]],SEGMENTS[SEG_ID],0),4),0)</f>
        <v>0</v>
      </c>
      <c r="BT3" s="9">
        <f xml:space="preserve"> IF(CABLES[[#This Row],[SEG8]] &gt;0,INDEX(SEGMENTS[], MATCH(CABLES[[#Headers],[SEG8]],SEGMENTS[SEG_ID],0),4),0)</f>
        <v>0</v>
      </c>
      <c r="BU3" s="9">
        <f xml:space="preserve"> IF(CABLES[[#This Row],[SEG9]] &gt;0,INDEX(SEGMENTS[], MATCH(CABLES[[#Headers],[SEG9]],SEGMENTS[SEG_ID],0),4),0)</f>
        <v>0</v>
      </c>
      <c r="BV3" s="9">
        <f xml:space="preserve"> IF(CABLES[[#This Row],[SEG10]] &gt;0,INDEX(SEGMENTS[], MATCH(CABLES[[#Headers],[SEG10]],SEGMENTS[SEG_ID],0),4),0)</f>
        <v>0</v>
      </c>
      <c r="BW3" s="9">
        <f xml:space="preserve"> IF(CABLES[[#This Row],[SEG11]] &gt;0,INDEX(SEGMENTS[], MATCH(CABLES[[#Headers],[SEG11]],SEGMENTS[SEG_ID],0),4),0)</f>
        <v>0</v>
      </c>
      <c r="BX3" s="9">
        <f>IF(CABLES[[#This Row],[SEG12]] &gt;0, INDEX(SEGMENTS[], MATCH(CABLES[[#Headers],[SEG12]],SEGMENTS[SEG_ID],0),4),0)</f>
        <v>0</v>
      </c>
      <c r="BY3" s="9">
        <f xml:space="preserve"> IF(CABLES[[#This Row],[SEG13]] &gt;0,INDEX(SEGMENTS[], MATCH(CABLES[[#Headers],[SEG13]],SEGMENTS[SEG_ID],0),4),0)</f>
        <v>0</v>
      </c>
      <c r="BZ3" s="9">
        <f xml:space="preserve"> IF(CABLES[[#This Row],[SEG14]] &gt;0,INDEX(SEGMENTS[], MATCH(CABLES[[#Headers],[SEG14]],SEGMENTS[SEG_ID],0),4),0)</f>
        <v>0</v>
      </c>
      <c r="CA3" s="9">
        <f xml:space="preserve"> IF(CABLES[[#This Row],[SEG15]] &gt;0,INDEX(SEGMENTS[], MATCH(CABLES[[#Headers],[SEG15]],SEGMENTS[SEG_ID],0),4),0)</f>
        <v>0</v>
      </c>
      <c r="CB3" s="9">
        <f xml:space="preserve"> IF(CABLES[[#This Row],[SEG16]] &gt;0,INDEX(SEGMENTS[], MATCH(CABLES[[#Headers],[SEG16]],SEGMENTS[SEG_ID],0),4),0)</f>
        <v>0</v>
      </c>
      <c r="CC3" s="9">
        <f xml:space="preserve"> IF(CABLES[[#This Row],[SEG17]] &gt;0,INDEX(SEGMENTS[], MATCH(CABLES[[#Headers],[SEG17]],SEGMENTS[SEG_ID],0),4),0)</f>
        <v>0</v>
      </c>
      <c r="CD3" s="9">
        <f xml:space="preserve"> IF(CABLES[[#This Row],[SEG18]] &gt;0,INDEX(SEGMENTS[], MATCH(CABLES[[#Headers],[SEG18]],SEGMENTS[SEG_ID],0),4),0)</f>
        <v>0</v>
      </c>
      <c r="CE3" s="9">
        <f>IF(CABLES[[#This Row],[SEG19]] &gt;0, INDEX(SEGMENTS[], MATCH(CABLES[[#Headers],[SEG19]],SEGMENTS[SEG_ID],0),4),0)</f>
        <v>0</v>
      </c>
      <c r="CF3" s="9">
        <f>IF(CABLES[[#This Row],[SEG20]] &gt;0, INDEX(SEGMENTS[], MATCH(CABLES[[#Headers],[SEG20]],SEGMENTS[SEG_ID],0),4),0)</f>
        <v>0</v>
      </c>
      <c r="CG3" s="9">
        <f xml:space="preserve"> IF(CABLES[[#This Row],[SEG21]] &gt;0,INDEX(SEGMENTS[], MATCH(CABLES[[#Headers],[SEG21]],SEGMENTS[SEG_ID],0),4),0)</f>
        <v>0</v>
      </c>
      <c r="CH3" s="9">
        <f xml:space="preserve"> IF(CABLES[[#This Row],[SEG22]] &gt;0,INDEX(SEGMENTS[], MATCH(CABLES[[#Headers],[SEG22]],SEGMENTS[SEG_ID],0),4),0)</f>
        <v>0</v>
      </c>
      <c r="CI3" s="9">
        <f>IF(CABLES[[#This Row],[SEG23]] &gt;0, INDEX(SEGMENTS[], MATCH(CABLES[[#Headers],[SEG23]],SEGMENTS[SEG_ID],0),4),0)</f>
        <v>0</v>
      </c>
      <c r="CJ3" s="9">
        <f xml:space="preserve"> IF(CABLES[[#This Row],[SEG24]] &gt;0,INDEX(SEGMENTS[], MATCH(CABLES[[#Headers],[SEG24]],SEGMENTS[SEG_ID],0),4),0)</f>
        <v>0</v>
      </c>
      <c r="CK3" s="9">
        <f>IF(CABLES[[#This Row],[SEG25]] &gt;0, INDEX(SEGMENTS[], MATCH(CABLES[[#Headers],[SEG25]],SEGMENTS[SEG_ID],0),4),0)</f>
        <v>0</v>
      </c>
      <c r="CL3" s="9">
        <f>IF(CABLES[[#This Row],[SEG26]] &gt;0, INDEX(SEGMENTS[], MATCH(CABLES[[#Headers],[SEG26]],SEGMENTS[SEG_ID],0),4),0)</f>
        <v>0</v>
      </c>
      <c r="CM3" s="9">
        <f xml:space="preserve"> IF(CABLES[[#This Row],[SEG27]] &gt;0,INDEX(SEGMENTS[], MATCH(CABLES[[#Headers],[SEG27]],SEGMENTS[SEG_ID],0),4),0)</f>
        <v>0</v>
      </c>
      <c r="CN3" s="9">
        <f xml:space="preserve"> IF(CABLES[[#This Row],[SEG28]] &gt;0,INDEX(SEGMENTS[], MATCH(CABLES[[#Headers],[SEG28]],SEGMENTS[SEG_ID],0),4),0)</f>
        <v>0</v>
      </c>
      <c r="CO3" s="9">
        <f xml:space="preserve"> IF(CABLES[[#This Row],[SEG29]] &gt;0,INDEX(SEGMENTS[], MATCH(CABLES[[#Headers],[SEG29]],SEGMENTS[SEG_ID],0),4),0)</f>
        <v>0</v>
      </c>
      <c r="CP3" s="9">
        <f xml:space="preserve"> IF(CABLES[[#This Row],[SEG30]] &gt;0,INDEX(SEGMENTS[], MATCH(CABLES[[#Headers],[SEG30]],SEGMENTS[SEG_ID],0),4),0)</f>
        <v>6</v>
      </c>
      <c r="CQ3" s="9">
        <f>IF(CABLES[[#This Row],[SEG31]] &gt;0, INDEX(SEGMENTS[], MATCH(CABLES[[#Headers],[SEG31]],SEGMENTS[SEG_ID],0),4),0)</f>
        <v>3</v>
      </c>
      <c r="CR3" s="9">
        <f xml:space="preserve"> IF(CABLES[[#This Row],[SEG32]] &gt;0,INDEX(SEGMENTS[], MATCH(CABLES[[#Headers],[SEG32]],SEGMENTS[SEG_ID],0),4),0)</f>
        <v>0</v>
      </c>
      <c r="CS3" s="9">
        <f xml:space="preserve"> IF(CABLES[[#This Row],[SEG33]] &gt;0,INDEX(SEGMENTS[], MATCH(CABLES[[#Headers],[SEG33]],SEGMENTS[SEG_ID],0),4),0)</f>
        <v>0</v>
      </c>
      <c r="CT3" s="9">
        <f>IF(CABLES[[#This Row],[SEG34]] &gt;0, INDEX(SEGMENTS[], MATCH(CABLES[[#Headers],[SEG34]],SEGMENTS[SEG_ID],0),4),0)</f>
        <v>0</v>
      </c>
      <c r="CU3" s="9">
        <f xml:space="preserve"> IF(CABLES[[#This Row],[SEG35]] &gt;0,INDEX(SEGMENTS[], MATCH(CABLES[[#Headers],[SEG35]],SEGMENTS[SEG_ID],0),4),0)</f>
        <v>0</v>
      </c>
      <c r="CV3" s="9">
        <f xml:space="preserve"> IF(CABLES[[#This Row],[SEG36]] &gt;0,INDEX(SEGMENTS[], MATCH(CABLES[[#Headers],[SEG36]],SEGMENTS[SEG_ID],0),4),0)</f>
        <v>0</v>
      </c>
      <c r="CW3" s="9">
        <f xml:space="preserve"> IF(CABLES[[#This Row],[SEG37]] &gt;0,INDEX(SEGMENTS[], MATCH(CABLES[[#Headers],[SEG37]],SEGMENTS[SEG_ID],0),4),0)</f>
        <v>0</v>
      </c>
      <c r="CX3" s="9">
        <f xml:space="preserve"> IF(CABLES[[#This Row],[SEG38]] &gt;0,INDEX(SEGMENTS[], MATCH(CABLES[[#Headers],[SEG38]],SEGMENTS[SEG_ID],0),4),0)</f>
        <v>0</v>
      </c>
      <c r="CY3" s="9">
        <f xml:space="preserve"> IF(CABLES[[#This Row],[SEG39]] &gt;0,INDEX(SEGMENTS[], MATCH(CABLES[[#Headers],[SEG39]],SEGMENTS[SEG_ID],0),4),0)</f>
        <v>8</v>
      </c>
      <c r="CZ3" s="9">
        <f xml:space="preserve"> IF(CABLES[[#This Row],[SEG40]] &gt;0,INDEX(SEGMENTS[], MATCH(CABLES[[#Headers],[SEG40]],SEGMENTS[SEG_ID],0),4),0)</f>
        <v>0</v>
      </c>
      <c r="DA3" s="9">
        <f xml:space="preserve"> IF(CABLES[[#This Row],[SEG41]] &gt;0,INDEX(SEGMENTS[], MATCH(CABLES[[#Headers],[SEG41]],SEGMENTS[SEG_ID],0),4),0)</f>
        <v>8</v>
      </c>
      <c r="DB3" s="9">
        <f xml:space="preserve"> IF(CABLES[[#This Row],[SEG42]] &gt;0,INDEX(SEGMENTS[], MATCH(CABLES[[#Headers],[SEG42]],SEGMENTS[SEG_ID],0),4),0)</f>
        <v>22</v>
      </c>
      <c r="DC3" s="9">
        <f xml:space="preserve"> IF(CABLES[[#This Row],[SEG43]] &gt;0,INDEX(SEGMENTS[], MATCH(CABLES[[#Headers],[SEG43]],SEGMENTS[SEG_ID],0),4),0)</f>
        <v>10</v>
      </c>
      <c r="DD3" s="9">
        <f xml:space="preserve"> IF(CABLES[[#This Row],[SEG44]] &gt;0,INDEX(SEGMENTS[], MATCH(CABLES[[#Headers],[SEG44]],SEGMENTS[SEG_ID],0),4),0)</f>
        <v>0</v>
      </c>
      <c r="DE3" s="9">
        <f xml:space="preserve"> IF(CABLES[[#This Row],[SEG45]] &gt;0,INDEX(SEGMENTS[], MATCH(CABLES[[#Headers],[SEG45]],SEGMENTS[SEG_ID],0),4),0)</f>
        <v>0</v>
      </c>
      <c r="DF3" s="9">
        <f xml:space="preserve"> IF(CABLES[[#This Row],[SEG46]] &gt;0,INDEX(SEGMENTS[], MATCH(CABLES[[#Headers],[SEG46]],SEGMENTS[SEG_ID],0),4),0)</f>
        <v>0</v>
      </c>
      <c r="DG3" s="9">
        <f xml:space="preserve"> IF(CABLES[[#This Row],[SEG47]] &gt;0,INDEX(SEGMENTS[], MATCH(CABLES[[#Headers],[SEG47]],SEGMENTS[SEG_ID],0),4),0)</f>
        <v>0</v>
      </c>
      <c r="DH3" s="9">
        <f xml:space="preserve"> IF(CABLES[[#This Row],[SEG48]] &gt;0,INDEX(SEGMENTS[], MATCH(CABLES[[#Headers],[SEG48]],SEGMENTS[SEG_ID],0),4),0)</f>
        <v>0</v>
      </c>
      <c r="DI3" s="9">
        <f xml:space="preserve"> IF(CABLES[[#This Row],[SEG49]] &gt;0,INDEX(SEGMENTS[], MATCH(CABLES[[#Headers],[SEG49]],SEGMENTS[SEG_ID],0),4),0)</f>
        <v>0</v>
      </c>
      <c r="DJ3" s="9">
        <f xml:space="preserve"> IF(CABLES[[#This Row],[SEG50]] &gt;0,INDEX(SEGMENTS[], MATCH(CABLES[[#Headers],[SEG50]],SEGMENTS[SEG_ID],0),4),0)</f>
        <v>0</v>
      </c>
      <c r="DK3" s="9">
        <f xml:space="preserve"> IF(CABLES[[#This Row],[SEG51]] &gt;0,INDEX(SEGMENTS[], MATCH(CABLES[[#Headers],[SEG51]],SEGMENTS[SEG_ID],0),4),0)</f>
        <v>7</v>
      </c>
      <c r="DL3" s="9">
        <f xml:space="preserve"> IF(CABLES[[#This Row],[SEG52]] &gt;0,INDEX(SEGMENTS[], MATCH(CABLES[[#Headers],[SEG52]],SEGMENTS[SEG_ID],0),4),0)</f>
        <v>0</v>
      </c>
      <c r="DM3" s="9">
        <f xml:space="preserve"> IF(CABLES[[#This Row],[SEG53]] &gt;0,INDEX(SEGMENTS[], MATCH(CABLES[[#Headers],[SEG53]],SEGMENTS[SEG_ID],0),4),0)</f>
        <v>0</v>
      </c>
      <c r="DN3" s="9">
        <f xml:space="preserve"> IF(CABLES[[#This Row],[SEG54]] &gt;0,INDEX(SEGMENTS[], MATCH(CABLES[[#Headers],[SEG54]],SEGMENTS[SEG_ID],0),4),0)</f>
        <v>0</v>
      </c>
      <c r="DO3" s="9">
        <f xml:space="preserve"> IF(CABLES[[#This Row],[SEG55]] &gt;0,INDEX(SEGMENTS[], MATCH(CABLES[[#Headers],[SEG55]],SEGMENTS[SEG_ID],0),4),0)</f>
        <v>0</v>
      </c>
      <c r="DP3" s="9">
        <f xml:space="preserve"> IF(CABLES[[#This Row],[SEG56]] &gt;0,INDEX(SEGMENTS[], MATCH(CABLES[[#Headers],[SEG56]],SEGMENTS[SEG_ID],0),4),0)</f>
        <v>0</v>
      </c>
      <c r="DQ3" s="9">
        <f xml:space="preserve"> IF(CABLES[[#This Row],[SEG57]] &gt;0,INDEX(SEGMENTS[], MATCH(CABLES[[#Headers],[SEG57]],SEGMENTS[SEG_ID],0),4),0)</f>
        <v>0</v>
      </c>
      <c r="DR3" s="9">
        <f xml:space="preserve"> IF(CABLES[[#This Row],[SEG58]] &gt;0,INDEX(SEGMENTS[], MATCH(CABLES[[#Headers],[SEG58]],SEGMENTS[SEG_ID],0),4),0)</f>
        <v>0</v>
      </c>
      <c r="DS3" s="9">
        <f xml:space="preserve"> IF(CABLES[[#This Row],[SEG59]] &gt;0,INDEX(SEGMENTS[], MATCH(CABLES[[#Headers],[SEG59]],SEGMENTS[SEG_ID],0),4),0)</f>
        <v>0</v>
      </c>
      <c r="DT3" s="9">
        <f xml:space="preserve"> IF(CABLES[[#This Row],[SEG60]] &gt;0,INDEX(SEGMENTS[], MATCH(CABLES[[#Headers],[SEG60]],SEGMENTS[SEG_ID],0),4),0)</f>
        <v>0</v>
      </c>
      <c r="DU3" s="10">
        <f>SUM(CABLES[[#This Row],[SEGL1]:[SEGL60]])</f>
        <v>64</v>
      </c>
      <c r="DV3" s="10">
        <v>5</v>
      </c>
      <c r="DW3" s="10">
        <v>1.2</v>
      </c>
      <c r="DX3" s="10">
        <f xml:space="preserve"> IF(CABLES[[#This Row],[SEGL_TOTAL]]&gt;0, (CABLES[[#This Row],[SEGL_TOTAL]] + CABLES[[#This Row],[FITOFF]]) *CABLES[[#This Row],[XCAPACITY]],0)</f>
        <v>82.8</v>
      </c>
      <c r="DY3" s="10">
        <f>IF(CABLES[[#This Row],[SEG1]]&gt;0,CABLES[[#This Row],[CABLE_DIAMETER]],0)</f>
        <v>0</v>
      </c>
      <c r="DZ3" s="10">
        <f>IF(CABLES[[#This Row],[SEG2]]&gt;0,CABLES[[#This Row],[CABLE_DIAMETER]],0)</f>
        <v>0</v>
      </c>
      <c r="EA3" s="10">
        <f>IF(CABLES[[#This Row],[SEG3]]&gt;0,CABLES[[#This Row],[CABLE_DIAMETER]],0)</f>
        <v>0</v>
      </c>
      <c r="EB3" s="10">
        <f>IF(CABLES[[#This Row],[SEG4]]&gt;0,CABLES[[#This Row],[CABLE_DIAMETER]],0)</f>
        <v>0</v>
      </c>
      <c r="EC3" s="10">
        <f>IF(CABLES[[#This Row],[SEG5]]&gt;0,CABLES[[#This Row],[CABLE_DIAMETER]],0)</f>
        <v>0</v>
      </c>
      <c r="ED3" s="10">
        <f>IF(CABLES[[#This Row],[SEG6]]&gt;0,CABLES[[#This Row],[CABLE_DIAMETER]],0)</f>
        <v>0</v>
      </c>
      <c r="EE3" s="10">
        <f>IF(CABLES[[#This Row],[SEG7]]&gt;0,CABLES[[#This Row],[CABLE_DIAMETER]],0)</f>
        <v>0</v>
      </c>
      <c r="EF3" s="10">
        <f>IF(CABLES[[#This Row],[SEG9]]&gt;0,CABLES[[#This Row],[CABLE_DIAMETER]],0)</f>
        <v>0</v>
      </c>
      <c r="EG3" s="10">
        <f>IF(CABLES[[#This Row],[SEG9]]&gt;0,CABLES[[#This Row],[CABLE_DIAMETER]],0)</f>
        <v>0</v>
      </c>
      <c r="EH3" s="10">
        <f>IF(CABLES[[#This Row],[SEG10]]&gt;0,CABLES[[#This Row],[CABLE_DIAMETER]],0)</f>
        <v>0</v>
      </c>
      <c r="EI3" s="10">
        <f>IF(CABLES[[#This Row],[SEG11]]&gt;0,CABLES[[#This Row],[CABLE_DIAMETER]],0)</f>
        <v>0</v>
      </c>
      <c r="EJ3" s="10">
        <f>IF(CABLES[[#This Row],[SEG12]]&gt;0,CABLES[[#This Row],[CABLE_DIAMETER]],0)</f>
        <v>0</v>
      </c>
      <c r="EK3" s="10">
        <f>IF(CABLES[[#This Row],[SEG13]]&gt;0,CABLES[[#This Row],[CABLE_DIAMETER]],0)</f>
        <v>0</v>
      </c>
      <c r="EL3" s="10">
        <f>IF(CABLES[[#This Row],[SEG14]]&gt;0,CABLES[[#This Row],[CABLE_DIAMETER]],0)</f>
        <v>0</v>
      </c>
      <c r="EM3" s="10">
        <f>IF(CABLES[[#This Row],[SEG15]]&gt;0,CABLES[[#This Row],[CABLE_DIAMETER]],0)</f>
        <v>0</v>
      </c>
      <c r="EN3" s="10">
        <f>IF(CABLES[[#This Row],[SEG16]]&gt;0,CABLES[[#This Row],[CABLE_DIAMETER]],0)</f>
        <v>0</v>
      </c>
      <c r="EO3" s="10">
        <f>IF(CABLES[[#This Row],[SEG17]]&gt;0,CABLES[[#This Row],[CABLE_DIAMETER]],0)</f>
        <v>0</v>
      </c>
      <c r="EP3" s="10">
        <f>IF(CABLES[[#This Row],[SEG18]]&gt;0,CABLES[[#This Row],[CABLE_DIAMETER]],0)</f>
        <v>0</v>
      </c>
      <c r="EQ3" s="10">
        <f>IF(CABLES[[#This Row],[SEG19]]&gt;0,CABLES[[#This Row],[CABLE_DIAMETER]],0)</f>
        <v>0</v>
      </c>
      <c r="ER3" s="10">
        <f>IF(CABLES[[#This Row],[SEG20]]&gt;0,CABLES[[#This Row],[CABLE_DIAMETER]],0)</f>
        <v>0</v>
      </c>
      <c r="ES3" s="10">
        <f>IF(CABLES[[#This Row],[SEG21]]&gt;0,CABLES[[#This Row],[CABLE_DIAMETER]],0)</f>
        <v>0</v>
      </c>
      <c r="ET3" s="10">
        <f>IF(CABLES[[#This Row],[SEG22]]&gt;0,CABLES[[#This Row],[CABLE_DIAMETER]],0)</f>
        <v>0</v>
      </c>
      <c r="EU3" s="10">
        <f>IF(CABLES[[#This Row],[SEG23]]&gt;0,CABLES[[#This Row],[CABLE_DIAMETER]],0)</f>
        <v>0</v>
      </c>
      <c r="EV3" s="10">
        <f>IF(CABLES[[#This Row],[SEG24]]&gt;0,CABLES[[#This Row],[CABLE_DIAMETER]],0)</f>
        <v>0</v>
      </c>
      <c r="EW3" s="10">
        <f>IF(CABLES[[#This Row],[SEG25]]&gt;0,CABLES[[#This Row],[CABLE_DIAMETER]],0)</f>
        <v>0</v>
      </c>
      <c r="EX3" s="10">
        <f>IF(CABLES[[#This Row],[SEG26]]&gt;0,CABLES[[#This Row],[CABLE_DIAMETER]],0)</f>
        <v>0</v>
      </c>
      <c r="EY3" s="10">
        <f>IF(CABLES[[#This Row],[SEG27]]&gt;0,CABLES[[#This Row],[CABLE_DIAMETER]],0)</f>
        <v>0</v>
      </c>
      <c r="EZ3" s="10">
        <f>IF(CABLES[[#This Row],[SEG28]]&gt;0,CABLES[[#This Row],[CABLE_DIAMETER]],0)</f>
        <v>0</v>
      </c>
      <c r="FA3" s="10">
        <f>IF(CABLES[[#This Row],[SEG29]]&gt;0,CABLES[[#This Row],[CABLE_DIAMETER]],0)</f>
        <v>0</v>
      </c>
      <c r="FB3" s="10">
        <f>IF(CABLES[[#This Row],[SEG30]]&gt;0,CABLES[[#This Row],[CABLE_DIAMETER]],0)</f>
        <v>17.399999999999999</v>
      </c>
      <c r="FC3" s="10">
        <f>IF(CABLES[[#This Row],[SEG31]]&gt;0,CABLES[[#This Row],[CABLE_DIAMETER]],0)</f>
        <v>17.399999999999999</v>
      </c>
      <c r="FD3" s="10">
        <f>IF(CABLES[[#This Row],[SEG32]]&gt;0,CABLES[[#This Row],[CABLE_DIAMETER]],0)</f>
        <v>0</v>
      </c>
      <c r="FE3" s="10">
        <f>IF(CABLES[[#This Row],[SEG33]]&gt;0,CABLES[[#This Row],[CABLE_DIAMETER]],0)</f>
        <v>0</v>
      </c>
      <c r="FF3" s="10">
        <f>IF(CABLES[[#This Row],[SEG34]]&gt;0,CABLES[[#This Row],[CABLE_DIAMETER]],0)</f>
        <v>0</v>
      </c>
      <c r="FG3" s="10">
        <f>IF(CABLES[[#This Row],[SEG35]]&gt;0,CABLES[[#This Row],[CABLE_DIAMETER]],0)</f>
        <v>0</v>
      </c>
      <c r="FH3" s="10">
        <f>IF(CABLES[[#This Row],[SEG36]]&gt;0,CABLES[[#This Row],[CABLE_DIAMETER]],0)</f>
        <v>0</v>
      </c>
      <c r="FI3" s="10">
        <f>IF(CABLES[[#This Row],[SEG37]]&gt;0,CABLES[[#This Row],[CABLE_DIAMETER]],0)</f>
        <v>0</v>
      </c>
      <c r="FJ3" s="10">
        <f>IF(CABLES[[#This Row],[SEG38]]&gt;0,CABLES[[#This Row],[CABLE_DIAMETER]],0)</f>
        <v>0</v>
      </c>
      <c r="FK3" s="10">
        <f>IF(CABLES[[#This Row],[SEG39]]&gt;0,CABLES[[#This Row],[CABLE_DIAMETER]],0)</f>
        <v>17.399999999999999</v>
      </c>
      <c r="FL3" s="10">
        <f>IF(CABLES[[#This Row],[SEG40]]&gt;0,CABLES[[#This Row],[CABLE_DIAMETER]],0)</f>
        <v>0</v>
      </c>
      <c r="FM3" s="10">
        <f>IF(CABLES[[#This Row],[SEG41]]&gt;0,CABLES[[#This Row],[CABLE_DIAMETER]],0)</f>
        <v>17.399999999999999</v>
      </c>
      <c r="FN3" s="10">
        <f>IF(CABLES[[#This Row],[SEG42]]&gt;0,CABLES[[#This Row],[CABLE_DIAMETER]],0)</f>
        <v>17.399999999999999</v>
      </c>
      <c r="FO3" s="10">
        <f>IF(CABLES[[#This Row],[SEG43]]&gt;0,CABLES[[#This Row],[CABLE_DIAMETER]],0)</f>
        <v>17.399999999999999</v>
      </c>
      <c r="FP3" s="10">
        <f>IF(CABLES[[#This Row],[SEG44]]&gt;0,CABLES[[#This Row],[CABLE_DIAMETER]],0)</f>
        <v>0</v>
      </c>
      <c r="FQ3" s="10">
        <f>IF(CABLES[[#This Row],[SEG45]]&gt;0,CABLES[[#This Row],[CABLE_DIAMETER]],0)</f>
        <v>0</v>
      </c>
      <c r="FR3" s="10">
        <f>IF(CABLES[[#This Row],[SEG46]]&gt;0,CABLES[[#This Row],[CABLE_DIAMETER]],0)</f>
        <v>0</v>
      </c>
      <c r="FS3" s="10">
        <f>IF(CABLES[[#This Row],[SEG47]]&gt;0,CABLES[[#This Row],[CABLE_DIAMETER]],0)</f>
        <v>0</v>
      </c>
      <c r="FT3" s="10">
        <f>IF(CABLES[[#This Row],[SEG48]]&gt;0,CABLES[[#This Row],[CABLE_DIAMETER]],0)</f>
        <v>0</v>
      </c>
      <c r="FU3" s="10">
        <f>IF(CABLES[[#This Row],[SEG49]]&gt;0,CABLES[[#This Row],[CABLE_DIAMETER]],0)</f>
        <v>0</v>
      </c>
      <c r="FV3" s="10">
        <f>IF(CABLES[[#This Row],[SEG50]]&gt;0,CABLES[[#This Row],[CABLE_DIAMETER]],0)</f>
        <v>0</v>
      </c>
      <c r="FW3" s="10">
        <f>IF(CABLES[[#This Row],[SEG51]]&gt;0,CABLES[[#This Row],[CABLE_DIAMETER]],0)</f>
        <v>17.399999999999999</v>
      </c>
      <c r="FX3" s="10">
        <f>IF(CABLES[[#This Row],[SEG52]]&gt;0,CABLES[[#This Row],[CABLE_DIAMETER]],0)</f>
        <v>0</v>
      </c>
      <c r="FY3" s="10">
        <f>IF(CABLES[[#This Row],[SEG53]]&gt;0,CABLES[[#This Row],[CABLE_DIAMETER]],0)</f>
        <v>0</v>
      </c>
      <c r="FZ3" s="10">
        <f>IF(CABLES[[#This Row],[SEG54]]&gt;0,CABLES[[#This Row],[CABLE_DIAMETER]],0)</f>
        <v>0</v>
      </c>
      <c r="GA3" s="10">
        <f>IF(CABLES[[#This Row],[SEG55]]&gt;0,CABLES[[#This Row],[CABLE_DIAMETER]],0)</f>
        <v>0</v>
      </c>
      <c r="GB3" s="10">
        <f>IF(CABLES[[#This Row],[SEG56]]&gt;0,CABLES[[#This Row],[CABLE_DIAMETER]],0)</f>
        <v>0</v>
      </c>
      <c r="GC3" s="10">
        <f>IF(CABLES[[#This Row],[SEG57]]&gt;0,CABLES[[#This Row],[CABLE_DIAMETER]],0)</f>
        <v>0</v>
      </c>
      <c r="GD3" s="10">
        <f>IF(CABLES[[#This Row],[SEG58]]&gt;0,CABLES[[#This Row],[CABLE_DIAMETER]],0)</f>
        <v>0</v>
      </c>
      <c r="GE3" s="10">
        <f>IF(CABLES[[#This Row],[SEG59]]&gt;0,CABLES[[#This Row],[CABLE_DIAMETER]],0)</f>
        <v>0</v>
      </c>
      <c r="GF3" s="10">
        <f>IF(CABLES[[#This Row],[SEG60]]&gt;0,CABLES[[#This Row],[CABLE_DIAMETER]],0)</f>
        <v>0</v>
      </c>
      <c r="GG3" s="10">
        <f>IF(CABLES[[#This Row],[SEG1]]&gt;0,CABLES[[#This Row],[CABLE_MASS]],0)</f>
        <v>0</v>
      </c>
      <c r="GH3" s="10">
        <f>IF(CABLES[[#This Row],[SEG2]]&gt;0,CABLES[[#This Row],[CABLE_MASS]],0)</f>
        <v>0</v>
      </c>
      <c r="GI3" s="10">
        <f>IF(CABLES[[#This Row],[SEG3]]&gt;0,CABLES[[#This Row],[CABLE_MASS]],0)</f>
        <v>0</v>
      </c>
      <c r="GJ3" s="10">
        <f>IF(CABLES[[#This Row],[SEG4]]&gt;0,CABLES[[#This Row],[CABLE_MASS]],0)</f>
        <v>0</v>
      </c>
      <c r="GK3" s="10">
        <f>IF(CABLES[[#This Row],[SEG5]]&gt;0,CABLES[[#This Row],[CABLE_MASS]],0)</f>
        <v>0</v>
      </c>
      <c r="GL3" s="10">
        <f>IF(CABLES[[#This Row],[SEG6]]&gt;0,CABLES[[#This Row],[CABLE_MASS]],0)</f>
        <v>0</v>
      </c>
      <c r="GM3" s="10">
        <f>IF(CABLES[[#This Row],[SEG7]]&gt;0,CABLES[[#This Row],[CABLE_MASS]],0)</f>
        <v>0</v>
      </c>
      <c r="GN3" s="10">
        <f>IF(CABLES[[#This Row],[SEG8]]&gt;0,CABLES[[#This Row],[CABLE_MASS]],0)</f>
        <v>0</v>
      </c>
      <c r="GO3" s="10">
        <f>IF(CABLES[[#This Row],[SEG9]]&gt;0,CABLES[[#This Row],[CABLE_MASS]],0)</f>
        <v>0</v>
      </c>
      <c r="GP3" s="10">
        <f>IF(CABLES[[#This Row],[SEG10]]&gt;0,CABLES[[#This Row],[CABLE_MASS]],0)</f>
        <v>0</v>
      </c>
      <c r="GQ3" s="10">
        <f>IF(CABLES[[#This Row],[SEG11]]&gt;0,CABLES[[#This Row],[CABLE_MASS]],0)</f>
        <v>0</v>
      </c>
      <c r="GR3" s="10">
        <f>IF(CABLES[[#This Row],[SEG12]]&gt;0,CABLES[[#This Row],[CABLE_MASS]],0)</f>
        <v>0</v>
      </c>
      <c r="GS3" s="10">
        <f>IF(CABLES[[#This Row],[SEG13]]&gt;0,CABLES[[#This Row],[CABLE_MASS]],0)</f>
        <v>0</v>
      </c>
      <c r="GT3" s="10">
        <f>IF(CABLES[[#This Row],[SEG14]]&gt;0,CABLES[[#This Row],[CABLE_MASS]],0)</f>
        <v>0</v>
      </c>
      <c r="GU3" s="10">
        <f>IF(CABLES[[#This Row],[SEG15]]&gt;0,CABLES[[#This Row],[CABLE_MASS]],0)</f>
        <v>0</v>
      </c>
      <c r="GV3" s="10">
        <f>IF(CABLES[[#This Row],[SEG16]]&gt;0,CABLES[[#This Row],[CABLE_MASS]],0)</f>
        <v>0</v>
      </c>
      <c r="GW3" s="10">
        <f>IF(CABLES[[#This Row],[SEG17]]&gt;0,CABLES[[#This Row],[CABLE_MASS]],0)</f>
        <v>0</v>
      </c>
      <c r="GX3" s="10">
        <f>IF(CABLES[[#This Row],[SEG18]]&gt;0,CABLES[[#This Row],[CABLE_MASS]],0)</f>
        <v>0</v>
      </c>
      <c r="GY3" s="10">
        <f>IF(CABLES[[#This Row],[SEG19]]&gt;0,CABLES[[#This Row],[CABLE_MASS]],0)</f>
        <v>0</v>
      </c>
      <c r="GZ3" s="10">
        <f>IF(CABLES[[#This Row],[SEG20]]&gt;0,CABLES[[#This Row],[CABLE_MASS]],0)</f>
        <v>0</v>
      </c>
      <c r="HA3" s="10">
        <f>IF(CABLES[[#This Row],[SEG21]]&gt;0,CABLES[[#This Row],[CABLE_MASS]],0)</f>
        <v>0</v>
      </c>
      <c r="HB3" s="10">
        <f>IF(CABLES[[#This Row],[SEG22]]&gt;0,CABLES[[#This Row],[CABLE_MASS]],0)</f>
        <v>0</v>
      </c>
      <c r="HC3" s="10">
        <f>IF(CABLES[[#This Row],[SEG23]]&gt;0,CABLES[[#This Row],[CABLE_MASS]],0)</f>
        <v>0</v>
      </c>
      <c r="HD3" s="10">
        <f>IF(CABLES[[#This Row],[SEG24]]&gt;0,CABLES[[#This Row],[CABLE_MASS]],0)</f>
        <v>0</v>
      </c>
      <c r="HE3" s="10">
        <f>IF(CABLES[[#This Row],[SEG25]]&gt;0,CABLES[[#This Row],[CABLE_MASS]],0)</f>
        <v>0</v>
      </c>
      <c r="HF3" s="10">
        <f>IF(CABLES[[#This Row],[SEG26]]&gt;0,CABLES[[#This Row],[CABLE_MASS]],0)</f>
        <v>0</v>
      </c>
      <c r="HG3" s="10">
        <f>IF(CABLES[[#This Row],[SEG27]]&gt;0,CABLES[[#This Row],[CABLE_MASS]],0)</f>
        <v>0</v>
      </c>
      <c r="HH3" s="10">
        <f>IF(CABLES[[#This Row],[SEG28]]&gt;0,CABLES[[#This Row],[CABLE_MASS]],0)</f>
        <v>0</v>
      </c>
      <c r="HI3" s="10">
        <f>IF(CABLES[[#This Row],[SEG29]]&gt;0,CABLES[[#This Row],[CABLE_MASS]],0)</f>
        <v>0</v>
      </c>
      <c r="HJ3" s="10">
        <f>IF(CABLES[[#This Row],[SEG30]]&gt;0,CABLES[[#This Row],[CABLE_MASS]],0)</f>
        <v>0.49</v>
      </c>
      <c r="HK3" s="10">
        <f>IF(CABLES[[#This Row],[SEG31]]&gt;0,CABLES[[#This Row],[CABLE_MASS]],0)</f>
        <v>0.49</v>
      </c>
      <c r="HL3" s="10">
        <f>IF(CABLES[[#This Row],[SEG32]]&gt;0,CABLES[[#This Row],[CABLE_MASS]],0)</f>
        <v>0</v>
      </c>
      <c r="HM3" s="10">
        <f>IF(CABLES[[#This Row],[SEG33]]&gt;0,CABLES[[#This Row],[CABLE_MASS]],0)</f>
        <v>0</v>
      </c>
      <c r="HN3" s="10">
        <f>IF(CABLES[[#This Row],[SEG34]]&gt;0,CABLES[[#This Row],[CABLE_MASS]],0)</f>
        <v>0</v>
      </c>
      <c r="HO3" s="10">
        <f>IF(CABLES[[#This Row],[SEG35]]&gt;0,CABLES[[#This Row],[CABLE_MASS]],0)</f>
        <v>0</v>
      </c>
      <c r="HP3" s="10">
        <f>IF(CABLES[[#This Row],[SEG36]]&gt;0,CABLES[[#This Row],[CABLE_MASS]],0)</f>
        <v>0</v>
      </c>
      <c r="HQ3" s="10">
        <f>IF(CABLES[[#This Row],[SEG37]]&gt;0,CABLES[[#This Row],[CABLE_MASS]],0)</f>
        <v>0</v>
      </c>
      <c r="HR3" s="10">
        <f>IF(CABLES[[#This Row],[SEG38]]&gt;0,CABLES[[#This Row],[CABLE_MASS]],0)</f>
        <v>0</v>
      </c>
      <c r="HS3" s="10">
        <f>IF(CABLES[[#This Row],[SEG39]]&gt;0,CABLES[[#This Row],[CABLE_MASS]],0)</f>
        <v>0.49</v>
      </c>
      <c r="HT3" s="10">
        <f>IF(CABLES[[#This Row],[SEG40]]&gt;0,CABLES[[#This Row],[CABLE_MASS]],0)</f>
        <v>0</v>
      </c>
      <c r="HU3" s="10">
        <f>IF(CABLES[[#This Row],[SEG41]]&gt;0,CABLES[[#This Row],[CABLE_MASS]],0)</f>
        <v>0.49</v>
      </c>
      <c r="HV3" s="10">
        <f>IF(CABLES[[#This Row],[SEG42]]&gt;0,CABLES[[#This Row],[CABLE_MASS]],0)</f>
        <v>0.49</v>
      </c>
      <c r="HW3" s="10">
        <f>IF(CABLES[[#This Row],[SEG43]]&gt;0,CABLES[[#This Row],[CABLE_MASS]],0)</f>
        <v>0.49</v>
      </c>
      <c r="HX3" s="10">
        <f>IF(CABLES[[#This Row],[SEG44]]&gt;0,CABLES[[#This Row],[CABLE_MASS]],0)</f>
        <v>0</v>
      </c>
      <c r="HY3" s="10">
        <f>IF(CABLES[[#This Row],[SEG45]]&gt;0,CABLES[[#This Row],[CABLE_MASS]],0)</f>
        <v>0</v>
      </c>
      <c r="HZ3" s="10">
        <f>IF(CABLES[[#This Row],[SEG46]]&gt;0,CABLES[[#This Row],[CABLE_MASS]],0)</f>
        <v>0</v>
      </c>
      <c r="IA3" s="10">
        <f>IF(CABLES[[#This Row],[SEG47]]&gt;0,CABLES[[#This Row],[CABLE_MASS]],0)</f>
        <v>0</v>
      </c>
      <c r="IB3" s="10">
        <f>IF(CABLES[[#This Row],[SEG48]]&gt;0,CABLES[[#This Row],[CABLE_MASS]],0)</f>
        <v>0</v>
      </c>
      <c r="IC3" s="10">
        <f>IF(CABLES[[#This Row],[SEG49]]&gt;0,CABLES[[#This Row],[CABLE_MASS]],0)</f>
        <v>0</v>
      </c>
      <c r="ID3" s="10">
        <f>IF(CABLES[[#This Row],[SEG50]]&gt;0,CABLES[[#This Row],[CABLE_MASS]],0)</f>
        <v>0</v>
      </c>
      <c r="IE3" s="10">
        <f>IF(CABLES[[#This Row],[SEG51]]&gt;0,CABLES[[#This Row],[CABLE_MASS]],0)</f>
        <v>0.49</v>
      </c>
      <c r="IF3" s="10">
        <f>IF(CABLES[[#This Row],[SEG52]]&gt;0,CABLES[[#This Row],[CABLE_MASS]],0)</f>
        <v>0</v>
      </c>
      <c r="IG3" s="10">
        <f>IF(CABLES[[#This Row],[SEG53]]&gt;0,CABLES[[#This Row],[CABLE_MASS]],0)</f>
        <v>0</v>
      </c>
      <c r="IH3" s="10">
        <f>IF(CABLES[[#This Row],[SEG54]]&gt;0,CABLES[[#This Row],[CABLE_MASS]],0)</f>
        <v>0</v>
      </c>
      <c r="II3" s="10">
        <f>IF(CABLES[[#This Row],[SEG55]]&gt;0,CABLES[[#This Row],[CABLE_MASS]],0)</f>
        <v>0</v>
      </c>
      <c r="IJ3" s="10">
        <f>IF(CABLES[[#This Row],[SEG56]]&gt;0,CABLES[[#This Row],[CABLE_MASS]],0)</f>
        <v>0</v>
      </c>
      <c r="IK3" s="10">
        <f>IF(CABLES[[#This Row],[SEG57]]&gt;0,CABLES[[#This Row],[CABLE_MASS]],0)</f>
        <v>0</v>
      </c>
      <c r="IL3" s="10">
        <f>IF(CABLES[[#This Row],[SEG58]]&gt;0,CABLES[[#This Row],[CABLE_MASS]],0)</f>
        <v>0</v>
      </c>
      <c r="IM3" s="10">
        <f>IF(CABLES[[#This Row],[SEG59]]&gt;0,CABLES[[#This Row],[CABLE_MASS]],0)</f>
        <v>0</v>
      </c>
      <c r="IN3" s="10">
        <f>IF(CABLES[[#This Row],[SEG60]]&gt;0,CABLES[[#This Row],[CABLE_MASS]],0)</f>
        <v>0</v>
      </c>
      <c r="IO3" s="10">
        <f xml:space="preserve">  (CABLES[[#This Row],[LOAD_KW]]/(SQRT(3)*SYSTEM_VOLTAGE*POWER_FACTOR))*1000</f>
        <v>24.056261216234407</v>
      </c>
      <c r="IP3" s="10">
        <v>45</v>
      </c>
      <c r="IQ3" s="10">
        <f xml:space="preserve"> INDEX(AS3000_AMBIENTDERATE[], MATCH(CABLES[[#This Row],[AMBIENT]],AS3000_AMBIENTDERATE[AMBIENT],0), 2)</f>
        <v>0.94</v>
      </c>
      <c r="IR3" s="10">
        <f xml:space="preserve"> ROUNDUP( CABLES[[#This Row],[CALCULATED_AMPS]]/CABLES[[#This Row],[AMBIENT_DERATING]],1)</f>
        <v>25.6</v>
      </c>
      <c r="IS3" s="10" t="s">
        <v>531</v>
      </c>
      <c r="IT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4</v>
      </c>
      <c r="IU3" s="10">
        <f t="shared" si="0"/>
        <v>28.000000000000004</v>
      </c>
      <c r="IV3" s="10">
        <f>(1000*CABLES[[#This Row],[MAX_VDROP]])/(CABLES[[#This Row],[ESTIMATED_CABLE_LENGTH]]*CABLES[[#This Row],[AMP_RATING]])</f>
        <v>13.209541062801936</v>
      </c>
      <c r="IW3" s="10">
        <f xml:space="preserve"> INDEX(AS3000_VDROP[], MATCH(CABLES[[#This Row],[VC_CALC]],AS3000_VDROP[Vc],1),1)</f>
        <v>4</v>
      </c>
      <c r="IX3" s="10">
        <f>MAX(CABLES[[#This Row],[CABLESIZE_METHOD1]],CABLES[[#This Row],[CABLESIZE_METHOD2]])</f>
        <v>4</v>
      </c>
      <c r="IY3" s="10">
        <v>6</v>
      </c>
      <c r="IZ3" s="10">
        <f>IF(LEN(CABLES[[#This Row],[OVERRIDE_CABLESIZE]])&gt;0,CABLES[[#This Row],[OVERRIDE_CABLESIZE]],CABLES[[#This Row],[INITIAL_CABLESIZE]])</f>
        <v>6</v>
      </c>
      <c r="JA3" s="10">
        <f>INDEX(PROTECTIVE_DEVICE[DEVICE], MATCH(CABLES[[#This Row],[CALCULATED_AMPS]],PROTECTIVE_DEVICE[DEVICE],-1),1)</f>
        <v>25</v>
      </c>
      <c r="JB3" s="10"/>
      <c r="JC3" s="10">
        <f>IF(LEN(CABLES[[#This Row],[OVERRIDE_PDEVICE]])&gt;0, CABLES[[#This Row],[OVERRIDE_PDEVICE]],CABLES[[#This Row],[RECOMMEND_PDEVICE]])</f>
        <v>25</v>
      </c>
      <c r="JD3" s="10" t="s">
        <v>450</v>
      </c>
      <c r="JE3" s="10">
        <f xml:space="preserve"> CABLES[[#This Row],[SELECTED_PDEVICE]] * INDEX(DEVICE_CURVE[], MATCH(CABLES[[#This Row],[PDEVICE_CURVE]], DEVICE_CURVE[DEVICE_CURVE],0),2)</f>
        <v>162.5</v>
      </c>
      <c r="JF3" s="10" t="s">
        <v>458</v>
      </c>
      <c r="JG3" s="10">
        <f xml:space="preserve"> INDEX(CONDUCTOR_MATERIAL[], MATCH(CABLES[[#This Row],[CONDUCTOR_MATERIAL]],CONDUCTOR_MATERIAL[CONDUCTOR_MATERIAL],0),2)</f>
        <v>2.2499999999999999E-2</v>
      </c>
      <c r="JH3" s="10">
        <f>CABLES[[#This Row],[SELECTED_CABLESIZE]]</f>
        <v>6</v>
      </c>
      <c r="JI3" s="10">
        <f xml:space="preserve"> INDEX( EARTH_CONDUCTOR_SIZE[], MATCH(CABLES[[#This Row],[SPH]],EARTH_CONDUCTOR_SIZE[MM^2],-1), 2)</f>
        <v>2.5</v>
      </c>
      <c r="JJ3" s="10">
        <f>(0.8*PHASE_VOLTAGE*CABLES[[#This Row],[SPH]]*CABLES[[#This Row],[SPE]])/(CABLES[[#This Row],[PDEVICE_IA]]*CABLES[[#This Row],[MATERIAL_CONSTANT]]*(CABLES[[#This Row],[SPH]]+CABLES[[#This Row],[SPE]]))</f>
        <v>88.808446455505276</v>
      </c>
      <c r="JK3" s="10" t="str">
        <f>IF(CABLES[[#This Row],[LMAX]]&gt;CABLES[[#This Row],[ESTIMATED_CABLE_LENGTH]], "PASS", "ERROR")</f>
        <v>PASS</v>
      </c>
      <c r="JL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17.399999999999999</v>
      </c>
      <c r="JM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0.49</v>
      </c>
      <c r="JN3" s="6">
        <f xml:space="preserve"> ROUNDUP( CABLES[[#This Row],[CALCULATED_AMPS]],1)</f>
        <v>24.1</v>
      </c>
      <c r="JO3" s="6">
        <f>CABLES[[#This Row],[SELECTED_CABLESIZE]]</f>
        <v>6</v>
      </c>
      <c r="JP3" s="10">
        <f>CABLES[[#This Row],[ESTIMATED_CABLE_LENGTH]]</f>
        <v>82.8</v>
      </c>
      <c r="JQ3" s="6">
        <f>CABLES[[#This Row],[SELECTED_PDEVICE]]</f>
        <v>25</v>
      </c>
    </row>
    <row r="4" spans="1:277" x14ac:dyDescent="0.35">
      <c r="A4" s="5" t="s">
        <v>3</v>
      </c>
      <c r="B4" s="5" t="s">
        <v>81</v>
      </c>
      <c r="C4" s="10" t="s">
        <v>261</v>
      </c>
      <c r="D4" s="9">
        <v>15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1</v>
      </c>
      <c r="AI4" s="9">
        <v>1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1</v>
      </c>
      <c r="AR4" s="9">
        <v>0</v>
      </c>
      <c r="AS4" s="9">
        <v>1</v>
      </c>
      <c r="AT4" s="9">
        <v>1</v>
      </c>
      <c r="AU4" s="9">
        <v>1</v>
      </c>
      <c r="AV4" s="9">
        <v>1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f xml:space="preserve"> IF(CABLES[[#This Row],[SEG1]] &gt;0, INDEX(SEGMENTS[], MATCH(CABLES[[#Headers],[SEG1]],SEGMENTS[SEG_ID],0),4),0)</f>
        <v>0</v>
      </c>
      <c r="BN4" s="9">
        <f xml:space="preserve"> IF(CABLES[[#This Row],[SEG2]] &gt;0, INDEX(SEGMENTS[], MATCH(CABLES[[#Headers],[SEG2]],SEGMENTS[SEG_ID],0),4),0)</f>
        <v>0</v>
      </c>
      <c r="BO4" s="9">
        <f xml:space="preserve"> IF(CABLES[[#This Row],[SEG3]] &gt;0, INDEX(SEGMENTS[], MATCH(CABLES[[#Headers],[SEG3]],SEGMENTS[SEG_ID],0),4),0)</f>
        <v>0</v>
      </c>
      <c r="BP4" s="9">
        <f xml:space="preserve"> IF(CABLES[[#This Row],[SEG4]] &gt;0, INDEX(SEGMENTS[], MATCH(CABLES[[#Headers],[SEG4]],SEGMENTS[SEG_ID],0),4),0)</f>
        <v>0</v>
      </c>
      <c r="BQ4" s="9">
        <f xml:space="preserve"> IF(CABLES[[#This Row],[SEG5]] &gt;0,INDEX(SEGMENTS[], MATCH(CABLES[[#Headers],[SEG5]],SEGMENTS[SEG_ID],0),4),0)</f>
        <v>0</v>
      </c>
      <c r="BR4" s="9">
        <f xml:space="preserve"> IF(CABLES[[#This Row],[SEG6]] &gt;0,INDEX(SEGMENTS[], MATCH(CABLES[[#Headers],[SEG6]],SEGMENTS[SEG_ID],0),4),0)</f>
        <v>0</v>
      </c>
      <c r="BS4" s="9">
        <f xml:space="preserve"> IF(CABLES[[#This Row],[SEG7]] &gt;0,INDEX(SEGMENTS[], MATCH(CABLES[[#Headers],[SEG7]],SEGMENTS[SEG_ID],0),4),0)</f>
        <v>0</v>
      </c>
      <c r="BT4" s="9">
        <f xml:space="preserve"> IF(CABLES[[#This Row],[SEG8]] &gt;0,INDEX(SEGMENTS[], MATCH(CABLES[[#Headers],[SEG8]],SEGMENTS[SEG_ID],0),4),0)</f>
        <v>0</v>
      </c>
      <c r="BU4" s="9">
        <f xml:space="preserve"> IF(CABLES[[#This Row],[SEG9]] &gt;0,INDEX(SEGMENTS[], MATCH(CABLES[[#Headers],[SEG9]],SEGMENTS[SEG_ID],0),4),0)</f>
        <v>0</v>
      </c>
      <c r="BV4" s="9">
        <f xml:space="preserve"> IF(CABLES[[#This Row],[SEG10]] &gt;0,INDEX(SEGMENTS[], MATCH(CABLES[[#Headers],[SEG10]],SEGMENTS[SEG_ID],0),4),0)</f>
        <v>0</v>
      </c>
      <c r="BW4" s="9">
        <f xml:space="preserve"> IF(CABLES[[#This Row],[SEG11]] &gt;0,INDEX(SEGMENTS[], MATCH(CABLES[[#Headers],[SEG11]],SEGMENTS[SEG_ID],0),4),0)</f>
        <v>0</v>
      </c>
      <c r="BX4" s="9">
        <f>IF(CABLES[[#This Row],[SEG12]] &gt;0, INDEX(SEGMENTS[], MATCH(CABLES[[#Headers],[SEG12]],SEGMENTS[SEG_ID],0),4),0)</f>
        <v>0</v>
      </c>
      <c r="BY4" s="9">
        <f xml:space="preserve"> IF(CABLES[[#This Row],[SEG13]] &gt;0,INDEX(SEGMENTS[], MATCH(CABLES[[#Headers],[SEG13]],SEGMENTS[SEG_ID],0),4),0)</f>
        <v>0</v>
      </c>
      <c r="BZ4" s="9">
        <f xml:space="preserve"> IF(CABLES[[#This Row],[SEG14]] &gt;0,INDEX(SEGMENTS[], MATCH(CABLES[[#Headers],[SEG14]],SEGMENTS[SEG_ID],0),4),0)</f>
        <v>0</v>
      </c>
      <c r="CA4" s="9">
        <f xml:space="preserve"> IF(CABLES[[#This Row],[SEG15]] &gt;0,INDEX(SEGMENTS[], MATCH(CABLES[[#Headers],[SEG15]],SEGMENTS[SEG_ID],0),4),0)</f>
        <v>0</v>
      </c>
      <c r="CB4" s="9">
        <f xml:space="preserve"> IF(CABLES[[#This Row],[SEG16]] &gt;0,INDEX(SEGMENTS[], MATCH(CABLES[[#Headers],[SEG16]],SEGMENTS[SEG_ID],0),4),0)</f>
        <v>0</v>
      </c>
      <c r="CC4" s="9">
        <f xml:space="preserve"> IF(CABLES[[#This Row],[SEG17]] &gt;0,INDEX(SEGMENTS[], MATCH(CABLES[[#Headers],[SEG17]],SEGMENTS[SEG_ID],0),4),0)</f>
        <v>0</v>
      </c>
      <c r="CD4" s="9">
        <f xml:space="preserve"> IF(CABLES[[#This Row],[SEG18]] &gt;0,INDEX(SEGMENTS[], MATCH(CABLES[[#Headers],[SEG18]],SEGMENTS[SEG_ID],0),4),0)</f>
        <v>0</v>
      </c>
      <c r="CE4" s="9">
        <f>IF(CABLES[[#This Row],[SEG19]] &gt;0, INDEX(SEGMENTS[], MATCH(CABLES[[#Headers],[SEG19]],SEGMENTS[SEG_ID],0),4),0)</f>
        <v>0</v>
      </c>
      <c r="CF4" s="9">
        <f>IF(CABLES[[#This Row],[SEG20]] &gt;0, INDEX(SEGMENTS[], MATCH(CABLES[[#Headers],[SEG20]],SEGMENTS[SEG_ID],0),4),0)</f>
        <v>0</v>
      </c>
      <c r="CG4" s="9">
        <f xml:space="preserve"> IF(CABLES[[#This Row],[SEG21]] &gt;0,INDEX(SEGMENTS[], MATCH(CABLES[[#Headers],[SEG21]],SEGMENTS[SEG_ID],0),4),0)</f>
        <v>0</v>
      </c>
      <c r="CH4" s="9">
        <f xml:space="preserve"> IF(CABLES[[#This Row],[SEG22]] &gt;0,INDEX(SEGMENTS[], MATCH(CABLES[[#Headers],[SEG22]],SEGMENTS[SEG_ID],0),4),0)</f>
        <v>0</v>
      </c>
      <c r="CI4" s="9">
        <f>IF(CABLES[[#This Row],[SEG23]] &gt;0, INDEX(SEGMENTS[], MATCH(CABLES[[#Headers],[SEG23]],SEGMENTS[SEG_ID],0),4),0)</f>
        <v>0</v>
      </c>
      <c r="CJ4" s="9">
        <f xml:space="preserve"> IF(CABLES[[#This Row],[SEG24]] &gt;0,INDEX(SEGMENTS[], MATCH(CABLES[[#Headers],[SEG24]],SEGMENTS[SEG_ID],0),4),0)</f>
        <v>0</v>
      </c>
      <c r="CK4" s="9">
        <f>IF(CABLES[[#This Row],[SEG25]] &gt;0, INDEX(SEGMENTS[], MATCH(CABLES[[#Headers],[SEG25]],SEGMENTS[SEG_ID],0),4),0)</f>
        <v>0</v>
      </c>
      <c r="CL4" s="9">
        <f>IF(CABLES[[#This Row],[SEG26]] &gt;0, INDEX(SEGMENTS[], MATCH(CABLES[[#Headers],[SEG26]],SEGMENTS[SEG_ID],0),4),0)</f>
        <v>0</v>
      </c>
      <c r="CM4" s="9">
        <f xml:space="preserve"> IF(CABLES[[#This Row],[SEG27]] &gt;0,INDEX(SEGMENTS[], MATCH(CABLES[[#Headers],[SEG27]],SEGMENTS[SEG_ID],0),4),0)</f>
        <v>0</v>
      </c>
      <c r="CN4" s="9">
        <f xml:space="preserve"> IF(CABLES[[#This Row],[SEG28]] &gt;0,INDEX(SEGMENTS[], MATCH(CABLES[[#Headers],[SEG28]],SEGMENTS[SEG_ID],0),4),0)</f>
        <v>0</v>
      </c>
      <c r="CO4" s="9">
        <f xml:space="preserve"> IF(CABLES[[#This Row],[SEG29]] &gt;0,INDEX(SEGMENTS[], MATCH(CABLES[[#Headers],[SEG29]],SEGMENTS[SEG_ID],0),4),0)</f>
        <v>0</v>
      </c>
      <c r="CP4" s="9">
        <f xml:space="preserve"> IF(CABLES[[#This Row],[SEG30]] &gt;0,INDEX(SEGMENTS[], MATCH(CABLES[[#Headers],[SEG30]],SEGMENTS[SEG_ID],0),4),0)</f>
        <v>6</v>
      </c>
      <c r="CQ4" s="9">
        <f>IF(CABLES[[#This Row],[SEG31]] &gt;0, INDEX(SEGMENTS[], MATCH(CABLES[[#Headers],[SEG31]],SEGMENTS[SEG_ID],0),4),0)</f>
        <v>3</v>
      </c>
      <c r="CR4" s="9">
        <f xml:space="preserve"> IF(CABLES[[#This Row],[SEG32]] &gt;0,INDEX(SEGMENTS[], MATCH(CABLES[[#Headers],[SEG32]],SEGMENTS[SEG_ID],0),4),0)</f>
        <v>0</v>
      </c>
      <c r="CS4" s="9">
        <f xml:space="preserve"> IF(CABLES[[#This Row],[SEG33]] &gt;0,INDEX(SEGMENTS[], MATCH(CABLES[[#Headers],[SEG33]],SEGMENTS[SEG_ID],0),4),0)</f>
        <v>0</v>
      </c>
      <c r="CT4" s="9">
        <f>IF(CABLES[[#This Row],[SEG34]] &gt;0, INDEX(SEGMENTS[], MATCH(CABLES[[#Headers],[SEG34]],SEGMENTS[SEG_ID],0),4),0)</f>
        <v>0</v>
      </c>
      <c r="CU4" s="9">
        <f xml:space="preserve"> IF(CABLES[[#This Row],[SEG35]] &gt;0,INDEX(SEGMENTS[], MATCH(CABLES[[#Headers],[SEG35]],SEGMENTS[SEG_ID],0),4),0)</f>
        <v>0</v>
      </c>
      <c r="CV4" s="9">
        <f xml:space="preserve"> IF(CABLES[[#This Row],[SEG36]] &gt;0,INDEX(SEGMENTS[], MATCH(CABLES[[#Headers],[SEG36]],SEGMENTS[SEG_ID],0),4),0)</f>
        <v>0</v>
      </c>
      <c r="CW4" s="9">
        <f xml:space="preserve"> IF(CABLES[[#This Row],[SEG37]] &gt;0,INDEX(SEGMENTS[], MATCH(CABLES[[#Headers],[SEG37]],SEGMENTS[SEG_ID],0),4),0)</f>
        <v>0</v>
      </c>
      <c r="CX4" s="9">
        <f xml:space="preserve"> IF(CABLES[[#This Row],[SEG38]] &gt;0,INDEX(SEGMENTS[], MATCH(CABLES[[#Headers],[SEG38]],SEGMENTS[SEG_ID],0),4),0)</f>
        <v>0</v>
      </c>
      <c r="CY4" s="9">
        <f xml:space="preserve"> IF(CABLES[[#This Row],[SEG39]] &gt;0,INDEX(SEGMENTS[], MATCH(CABLES[[#Headers],[SEG39]],SEGMENTS[SEG_ID],0),4),0)</f>
        <v>8</v>
      </c>
      <c r="CZ4" s="9">
        <f xml:space="preserve"> IF(CABLES[[#This Row],[SEG40]] &gt;0,INDEX(SEGMENTS[], MATCH(CABLES[[#Headers],[SEG40]],SEGMENTS[SEG_ID],0),4),0)</f>
        <v>0</v>
      </c>
      <c r="DA4" s="9">
        <f xml:space="preserve"> IF(CABLES[[#This Row],[SEG41]] &gt;0,INDEX(SEGMENTS[], MATCH(CABLES[[#Headers],[SEG41]],SEGMENTS[SEG_ID],0),4),0)</f>
        <v>8</v>
      </c>
      <c r="DB4" s="9">
        <f xml:space="preserve"> IF(CABLES[[#This Row],[SEG42]] &gt;0,INDEX(SEGMENTS[], MATCH(CABLES[[#Headers],[SEG42]],SEGMENTS[SEG_ID],0),4),0)</f>
        <v>22</v>
      </c>
      <c r="DC4" s="9">
        <f xml:space="preserve"> IF(CABLES[[#This Row],[SEG43]] &gt;0,INDEX(SEGMENTS[], MATCH(CABLES[[#Headers],[SEG43]],SEGMENTS[SEG_ID],0),4),0)</f>
        <v>10</v>
      </c>
      <c r="DD4" s="9">
        <f xml:space="preserve"> IF(CABLES[[#This Row],[SEG44]] &gt;0,INDEX(SEGMENTS[], MATCH(CABLES[[#Headers],[SEG44]],SEGMENTS[SEG_ID],0),4),0)</f>
        <v>14</v>
      </c>
      <c r="DE4" s="9">
        <f xml:space="preserve"> IF(CABLES[[#This Row],[SEG45]] &gt;0,INDEX(SEGMENTS[], MATCH(CABLES[[#Headers],[SEG45]],SEGMENTS[SEG_ID],0),4),0)</f>
        <v>0</v>
      </c>
      <c r="DF4" s="9">
        <f xml:space="preserve"> IF(CABLES[[#This Row],[SEG46]] &gt;0,INDEX(SEGMENTS[], MATCH(CABLES[[#Headers],[SEG46]],SEGMENTS[SEG_ID],0),4),0)</f>
        <v>0</v>
      </c>
      <c r="DG4" s="9">
        <f xml:space="preserve"> IF(CABLES[[#This Row],[SEG47]] &gt;0,INDEX(SEGMENTS[], MATCH(CABLES[[#Headers],[SEG47]],SEGMENTS[SEG_ID],0),4),0)</f>
        <v>0</v>
      </c>
      <c r="DH4" s="9">
        <f xml:space="preserve"> IF(CABLES[[#This Row],[SEG48]] &gt;0,INDEX(SEGMENTS[], MATCH(CABLES[[#Headers],[SEG48]],SEGMENTS[SEG_ID],0),4),0)</f>
        <v>0</v>
      </c>
      <c r="DI4" s="9">
        <f xml:space="preserve"> IF(CABLES[[#This Row],[SEG49]] &gt;0,INDEX(SEGMENTS[], MATCH(CABLES[[#Headers],[SEG49]],SEGMENTS[SEG_ID],0),4),0)</f>
        <v>0</v>
      </c>
      <c r="DJ4" s="9">
        <f xml:space="preserve"> IF(CABLES[[#This Row],[SEG50]] &gt;0,INDEX(SEGMENTS[], MATCH(CABLES[[#Headers],[SEG50]],SEGMENTS[SEG_ID],0),4),0)</f>
        <v>0</v>
      </c>
      <c r="DK4" s="9">
        <f xml:space="preserve"> IF(CABLES[[#This Row],[SEG51]] &gt;0,INDEX(SEGMENTS[], MATCH(CABLES[[#Headers],[SEG51]],SEGMENTS[SEG_ID],0),4),0)</f>
        <v>0</v>
      </c>
      <c r="DL4" s="9">
        <f xml:space="preserve"> IF(CABLES[[#This Row],[SEG52]] &gt;0,INDEX(SEGMENTS[], MATCH(CABLES[[#Headers],[SEG52]],SEGMENTS[SEG_ID],0),4),0)</f>
        <v>0</v>
      </c>
      <c r="DM4" s="9">
        <f xml:space="preserve"> IF(CABLES[[#This Row],[SEG53]] &gt;0,INDEX(SEGMENTS[], MATCH(CABLES[[#Headers],[SEG53]],SEGMENTS[SEG_ID],0),4),0)</f>
        <v>0</v>
      </c>
      <c r="DN4" s="9">
        <f xml:space="preserve"> IF(CABLES[[#This Row],[SEG54]] &gt;0,INDEX(SEGMENTS[], MATCH(CABLES[[#Headers],[SEG54]],SEGMENTS[SEG_ID],0),4),0)</f>
        <v>0</v>
      </c>
      <c r="DO4" s="9">
        <f xml:space="preserve"> IF(CABLES[[#This Row],[SEG55]] &gt;0,INDEX(SEGMENTS[], MATCH(CABLES[[#Headers],[SEG55]],SEGMENTS[SEG_ID],0),4),0)</f>
        <v>0</v>
      </c>
      <c r="DP4" s="9">
        <f xml:space="preserve"> IF(CABLES[[#This Row],[SEG56]] &gt;0,INDEX(SEGMENTS[], MATCH(CABLES[[#Headers],[SEG56]],SEGMENTS[SEG_ID],0),4),0)</f>
        <v>0</v>
      </c>
      <c r="DQ4" s="9">
        <f xml:space="preserve"> IF(CABLES[[#This Row],[SEG57]] &gt;0,INDEX(SEGMENTS[], MATCH(CABLES[[#Headers],[SEG57]],SEGMENTS[SEG_ID],0),4),0)</f>
        <v>0</v>
      </c>
      <c r="DR4" s="9">
        <f xml:space="preserve"> IF(CABLES[[#This Row],[SEG58]] &gt;0,INDEX(SEGMENTS[], MATCH(CABLES[[#Headers],[SEG58]],SEGMENTS[SEG_ID],0),4),0)</f>
        <v>0</v>
      </c>
      <c r="DS4" s="9">
        <f xml:space="preserve"> IF(CABLES[[#This Row],[SEG59]] &gt;0,INDEX(SEGMENTS[], MATCH(CABLES[[#Headers],[SEG59]],SEGMENTS[SEG_ID],0),4),0)</f>
        <v>0</v>
      </c>
      <c r="DT4" s="9">
        <f xml:space="preserve"> IF(CABLES[[#This Row],[SEG60]] &gt;0,INDEX(SEGMENTS[], MATCH(CABLES[[#Headers],[SEG60]],SEGMENTS[SEG_ID],0),4),0)</f>
        <v>0</v>
      </c>
      <c r="DU4" s="10">
        <f>SUM(CABLES[[#This Row],[SEGL1]:[SEGL60]])</f>
        <v>71</v>
      </c>
      <c r="DV4" s="10">
        <v>5</v>
      </c>
      <c r="DW4" s="10">
        <v>1.2</v>
      </c>
      <c r="DX4" s="10">
        <f xml:space="preserve"> IF(CABLES[[#This Row],[SEGL_TOTAL]]&gt;0, (CABLES[[#This Row],[SEGL_TOTAL]] + CABLES[[#This Row],[FITOFF]]) *CABLES[[#This Row],[XCAPACITY]],0)</f>
        <v>91.2</v>
      </c>
      <c r="DY4" s="10">
        <f>IF(CABLES[[#This Row],[SEG1]]&gt;0,CABLES[[#This Row],[CABLE_DIAMETER]],0)</f>
        <v>0</v>
      </c>
      <c r="DZ4" s="10">
        <f>IF(CABLES[[#This Row],[SEG2]]&gt;0,CABLES[[#This Row],[CABLE_DIAMETER]],0)</f>
        <v>0</v>
      </c>
      <c r="EA4" s="10">
        <f>IF(CABLES[[#This Row],[SEG3]]&gt;0,CABLES[[#This Row],[CABLE_DIAMETER]],0)</f>
        <v>0</v>
      </c>
      <c r="EB4" s="10">
        <f>IF(CABLES[[#This Row],[SEG4]]&gt;0,CABLES[[#This Row],[CABLE_DIAMETER]],0)</f>
        <v>0</v>
      </c>
      <c r="EC4" s="10">
        <f>IF(CABLES[[#This Row],[SEG5]]&gt;0,CABLES[[#This Row],[CABLE_DIAMETER]],0)</f>
        <v>0</v>
      </c>
      <c r="ED4" s="10">
        <f>IF(CABLES[[#This Row],[SEG6]]&gt;0,CABLES[[#This Row],[CABLE_DIAMETER]],0)</f>
        <v>0</v>
      </c>
      <c r="EE4" s="10">
        <f>IF(CABLES[[#This Row],[SEG7]]&gt;0,CABLES[[#This Row],[CABLE_DIAMETER]],0)</f>
        <v>0</v>
      </c>
      <c r="EF4" s="10">
        <f>IF(CABLES[[#This Row],[SEG9]]&gt;0,CABLES[[#This Row],[CABLE_DIAMETER]],0)</f>
        <v>0</v>
      </c>
      <c r="EG4" s="10">
        <f>IF(CABLES[[#This Row],[SEG9]]&gt;0,CABLES[[#This Row],[CABLE_DIAMETER]],0)</f>
        <v>0</v>
      </c>
      <c r="EH4" s="10">
        <f>IF(CABLES[[#This Row],[SEG10]]&gt;0,CABLES[[#This Row],[CABLE_DIAMETER]],0)</f>
        <v>0</v>
      </c>
      <c r="EI4" s="10">
        <f>IF(CABLES[[#This Row],[SEG11]]&gt;0,CABLES[[#This Row],[CABLE_DIAMETER]],0)</f>
        <v>0</v>
      </c>
      <c r="EJ4" s="10">
        <f>IF(CABLES[[#This Row],[SEG12]]&gt;0,CABLES[[#This Row],[CABLE_DIAMETER]],0)</f>
        <v>0</v>
      </c>
      <c r="EK4" s="10">
        <f>IF(CABLES[[#This Row],[SEG13]]&gt;0,CABLES[[#This Row],[CABLE_DIAMETER]],0)</f>
        <v>0</v>
      </c>
      <c r="EL4" s="10">
        <f>IF(CABLES[[#This Row],[SEG14]]&gt;0,CABLES[[#This Row],[CABLE_DIAMETER]],0)</f>
        <v>0</v>
      </c>
      <c r="EM4" s="10">
        <f>IF(CABLES[[#This Row],[SEG15]]&gt;0,CABLES[[#This Row],[CABLE_DIAMETER]],0)</f>
        <v>0</v>
      </c>
      <c r="EN4" s="10">
        <f>IF(CABLES[[#This Row],[SEG16]]&gt;0,CABLES[[#This Row],[CABLE_DIAMETER]],0)</f>
        <v>0</v>
      </c>
      <c r="EO4" s="10">
        <f>IF(CABLES[[#This Row],[SEG17]]&gt;0,CABLES[[#This Row],[CABLE_DIAMETER]],0)</f>
        <v>0</v>
      </c>
      <c r="EP4" s="10">
        <f>IF(CABLES[[#This Row],[SEG18]]&gt;0,CABLES[[#This Row],[CABLE_DIAMETER]],0)</f>
        <v>0</v>
      </c>
      <c r="EQ4" s="10">
        <f>IF(CABLES[[#This Row],[SEG19]]&gt;0,CABLES[[#This Row],[CABLE_DIAMETER]],0)</f>
        <v>0</v>
      </c>
      <c r="ER4" s="10">
        <f>IF(CABLES[[#This Row],[SEG20]]&gt;0,CABLES[[#This Row],[CABLE_DIAMETER]],0)</f>
        <v>0</v>
      </c>
      <c r="ES4" s="10">
        <f>IF(CABLES[[#This Row],[SEG21]]&gt;0,CABLES[[#This Row],[CABLE_DIAMETER]],0)</f>
        <v>0</v>
      </c>
      <c r="ET4" s="10">
        <f>IF(CABLES[[#This Row],[SEG22]]&gt;0,CABLES[[#This Row],[CABLE_DIAMETER]],0)</f>
        <v>0</v>
      </c>
      <c r="EU4" s="10">
        <f>IF(CABLES[[#This Row],[SEG23]]&gt;0,CABLES[[#This Row],[CABLE_DIAMETER]],0)</f>
        <v>0</v>
      </c>
      <c r="EV4" s="10">
        <f>IF(CABLES[[#This Row],[SEG24]]&gt;0,CABLES[[#This Row],[CABLE_DIAMETER]],0)</f>
        <v>0</v>
      </c>
      <c r="EW4" s="10">
        <f>IF(CABLES[[#This Row],[SEG25]]&gt;0,CABLES[[#This Row],[CABLE_DIAMETER]],0)</f>
        <v>0</v>
      </c>
      <c r="EX4" s="10">
        <f>IF(CABLES[[#This Row],[SEG26]]&gt;0,CABLES[[#This Row],[CABLE_DIAMETER]],0)</f>
        <v>0</v>
      </c>
      <c r="EY4" s="10">
        <f>IF(CABLES[[#This Row],[SEG27]]&gt;0,CABLES[[#This Row],[CABLE_DIAMETER]],0)</f>
        <v>0</v>
      </c>
      <c r="EZ4" s="10">
        <f>IF(CABLES[[#This Row],[SEG28]]&gt;0,CABLES[[#This Row],[CABLE_DIAMETER]],0)</f>
        <v>0</v>
      </c>
      <c r="FA4" s="10">
        <f>IF(CABLES[[#This Row],[SEG29]]&gt;0,CABLES[[#This Row],[CABLE_DIAMETER]],0)</f>
        <v>0</v>
      </c>
      <c r="FB4" s="10">
        <f>IF(CABLES[[#This Row],[SEG30]]&gt;0,CABLES[[#This Row],[CABLE_DIAMETER]],0)</f>
        <v>18.399999999999999</v>
      </c>
      <c r="FC4" s="10">
        <f>IF(CABLES[[#This Row],[SEG31]]&gt;0,CABLES[[#This Row],[CABLE_DIAMETER]],0)</f>
        <v>18.399999999999999</v>
      </c>
      <c r="FD4" s="10">
        <f>IF(CABLES[[#This Row],[SEG32]]&gt;0,CABLES[[#This Row],[CABLE_DIAMETER]],0)</f>
        <v>0</v>
      </c>
      <c r="FE4" s="10">
        <f>IF(CABLES[[#This Row],[SEG33]]&gt;0,CABLES[[#This Row],[CABLE_DIAMETER]],0)</f>
        <v>0</v>
      </c>
      <c r="FF4" s="10">
        <f>IF(CABLES[[#This Row],[SEG34]]&gt;0,CABLES[[#This Row],[CABLE_DIAMETER]],0)</f>
        <v>0</v>
      </c>
      <c r="FG4" s="10">
        <f>IF(CABLES[[#This Row],[SEG35]]&gt;0,CABLES[[#This Row],[CABLE_DIAMETER]],0)</f>
        <v>0</v>
      </c>
      <c r="FH4" s="10">
        <f>IF(CABLES[[#This Row],[SEG36]]&gt;0,CABLES[[#This Row],[CABLE_DIAMETER]],0)</f>
        <v>0</v>
      </c>
      <c r="FI4" s="10">
        <f>IF(CABLES[[#This Row],[SEG37]]&gt;0,CABLES[[#This Row],[CABLE_DIAMETER]],0)</f>
        <v>0</v>
      </c>
      <c r="FJ4" s="10">
        <f>IF(CABLES[[#This Row],[SEG38]]&gt;0,CABLES[[#This Row],[CABLE_DIAMETER]],0)</f>
        <v>0</v>
      </c>
      <c r="FK4" s="10">
        <f>IF(CABLES[[#This Row],[SEG39]]&gt;0,CABLES[[#This Row],[CABLE_DIAMETER]],0)</f>
        <v>18.399999999999999</v>
      </c>
      <c r="FL4" s="10">
        <f>IF(CABLES[[#This Row],[SEG40]]&gt;0,CABLES[[#This Row],[CABLE_DIAMETER]],0)</f>
        <v>0</v>
      </c>
      <c r="FM4" s="10">
        <f>IF(CABLES[[#This Row],[SEG41]]&gt;0,CABLES[[#This Row],[CABLE_DIAMETER]],0)</f>
        <v>18.399999999999999</v>
      </c>
      <c r="FN4" s="10">
        <f>IF(CABLES[[#This Row],[SEG42]]&gt;0,CABLES[[#This Row],[CABLE_DIAMETER]],0)</f>
        <v>18.399999999999999</v>
      </c>
      <c r="FO4" s="10">
        <f>IF(CABLES[[#This Row],[SEG43]]&gt;0,CABLES[[#This Row],[CABLE_DIAMETER]],0)</f>
        <v>18.399999999999999</v>
      </c>
      <c r="FP4" s="10">
        <f>IF(CABLES[[#This Row],[SEG44]]&gt;0,CABLES[[#This Row],[CABLE_DIAMETER]],0)</f>
        <v>18.399999999999999</v>
      </c>
      <c r="FQ4" s="10">
        <f>IF(CABLES[[#This Row],[SEG45]]&gt;0,CABLES[[#This Row],[CABLE_DIAMETER]],0)</f>
        <v>0</v>
      </c>
      <c r="FR4" s="10">
        <f>IF(CABLES[[#This Row],[SEG46]]&gt;0,CABLES[[#This Row],[CABLE_DIAMETER]],0)</f>
        <v>0</v>
      </c>
      <c r="FS4" s="10">
        <f>IF(CABLES[[#This Row],[SEG47]]&gt;0,CABLES[[#This Row],[CABLE_DIAMETER]],0)</f>
        <v>0</v>
      </c>
      <c r="FT4" s="10">
        <f>IF(CABLES[[#This Row],[SEG48]]&gt;0,CABLES[[#This Row],[CABLE_DIAMETER]],0)</f>
        <v>0</v>
      </c>
      <c r="FU4" s="10">
        <f>IF(CABLES[[#This Row],[SEG49]]&gt;0,CABLES[[#This Row],[CABLE_DIAMETER]],0)</f>
        <v>0</v>
      </c>
      <c r="FV4" s="10">
        <f>IF(CABLES[[#This Row],[SEG50]]&gt;0,CABLES[[#This Row],[CABLE_DIAMETER]],0)</f>
        <v>0</v>
      </c>
      <c r="FW4" s="10">
        <f>IF(CABLES[[#This Row],[SEG51]]&gt;0,CABLES[[#This Row],[CABLE_DIAMETER]],0)</f>
        <v>0</v>
      </c>
      <c r="FX4" s="10">
        <f>IF(CABLES[[#This Row],[SEG52]]&gt;0,CABLES[[#This Row],[CABLE_DIAMETER]],0)</f>
        <v>0</v>
      </c>
      <c r="FY4" s="10">
        <f>IF(CABLES[[#This Row],[SEG53]]&gt;0,CABLES[[#This Row],[CABLE_DIAMETER]],0)</f>
        <v>0</v>
      </c>
      <c r="FZ4" s="10">
        <f>IF(CABLES[[#This Row],[SEG54]]&gt;0,CABLES[[#This Row],[CABLE_DIAMETER]],0)</f>
        <v>0</v>
      </c>
      <c r="GA4" s="10">
        <f>IF(CABLES[[#This Row],[SEG55]]&gt;0,CABLES[[#This Row],[CABLE_DIAMETER]],0)</f>
        <v>0</v>
      </c>
      <c r="GB4" s="10">
        <f>IF(CABLES[[#This Row],[SEG56]]&gt;0,CABLES[[#This Row],[CABLE_DIAMETER]],0)</f>
        <v>0</v>
      </c>
      <c r="GC4" s="10">
        <f>IF(CABLES[[#This Row],[SEG57]]&gt;0,CABLES[[#This Row],[CABLE_DIAMETER]],0)</f>
        <v>0</v>
      </c>
      <c r="GD4" s="10">
        <f>IF(CABLES[[#This Row],[SEG58]]&gt;0,CABLES[[#This Row],[CABLE_DIAMETER]],0)</f>
        <v>0</v>
      </c>
      <c r="GE4" s="10">
        <f>IF(CABLES[[#This Row],[SEG59]]&gt;0,CABLES[[#This Row],[CABLE_DIAMETER]],0)</f>
        <v>0</v>
      </c>
      <c r="GF4" s="10">
        <f>IF(CABLES[[#This Row],[SEG60]]&gt;0,CABLES[[#This Row],[CABLE_DIAMETER]],0)</f>
        <v>0</v>
      </c>
      <c r="GG4" s="10">
        <f>IF(CABLES[[#This Row],[SEG1]]&gt;0,CABLES[[#This Row],[CABLE_MASS]],0)</f>
        <v>0</v>
      </c>
      <c r="GH4" s="10">
        <f>IF(CABLES[[#This Row],[SEG2]]&gt;0,CABLES[[#This Row],[CABLE_MASS]],0)</f>
        <v>0</v>
      </c>
      <c r="GI4" s="10">
        <f>IF(CABLES[[#This Row],[SEG3]]&gt;0,CABLES[[#This Row],[CABLE_MASS]],0)</f>
        <v>0</v>
      </c>
      <c r="GJ4" s="10">
        <f>IF(CABLES[[#This Row],[SEG4]]&gt;0,CABLES[[#This Row],[CABLE_MASS]],0)</f>
        <v>0</v>
      </c>
      <c r="GK4" s="10">
        <f>IF(CABLES[[#This Row],[SEG5]]&gt;0,CABLES[[#This Row],[CABLE_MASS]],0)</f>
        <v>0</v>
      </c>
      <c r="GL4" s="10">
        <f>IF(CABLES[[#This Row],[SEG6]]&gt;0,CABLES[[#This Row],[CABLE_MASS]],0)</f>
        <v>0</v>
      </c>
      <c r="GM4" s="10">
        <f>IF(CABLES[[#This Row],[SEG7]]&gt;0,CABLES[[#This Row],[CABLE_MASS]],0)</f>
        <v>0</v>
      </c>
      <c r="GN4" s="10">
        <f>IF(CABLES[[#This Row],[SEG8]]&gt;0,CABLES[[#This Row],[CABLE_MASS]],0)</f>
        <v>0</v>
      </c>
      <c r="GO4" s="10">
        <f>IF(CABLES[[#This Row],[SEG9]]&gt;0,CABLES[[#This Row],[CABLE_MASS]],0)</f>
        <v>0</v>
      </c>
      <c r="GP4" s="10">
        <f>IF(CABLES[[#This Row],[SEG10]]&gt;0,CABLES[[#This Row],[CABLE_MASS]],0)</f>
        <v>0</v>
      </c>
      <c r="GQ4" s="10">
        <f>IF(CABLES[[#This Row],[SEG11]]&gt;0,CABLES[[#This Row],[CABLE_MASS]],0)</f>
        <v>0</v>
      </c>
      <c r="GR4" s="10">
        <f>IF(CABLES[[#This Row],[SEG12]]&gt;0,CABLES[[#This Row],[CABLE_MASS]],0)</f>
        <v>0</v>
      </c>
      <c r="GS4" s="10">
        <f>IF(CABLES[[#This Row],[SEG13]]&gt;0,CABLES[[#This Row],[CABLE_MASS]],0)</f>
        <v>0</v>
      </c>
      <c r="GT4" s="10">
        <f>IF(CABLES[[#This Row],[SEG14]]&gt;0,CABLES[[#This Row],[CABLE_MASS]],0)</f>
        <v>0</v>
      </c>
      <c r="GU4" s="10">
        <f>IF(CABLES[[#This Row],[SEG15]]&gt;0,CABLES[[#This Row],[CABLE_MASS]],0)</f>
        <v>0</v>
      </c>
      <c r="GV4" s="10">
        <f>IF(CABLES[[#This Row],[SEG16]]&gt;0,CABLES[[#This Row],[CABLE_MASS]],0)</f>
        <v>0</v>
      </c>
      <c r="GW4" s="10">
        <f>IF(CABLES[[#This Row],[SEG17]]&gt;0,CABLES[[#This Row],[CABLE_MASS]],0)</f>
        <v>0</v>
      </c>
      <c r="GX4" s="10">
        <f>IF(CABLES[[#This Row],[SEG18]]&gt;0,CABLES[[#This Row],[CABLE_MASS]],0)</f>
        <v>0</v>
      </c>
      <c r="GY4" s="10">
        <f>IF(CABLES[[#This Row],[SEG19]]&gt;0,CABLES[[#This Row],[CABLE_MASS]],0)</f>
        <v>0</v>
      </c>
      <c r="GZ4" s="10">
        <f>IF(CABLES[[#This Row],[SEG20]]&gt;0,CABLES[[#This Row],[CABLE_MASS]],0)</f>
        <v>0</v>
      </c>
      <c r="HA4" s="10">
        <f>IF(CABLES[[#This Row],[SEG21]]&gt;0,CABLES[[#This Row],[CABLE_MASS]],0)</f>
        <v>0</v>
      </c>
      <c r="HB4" s="10">
        <f>IF(CABLES[[#This Row],[SEG22]]&gt;0,CABLES[[#This Row],[CABLE_MASS]],0)</f>
        <v>0</v>
      </c>
      <c r="HC4" s="10">
        <f>IF(CABLES[[#This Row],[SEG23]]&gt;0,CABLES[[#This Row],[CABLE_MASS]],0)</f>
        <v>0</v>
      </c>
      <c r="HD4" s="10">
        <f>IF(CABLES[[#This Row],[SEG24]]&gt;0,CABLES[[#This Row],[CABLE_MASS]],0)</f>
        <v>0</v>
      </c>
      <c r="HE4" s="10">
        <f>IF(CABLES[[#This Row],[SEG25]]&gt;0,CABLES[[#This Row],[CABLE_MASS]],0)</f>
        <v>0</v>
      </c>
      <c r="HF4" s="10">
        <f>IF(CABLES[[#This Row],[SEG26]]&gt;0,CABLES[[#This Row],[CABLE_MASS]],0)</f>
        <v>0</v>
      </c>
      <c r="HG4" s="10">
        <f>IF(CABLES[[#This Row],[SEG27]]&gt;0,CABLES[[#This Row],[CABLE_MASS]],0)</f>
        <v>0</v>
      </c>
      <c r="HH4" s="10">
        <f>IF(CABLES[[#This Row],[SEG28]]&gt;0,CABLES[[#This Row],[CABLE_MASS]],0)</f>
        <v>0</v>
      </c>
      <c r="HI4" s="10">
        <f>IF(CABLES[[#This Row],[SEG29]]&gt;0,CABLES[[#This Row],[CABLE_MASS]],0)</f>
        <v>0</v>
      </c>
      <c r="HJ4" s="10">
        <f>IF(CABLES[[#This Row],[SEG30]]&gt;0,CABLES[[#This Row],[CABLE_MASS]],0)</f>
        <v>0.62</v>
      </c>
      <c r="HK4" s="10">
        <f>IF(CABLES[[#This Row],[SEG31]]&gt;0,CABLES[[#This Row],[CABLE_MASS]],0)</f>
        <v>0.62</v>
      </c>
      <c r="HL4" s="10">
        <f>IF(CABLES[[#This Row],[SEG32]]&gt;0,CABLES[[#This Row],[CABLE_MASS]],0)</f>
        <v>0</v>
      </c>
      <c r="HM4" s="10">
        <f>IF(CABLES[[#This Row],[SEG33]]&gt;0,CABLES[[#This Row],[CABLE_MASS]],0)</f>
        <v>0</v>
      </c>
      <c r="HN4" s="10">
        <f>IF(CABLES[[#This Row],[SEG34]]&gt;0,CABLES[[#This Row],[CABLE_MASS]],0)</f>
        <v>0</v>
      </c>
      <c r="HO4" s="10">
        <f>IF(CABLES[[#This Row],[SEG35]]&gt;0,CABLES[[#This Row],[CABLE_MASS]],0)</f>
        <v>0</v>
      </c>
      <c r="HP4" s="10">
        <f>IF(CABLES[[#This Row],[SEG36]]&gt;0,CABLES[[#This Row],[CABLE_MASS]],0)</f>
        <v>0</v>
      </c>
      <c r="HQ4" s="10">
        <f>IF(CABLES[[#This Row],[SEG37]]&gt;0,CABLES[[#This Row],[CABLE_MASS]],0)</f>
        <v>0</v>
      </c>
      <c r="HR4" s="10">
        <f>IF(CABLES[[#This Row],[SEG38]]&gt;0,CABLES[[#This Row],[CABLE_MASS]],0)</f>
        <v>0</v>
      </c>
      <c r="HS4" s="10">
        <f>IF(CABLES[[#This Row],[SEG39]]&gt;0,CABLES[[#This Row],[CABLE_MASS]],0)</f>
        <v>0.62</v>
      </c>
      <c r="HT4" s="10">
        <f>IF(CABLES[[#This Row],[SEG40]]&gt;0,CABLES[[#This Row],[CABLE_MASS]],0)</f>
        <v>0</v>
      </c>
      <c r="HU4" s="10">
        <f>IF(CABLES[[#This Row],[SEG41]]&gt;0,CABLES[[#This Row],[CABLE_MASS]],0)</f>
        <v>0.62</v>
      </c>
      <c r="HV4" s="10">
        <f>IF(CABLES[[#This Row],[SEG42]]&gt;0,CABLES[[#This Row],[CABLE_MASS]],0)</f>
        <v>0.62</v>
      </c>
      <c r="HW4" s="10">
        <f>IF(CABLES[[#This Row],[SEG43]]&gt;0,CABLES[[#This Row],[CABLE_MASS]],0)</f>
        <v>0.62</v>
      </c>
      <c r="HX4" s="10">
        <f>IF(CABLES[[#This Row],[SEG44]]&gt;0,CABLES[[#This Row],[CABLE_MASS]],0)</f>
        <v>0.62</v>
      </c>
      <c r="HY4" s="10">
        <f>IF(CABLES[[#This Row],[SEG45]]&gt;0,CABLES[[#This Row],[CABLE_MASS]],0)</f>
        <v>0</v>
      </c>
      <c r="HZ4" s="10">
        <f>IF(CABLES[[#This Row],[SEG46]]&gt;0,CABLES[[#This Row],[CABLE_MASS]],0)</f>
        <v>0</v>
      </c>
      <c r="IA4" s="10">
        <f>IF(CABLES[[#This Row],[SEG47]]&gt;0,CABLES[[#This Row],[CABLE_MASS]],0)</f>
        <v>0</v>
      </c>
      <c r="IB4" s="10">
        <f>IF(CABLES[[#This Row],[SEG48]]&gt;0,CABLES[[#This Row],[CABLE_MASS]],0)</f>
        <v>0</v>
      </c>
      <c r="IC4" s="10">
        <f>IF(CABLES[[#This Row],[SEG49]]&gt;0,CABLES[[#This Row],[CABLE_MASS]],0)</f>
        <v>0</v>
      </c>
      <c r="ID4" s="10">
        <f>IF(CABLES[[#This Row],[SEG50]]&gt;0,CABLES[[#This Row],[CABLE_MASS]],0)</f>
        <v>0</v>
      </c>
      <c r="IE4" s="10">
        <f>IF(CABLES[[#This Row],[SEG51]]&gt;0,CABLES[[#This Row],[CABLE_MASS]],0)</f>
        <v>0</v>
      </c>
      <c r="IF4" s="10">
        <f>IF(CABLES[[#This Row],[SEG52]]&gt;0,CABLES[[#This Row],[CABLE_MASS]],0)</f>
        <v>0</v>
      </c>
      <c r="IG4" s="10">
        <f>IF(CABLES[[#This Row],[SEG53]]&gt;0,CABLES[[#This Row],[CABLE_MASS]],0)</f>
        <v>0</v>
      </c>
      <c r="IH4" s="10">
        <f>IF(CABLES[[#This Row],[SEG54]]&gt;0,CABLES[[#This Row],[CABLE_MASS]],0)</f>
        <v>0</v>
      </c>
      <c r="II4" s="10">
        <f>IF(CABLES[[#This Row],[SEG55]]&gt;0,CABLES[[#This Row],[CABLE_MASS]],0)</f>
        <v>0</v>
      </c>
      <c r="IJ4" s="10">
        <f>IF(CABLES[[#This Row],[SEG56]]&gt;0,CABLES[[#This Row],[CABLE_MASS]],0)</f>
        <v>0</v>
      </c>
      <c r="IK4" s="10">
        <f>IF(CABLES[[#This Row],[SEG57]]&gt;0,CABLES[[#This Row],[CABLE_MASS]],0)</f>
        <v>0</v>
      </c>
      <c r="IL4" s="10">
        <f>IF(CABLES[[#This Row],[SEG58]]&gt;0,CABLES[[#This Row],[CABLE_MASS]],0)</f>
        <v>0</v>
      </c>
      <c r="IM4" s="10">
        <f>IF(CABLES[[#This Row],[SEG59]]&gt;0,CABLES[[#This Row],[CABLE_MASS]],0)</f>
        <v>0</v>
      </c>
      <c r="IN4" s="10">
        <f>IF(CABLES[[#This Row],[SEG60]]&gt;0,CABLES[[#This Row],[CABLE_MASS]],0)</f>
        <v>0</v>
      </c>
      <c r="IO4" s="10">
        <f xml:space="preserve">  (CABLES[[#This Row],[LOAD_KW]]/(SQRT(3)*SYSTEM_VOLTAGE*POWER_FACTOR))*1000</f>
        <v>24.056261216234407</v>
      </c>
      <c r="IP4" s="10">
        <v>45</v>
      </c>
      <c r="IQ4" s="10">
        <f xml:space="preserve"> INDEX(AS3000_AMBIENTDERATE[], MATCH(CABLES[[#This Row],[AMBIENT]],AS3000_AMBIENTDERATE[AMBIENT],0), 2)</f>
        <v>0.94</v>
      </c>
      <c r="IR4" s="10">
        <f xml:space="preserve"> ROUNDUP( CABLES[[#This Row],[CALCULATED_AMPS]]/CABLES[[#This Row],[AMBIENT_DERATING]],1)</f>
        <v>25.6</v>
      </c>
      <c r="IS4" s="10" t="s">
        <v>531</v>
      </c>
      <c r="IT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4</v>
      </c>
      <c r="IU4" s="10">
        <f t="shared" si="0"/>
        <v>28.000000000000004</v>
      </c>
      <c r="IV4" s="10">
        <f>(1000*CABLES[[#This Row],[MAX_VDROP]])/(CABLES[[#This Row],[ESTIMATED_CABLE_LENGTH]]*CABLES[[#This Row],[AMP_RATING]])</f>
        <v>11.992872807017545</v>
      </c>
      <c r="IW4" s="10">
        <f xml:space="preserve"> INDEX(AS3000_VDROP[], MATCH(CABLES[[#This Row],[VC_CALC]],AS3000_VDROP[Vc],1),1)</f>
        <v>4</v>
      </c>
      <c r="IX4" s="10">
        <f>MAX(CABLES[[#This Row],[CABLESIZE_METHOD1]],CABLES[[#This Row],[CABLESIZE_METHOD2]])</f>
        <v>4</v>
      </c>
      <c r="IY4" s="10">
        <v>10</v>
      </c>
      <c r="IZ4" s="10">
        <f>IF(LEN(CABLES[[#This Row],[OVERRIDE_CABLESIZE]])&gt;0,CABLES[[#This Row],[OVERRIDE_CABLESIZE]],CABLES[[#This Row],[INITIAL_CABLESIZE]])</f>
        <v>10</v>
      </c>
      <c r="JA4" s="10">
        <f>INDEX(PROTECTIVE_DEVICE[DEVICE], MATCH(CABLES[[#This Row],[CALCULATED_AMPS]],PROTECTIVE_DEVICE[DEVICE],-1),1)</f>
        <v>25</v>
      </c>
      <c r="JB4" s="10"/>
      <c r="JC4" s="10">
        <f>IF(LEN(CABLES[[#This Row],[OVERRIDE_PDEVICE]])&gt;0, CABLES[[#This Row],[OVERRIDE_PDEVICE]],CABLES[[#This Row],[RECOMMEND_PDEVICE]])</f>
        <v>25</v>
      </c>
      <c r="JD4" s="10" t="s">
        <v>450</v>
      </c>
      <c r="JE4" s="10">
        <f xml:space="preserve"> CABLES[[#This Row],[SELECTED_PDEVICE]] * INDEX(DEVICE_CURVE[], MATCH(CABLES[[#This Row],[PDEVICE_CURVE]], DEVICE_CURVE[DEVICE_CURVE],0),2)</f>
        <v>162.5</v>
      </c>
      <c r="JF4" s="10" t="s">
        <v>458</v>
      </c>
      <c r="JG4" s="10">
        <f xml:space="preserve"> INDEX(CONDUCTOR_MATERIAL[], MATCH(CABLES[[#This Row],[CONDUCTOR_MATERIAL]],CONDUCTOR_MATERIAL[CONDUCTOR_MATERIAL],0),2)</f>
        <v>2.2499999999999999E-2</v>
      </c>
      <c r="JH4" s="10">
        <f>CABLES[[#This Row],[SELECTED_CABLESIZE]]</f>
        <v>10</v>
      </c>
      <c r="JI4" s="10">
        <f xml:space="preserve"> INDEX( EARTH_CONDUCTOR_SIZE[], MATCH(CABLES[[#This Row],[SPH]],EARTH_CONDUCTOR_SIZE[MM^2],-1), 2)</f>
        <v>4</v>
      </c>
      <c r="JJ4" s="10">
        <f>(0.8*PHASE_VOLTAGE*CABLES[[#This Row],[SPH]]*CABLES[[#This Row],[SPE]])/(CABLES[[#This Row],[PDEVICE_IA]]*CABLES[[#This Row],[MATERIAL_CONSTANT]]*(CABLES[[#This Row],[SPH]]+CABLES[[#This Row],[SPE]]))</f>
        <v>143.78510378510379</v>
      </c>
      <c r="JK4" s="10" t="str">
        <f>IF(CABLES[[#This Row],[LMAX]]&gt;CABLES[[#This Row],[ESTIMATED_CABLE_LENGTH]], "PASS", "ERROR")</f>
        <v>PASS</v>
      </c>
      <c r="JL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18.399999999999999</v>
      </c>
      <c r="JM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0.62</v>
      </c>
      <c r="JN4" s="6">
        <f xml:space="preserve"> ROUNDUP( CABLES[[#This Row],[CALCULATED_AMPS]],1)</f>
        <v>24.1</v>
      </c>
      <c r="JO4" s="6">
        <f>CABLES[[#This Row],[SELECTED_CABLESIZE]]</f>
        <v>10</v>
      </c>
      <c r="JP4" s="10">
        <f>CABLES[[#This Row],[ESTIMATED_CABLE_LENGTH]]</f>
        <v>91.2</v>
      </c>
      <c r="JQ4" s="6">
        <f>CABLES[[#This Row],[SELECTED_PDEVICE]]</f>
        <v>25</v>
      </c>
    </row>
    <row r="5" spans="1:277" x14ac:dyDescent="0.35">
      <c r="A5" s="5" t="s">
        <v>4</v>
      </c>
      <c r="B5" s="5" t="s">
        <v>478</v>
      </c>
      <c r="C5" s="10" t="s">
        <v>262</v>
      </c>
      <c r="D5" s="9">
        <v>5.5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1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1</v>
      </c>
      <c r="AR5" s="9">
        <v>0</v>
      </c>
      <c r="AS5" s="9">
        <v>1</v>
      </c>
      <c r="AT5" s="9">
        <v>0</v>
      </c>
      <c r="AU5" s="9">
        <v>0</v>
      </c>
      <c r="AV5" s="9">
        <v>0</v>
      </c>
      <c r="AW5" s="9">
        <v>1</v>
      </c>
      <c r="AX5" s="9">
        <v>1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f xml:space="preserve"> IF(CABLES[[#This Row],[SEG1]] &gt;0, INDEX(SEGMENTS[], MATCH(CABLES[[#Headers],[SEG1]],SEGMENTS[SEG_ID],0),4),0)</f>
        <v>0</v>
      </c>
      <c r="BN5" s="9">
        <f xml:space="preserve"> IF(CABLES[[#This Row],[SEG2]] &gt;0, INDEX(SEGMENTS[], MATCH(CABLES[[#Headers],[SEG2]],SEGMENTS[SEG_ID],0),4),0)</f>
        <v>0</v>
      </c>
      <c r="BO5" s="9">
        <f xml:space="preserve"> IF(CABLES[[#This Row],[SEG3]] &gt;0, INDEX(SEGMENTS[], MATCH(CABLES[[#Headers],[SEG3]],SEGMENTS[SEG_ID],0),4),0)</f>
        <v>0</v>
      </c>
      <c r="BP5" s="9">
        <f xml:space="preserve"> IF(CABLES[[#This Row],[SEG4]] &gt;0, INDEX(SEGMENTS[], MATCH(CABLES[[#Headers],[SEG4]],SEGMENTS[SEG_ID],0),4),0)</f>
        <v>0</v>
      </c>
      <c r="BQ5" s="9">
        <f xml:space="preserve"> IF(CABLES[[#This Row],[SEG5]] &gt;0,INDEX(SEGMENTS[], MATCH(CABLES[[#Headers],[SEG5]],SEGMENTS[SEG_ID],0),4),0)</f>
        <v>0</v>
      </c>
      <c r="BR5" s="9">
        <f xml:space="preserve"> IF(CABLES[[#This Row],[SEG6]] &gt;0,INDEX(SEGMENTS[], MATCH(CABLES[[#Headers],[SEG6]],SEGMENTS[SEG_ID],0),4),0)</f>
        <v>0</v>
      </c>
      <c r="BS5" s="9">
        <f xml:space="preserve"> IF(CABLES[[#This Row],[SEG7]] &gt;0,INDEX(SEGMENTS[], MATCH(CABLES[[#Headers],[SEG7]],SEGMENTS[SEG_ID],0),4),0)</f>
        <v>0</v>
      </c>
      <c r="BT5" s="9">
        <f xml:space="preserve"> IF(CABLES[[#This Row],[SEG8]] &gt;0,INDEX(SEGMENTS[], MATCH(CABLES[[#Headers],[SEG8]],SEGMENTS[SEG_ID],0),4),0)</f>
        <v>0</v>
      </c>
      <c r="BU5" s="9">
        <f xml:space="preserve"> IF(CABLES[[#This Row],[SEG9]] &gt;0,INDEX(SEGMENTS[], MATCH(CABLES[[#Headers],[SEG9]],SEGMENTS[SEG_ID],0),4),0)</f>
        <v>0</v>
      </c>
      <c r="BV5" s="9">
        <f xml:space="preserve"> IF(CABLES[[#This Row],[SEG10]] &gt;0,INDEX(SEGMENTS[], MATCH(CABLES[[#Headers],[SEG10]],SEGMENTS[SEG_ID],0),4),0)</f>
        <v>0</v>
      </c>
      <c r="BW5" s="9">
        <f xml:space="preserve"> IF(CABLES[[#This Row],[SEG11]] &gt;0,INDEX(SEGMENTS[], MATCH(CABLES[[#Headers],[SEG11]],SEGMENTS[SEG_ID],0),4),0)</f>
        <v>0</v>
      </c>
      <c r="BX5" s="9">
        <f>IF(CABLES[[#This Row],[SEG12]] &gt;0, INDEX(SEGMENTS[], MATCH(CABLES[[#Headers],[SEG12]],SEGMENTS[SEG_ID],0),4),0)</f>
        <v>0</v>
      </c>
      <c r="BY5" s="9">
        <f xml:space="preserve"> IF(CABLES[[#This Row],[SEG13]] &gt;0,INDEX(SEGMENTS[], MATCH(CABLES[[#Headers],[SEG13]],SEGMENTS[SEG_ID],0),4),0)</f>
        <v>0</v>
      </c>
      <c r="BZ5" s="9">
        <f xml:space="preserve"> IF(CABLES[[#This Row],[SEG14]] &gt;0,INDEX(SEGMENTS[], MATCH(CABLES[[#Headers],[SEG14]],SEGMENTS[SEG_ID],0),4),0)</f>
        <v>0</v>
      </c>
      <c r="CA5" s="9">
        <f xml:space="preserve"> IF(CABLES[[#This Row],[SEG15]] &gt;0,INDEX(SEGMENTS[], MATCH(CABLES[[#Headers],[SEG15]],SEGMENTS[SEG_ID],0),4),0)</f>
        <v>0</v>
      </c>
      <c r="CB5" s="9">
        <f xml:space="preserve"> IF(CABLES[[#This Row],[SEG16]] &gt;0,INDEX(SEGMENTS[], MATCH(CABLES[[#Headers],[SEG16]],SEGMENTS[SEG_ID],0),4),0)</f>
        <v>0</v>
      </c>
      <c r="CC5" s="9">
        <f xml:space="preserve"> IF(CABLES[[#This Row],[SEG17]] &gt;0,INDEX(SEGMENTS[], MATCH(CABLES[[#Headers],[SEG17]],SEGMENTS[SEG_ID],0),4),0)</f>
        <v>0</v>
      </c>
      <c r="CD5" s="9">
        <f xml:space="preserve"> IF(CABLES[[#This Row],[SEG18]] &gt;0,INDEX(SEGMENTS[], MATCH(CABLES[[#Headers],[SEG18]],SEGMENTS[SEG_ID],0),4),0)</f>
        <v>0</v>
      </c>
      <c r="CE5" s="9">
        <f>IF(CABLES[[#This Row],[SEG19]] &gt;0, INDEX(SEGMENTS[], MATCH(CABLES[[#Headers],[SEG19]],SEGMENTS[SEG_ID],0),4),0)</f>
        <v>0</v>
      </c>
      <c r="CF5" s="9">
        <f>IF(CABLES[[#This Row],[SEG20]] &gt;0, INDEX(SEGMENTS[], MATCH(CABLES[[#Headers],[SEG20]],SEGMENTS[SEG_ID],0),4),0)</f>
        <v>0</v>
      </c>
      <c r="CG5" s="9">
        <f xml:space="preserve"> IF(CABLES[[#This Row],[SEG21]] &gt;0,INDEX(SEGMENTS[], MATCH(CABLES[[#Headers],[SEG21]],SEGMENTS[SEG_ID],0),4),0)</f>
        <v>0</v>
      </c>
      <c r="CH5" s="9">
        <f xml:space="preserve"> IF(CABLES[[#This Row],[SEG22]] &gt;0,INDEX(SEGMENTS[], MATCH(CABLES[[#Headers],[SEG22]],SEGMENTS[SEG_ID],0),4),0)</f>
        <v>0</v>
      </c>
      <c r="CI5" s="9">
        <f>IF(CABLES[[#This Row],[SEG23]] &gt;0, INDEX(SEGMENTS[], MATCH(CABLES[[#Headers],[SEG23]],SEGMENTS[SEG_ID],0),4),0)</f>
        <v>0</v>
      </c>
      <c r="CJ5" s="9">
        <f xml:space="preserve"> IF(CABLES[[#This Row],[SEG24]] &gt;0,INDEX(SEGMENTS[], MATCH(CABLES[[#Headers],[SEG24]],SEGMENTS[SEG_ID],0),4),0)</f>
        <v>0</v>
      </c>
      <c r="CK5" s="9">
        <f>IF(CABLES[[#This Row],[SEG25]] &gt;0, INDEX(SEGMENTS[], MATCH(CABLES[[#Headers],[SEG25]],SEGMENTS[SEG_ID],0),4),0)</f>
        <v>0</v>
      </c>
      <c r="CL5" s="9">
        <f>IF(CABLES[[#This Row],[SEG26]] &gt;0, INDEX(SEGMENTS[], MATCH(CABLES[[#Headers],[SEG26]],SEGMENTS[SEG_ID],0),4),0)</f>
        <v>0</v>
      </c>
      <c r="CM5" s="9">
        <f xml:space="preserve"> IF(CABLES[[#This Row],[SEG27]] &gt;0,INDEX(SEGMENTS[], MATCH(CABLES[[#Headers],[SEG27]],SEGMENTS[SEG_ID],0),4),0)</f>
        <v>0</v>
      </c>
      <c r="CN5" s="9">
        <f xml:space="preserve"> IF(CABLES[[#This Row],[SEG28]] &gt;0,INDEX(SEGMENTS[], MATCH(CABLES[[#Headers],[SEG28]],SEGMENTS[SEG_ID],0),4),0)</f>
        <v>0</v>
      </c>
      <c r="CO5" s="9">
        <f xml:space="preserve"> IF(CABLES[[#This Row],[SEG29]] &gt;0,INDEX(SEGMENTS[], MATCH(CABLES[[#Headers],[SEG29]],SEGMENTS[SEG_ID],0),4),0)</f>
        <v>0</v>
      </c>
      <c r="CP5" s="9">
        <f xml:space="preserve"> IF(CABLES[[#This Row],[SEG30]] &gt;0,INDEX(SEGMENTS[], MATCH(CABLES[[#Headers],[SEG30]],SEGMENTS[SEG_ID],0),4),0)</f>
        <v>6</v>
      </c>
      <c r="CQ5" s="9">
        <f>IF(CABLES[[#This Row],[SEG31]] &gt;0, INDEX(SEGMENTS[], MATCH(CABLES[[#Headers],[SEG31]],SEGMENTS[SEG_ID],0),4),0)</f>
        <v>3</v>
      </c>
      <c r="CR5" s="9">
        <f xml:space="preserve"> IF(CABLES[[#This Row],[SEG32]] &gt;0,INDEX(SEGMENTS[], MATCH(CABLES[[#Headers],[SEG32]],SEGMENTS[SEG_ID],0),4),0)</f>
        <v>0</v>
      </c>
      <c r="CS5" s="9">
        <f xml:space="preserve"> IF(CABLES[[#This Row],[SEG33]] &gt;0,INDEX(SEGMENTS[], MATCH(CABLES[[#Headers],[SEG33]],SEGMENTS[SEG_ID],0),4),0)</f>
        <v>0</v>
      </c>
      <c r="CT5" s="9">
        <f>IF(CABLES[[#This Row],[SEG34]] &gt;0, INDEX(SEGMENTS[], MATCH(CABLES[[#Headers],[SEG34]],SEGMENTS[SEG_ID],0),4),0)</f>
        <v>0</v>
      </c>
      <c r="CU5" s="9">
        <f xml:space="preserve"> IF(CABLES[[#This Row],[SEG35]] &gt;0,INDEX(SEGMENTS[], MATCH(CABLES[[#Headers],[SEG35]],SEGMENTS[SEG_ID],0),4),0)</f>
        <v>0</v>
      </c>
      <c r="CV5" s="9">
        <f xml:space="preserve"> IF(CABLES[[#This Row],[SEG36]] &gt;0,INDEX(SEGMENTS[], MATCH(CABLES[[#Headers],[SEG36]],SEGMENTS[SEG_ID],0),4),0)</f>
        <v>0</v>
      </c>
      <c r="CW5" s="9">
        <f xml:space="preserve"> IF(CABLES[[#This Row],[SEG37]] &gt;0,INDEX(SEGMENTS[], MATCH(CABLES[[#Headers],[SEG37]],SEGMENTS[SEG_ID],0),4),0)</f>
        <v>0</v>
      </c>
      <c r="CX5" s="9">
        <f xml:space="preserve"> IF(CABLES[[#This Row],[SEG38]] &gt;0,INDEX(SEGMENTS[], MATCH(CABLES[[#Headers],[SEG38]],SEGMENTS[SEG_ID],0),4),0)</f>
        <v>0</v>
      </c>
      <c r="CY5" s="9">
        <f xml:space="preserve"> IF(CABLES[[#This Row],[SEG39]] &gt;0,INDEX(SEGMENTS[], MATCH(CABLES[[#Headers],[SEG39]],SEGMENTS[SEG_ID],0),4),0)</f>
        <v>8</v>
      </c>
      <c r="CZ5" s="9">
        <f xml:space="preserve"> IF(CABLES[[#This Row],[SEG40]] &gt;0,INDEX(SEGMENTS[], MATCH(CABLES[[#Headers],[SEG40]],SEGMENTS[SEG_ID],0),4),0)</f>
        <v>0</v>
      </c>
      <c r="DA5" s="9">
        <f xml:space="preserve"> IF(CABLES[[#This Row],[SEG41]] &gt;0,INDEX(SEGMENTS[], MATCH(CABLES[[#Headers],[SEG41]],SEGMENTS[SEG_ID],0),4),0)</f>
        <v>8</v>
      </c>
      <c r="DB5" s="9">
        <f xml:space="preserve"> IF(CABLES[[#This Row],[SEG42]] &gt;0,INDEX(SEGMENTS[], MATCH(CABLES[[#Headers],[SEG42]],SEGMENTS[SEG_ID],0),4),0)</f>
        <v>0</v>
      </c>
      <c r="DC5" s="9">
        <f xml:space="preserve"> IF(CABLES[[#This Row],[SEG43]] &gt;0,INDEX(SEGMENTS[], MATCH(CABLES[[#Headers],[SEG43]],SEGMENTS[SEG_ID],0),4),0)</f>
        <v>0</v>
      </c>
      <c r="DD5" s="9">
        <f xml:space="preserve"> IF(CABLES[[#This Row],[SEG44]] &gt;0,INDEX(SEGMENTS[], MATCH(CABLES[[#Headers],[SEG44]],SEGMENTS[SEG_ID],0),4),0)</f>
        <v>0</v>
      </c>
      <c r="DE5" s="9">
        <f xml:space="preserve"> IF(CABLES[[#This Row],[SEG45]] &gt;0,INDEX(SEGMENTS[], MATCH(CABLES[[#Headers],[SEG45]],SEGMENTS[SEG_ID],0),4),0)</f>
        <v>9</v>
      </c>
      <c r="DF5" s="9">
        <f xml:space="preserve"> IF(CABLES[[#This Row],[SEG46]] &gt;0,INDEX(SEGMENTS[], MATCH(CABLES[[#Headers],[SEG46]],SEGMENTS[SEG_ID],0),4),0)</f>
        <v>14</v>
      </c>
      <c r="DG5" s="9">
        <f xml:space="preserve"> IF(CABLES[[#This Row],[SEG47]] &gt;0,INDEX(SEGMENTS[], MATCH(CABLES[[#Headers],[SEG47]],SEGMENTS[SEG_ID],0),4),0)</f>
        <v>0</v>
      </c>
      <c r="DH5" s="9">
        <f xml:space="preserve"> IF(CABLES[[#This Row],[SEG48]] &gt;0,INDEX(SEGMENTS[], MATCH(CABLES[[#Headers],[SEG48]],SEGMENTS[SEG_ID],0),4),0)</f>
        <v>0</v>
      </c>
      <c r="DI5" s="9">
        <f xml:space="preserve"> IF(CABLES[[#This Row],[SEG49]] &gt;0,INDEX(SEGMENTS[], MATCH(CABLES[[#Headers],[SEG49]],SEGMENTS[SEG_ID],0),4),0)</f>
        <v>0</v>
      </c>
      <c r="DJ5" s="9">
        <f xml:space="preserve"> IF(CABLES[[#This Row],[SEG50]] &gt;0,INDEX(SEGMENTS[], MATCH(CABLES[[#Headers],[SEG50]],SEGMENTS[SEG_ID],0),4),0)</f>
        <v>0</v>
      </c>
      <c r="DK5" s="9">
        <f xml:space="preserve"> IF(CABLES[[#This Row],[SEG51]] &gt;0,INDEX(SEGMENTS[], MATCH(CABLES[[#Headers],[SEG51]],SEGMENTS[SEG_ID],0),4),0)</f>
        <v>0</v>
      </c>
      <c r="DL5" s="9">
        <f xml:space="preserve"> IF(CABLES[[#This Row],[SEG52]] &gt;0,INDEX(SEGMENTS[], MATCH(CABLES[[#Headers],[SEG52]],SEGMENTS[SEG_ID],0),4),0)</f>
        <v>0</v>
      </c>
      <c r="DM5" s="9">
        <f xml:space="preserve"> IF(CABLES[[#This Row],[SEG53]] &gt;0,INDEX(SEGMENTS[], MATCH(CABLES[[#Headers],[SEG53]],SEGMENTS[SEG_ID],0),4),0)</f>
        <v>0</v>
      </c>
      <c r="DN5" s="9">
        <f xml:space="preserve"> IF(CABLES[[#This Row],[SEG54]] &gt;0,INDEX(SEGMENTS[], MATCH(CABLES[[#Headers],[SEG54]],SEGMENTS[SEG_ID],0),4),0)</f>
        <v>0</v>
      </c>
      <c r="DO5" s="9">
        <f xml:space="preserve"> IF(CABLES[[#This Row],[SEG55]] &gt;0,INDEX(SEGMENTS[], MATCH(CABLES[[#Headers],[SEG55]],SEGMENTS[SEG_ID],0),4),0)</f>
        <v>0</v>
      </c>
      <c r="DP5" s="9">
        <f xml:space="preserve"> IF(CABLES[[#This Row],[SEG56]] &gt;0,INDEX(SEGMENTS[], MATCH(CABLES[[#Headers],[SEG56]],SEGMENTS[SEG_ID],0),4),0)</f>
        <v>0</v>
      </c>
      <c r="DQ5" s="9">
        <f xml:space="preserve"> IF(CABLES[[#This Row],[SEG57]] &gt;0,INDEX(SEGMENTS[], MATCH(CABLES[[#Headers],[SEG57]],SEGMENTS[SEG_ID],0),4),0)</f>
        <v>0</v>
      </c>
      <c r="DR5" s="9">
        <f xml:space="preserve"> IF(CABLES[[#This Row],[SEG58]] &gt;0,INDEX(SEGMENTS[], MATCH(CABLES[[#Headers],[SEG58]],SEGMENTS[SEG_ID],0),4),0)</f>
        <v>0</v>
      </c>
      <c r="DS5" s="9">
        <f xml:space="preserve"> IF(CABLES[[#This Row],[SEG59]] &gt;0,INDEX(SEGMENTS[], MATCH(CABLES[[#Headers],[SEG59]],SEGMENTS[SEG_ID],0),4),0)</f>
        <v>0</v>
      </c>
      <c r="DT5" s="9">
        <f xml:space="preserve"> IF(CABLES[[#This Row],[SEG60]] &gt;0,INDEX(SEGMENTS[], MATCH(CABLES[[#Headers],[SEG60]],SEGMENTS[SEG_ID],0),4),0)</f>
        <v>0</v>
      </c>
      <c r="DU5" s="10">
        <f>SUM(CABLES[[#This Row],[SEGL1]:[SEGL60]])</f>
        <v>48</v>
      </c>
      <c r="DV5" s="10">
        <v>5</v>
      </c>
      <c r="DW5" s="10">
        <v>1.2</v>
      </c>
      <c r="DX5" s="10">
        <f xml:space="preserve"> IF(CABLES[[#This Row],[SEGL_TOTAL]]&gt;0, (CABLES[[#This Row],[SEGL_TOTAL]] + CABLES[[#This Row],[FITOFF]]) *CABLES[[#This Row],[XCAPACITY]],0)</f>
        <v>63.599999999999994</v>
      </c>
      <c r="DY5" s="10">
        <f>IF(CABLES[[#This Row],[SEG1]]&gt;0,CABLES[[#This Row],[CABLE_DIAMETER]],0)</f>
        <v>0</v>
      </c>
      <c r="DZ5" s="10">
        <f>IF(CABLES[[#This Row],[SEG2]]&gt;0,CABLES[[#This Row],[CABLE_DIAMETER]],0)</f>
        <v>0</v>
      </c>
      <c r="EA5" s="10">
        <f>IF(CABLES[[#This Row],[SEG3]]&gt;0,CABLES[[#This Row],[CABLE_DIAMETER]],0)</f>
        <v>0</v>
      </c>
      <c r="EB5" s="10">
        <f>IF(CABLES[[#This Row],[SEG4]]&gt;0,CABLES[[#This Row],[CABLE_DIAMETER]],0)</f>
        <v>0</v>
      </c>
      <c r="EC5" s="10">
        <f>IF(CABLES[[#This Row],[SEG5]]&gt;0,CABLES[[#This Row],[CABLE_DIAMETER]],0)</f>
        <v>0</v>
      </c>
      <c r="ED5" s="10">
        <f>IF(CABLES[[#This Row],[SEG6]]&gt;0,CABLES[[#This Row],[CABLE_DIAMETER]],0)</f>
        <v>0</v>
      </c>
      <c r="EE5" s="10">
        <f>IF(CABLES[[#This Row],[SEG7]]&gt;0,CABLES[[#This Row],[CABLE_DIAMETER]],0)</f>
        <v>0</v>
      </c>
      <c r="EF5" s="10">
        <f>IF(CABLES[[#This Row],[SEG9]]&gt;0,CABLES[[#This Row],[CABLE_DIAMETER]],0)</f>
        <v>0</v>
      </c>
      <c r="EG5" s="10">
        <f>IF(CABLES[[#This Row],[SEG9]]&gt;0,CABLES[[#This Row],[CABLE_DIAMETER]],0)</f>
        <v>0</v>
      </c>
      <c r="EH5" s="10">
        <f>IF(CABLES[[#This Row],[SEG10]]&gt;0,CABLES[[#This Row],[CABLE_DIAMETER]],0)</f>
        <v>0</v>
      </c>
      <c r="EI5" s="10">
        <f>IF(CABLES[[#This Row],[SEG11]]&gt;0,CABLES[[#This Row],[CABLE_DIAMETER]],0)</f>
        <v>0</v>
      </c>
      <c r="EJ5" s="10">
        <f>IF(CABLES[[#This Row],[SEG12]]&gt;0,CABLES[[#This Row],[CABLE_DIAMETER]],0)</f>
        <v>0</v>
      </c>
      <c r="EK5" s="10">
        <f>IF(CABLES[[#This Row],[SEG13]]&gt;0,CABLES[[#This Row],[CABLE_DIAMETER]],0)</f>
        <v>0</v>
      </c>
      <c r="EL5" s="10">
        <f>IF(CABLES[[#This Row],[SEG14]]&gt;0,CABLES[[#This Row],[CABLE_DIAMETER]],0)</f>
        <v>0</v>
      </c>
      <c r="EM5" s="10">
        <f>IF(CABLES[[#This Row],[SEG15]]&gt;0,CABLES[[#This Row],[CABLE_DIAMETER]],0)</f>
        <v>0</v>
      </c>
      <c r="EN5" s="10">
        <f>IF(CABLES[[#This Row],[SEG16]]&gt;0,CABLES[[#This Row],[CABLE_DIAMETER]],0)</f>
        <v>0</v>
      </c>
      <c r="EO5" s="10">
        <f>IF(CABLES[[#This Row],[SEG17]]&gt;0,CABLES[[#This Row],[CABLE_DIAMETER]],0)</f>
        <v>0</v>
      </c>
      <c r="EP5" s="10">
        <f>IF(CABLES[[#This Row],[SEG18]]&gt;0,CABLES[[#This Row],[CABLE_DIAMETER]],0)</f>
        <v>0</v>
      </c>
      <c r="EQ5" s="10">
        <f>IF(CABLES[[#This Row],[SEG19]]&gt;0,CABLES[[#This Row],[CABLE_DIAMETER]],0)</f>
        <v>0</v>
      </c>
      <c r="ER5" s="10">
        <f>IF(CABLES[[#This Row],[SEG20]]&gt;0,CABLES[[#This Row],[CABLE_DIAMETER]],0)</f>
        <v>0</v>
      </c>
      <c r="ES5" s="10">
        <f>IF(CABLES[[#This Row],[SEG21]]&gt;0,CABLES[[#This Row],[CABLE_DIAMETER]],0)</f>
        <v>0</v>
      </c>
      <c r="ET5" s="10">
        <f>IF(CABLES[[#This Row],[SEG22]]&gt;0,CABLES[[#This Row],[CABLE_DIAMETER]],0)</f>
        <v>0</v>
      </c>
      <c r="EU5" s="10">
        <f>IF(CABLES[[#This Row],[SEG23]]&gt;0,CABLES[[#This Row],[CABLE_DIAMETER]],0)</f>
        <v>0</v>
      </c>
      <c r="EV5" s="10">
        <f>IF(CABLES[[#This Row],[SEG24]]&gt;0,CABLES[[#This Row],[CABLE_DIAMETER]],0)</f>
        <v>0</v>
      </c>
      <c r="EW5" s="10">
        <f>IF(CABLES[[#This Row],[SEG25]]&gt;0,CABLES[[#This Row],[CABLE_DIAMETER]],0)</f>
        <v>0</v>
      </c>
      <c r="EX5" s="10">
        <f>IF(CABLES[[#This Row],[SEG26]]&gt;0,CABLES[[#This Row],[CABLE_DIAMETER]],0)</f>
        <v>0</v>
      </c>
      <c r="EY5" s="10">
        <f>IF(CABLES[[#This Row],[SEG27]]&gt;0,CABLES[[#This Row],[CABLE_DIAMETER]],0)</f>
        <v>0</v>
      </c>
      <c r="EZ5" s="10">
        <f>IF(CABLES[[#This Row],[SEG28]]&gt;0,CABLES[[#This Row],[CABLE_DIAMETER]],0)</f>
        <v>0</v>
      </c>
      <c r="FA5" s="10">
        <f>IF(CABLES[[#This Row],[SEG29]]&gt;0,CABLES[[#This Row],[CABLE_DIAMETER]],0)</f>
        <v>0</v>
      </c>
      <c r="FB5" s="10">
        <f>IF(CABLES[[#This Row],[SEG30]]&gt;0,CABLES[[#This Row],[CABLE_DIAMETER]],0)</f>
        <v>12</v>
      </c>
      <c r="FC5" s="10">
        <f>IF(CABLES[[#This Row],[SEG31]]&gt;0,CABLES[[#This Row],[CABLE_DIAMETER]],0)</f>
        <v>12</v>
      </c>
      <c r="FD5" s="10">
        <f>IF(CABLES[[#This Row],[SEG32]]&gt;0,CABLES[[#This Row],[CABLE_DIAMETER]],0)</f>
        <v>0</v>
      </c>
      <c r="FE5" s="10">
        <f>IF(CABLES[[#This Row],[SEG33]]&gt;0,CABLES[[#This Row],[CABLE_DIAMETER]],0)</f>
        <v>0</v>
      </c>
      <c r="FF5" s="10">
        <f>IF(CABLES[[#This Row],[SEG34]]&gt;0,CABLES[[#This Row],[CABLE_DIAMETER]],0)</f>
        <v>0</v>
      </c>
      <c r="FG5" s="10">
        <f>IF(CABLES[[#This Row],[SEG35]]&gt;0,CABLES[[#This Row],[CABLE_DIAMETER]],0)</f>
        <v>0</v>
      </c>
      <c r="FH5" s="10">
        <f>IF(CABLES[[#This Row],[SEG36]]&gt;0,CABLES[[#This Row],[CABLE_DIAMETER]],0)</f>
        <v>0</v>
      </c>
      <c r="FI5" s="10">
        <f>IF(CABLES[[#This Row],[SEG37]]&gt;0,CABLES[[#This Row],[CABLE_DIAMETER]],0)</f>
        <v>0</v>
      </c>
      <c r="FJ5" s="10">
        <f>IF(CABLES[[#This Row],[SEG38]]&gt;0,CABLES[[#This Row],[CABLE_DIAMETER]],0)</f>
        <v>0</v>
      </c>
      <c r="FK5" s="10">
        <f>IF(CABLES[[#This Row],[SEG39]]&gt;0,CABLES[[#This Row],[CABLE_DIAMETER]],0)</f>
        <v>12</v>
      </c>
      <c r="FL5" s="10">
        <f>IF(CABLES[[#This Row],[SEG40]]&gt;0,CABLES[[#This Row],[CABLE_DIAMETER]],0)</f>
        <v>0</v>
      </c>
      <c r="FM5" s="10">
        <f>IF(CABLES[[#This Row],[SEG41]]&gt;0,CABLES[[#This Row],[CABLE_DIAMETER]],0)</f>
        <v>12</v>
      </c>
      <c r="FN5" s="10">
        <f>IF(CABLES[[#This Row],[SEG42]]&gt;0,CABLES[[#This Row],[CABLE_DIAMETER]],0)</f>
        <v>0</v>
      </c>
      <c r="FO5" s="10">
        <f>IF(CABLES[[#This Row],[SEG43]]&gt;0,CABLES[[#This Row],[CABLE_DIAMETER]],0)</f>
        <v>0</v>
      </c>
      <c r="FP5" s="10">
        <f>IF(CABLES[[#This Row],[SEG44]]&gt;0,CABLES[[#This Row],[CABLE_DIAMETER]],0)</f>
        <v>0</v>
      </c>
      <c r="FQ5" s="10">
        <f>IF(CABLES[[#This Row],[SEG45]]&gt;0,CABLES[[#This Row],[CABLE_DIAMETER]],0)</f>
        <v>12</v>
      </c>
      <c r="FR5" s="10">
        <f>IF(CABLES[[#This Row],[SEG46]]&gt;0,CABLES[[#This Row],[CABLE_DIAMETER]],0)</f>
        <v>12</v>
      </c>
      <c r="FS5" s="10">
        <f>IF(CABLES[[#This Row],[SEG47]]&gt;0,CABLES[[#This Row],[CABLE_DIAMETER]],0)</f>
        <v>0</v>
      </c>
      <c r="FT5" s="10">
        <f>IF(CABLES[[#This Row],[SEG48]]&gt;0,CABLES[[#This Row],[CABLE_DIAMETER]],0)</f>
        <v>0</v>
      </c>
      <c r="FU5" s="10">
        <f>IF(CABLES[[#This Row],[SEG49]]&gt;0,CABLES[[#This Row],[CABLE_DIAMETER]],0)</f>
        <v>0</v>
      </c>
      <c r="FV5" s="10">
        <f>IF(CABLES[[#This Row],[SEG50]]&gt;0,CABLES[[#This Row],[CABLE_DIAMETER]],0)</f>
        <v>0</v>
      </c>
      <c r="FW5" s="10">
        <f>IF(CABLES[[#This Row],[SEG51]]&gt;0,CABLES[[#This Row],[CABLE_DIAMETER]],0)</f>
        <v>0</v>
      </c>
      <c r="FX5" s="10">
        <f>IF(CABLES[[#This Row],[SEG52]]&gt;0,CABLES[[#This Row],[CABLE_DIAMETER]],0)</f>
        <v>0</v>
      </c>
      <c r="FY5" s="10">
        <f>IF(CABLES[[#This Row],[SEG53]]&gt;0,CABLES[[#This Row],[CABLE_DIAMETER]],0)</f>
        <v>0</v>
      </c>
      <c r="FZ5" s="10">
        <f>IF(CABLES[[#This Row],[SEG54]]&gt;0,CABLES[[#This Row],[CABLE_DIAMETER]],0)</f>
        <v>0</v>
      </c>
      <c r="GA5" s="10">
        <f>IF(CABLES[[#This Row],[SEG55]]&gt;0,CABLES[[#This Row],[CABLE_DIAMETER]],0)</f>
        <v>0</v>
      </c>
      <c r="GB5" s="10">
        <f>IF(CABLES[[#This Row],[SEG56]]&gt;0,CABLES[[#This Row],[CABLE_DIAMETER]],0)</f>
        <v>0</v>
      </c>
      <c r="GC5" s="10">
        <f>IF(CABLES[[#This Row],[SEG57]]&gt;0,CABLES[[#This Row],[CABLE_DIAMETER]],0)</f>
        <v>0</v>
      </c>
      <c r="GD5" s="10">
        <f>IF(CABLES[[#This Row],[SEG58]]&gt;0,CABLES[[#This Row],[CABLE_DIAMETER]],0)</f>
        <v>0</v>
      </c>
      <c r="GE5" s="10">
        <f>IF(CABLES[[#This Row],[SEG59]]&gt;0,CABLES[[#This Row],[CABLE_DIAMETER]],0)</f>
        <v>0</v>
      </c>
      <c r="GF5" s="10">
        <f>IF(CABLES[[#This Row],[SEG60]]&gt;0,CABLES[[#This Row],[CABLE_DIAMETER]],0)</f>
        <v>0</v>
      </c>
      <c r="GG5" s="10">
        <f>IF(CABLES[[#This Row],[SEG1]]&gt;0,CABLES[[#This Row],[CABLE_MASS]],0)</f>
        <v>0</v>
      </c>
      <c r="GH5" s="10">
        <f>IF(CABLES[[#This Row],[SEG2]]&gt;0,CABLES[[#This Row],[CABLE_MASS]],0)</f>
        <v>0</v>
      </c>
      <c r="GI5" s="10">
        <f>IF(CABLES[[#This Row],[SEG3]]&gt;0,CABLES[[#This Row],[CABLE_MASS]],0)</f>
        <v>0</v>
      </c>
      <c r="GJ5" s="10">
        <f>IF(CABLES[[#This Row],[SEG4]]&gt;0,CABLES[[#This Row],[CABLE_MASS]],0)</f>
        <v>0</v>
      </c>
      <c r="GK5" s="10">
        <f>IF(CABLES[[#This Row],[SEG5]]&gt;0,CABLES[[#This Row],[CABLE_MASS]],0)</f>
        <v>0</v>
      </c>
      <c r="GL5" s="10">
        <f>IF(CABLES[[#This Row],[SEG6]]&gt;0,CABLES[[#This Row],[CABLE_MASS]],0)</f>
        <v>0</v>
      </c>
      <c r="GM5" s="10">
        <f>IF(CABLES[[#This Row],[SEG7]]&gt;0,CABLES[[#This Row],[CABLE_MASS]],0)</f>
        <v>0</v>
      </c>
      <c r="GN5" s="10">
        <f>IF(CABLES[[#This Row],[SEG8]]&gt;0,CABLES[[#This Row],[CABLE_MASS]],0)</f>
        <v>0</v>
      </c>
      <c r="GO5" s="10">
        <f>IF(CABLES[[#This Row],[SEG9]]&gt;0,CABLES[[#This Row],[CABLE_MASS]],0)</f>
        <v>0</v>
      </c>
      <c r="GP5" s="10">
        <f>IF(CABLES[[#This Row],[SEG10]]&gt;0,CABLES[[#This Row],[CABLE_MASS]],0)</f>
        <v>0</v>
      </c>
      <c r="GQ5" s="10">
        <f>IF(CABLES[[#This Row],[SEG11]]&gt;0,CABLES[[#This Row],[CABLE_MASS]],0)</f>
        <v>0</v>
      </c>
      <c r="GR5" s="10">
        <f>IF(CABLES[[#This Row],[SEG12]]&gt;0,CABLES[[#This Row],[CABLE_MASS]],0)</f>
        <v>0</v>
      </c>
      <c r="GS5" s="10">
        <f>IF(CABLES[[#This Row],[SEG13]]&gt;0,CABLES[[#This Row],[CABLE_MASS]],0)</f>
        <v>0</v>
      </c>
      <c r="GT5" s="10">
        <f>IF(CABLES[[#This Row],[SEG14]]&gt;0,CABLES[[#This Row],[CABLE_MASS]],0)</f>
        <v>0</v>
      </c>
      <c r="GU5" s="10">
        <f>IF(CABLES[[#This Row],[SEG15]]&gt;0,CABLES[[#This Row],[CABLE_MASS]],0)</f>
        <v>0</v>
      </c>
      <c r="GV5" s="10">
        <f>IF(CABLES[[#This Row],[SEG16]]&gt;0,CABLES[[#This Row],[CABLE_MASS]],0)</f>
        <v>0</v>
      </c>
      <c r="GW5" s="10">
        <f>IF(CABLES[[#This Row],[SEG17]]&gt;0,CABLES[[#This Row],[CABLE_MASS]],0)</f>
        <v>0</v>
      </c>
      <c r="GX5" s="10">
        <f>IF(CABLES[[#This Row],[SEG18]]&gt;0,CABLES[[#This Row],[CABLE_MASS]],0)</f>
        <v>0</v>
      </c>
      <c r="GY5" s="10">
        <f>IF(CABLES[[#This Row],[SEG19]]&gt;0,CABLES[[#This Row],[CABLE_MASS]],0)</f>
        <v>0</v>
      </c>
      <c r="GZ5" s="10">
        <f>IF(CABLES[[#This Row],[SEG20]]&gt;0,CABLES[[#This Row],[CABLE_MASS]],0)</f>
        <v>0</v>
      </c>
      <c r="HA5" s="10">
        <f>IF(CABLES[[#This Row],[SEG21]]&gt;0,CABLES[[#This Row],[CABLE_MASS]],0)</f>
        <v>0</v>
      </c>
      <c r="HB5" s="10">
        <f>IF(CABLES[[#This Row],[SEG22]]&gt;0,CABLES[[#This Row],[CABLE_MASS]],0)</f>
        <v>0</v>
      </c>
      <c r="HC5" s="10">
        <f>IF(CABLES[[#This Row],[SEG23]]&gt;0,CABLES[[#This Row],[CABLE_MASS]],0)</f>
        <v>0</v>
      </c>
      <c r="HD5" s="10">
        <f>IF(CABLES[[#This Row],[SEG24]]&gt;0,CABLES[[#This Row],[CABLE_MASS]],0)</f>
        <v>0</v>
      </c>
      <c r="HE5" s="10">
        <f>IF(CABLES[[#This Row],[SEG25]]&gt;0,CABLES[[#This Row],[CABLE_MASS]],0)</f>
        <v>0</v>
      </c>
      <c r="HF5" s="10">
        <f>IF(CABLES[[#This Row],[SEG26]]&gt;0,CABLES[[#This Row],[CABLE_MASS]],0)</f>
        <v>0</v>
      </c>
      <c r="HG5" s="10">
        <f>IF(CABLES[[#This Row],[SEG27]]&gt;0,CABLES[[#This Row],[CABLE_MASS]],0)</f>
        <v>0</v>
      </c>
      <c r="HH5" s="10">
        <f>IF(CABLES[[#This Row],[SEG28]]&gt;0,CABLES[[#This Row],[CABLE_MASS]],0)</f>
        <v>0</v>
      </c>
      <c r="HI5" s="10">
        <f>IF(CABLES[[#This Row],[SEG29]]&gt;0,CABLES[[#This Row],[CABLE_MASS]],0)</f>
        <v>0</v>
      </c>
      <c r="HJ5" s="10">
        <f>IF(CABLES[[#This Row],[SEG30]]&gt;0,CABLES[[#This Row],[CABLE_MASS]],0)</f>
        <v>0.21</v>
      </c>
      <c r="HK5" s="10">
        <f>IF(CABLES[[#This Row],[SEG31]]&gt;0,CABLES[[#This Row],[CABLE_MASS]],0)</f>
        <v>0.21</v>
      </c>
      <c r="HL5" s="10">
        <f>IF(CABLES[[#This Row],[SEG32]]&gt;0,CABLES[[#This Row],[CABLE_MASS]],0)</f>
        <v>0</v>
      </c>
      <c r="HM5" s="10">
        <f>IF(CABLES[[#This Row],[SEG33]]&gt;0,CABLES[[#This Row],[CABLE_MASS]],0)</f>
        <v>0</v>
      </c>
      <c r="HN5" s="10">
        <f>IF(CABLES[[#This Row],[SEG34]]&gt;0,CABLES[[#This Row],[CABLE_MASS]],0)</f>
        <v>0</v>
      </c>
      <c r="HO5" s="10">
        <f>IF(CABLES[[#This Row],[SEG35]]&gt;0,CABLES[[#This Row],[CABLE_MASS]],0)</f>
        <v>0</v>
      </c>
      <c r="HP5" s="10">
        <f>IF(CABLES[[#This Row],[SEG36]]&gt;0,CABLES[[#This Row],[CABLE_MASS]],0)</f>
        <v>0</v>
      </c>
      <c r="HQ5" s="10">
        <f>IF(CABLES[[#This Row],[SEG37]]&gt;0,CABLES[[#This Row],[CABLE_MASS]],0)</f>
        <v>0</v>
      </c>
      <c r="HR5" s="10">
        <f>IF(CABLES[[#This Row],[SEG38]]&gt;0,CABLES[[#This Row],[CABLE_MASS]],0)</f>
        <v>0</v>
      </c>
      <c r="HS5" s="10">
        <f>IF(CABLES[[#This Row],[SEG39]]&gt;0,CABLES[[#This Row],[CABLE_MASS]],0)</f>
        <v>0.21</v>
      </c>
      <c r="HT5" s="10">
        <f>IF(CABLES[[#This Row],[SEG40]]&gt;0,CABLES[[#This Row],[CABLE_MASS]],0)</f>
        <v>0</v>
      </c>
      <c r="HU5" s="10">
        <f>IF(CABLES[[#This Row],[SEG41]]&gt;0,CABLES[[#This Row],[CABLE_MASS]],0)</f>
        <v>0.21</v>
      </c>
      <c r="HV5" s="10">
        <f>IF(CABLES[[#This Row],[SEG42]]&gt;0,CABLES[[#This Row],[CABLE_MASS]],0)</f>
        <v>0</v>
      </c>
      <c r="HW5" s="10">
        <f>IF(CABLES[[#This Row],[SEG43]]&gt;0,CABLES[[#This Row],[CABLE_MASS]],0)</f>
        <v>0</v>
      </c>
      <c r="HX5" s="10">
        <f>IF(CABLES[[#This Row],[SEG44]]&gt;0,CABLES[[#This Row],[CABLE_MASS]],0)</f>
        <v>0</v>
      </c>
      <c r="HY5" s="10">
        <f>IF(CABLES[[#This Row],[SEG45]]&gt;0,CABLES[[#This Row],[CABLE_MASS]],0)</f>
        <v>0.21</v>
      </c>
      <c r="HZ5" s="10">
        <f>IF(CABLES[[#This Row],[SEG46]]&gt;0,CABLES[[#This Row],[CABLE_MASS]],0)</f>
        <v>0.21</v>
      </c>
      <c r="IA5" s="10">
        <f>IF(CABLES[[#This Row],[SEG47]]&gt;0,CABLES[[#This Row],[CABLE_MASS]],0)</f>
        <v>0</v>
      </c>
      <c r="IB5" s="10">
        <f>IF(CABLES[[#This Row],[SEG48]]&gt;0,CABLES[[#This Row],[CABLE_MASS]],0)</f>
        <v>0</v>
      </c>
      <c r="IC5" s="10">
        <f>IF(CABLES[[#This Row],[SEG49]]&gt;0,CABLES[[#This Row],[CABLE_MASS]],0)</f>
        <v>0</v>
      </c>
      <c r="ID5" s="10">
        <f>IF(CABLES[[#This Row],[SEG50]]&gt;0,CABLES[[#This Row],[CABLE_MASS]],0)</f>
        <v>0</v>
      </c>
      <c r="IE5" s="10">
        <f>IF(CABLES[[#This Row],[SEG51]]&gt;0,CABLES[[#This Row],[CABLE_MASS]],0)</f>
        <v>0</v>
      </c>
      <c r="IF5" s="10">
        <f>IF(CABLES[[#This Row],[SEG52]]&gt;0,CABLES[[#This Row],[CABLE_MASS]],0)</f>
        <v>0</v>
      </c>
      <c r="IG5" s="10">
        <f>IF(CABLES[[#This Row],[SEG53]]&gt;0,CABLES[[#This Row],[CABLE_MASS]],0)</f>
        <v>0</v>
      </c>
      <c r="IH5" s="10">
        <f>IF(CABLES[[#This Row],[SEG54]]&gt;0,CABLES[[#This Row],[CABLE_MASS]],0)</f>
        <v>0</v>
      </c>
      <c r="II5" s="10">
        <f>IF(CABLES[[#This Row],[SEG55]]&gt;0,CABLES[[#This Row],[CABLE_MASS]],0)</f>
        <v>0</v>
      </c>
      <c r="IJ5" s="10">
        <f>IF(CABLES[[#This Row],[SEG56]]&gt;0,CABLES[[#This Row],[CABLE_MASS]],0)</f>
        <v>0</v>
      </c>
      <c r="IK5" s="10">
        <f>IF(CABLES[[#This Row],[SEG57]]&gt;0,CABLES[[#This Row],[CABLE_MASS]],0)</f>
        <v>0</v>
      </c>
      <c r="IL5" s="10">
        <f>IF(CABLES[[#This Row],[SEG58]]&gt;0,CABLES[[#This Row],[CABLE_MASS]],0)</f>
        <v>0</v>
      </c>
      <c r="IM5" s="10">
        <f>IF(CABLES[[#This Row],[SEG59]]&gt;0,CABLES[[#This Row],[CABLE_MASS]],0)</f>
        <v>0</v>
      </c>
      <c r="IN5" s="10">
        <f>IF(CABLES[[#This Row],[SEG60]]&gt;0,CABLES[[#This Row],[CABLE_MASS]],0)</f>
        <v>0</v>
      </c>
      <c r="IO5" s="10">
        <f xml:space="preserve">  (CABLES[[#This Row],[LOAD_KW]]/(SQRT(3)*SYSTEM_VOLTAGE*POWER_FACTOR))*1000</f>
        <v>8.8206291126192813</v>
      </c>
      <c r="IP5" s="10">
        <v>45</v>
      </c>
      <c r="IQ5" s="10">
        <f xml:space="preserve"> INDEX(AS3000_AMBIENTDERATE[], MATCH(CABLES[[#This Row],[AMBIENT]],AS3000_AMBIENTDERATE[AMBIENT],0), 2)</f>
        <v>0.94</v>
      </c>
      <c r="IR5" s="10">
        <f xml:space="preserve"> ROUNDUP( CABLES[[#This Row],[CALCULATED_AMPS]]/CABLES[[#This Row],[AMBIENT_DERATING]],1)</f>
        <v>9.4</v>
      </c>
      <c r="IS5" s="10" t="s">
        <v>531</v>
      </c>
      <c r="IT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" s="10">
        <f t="shared" si="0"/>
        <v>28.000000000000004</v>
      </c>
      <c r="IV5" s="10">
        <f>(1000*CABLES[[#This Row],[MAX_VDROP]])/(CABLES[[#This Row],[ESTIMATED_CABLE_LENGTH]]*CABLES[[#This Row],[AMP_RATING]])</f>
        <v>46.835273651813203</v>
      </c>
      <c r="IW5" s="10">
        <f xml:space="preserve"> INDEX(AS3000_VDROP[], MATCH(CABLES[[#This Row],[VC_CALC]],AS3000_VDROP[Vc],1),1)</f>
        <v>2.5</v>
      </c>
      <c r="IX5" s="10">
        <f>MAX(CABLES[[#This Row],[CABLESIZE_METHOD1]],CABLES[[#This Row],[CABLESIZE_METHOD2]])</f>
        <v>2.5</v>
      </c>
      <c r="IY5" s="10"/>
      <c r="IZ5" s="10">
        <f>IF(LEN(CABLES[[#This Row],[OVERRIDE_CABLESIZE]])&gt;0,CABLES[[#This Row],[OVERRIDE_CABLESIZE]],CABLES[[#This Row],[INITIAL_CABLESIZE]])</f>
        <v>2.5</v>
      </c>
      <c r="JA5" s="10">
        <f>INDEX(PROTECTIVE_DEVICE[DEVICE], MATCH(CABLES[[#This Row],[CALCULATED_AMPS]],PROTECTIVE_DEVICE[DEVICE],-1),1)</f>
        <v>10</v>
      </c>
      <c r="JB5" s="10"/>
      <c r="JC5" s="10">
        <f>IF(LEN(CABLES[[#This Row],[OVERRIDE_PDEVICE]])&gt;0, CABLES[[#This Row],[OVERRIDE_PDEVICE]],CABLES[[#This Row],[RECOMMEND_PDEVICE]])</f>
        <v>10</v>
      </c>
      <c r="JD5" s="10" t="s">
        <v>450</v>
      </c>
      <c r="JE5" s="10">
        <f xml:space="preserve"> CABLES[[#This Row],[SELECTED_PDEVICE]] * INDEX(DEVICE_CURVE[], MATCH(CABLES[[#This Row],[PDEVICE_CURVE]], DEVICE_CURVE[DEVICE_CURVE],0),2)</f>
        <v>65</v>
      </c>
      <c r="JF5" s="10" t="s">
        <v>458</v>
      </c>
      <c r="JG5" s="10">
        <f xml:space="preserve"> INDEX(CONDUCTOR_MATERIAL[], MATCH(CABLES[[#This Row],[CONDUCTOR_MATERIAL]],CONDUCTOR_MATERIAL[CONDUCTOR_MATERIAL],0),2)</f>
        <v>2.2499999999999999E-2</v>
      </c>
      <c r="JH5" s="10">
        <f>CABLES[[#This Row],[SELECTED_CABLESIZE]]</f>
        <v>2.5</v>
      </c>
      <c r="JI5" s="10">
        <f xml:space="preserve"> INDEX( EARTH_CONDUCTOR_SIZE[], MATCH(CABLES[[#This Row],[SPH]],EARTH_CONDUCTOR_SIZE[MM^2],-1), 2)</f>
        <v>2.5</v>
      </c>
      <c r="JJ5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5" s="10" t="str">
        <f>IF(CABLES[[#This Row],[LMAX]]&gt;CABLES[[#This Row],[ESTIMATED_CABLE_LENGTH]], "PASS", "ERROR")</f>
        <v>PASS</v>
      </c>
      <c r="JL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" s="6">
        <f xml:space="preserve"> ROUNDUP( CABLES[[#This Row],[CALCULATED_AMPS]],1)</f>
        <v>8.9</v>
      </c>
      <c r="JO5" s="6">
        <f>CABLES[[#This Row],[SELECTED_CABLESIZE]]</f>
        <v>2.5</v>
      </c>
      <c r="JP5" s="10">
        <f>CABLES[[#This Row],[ESTIMATED_CABLE_LENGTH]]</f>
        <v>63.599999999999994</v>
      </c>
      <c r="JQ5" s="6">
        <f>CABLES[[#This Row],[SELECTED_PDEVICE]]</f>
        <v>10</v>
      </c>
    </row>
    <row r="6" spans="1:277" x14ac:dyDescent="0.35">
      <c r="A6" s="5" t="s">
        <v>5</v>
      </c>
      <c r="B6" s="5" t="s">
        <v>479</v>
      </c>
      <c r="C6" s="10" t="s">
        <v>262</v>
      </c>
      <c r="D6" s="9">
        <v>5.5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1</v>
      </c>
      <c r="AI6" s="9">
        <v>1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1</v>
      </c>
      <c r="AR6" s="9">
        <v>0</v>
      </c>
      <c r="AS6" s="9">
        <v>1</v>
      </c>
      <c r="AT6" s="9">
        <v>0</v>
      </c>
      <c r="AU6" s="9">
        <v>0</v>
      </c>
      <c r="AV6" s="9">
        <v>0</v>
      </c>
      <c r="AW6" s="9">
        <v>1</v>
      </c>
      <c r="AX6" s="9">
        <v>1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f xml:space="preserve"> IF(CABLES[[#This Row],[SEG1]] &gt;0, INDEX(SEGMENTS[], MATCH(CABLES[[#Headers],[SEG1]],SEGMENTS[SEG_ID],0),4),0)</f>
        <v>0</v>
      </c>
      <c r="BN6" s="9">
        <f xml:space="preserve"> IF(CABLES[[#This Row],[SEG2]] &gt;0, INDEX(SEGMENTS[], MATCH(CABLES[[#Headers],[SEG2]],SEGMENTS[SEG_ID],0),4),0)</f>
        <v>0</v>
      </c>
      <c r="BO6" s="9">
        <f xml:space="preserve"> IF(CABLES[[#This Row],[SEG3]] &gt;0, INDEX(SEGMENTS[], MATCH(CABLES[[#Headers],[SEG3]],SEGMENTS[SEG_ID],0),4),0)</f>
        <v>0</v>
      </c>
      <c r="BP6" s="9">
        <f xml:space="preserve"> IF(CABLES[[#This Row],[SEG4]] &gt;0, INDEX(SEGMENTS[], MATCH(CABLES[[#Headers],[SEG4]],SEGMENTS[SEG_ID],0),4),0)</f>
        <v>0</v>
      </c>
      <c r="BQ6" s="9">
        <f xml:space="preserve"> IF(CABLES[[#This Row],[SEG5]] &gt;0,INDEX(SEGMENTS[], MATCH(CABLES[[#Headers],[SEG5]],SEGMENTS[SEG_ID],0),4),0)</f>
        <v>0</v>
      </c>
      <c r="BR6" s="9">
        <f xml:space="preserve"> IF(CABLES[[#This Row],[SEG6]] &gt;0,INDEX(SEGMENTS[], MATCH(CABLES[[#Headers],[SEG6]],SEGMENTS[SEG_ID],0),4),0)</f>
        <v>0</v>
      </c>
      <c r="BS6" s="9">
        <f xml:space="preserve"> IF(CABLES[[#This Row],[SEG7]] &gt;0,INDEX(SEGMENTS[], MATCH(CABLES[[#Headers],[SEG7]],SEGMENTS[SEG_ID],0),4),0)</f>
        <v>0</v>
      </c>
      <c r="BT6" s="9">
        <f xml:space="preserve"> IF(CABLES[[#This Row],[SEG8]] &gt;0,INDEX(SEGMENTS[], MATCH(CABLES[[#Headers],[SEG8]],SEGMENTS[SEG_ID],0),4),0)</f>
        <v>0</v>
      </c>
      <c r="BU6" s="9">
        <f xml:space="preserve"> IF(CABLES[[#This Row],[SEG9]] &gt;0,INDEX(SEGMENTS[], MATCH(CABLES[[#Headers],[SEG9]],SEGMENTS[SEG_ID],0),4),0)</f>
        <v>0</v>
      </c>
      <c r="BV6" s="9">
        <f xml:space="preserve"> IF(CABLES[[#This Row],[SEG10]] &gt;0,INDEX(SEGMENTS[], MATCH(CABLES[[#Headers],[SEG10]],SEGMENTS[SEG_ID],0),4),0)</f>
        <v>0</v>
      </c>
      <c r="BW6" s="9">
        <f xml:space="preserve"> IF(CABLES[[#This Row],[SEG11]] &gt;0,INDEX(SEGMENTS[], MATCH(CABLES[[#Headers],[SEG11]],SEGMENTS[SEG_ID],0),4),0)</f>
        <v>0</v>
      </c>
      <c r="BX6" s="9">
        <f>IF(CABLES[[#This Row],[SEG12]] &gt;0, INDEX(SEGMENTS[], MATCH(CABLES[[#Headers],[SEG12]],SEGMENTS[SEG_ID],0),4),0)</f>
        <v>0</v>
      </c>
      <c r="BY6" s="9">
        <f xml:space="preserve"> IF(CABLES[[#This Row],[SEG13]] &gt;0,INDEX(SEGMENTS[], MATCH(CABLES[[#Headers],[SEG13]],SEGMENTS[SEG_ID],0),4),0)</f>
        <v>0</v>
      </c>
      <c r="BZ6" s="9">
        <f xml:space="preserve"> IF(CABLES[[#This Row],[SEG14]] &gt;0,INDEX(SEGMENTS[], MATCH(CABLES[[#Headers],[SEG14]],SEGMENTS[SEG_ID],0),4),0)</f>
        <v>0</v>
      </c>
      <c r="CA6" s="9">
        <f xml:space="preserve"> IF(CABLES[[#This Row],[SEG15]] &gt;0,INDEX(SEGMENTS[], MATCH(CABLES[[#Headers],[SEG15]],SEGMENTS[SEG_ID],0),4),0)</f>
        <v>0</v>
      </c>
      <c r="CB6" s="9">
        <f xml:space="preserve"> IF(CABLES[[#This Row],[SEG16]] &gt;0,INDEX(SEGMENTS[], MATCH(CABLES[[#Headers],[SEG16]],SEGMENTS[SEG_ID],0),4),0)</f>
        <v>0</v>
      </c>
      <c r="CC6" s="9">
        <f xml:space="preserve"> IF(CABLES[[#This Row],[SEG17]] &gt;0,INDEX(SEGMENTS[], MATCH(CABLES[[#Headers],[SEG17]],SEGMENTS[SEG_ID],0),4),0)</f>
        <v>0</v>
      </c>
      <c r="CD6" s="9">
        <f xml:space="preserve"> IF(CABLES[[#This Row],[SEG18]] &gt;0,INDEX(SEGMENTS[], MATCH(CABLES[[#Headers],[SEG18]],SEGMENTS[SEG_ID],0),4),0)</f>
        <v>0</v>
      </c>
      <c r="CE6" s="9">
        <f>IF(CABLES[[#This Row],[SEG19]] &gt;0, INDEX(SEGMENTS[], MATCH(CABLES[[#Headers],[SEG19]],SEGMENTS[SEG_ID],0),4),0)</f>
        <v>0</v>
      </c>
      <c r="CF6" s="9">
        <f>IF(CABLES[[#This Row],[SEG20]] &gt;0, INDEX(SEGMENTS[], MATCH(CABLES[[#Headers],[SEG20]],SEGMENTS[SEG_ID],0),4),0)</f>
        <v>0</v>
      </c>
      <c r="CG6" s="9">
        <f xml:space="preserve"> IF(CABLES[[#This Row],[SEG21]] &gt;0,INDEX(SEGMENTS[], MATCH(CABLES[[#Headers],[SEG21]],SEGMENTS[SEG_ID],0),4),0)</f>
        <v>0</v>
      </c>
      <c r="CH6" s="9">
        <f xml:space="preserve"> IF(CABLES[[#This Row],[SEG22]] &gt;0,INDEX(SEGMENTS[], MATCH(CABLES[[#Headers],[SEG22]],SEGMENTS[SEG_ID],0),4),0)</f>
        <v>0</v>
      </c>
      <c r="CI6" s="9">
        <f>IF(CABLES[[#This Row],[SEG23]] &gt;0, INDEX(SEGMENTS[], MATCH(CABLES[[#Headers],[SEG23]],SEGMENTS[SEG_ID],0),4),0)</f>
        <v>0</v>
      </c>
      <c r="CJ6" s="9">
        <f xml:space="preserve"> IF(CABLES[[#This Row],[SEG24]] &gt;0,INDEX(SEGMENTS[], MATCH(CABLES[[#Headers],[SEG24]],SEGMENTS[SEG_ID],0),4),0)</f>
        <v>0</v>
      </c>
      <c r="CK6" s="9">
        <f>IF(CABLES[[#This Row],[SEG25]] &gt;0, INDEX(SEGMENTS[], MATCH(CABLES[[#Headers],[SEG25]],SEGMENTS[SEG_ID],0),4),0)</f>
        <v>0</v>
      </c>
      <c r="CL6" s="9">
        <f>IF(CABLES[[#This Row],[SEG26]] &gt;0, INDEX(SEGMENTS[], MATCH(CABLES[[#Headers],[SEG26]],SEGMENTS[SEG_ID],0),4),0)</f>
        <v>0</v>
      </c>
      <c r="CM6" s="9">
        <f xml:space="preserve"> IF(CABLES[[#This Row],[SEG27]] &gt;0,INDEX(SEGMENTS[], MATCH(CABLES[[#Headers],[SEG27]],SEGMENTS[SEG_ID],0),4),0)</f>
        <v>0</v>
      </c>
      <c r="CN6" s="9">
        <f xml:space="preserve"> IF(CABLES[[#This Row],[SEG28]] &gt;0,INDEX(SEGMENTS[], MATCH(CABLES[[#Headers],[SEG28]],SEGMENTS[SEG_ID],0),4),0)</f>
        <v>0</v>
      </c>
      <c r="CO6" s="9">
        <f xml:space="preserve"> IF(CABLES[[#This Row],[SEG29]] &gt;0,INDEX(SEGMENTS[], MATCH(CABLES[[#Headers],[SEG29]],SEGMENTS[SEG_ID],0),4),0)</f>
        <v>0</v>
      </c>
      <c r="CP6" s="9">
        <f xml:space="preserve"> IF(CABLES[[#This Row],[SEG30]] &gt;0,INDEX(SEGMENTS[], MATCH(CABLES[[#Headers],[SEG30]],SEGMENTS[SEG_ID],0),4),0)</f>
        <v>6</v>
      </c>
      <c r="CQ6" s="9">
        <f>IF(CABLES[[#This Row],[SEG31]] &gt;0, INDEX(SEGMENTS[], MATCH(CABLES[[#Headers],[SEG31]],SEGMENTS[SEG_ID],0),4),0)</f>
        <v>3</v>
      </c>
      <c r="CR6" s="9">
        <f xml:space="preserve"> IF(CABLES[[#This Row],[SEG32]] &gt;0,INDEX(SEGMENTS[], MATCH(CABLES[[#Headers],[SEG32]],SEGMENTS[SEG_ID],0),4),0)</f>
        <v>0</v>
      </c>
      <c r="CS6" s="9">
        <f xml:space="preserve"> IF(CABLES[[#This Row],[SEG33]] &gt;0,INDEX(SEGMENTS[], MATCH(CABLES[[#Headers],[SEG33]],SEGMENTS[SEG_ID],0),4),0)</f>
        <v>0</v>
      </c>
      <c r="CT6" s="9">
        <f>IF(CABLES[[#This Row],[SEG34]] &gt;0, INDEX(SEGMENTS[], MATCH(CABLES[[#Headers],[SEG34]],SEGMENTS[SEG_ID],0),4),0)</f>
        <v>0</v>
      </c>
      <c r="CU6" s="9">
        <f xml:space="preserve"> IF(CABLES[[#This Row],[SEG35]] &gt;0,INDEX(SEGMENTS[], MATCH(CABLES[[#Headers],[SEG35]],SEGMENTS[SEG_ID],0),4),0)</f>
        <v>0</v>
      </c>
      <c r="CV6" s="9">
        <f xml:space="preserve"> IF(CABLES[[#This Row],[SEG36]] &gt;0,INDEX(SEGMENTS[], MATCH(CABLES[[#Headers],[SEG36]],SEGMENTS[SEG_ID],0),4),0)</f>
        <v>0</v>
      </c>
      <c r="CW6" s="9">
        <f xml:space="preserve"> IF(CABLES[[#This Row],[SEG37]] &gt;0,INDEX(SEGMENTS[], MATCH(CABLES[[#Headers],[SEG37]],SEGMENTS[SEG_ID],0),4),0)</f>
        <v>0</v>
      </c>
      <c r="CX6" s="9">
        <f xml:space="preserve"> IF(CABLES[[#This Row],[SEG38]] &gt;0,INDEX(SEGMENTS[], MATCH(CABLES[[#Headers],[SEG38]],SEGMENTS[SEG_ID],0),4),0)</f>
        <v>0</v>
      </c>
      <c r="CY6" s="9">
        <f xml:space="preserve"> IF(CABLES[[#This Row],[SEG39]] &gt;0,INDEX(SEGMENTS[], MATCH(CABLES[[#Headers],[SEG39]],SEGMENTS[SEG_ID],0),4),0)</f>
        <v>8</v>
      </c>
      <c r="CZ6" s="9">
        <f xml:space="preserve"> IF(CABLES[[#This Row],[SEG40]] &gt;0,INDEX(SEGMENTS[], MATCH(CABLES[[#Headers],[SEG40]],SEGMENTS[SEG_ID],0),4),0)</f>
        <v>0</v>
      </c>
      <c r="DA6" s="9">
        <f xml:space="preserve"> IF(CABLES[[#This Row],[SEG41]] &gt;0,INDEX(SEGMENTS[], MATCH(CABLES[[#Headers],[SEG41]],SEGMENTS[SEG_ID],0),4),0)</f>
        <v>8</v>
      </c>
      <c r="DB6" s="9">
        <f xml:space="preserve"> IF(CABLES[[#This Row],[SEG42]] &gt;0,INDEX(SEGMENTS[], MATCH(CABLES[[#Headers],[SEG42]],SEGMENTS[SEG_ID],0),4),0)</f>
        <v>0</v>
      </c>
      <c r="DC6" s="9">
        <f xml:space="preserve"> IF(CABLES[[#This Row],[SEG43]] &gt;0,INDEX(SEGMENTS[], MATCH(CABLES[[#Headers],[SEG43]],SEGMENTS[SEG_ID],0),4),0)</f>
        <v>0</v>
      </c>
      <c r="DD6" s="9">
        <f xml:space="preserve"> IF(CABLES[[#This Row],[SEG44]] &gt;0,INDEX(SEGMENTS[], MATCH(CABLES[[#Headers],[SEG44]],SEGMENTS[SEG_ID],0),4),0)</f>
        <v>0</v>
      </c>
      <c r="DE6" s="9">
        <f xml:space="preserve"> IF(CABLES[[#This Row],[SEG45]] &gt;0,INDEX(SEGMENTS[], MATCH(CABLES[[#Headers],[SEG45]],SEGMENTS[SEG_ID],0),4),0)</f>
        <v>9</v>
      </c>
      <c r="DF6" s="9">
        <f xml:space="preserve"> IF(CABLES[[#This Row],[SEG46]] &gt;0,INDEX(SEGMENTS[], MATCH(CABLES[[#Headers],[SEG46]],SEGMENTS[SEG_ID],0),4),0)</f>
        <v>14</v>
      </c>
      <c r="DG6" s="9">
        <f xml:space="preserve"> IF(CABLES[[#This Row],[SEG47]] &gt;0,INDEX(SEGMENTS[], MATCH(CABLES[[#Headers],[SEG47]],SEGMENTS[SEG_ID],0),4),0)</f>
        <v>0</v>
      </c>
      <c r="DH6" s="9">
        <f xml:space="preserve"> IF(CABLES[[#This Row],[SEG48]] &gt;0,INDEX(SEGMENTS[], MATCH(CABLES[[#Headers],[SEG48]],SEGMENTS[SEG_ID],0),4),0)</f>
        <v>0</v>
      </c>
      <c r="DI6" s="9">
        <f xml:space="preserve"> IF(CABLES[[#This Row],[SEG49]] &gt;0,INDEX(SEGMENTS[], MATCH(CABLES[[#Headers],[SEG49]],SEGMENTS[SEG_ID],0),4),0)</f>
        <v>0</v>
      </c>
      <c r="DJ6" s="9">
        <f xml:space="preserve"> IF(CABLES[[#This Row],[SEG50]] &gt;0,INDEX(SEGMENTS[], MATCH(CABLES[[#Headers],[SEG50]],SEGMENTS[SEG_ID],0),4),0)</f>
        <v>0</v>
      </c>
      <c r="DK6" s="9">
        <f xml:space="preserve"> IF(CABLES[[#This Row],[SEG51]] &gt;0,INDEX(SEGMENTS[], MATCH(CABLES[[#Headers],[SEG51]],SEGMENTS[SEG_ID],0),4),0)</f>
        <v>0</v>
      </c>
      <c r="DL6" s="9">
        <f xml:space="preserve"> IF(CABLES[[#This Row],[SEG52]] &gt;0,INDEX(SEGMENTS[], MATCH(CABLES[[#Headers],[SEG52]],SEGMENTS[SEG_ID],0),4),0)</f>
        <v>0</v>
      </c>
      <c r="DM6" s="9">
        <f xml:space="preserve"> IF(CABLES[[#This Row],[SEG53]] &gt;0,INDEX(SEGMENTS[], MATCH(CABLES[[#Headers],[SEG53]],SEGMENTS[SEG_ID],0),4),0)</f>
        <v>0</v>
      </c>
      <c r="DN6" s="9">
        <f xml:space="preserve"> IF(CABLES[[#This Row],[SEG54]] &gt;0,INDEX(SEGMENTS[], MATCH(CABLES[[#Headers],[SEG54]],SEGMENTS[SEG_ID],0),4),0)</f>
        <v>0</v>
      </c>
      <c r="DO6" s="9">
        <f xml:space="preserve"> IF(CABLES[[#This Row],[SEG55]] &gt;0,INDEX(SEGMENTS[], MATCH(CABLES[[#Headers],[SEG55]],SEGMENTS[SEG_ID],0),4),0)</f>
        <v>0</v>
      </c>
      <c r="DP6" s="9">
        <f xml:space="preserve"> IF(CABLES[[#This Row],[SEG56]] &gt;0,INDEX(SEGMENTS[], MATCH(CABLES[[#Headers],[SEG56]],SEGMENTS[SEG_ID],0),4),0)</f>
        <v>0</v>
      </c>
      <c r="DQ6" s="9">
        <f xml:space="preserve"> IF(CABLES[[#This Row],[SEG57]] &gt;0,INDEX(SEGMENTS[], MATCH(CABLES[[#Headers],[SEG57]],SEGMENTS[SEG_ID],0),4),0)</f>
        <v>0</v>
      </c>
      <c r="DR6" s="9">
        <f xml:space="preserve"> IF(CABLES[[#This Row],[SEG58]] &gt;0,INDEX(SEGMENTS[], MATCH(CABLES[[#Headers],[SEG58]],SEGMENTS[SEG_ID],0),4),0)</f>
        <v>0</v>
      </c>
      <c r="DS6" s="9">
        <f xml:space="preserve"> IF(CABLES[[#This Row],[SEG59]] &gt;0,INDEX(SEGMENTS[], MATCH(CABLES[[#Headers],[SEG59]],SEGMENTS[SEG_ID],0),4),0)</f>
        <v>0</v>
      </c>
      <c r="DT6" s="9">
        <f xml:space="preserve"> IF(CABLES[[#This Row],[SEG60]] &gt;0,INDEX(SEGMENTS[], MATCH(CABLES[[#Headers],[SEG60]],SEGMENTS[SEG_ID],0),4),0)</f>
        <v>0</v>
      </c>
      <c r="DU6" s="10">
        <f>SUM(CABLES[[#This Row],[SEGL1]:[SEGL60]])</f>
        <v>48</v>
      </c>
      <c r="DV6" s="10">
        <v>5</v>
      </c>
      <c r="DW6" s="10">
        <v>1.2</v>
      </c>
      <c r="DX6" s="10">
        <f xml:space="preserve"> IF(CABLES[[#This Row],[SEGL_TOTAL]]&gt;0, (CABLES[[#This Row],[SEGL_TOTAL]] + CABLES[[#This Row],[FITOFF]]) *CABLES[[#This Row],[XCAPACITY]],0)</f>
        <v>63.599999999999994</v>
      </c>
      <c r="DY6" s="10">
        <f>IF(CABLES[[#This Row],[SEG1]]&gt;0,CABLES[[#This Row],[CABLE_DIAMETER]],0)</f>
        <v>0</v>
      </c>
      <c r="DZ6" s="10">
        <f>IF(CABLES[[#This Row],[SEG2]]&gt;0,CABLES[[#This Row],[CABLE_DIAMETER]],0)</f>
        <v>0</v>
      </c>
      <c r="EA6" s="10">
        <f>IF(CABLES[[#This Row],[SEG3]]&gt;0,CABLES[[#This Row],[CABLE_DIAMETER]],0)</f>
        <v>0</v>
      </c>
      <c r="EB6" s="10">
        <f>IF(CABLES[[#This Row],[SEG4]]&gt;0,CABLES[[#This Row],[CABLE_DIAMETER]],0)</f>
        <v>0</v>
      </c>
      <c r="EC6" s="10">
        <f>IF(CABLES[[#This Row],[SEG5]]&gt;0,CABLES[[#This Row],[CABLE_DIAMETER]],0)</f>
        <v>0</v>
      </c>
      <c r="ED6" s="10">
        <f>IF(CABLES[[#This Row],[SEG6]]&gt;0,CABLES[[#This Row],[CABLE_DIAMETER]],0)</f>
        <v>0</v>
      </c>
      <c r="EE6" s="10">
        <f>IF(CABLES[[#This Row],[SEG7]]&gt;0,CABLES[[#This Row],[CABLE_DIAMETER]],0)</f>
        <v>0</v>
      </c>
      <c r="EF6" s="10">
        <f>IF(CABLES[[#This Row],[SEG9]]&gt;0,CABLES[[#This Row],[CABLE_DIAMETER]],0)</f>
        <v>0</v>
      </c>
      <c r="EG6" s="10">
        <f>IF(CABLES[[#This Row],[SEG9]]&gt;0,CABLES[[#This Row],[CABLE_DIAMETER]],0)</f>
        <v>0</v>
      </c>
      <c r="EH6" s="10">
        <f>IF(CABLES[[#This Row],[SEG10]]&gt;0,CABLES[[#This Row],[CABLE_DIAMETER]],0)</f>
        <v>0</v>
      </c>
      <c r="EI6" s="10">
        <f>IF(CABLES[[#This Row],[SEG11]]&gt;0,CABLES[[#This Row],[CABLE_DIAMETER]],0)</f>
        <v>0</v>
      </c>
      <c r="EJ6" s="10">
        <f>IF(CABLES[[#This Row],[SEG12]]&gt;0,CABLES[[#This Row],[CABLE_DIAMETER]],0)</f>
        <v>0</v>
      </c>
      <c r="EK6" s="10">
        <f>IF(CABLES[[#This Row],[SEG13]]&gt;0,CABLES[[#This Row],[CABLE_DIAMETER]],0)</f>
        <v>0</v>
      </c>
      <c r="EL6" s="10">
        <f>IF(CABLES[[#This Row],[SEG14]]&gt;0,CABLES[[#This Row],[CABLE_DIAMETER]],0)</f>
        <v>0</v>
      </c>
      <c r="EM6" s="10">
        <f>IF(CABLES[[#This Row],[SEG15]]&gt;0,CABLES[[#This Row],[CABLE_DIAMETER]],0)</f>
        <v>0</v>
      </c>
      <c r="EN6" s="10">
        <f>IF(CABLES[[#This Row],[SEG16]]&gt;0,CABLES[[#This Row],[CABLE_DIAMETER]],0)</f>
        <v>0</v>
      </c>
      <c r="EO6" s="10">
        <f>IF(CABLES[[#This Row],[SEG17]]&gt;0,CABLES[[#This Row],[CABLE_DIAMETER]],0)</f>
        <v>0</v>
      </c>
      <c r="EP6" s="10">
        <f>IF(CABLES[[#This Row],[SEG18]]&gt;0,CABLES[[#This Row],[CABLE_DIAMETER]],0)</f>
        <v>0</v>
      </c>
      <c r="EQ6" s="10">
        <f>IF(CABLES[[#This Row],[SEG19]]&gt;0,CABLES[[#This Row],[CABLE_DIAMETER]],0)</f>
        <v>0</v>
      </c>
      <c r="ER6" s="10">
        <f>IF(CABLES[[#This Row],[SEG20]]&gt;0,CABLES[[#This Row],[CABLE_DIAMETER]],0)</f>
        <v>0</v>
      </c>
      <c r="ES6" s="10">
        <f>IF(CABLES[[#This Row],[SEG21]]&gt;0,CABLES[[#This Row],[CABLE_DIAMETER]],0)</f>
        <v>0</v>
      </c>
      <c r="ET6" s="10">
        <f>IF(CABLES[[#This Row],[SEG22]]&gt;0,CABLES[[#This Row],[CABLE_DIAMETER]],0)</f>
        <v>0</v>
      </c>
      <c r="EU6" s="10">
        <f>IF(CABLES[[#This Row],[SEG23]]&gt;0,CABLES[[#This Row],[CABLE_DIAMETER]],0)</f>
        <v>0</v>
      </c>
      <c r="EV6" s="10">
        <f>IF(CABLES[[#This Row],[SEG24]]&gt;0,CABLES[[#This Row],[CABLE_DIAMETER]],0)</f>
        <v>0</v>
      </c>
      <c r="EW6" s="10">
        <f>IF(CABLES[[#This Row],[SEG25]]&gt;0,CABLES[[#This Row],[CABLE_DIAMETER]],0)</f>
        <v>0</v>
      </c>
      <c r="EX6" s="10">
        <f>IF(CABLES[[#This Row],[SEG26]]&gt;0,CABLES[[#This Row],[CABLE_DIAMETER]],0)</f>
        <v>0</v>
      </c>
      <c r="EY6" s="10">
        <f>IF(CABLES[[#This Row],[SEG27]]&gt;0,CABLES[[#This Row],[CABLE_DIAMETER]],0)</f>
        <v>0</v>
      </c>
      <c r="EZ6" s="10">
        <f>IF(CABLES[[#This Row],[SEG28]]&gt;0,CABLES[[#This Row],[CABLE_DIAMETER]],0)</f>
        <v>0</v>
      </c>
      <c r="FA6" s="10">
        <f>IF(CABLES[[#This Row],[SEG29]]&gt;0,CABLES[[#This Row],[CABLE_DIAMETER]],0)</f>
        <v>0</v>
      </c>
      <c r="FB6" s="10">
        <f>IF(CABLES[[#This Row],[SEG30]]&gt;0,CABLES[[#This Row],[CABLE_DIAMETER]],0)</f>
        <v>12</v>
      </c>
      <c r="FC6" s="10">
        <f>IF(CABLES[[#This Row],[SEG31]]&gt;0,CABLES[[#This Row],[CABLE_DIAMETER]],0)</f>
        <v>12</v>
      </c>
      <c r="FD6" s="10">
        <f>IF(CABLES[[#This Row],[SEG32]]&gt;0,CABLES[[#This Row],[CABLE_DIAMETER]],0)</f>
        <v>0</v>
      </c>
      <c r="FE6" s="10">
        <f>IF(CABLES[[#This Row],[SEG33]]&gt;0,CABLES[[#This Row],[CABLE_DIAMETER]],0)</f>
        <v>0</v>
      </c>
      <c r="FF6" s="10">
        <f>IF(CABLES[[#This Row],[SEG34]]&gt;0,CABLES[[#This Row],[CABLE_DIAMETER]],0)</f>
        <v>0</v>
      </c>
      <c r="FG6" s="10">
        <f>IF(CABLES[[#This Row],[SEG35]]&gt;0,CABLES[[#This Row],[CABLE_DIAMETER]],0)</f>
        <v>0</v>
      </c>
      <c r="FH6" s="10">
        <f>IF(CABLES[[#This Row],[SEG36]]&gt;0,CABLES[[#This Row],[CABLE_DIAMETER]],0)</f>
        <v>0</v>
      </c>
      <c r="FI6" s="10">
        <f>IF(CABLES[[#This Row],[SEG37]]&gt;0,CABLES[[#This Row],[CABLE_DIAMETER]],0)</f>
        <v>0</v>
      </c>
      <c r="FJ6" s="10">
        <f>IF(CABLES[[#This Row],[SEG38]]&gt;0,CABLES[[#This Row],[CABLE_DIAMETER]],0)</f>
        <v>0</v>
      </c>
      <c r="FK6" s="10">
        <f>IF(CABLES[[#This Row],[SEG39]]&gt;0,CABLES[[#This Row],[CABLE_DIAMETER]],0)</f>
        <v>12</v>
      </c>
      <c r="FL6" s="10">
        <f>IF(CABLES[[#This Row],[SEG40]]&gt;0,CABLES[[#This Row],[CABLE_DIAMETER]],0)</f>
        <v>0</v>
      </c>
      <c r="FM6" s="10">
        <f>IF(CABLES[[#This Row],[SEG41]]&gt;0,CABLES[[#This Row],[CABLE_DIAMETER]],0)</f>
        <v>12</v>
      </c>
      <c r="FN6" s="10">
        <f>IF(CABLES[[#This Row],[SEG42]]&gt;0,CABLES[[#This Row],[CABLE_DIAMETER]],0)</f>
        <v>0</v>
      </c>
      <c r="FO6" s="10">
        <f>IF(CABLES[[#This Row],[SEG43]]&gt;0,CABLES[[#This Row],[CABLE_DIAMETER]],0)</f>
        <v>0</v>
      </c>
      <c r="FP6" s="10">
        <f>IF(CABLES[[#This Row],[SEG44]]&gt;0,CABLES[[#This Row],[CABLE_DIAMETER]],0)</f>
        <v>0</v>
      </c>
      <c r="FQ6" s="10">
        <f>IF(CABLES[[#This Row],[SEG45]]&gt;0,CABLES[[#This Row],[CABLE_DIAMETER]],0)</f>
        <v>12</v>
      </c>
      <c r="FR6" s="10">
        <f>IF(CABLES[[#This Row],[SEG46]]&gt;0,CABLES[[#This Row],[CABLE_DIAMETER]],0)</f>
        <v>12</v>
      </c>
      <c r="FS6" s="10">
        <f>IF(CABLES[[#This Row],[SEG47]]&gt;0,CABLES[[#This Row],[CABLE_DIAMETER]],0)</f>
        <v>0</v>
      </c>
      <c r="FT6" s="10">
        <f>IF(CABLES[[#This Row],[SEG48]]&gt;0,CABLES[[#This Row],[CABLE_DIAMETER]],0)</f>
        <v>0</v>
      </c>
      <c r="FU6" s="10">
        <f>IF(CABLES[[#This Row],[SEG49]]&gt;0,CABLES[[#This Row],[CABLE_DIAMETER]],0)</f>
        <v>0</v>
      </c>
      <c r="FV6" s="10">
        <f>IF(CABLES[[#This Row],[SEG50]]&gt;0,CABLES[[#This Row],[CABLE_DIAMETER]],0)</f>
        <v>0</v>
      </c>
      <c r="FW6" s="10">
        <f>IF(CABLES[[#This Row],[SEG51]]&gt;0,CABLES[[#This Row],[CABLE_DIAMETER]],0)</f>
        <v>0</v>
      </c>
      <c r="FX6" s="10">
        <f>IF(CABLES[[#This Row],[SEG52]]&gt;0,CABLES[[#This Row],[CABLE_DIAMETER]],0)</f>
        <v>0</v>
      </c>
      <c r="FY6" s="10">
        <f>IF(CABLES[[#This Row],[SEG53]]&gt;0,CABLES[[#This Row],[CABLE_DIAMETER]],0)</f>
        <v>0</v>
      </c>
      <c r="FZ6" s="10">
        <f>IF(CABLES[[#This Row],[SEG54]]&gt;0,CABLES[[#This Row],[CABLE_DIAMETER]],0)</f>
        <v>0</v>
      </c>
      <c r="GA6" s="10">
        <f>IF(CABLES[[#This Row],[SEG55]]&gt;0,CABLES[[#This Row],[CABLE_DIAMETER]],0)</f>
        <v>0</v>
      </c>
      <c r="GB6" s="10">
        <f>IF(CABLES[[#This Row],[SEG56]]&gt;0,CABLES[[#This Row],[CABLE_DIAMETER]],0)</f>
        <v>0</v>
      </c>
      <c r="GC6" s="10">
        <f>IF(CABLES[[#This Row],[SEG57]]&gt;0,CABLES[[#This Row],[CABLE_DIAMETER]],0)</f>
        <v>0</v>
      </c>
      <c r="GD6" s="10">
        <f>IF(CABLES[[#This Row],[SEG58]]&gt;0,CABLES[[#This Row],[CABLE_DIAMETER]],0)</f>
        <v>0</v>
      </c>
      <c r="GE6" s="10">
        <f>IF(CABLES[[#This Row],[SEG59]]&gt;0,CABLES[[#This Row],[CABLE_DIAMETER]],0)</f>
        <v>0</v>
      </c>
      <c r="GF6" s="10">
        <f>IF(CABLES[[#This Row],[SEG60]]&gt;0,CABLES[[#This Row],[CABLE_DIAMETER]],0)</f>
        <v>0</v>
      </c>
      <c r="GG6" s="10">
        <f>IF(CABLES[[#This Row],[SEG1]]&gt;0,CABLES[[#This Row],[CABLE_MASS]],0)</f>
        <v>0</v>
      </c>
      <c r="GH6" s="10">
        <f>IF(CABLES[[#This Row],[SEG2]]&gt;0,CABLES[[#This Row],[CABLE_MASS]],0)</f>
        <v>0</v>
      </c>
      <c r="GI6" s="10">
        <f>IF(CABLES[[#This Row],[SEG3]]&gt;0,CABLES[[#This Row],[CABLE_MASS]],0)</f>
        <v>0</v>
      </c>
      <c r="GJ6" s="10">
        <f>IF(CABLES[[#This Row],[SEG4]]&gt;0,CABLES[[#This Row],[CABLE_MASS]],0)</f>
        <v>0</v>
      </c>
      <c r="GK6" s="10">
        <f>IF(CABLES[[#This Row],[SEG5]]&gt;0,CABLES[[#This Row],[CABLE_MASS]],0)</f>
        <v>0</v>
      </c>
      <c r="GL6" s="10">
        <f>IF(CABLES[[#This Row],[SEG6]]&gt;0,CABLES[[#This Row],[CABLE_MASS]],0)</f>
        <v>0</v>
      </c>
      <c r="GM6" s="10">
        <f>IF(CABLES[[#This Row],[SEG7]]&gt;0,CABLES[[#This Row],[CABLE_MASS]],0)</f>
        <v>0</v>
      </c>
      <c r="GN6" s="10">
        <f>IF(CABLES[[#This Row],[SEG8]]&gt;0,CABLES[[#This Row],[CABLE_MASS]],0)</f>
        <v>0</v>
      </c>
      <c r="GO6" s="10">
        <f>IF(CABLES[[#This Row],[SEG9]]&gt;0,CABLES[[#This Row],[CABLE_MASS]],0)</f>
        <v>0</v>
      </c>
      <c r="GP6" s="10">
        <f>IF(CABLES[[#This Row],[SEG10]]&gt;0,CABLES[[#This Row],[CABLE_MASS]],0)</f>
        <v>0</v>
      </c>
      <c r="GQ6" s="10">
        <f>IF(CABLES[[#This Row],[SEG11]]&gt;0,CABLES[[#This Row],[CABLE_MASS]],0)</f>
        <v>0</v>
      </c>
      <c r="GR6" s="10">
        <f>IF(CABLES[[#This Row],[SEG12]]&gt;0,CABLES[[#This Row],[CABLE_MASS]],0)</f>
        <v>0</v>
      </c>
      <c r="GS6" s="10">
        <f>IF(CABLES[[#This Row],[SEG13]]&gt;0,CABLES[[#This Row],[CABLE_MASS]],0)</f>
        <v>0</v>
      </c>
      <c r="GT6" s="10">
        <f>IF(CABLES[[#This Row],[SEG14]]&gt;0,CABLES[[#This Row],[CABLE_MASS]],0)</f>
        <v>0</v>
      </c>
      <c r="GU6" s="10">
        <f>IF(CABLES[[#This Row],[SEG15]]&gt;0,CABLES[[#This Row],[CABLE_MASS]],0)</f>
        <v>0</v>
      </c>
      <c r="GV6" s="10">
        <f>IF(CABLES[[#This Row],[SEG16]]&gt;0,CABLES[[#This Row],[CABLE_MASS]],0)</f>
        <v>0</v>
      </c>
      <c r="GW6" s="10">
        <f>IF(CABLES[[#This Row],[SEG17]]&gt;0,CABLES[[#This Row],[CABLE_MASS]],0)</f>
        <v>0</v>
      </c>
      <c r="GX6" s="10">
        <f>IF(CABLES[[#This Row],[SEG18]]&gt;0,CABLES[[#This Row],[CABLE_MASS]],0)</f>
        <v>0</v>
      </c>
      <c r="GY6" s="10">
        <f>IF(CABLES[[#This Row],[SEG19]]&gt;0,CABLES[[#This Row],[CABLE_MASS]],0)</f>
        <v>0</v>
      </c>
      <c r="GZ6" s="10">
        <f>IF(CABLES[[#This Row],[SEG20]]&gt;0,CABLES[[#This Row],[CABLE_MASS]],0)</f>
        <v>0</v>
      </c>
      <c r="HA6" s="10">
        <f>IF(CABLES[[#This Row],[SEG21]]&gt;0,CABLES[[#This Row],[CABLE_MASS]],0)</f>
        <v>0</v>
      </c>
      <c r="HB6" s="10">
        <f>IF(CABLES[[#This Row],[SEG22]]&gt;0,CABLES[[#This Row],[CABLE_MASS]],0)</f>
        <v>0</v>
      </c>
      <c r="HC6" s="10">
        <f>IF(CABLES[[#This Row],[SEG23]]&gt;0,CABLES[[#This Row],[CABLE_MASS]],0)</f>
        <v>0</v>
      </c>
      <c r="HD6" s="10">
        <f>IF(CABLES[[#This Row],[SEG24]]&gt;0,CABLES[[#This Row],[CABLE_MASS]],0)</f>
        <v>0</v>
      </c>
      <c r="HE6" s="10">
        <f>IF(CABLES[[#This Row],[SEG25]]&gt;0,CABLES[[#This Row],[CABLE_MASS]],0)</f>
        <v>0</v>
      </c>
      <c r="HF6" s="10">
        <f>IF(CABLES[[#This Row],[SEG26]]&gt;0,CABLES[[#This Row],[CABLE_MASS]],0)</f>
        <v>0</v>
      </c>
      <c r="HG6" s="10">
        <f>IF(CABLES[[#This Row],[SEG27]]&gt;0,CABLES[[#This Row],[CABLE_MASS]],0)</f>
        <v>0</v>
      </c>
      <c r="HH6" s="10">
        <f>IF(CABLES[[#This Row],[SEG28]]&gt;0,CABLES[[#This Row],[CABLE_MASS]],0)</f>
        <v>0</v>
      </c>
      <c r="HI6" s="10">
        <f>IF(CABLES[[#This Row],[SEG29]]&gt;0,CABLES[[#This Row],[CABLE_MASS]],0)</f>
        <v>0</v>
      </c>
      <c r="HJ6" s="10">
        <f>IF(CABLES[[#This Row],[SEG30]]&gt;0,CABLES[[#This Row],[CABLE_MASS]],0)</f>
        <v>0.21</v>
      </c>
      <c r="HK6" s="10">
        <f>IF(CABLES[[#This Row],[SEG31]]&gt;0,CABLES[[#This Row],[CABLE_MASS]],0)</f>
        <v>0.21</v>
      </c>
      <c r="HL6" s="10">
        <f>IF(CABLES[[#This Row],[SEG32]]&gt;0,CABLES[[#This Row],[CABLE_MASS]],0)</f>
        <v>0</v>
      </c>
      <c r="HM6" s="10">
        <f>IF(CABLES[[#This Row],[SEG33]]&gt;0,CABLES[[#This Row],[CABLE_MASS]],0)</f>
        <v>0</v>
      </c>
      <c r="HN6" s="10">
        <f>IF(CABLES[[#This Row],[SEG34]]&gt;0,CABLES[[#This Row],[CABLE_MASS]],0)</f>
        <v>0</v>
      </c>
      <c r="HO6" s="10">
        <f>IF(CABLES[[#This Row],[SEG35]]&gt;0,CABLES[[#This Row],[CABLE_MASS]],0)</f>
        <v>0</v>
      </c>
      <c r="HP6" s="10">
        <f>IF(CABLES[[#This Row],[SEG36]]&gt;0,CABLES[[#This Row],[CABLE_MASS]],0)</f>
        <v>0</v>
      </c>
      <c r="HQ6" s="10">
        <f>IF(CABLES[[#This Row],[SEG37]]&gt;0,CABLES[[#This Row],[CABLE_MASS]],0)</f>
        <v>0</v>
      </c>
      <c r="HR6" s="10">
        <f>IF(CABLES[[#This Row],[SEG38]]&gt;0,CABLES[[#This Row],[CABLE_MASS]],0)</f>
        <v>0</v>
      </c>
      <c r="HS6" s="10">
        <f>IF(CABLES[[#This Row],[SEG39]]&gt;0,CABLES[[#This Row],[CABLE_MASS]],0)</f>
        <v>0.21</v>
      </c>
      <c r="HT6" s="10">
        <f>IF(CABLES[[#This Row],[SEG40]]&gt;0,CABLES[[#This Row],[CABLE_MASS]],0)</f>
        <v>0</v>
      </c>
      <c r="HU6" s="10">
        <f>IF(CABLES[[#This Row],[SEG41]]&gt;0,CABLES[[#This Row],[CABLE_MASS]],0)</f>
        <v>0.21</v>
      </c>
      <c r="HV6" s="10">
        <f>IF(CABLES[[#This Row],[SEG42]]&gt;0,CABLES[[#This Row],[CABLE_MASS]],0)</f>
        <v>0</v>
      </c>
      <c r="HW6" s="10">
        <f>IF(CABLES[[#This Row],[SEG43]]&gt;0,CABLES[[#This Row],[CABLE_MASS]],0)</f>
        <v>0</v>
      </c>
      <c r="HX6" s="10">
        <f>IF(CABLES[[#This Row],[SEG44]]&gt;0,CABLES[[#This Row],[CABLE_MASS]],0)</f>
        <v>0</v>
      </c>
      <c r="HY6" s="10">
        <f>IF(CABLES[[#This Row],[SEG45]]&gt;0,CABLES[[#This Row],[CABLE_MASS]],0)</f>
        <v>0.21</v>
      </c>
      <c r="HZ6" s="10">
        <f>IF(CABLES[[#This Row],[SEG46]]&gt;0,CABLES[[#This Row],[CABLE_MASS]],0)</f>
        <v>0.21</v>
      </c>
      <c r="IA6" s="10">
        <f>IF(CABLES[[#This Row],[SEG47]]&gt;0,CABLES[[#This Row],[CABLE_MASS]],0)</f>
        <v>0</v>
      </c>
      <c r="IB6" s="10">
        <f>IF(CABLES[[#This Row],[SEG48]]&gt;0,CABLES[[#This Row],[CABLE_MASS]],0)</f>
        <v>0</v>
      </c>
      <c r="IC6" s="10">
        <f>IF(CABLES[[#This Row],[SEG49]]&gt;0,CABLES[[#This Row],[CABLE_MASS]],0)</f>
        <v>0</v>
      </c>
      <c r="ID6" s="10">
        <f>IF(CABLES[[#This Row],[SEG50]]&gt;0,CABLES[[#This Row],[CABLE_MASS]],0)</f>
        <v>0</v>
      </c>
      <c r="IE6" s="10">
        <f>IF(CABLES[[#This Row],[SEG51]]&gt;0,CABLES[[#This Row],[CABLE_MASS]],0)</f>
        <v>0</v>
      </c>
      <c r="IF6" s="10">
        <f>IF(CABLES[[#This Row],[SEG52]]&gt;0,CABLES[[#This Row],[CABLE_MASS]],0)</f>
        <v>0</v>
      </c>
      <c r="IG6" s="10">
        <f>IF(CABLES[[#This Row],[SEG53]]&gt;0,CABLES[[#This Row],[CABLE_MASS]],0)</f>
        <v>0</v>
      </c>
      <c r="IH6" s="10">
        <f>IF(CABLES[[#This Row],[SEG54]]&gt;0,CABLES[[#This Row],[CABLE_MASS]],0)</f>
        <v>0</v>
      </c>
      <c r="II6" s="10">
        <f>IF(CABLES[[#This Row],[SEG55]]&gt;0,CABLES[[#This Row],[CABLE_MASS]],0)</f>
        <v>0</v>
      </c>
      <c r="IJ6" s="10">
        <f>IF(CABLES[[#This Row],[SEG56]]&gt;0,CABLES[[#This Row],[CABLE_MASS]],0)</f>
        <v>0</v>
      </c>
      <c r="IK6" s="10">
        <f>IF(CABLES[[#This Row],[SEG57]]&gt;0,CABLES[[#This Row],[CABLE_MASS]],0)</f>
        <v>0</v>
      </c>
      <c r="IL6" s="10">
        <f>IF(CABLES[[#This Row],[SEG58]]&gt;0,CABLES[[#This Row],[CABLE_MASS]],0)</f>
        <v>0</v>
      </c>
      <c r="IM6" s="10">
        <f>IF(CABLES[[#This Row],[SEG59]]&gt;0,CABLES[[#This Row],[CABLE_MASS]],0)</f>
        <v>0</v>
      </c>
      <c r="IN6" s="10">
        <f>IF(CABLES[[#This Row],[SEG60]]&gt;0,CABLES[[#This Row],[CABLE_MASS]],0)</f>
        <v>0</v>
      </c>
      <c r="IO6" s="10">
        <f xml:space="preserve">  (CABLES[[#This Row],[LOAD_KW]]/(SQRT(3)*SYSTEM_VOLTAGE*POWER_FACTOR))*1000</f>
        <v>8.8206291126192813</v>
      </c>
      <c r="IP6" s="10">
        <v>45</v>
      </c>
      <c r="IQ6" s="10">
        <f xml:space="preserve"> INDEX(AS3000_AMBIENTDERATE[], MATCH(CABLES[[#This Row],[AMBIENT]],AS3000_AMBIENTDERATE[AMBIENT],0), 2)</f>
        <v>0.94</v>
      </c>
      <c r="IR6" s="10">
        <f xml:space="preserve"> ROUNDUP( CABLES[[#This Row],[CALCULATED_AMPS]]/CABLES[[#This Row],[AMBIENT_DERATING]],1)</f>
        <v>9.4</v>
      </c>
      <c r="IS6" s="10" t="s">
        <v>531</v>
      </c>
      <c r="IT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" s="10">
        <f t="shared" si="0"/>
        <v>28.000000000000004</v>
      </c>
      <c r="IV6" s="10">
        <f>(1000*CABLES[[#This Row],[MAX_VDROP]])/(CABLES[[#This Row],[ESTIMATED_CABLE_LENGTH]]*CABLES[[#This Row],[AMP_RATING]])</f>
        <v>46.835273651813203</v>
      </c>
      <c r="IW6" s="10">
        <f xml:space="preserve"> INDEX(AS3000_VDROP[], MATCH(CABLES[[#This Row],[VC_CALC]],AS3000_VDROP[Vc],1),1)</f>
        <v>2.5</v>
      </c>
      <c r="IX6" s="10">
        <f>MAX(CABLES[[#This Row],[CABLESIZE_METHOD1]],CABLES[[#This Row],[CABLESIZE_METHOD2]])</f>
        <v>2.5</v>
      </c>
      <c r="IY6" s="10"/>
      <c r="IZ6" s="10">
        <f>IF(LEN(CABLES[[#This Row],[OVERRIDE_CABLESIZE]])&gt;0,CABLES[[#This Row],[OVERRIDE_CABLESIZE]],CABLES[[#This Row],[INITIAL_CABLESIZE]])</f>
        <v>2.5</v>
      </c>
      <c r="JA6" s="10">
        <f>INDEX(PROTECTIVE_DEVICE[DEVICE], MATCH(CABLES[[#This Row],[CALCULATED_AMPS]],PROTECTIVE_DEVICE[DEVICE],-1),1)</f>
        <v>10</v>
      </c>
      <c r="JB6" s="10"/>
      <c r="JC6" s="10">
        <f>IF(LEN(CABLES[[#This Row],[OVERRIDE_PDEVICE]])&gt;0, CABLES[[#This Row],[OVERRIDE_PDEVICE]],CABLES[[#This Row],[RECOMMEND_PDEVICE]])</f>
        <v>10</v>
      </c>
      <c r="JD6" s="10" t="s">
        <v>450</v>
      </c>
      <c r="JE6" s="10">
        <f xml:space="preserve"> CABLES[[#This Row],[SELECTED_PDEVICE]] * INDEX(DEVICE_CURVE[], MATCH(CABLES[[#This Row],[PDEVICE_CURVE]], DEVICE_CURVE[DEVICE_CURVE],0),2)</f>
        <v>65</v>
      </c>
      <c r="JF6" s="10" t="s">
        <v>458</v>
      </c>
      <c r="JG6" s="10">
        <f xml:space="preserve"> INDEX(CONDUCTOR_MATERIAL[], MATCH(CABLES[[#This Row],[CONDUCTOR_MATERIAL]],CONDUCTOR_MATERIAL[CONDUCTOR_MATERIAL],0),2)</f>
        <v>2.2499999999999999E-2</v>
      </c>
      <c r="JH6" s="10">
        <f>CABLES[[#This Row],[SELECTED_CABLESIZE]]</f>
        <v>2.5</v>
      </c>
      <c r="JI6" s="10">
        <f xml:space="preserve"> INDEX( EARTH_CONDUCTOR_SIZE[], MATCH(CABLES[[#This Row],[SPH]],EARTH_CONDUCTOR_SIZE[MM^2],-1), 2)</f>
        <v>2.5</v>
      </c>
      <c r="JJ6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" s="10" t="str">
        <f>IF(CABLES[[#This Row],[LMAX]]&gt;CABLES[[#This Row],[ESTIMATED_CABLE_LENGTH]], "PASS", "ERROR")</f>
        <v>PASS</v>
      </c>
      <c r="JL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6" s="6">
        <f xml:space="preserve"> ROUNDUP( CABLES[[#This Row],[CALCULATED_AMPS]],1)</f>
        <v>8.9</v>
      </c>
      <c r="JO6" s="6">
        <f>CABLES[[#This Row],[SELECTED_CABLESIZE]]</f>
        <v>2.5</v>
      </c>
      <c r="JP6" s="10">
        <f>CABLES[[#This Row],[ESTIMATED_CABLE_LENGTH]]</f>
        <v>63.599999999999994</v>
      </c>
      <c r="JQ6" s="6">
        <f>CABLES[[#This Row],[SELECTED_PDEVICE]]</f>
        <v>10</v>
      </c>
    </row>
    <row r="7" spans="1:277" x14ac:dyDescent="0.35">
      <c r="A7" s="5" t="s">
        <v>6</v>
      </c>
      <c r="B7" s="5" t="s">
        <v>82</v>
      </c>
      <c r="C7" s="10" t="s">
        <v>262</v>
      </c>
      <c r="D7" s="9">
        <v>11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1</v>
      </c>
      <c r="AI7" s="9">
        <v>1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1</v>
      </c>
      <c r="AR7" s="9">
        <v>0</v>
      </c>
      <c r="AS7" s="9">
        <v>1</v>
      </c>
      <c r="AT7" s="9">
        <v>0</v>
      </c>
      <c r="AU7" s="9">
        <v>0</v>
      </c>
      <c r="AV7" s="9">
        <v>0</v>
      </c>
      <c r="AW7" s="9">
        <v>1</v>
      </c>
      <c r="AX7" s="9">
        <v>1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f xml:space="preserve"> IF(CABLES[[#This Row],[SEG1]] &gt;0, INDEX(SEGMENTS[], MATCH(CABLES[[#Headers],[SEG1]],SEGMENTS[SEG_ID],0),4),0)</f>
        <v>0</v>
      </c>
      <c r="BN7" s="9">
        <f xml:space="preserve"> IF(CABLES[[#This Row],[SEG2]] &gt;0, INDEX(SEGMENTS[], MATCH(CABLES[[#Headers],[SEG2]],SEGMENTS[SEG_ID],0),4),0)</f>
        <v>0</v>
      </c>
      <c r="BO7" s="9">
        <f xml:space="preserve"> IF(CABLES[[#This Row],[SEG3]] &gt;0, INDEX(SEGMENTS[], MATCH(CABLES[[#Headers],[SEG3]],SEGMENTS[SEG_ID],0),4),0)</f>
        <v>0</v>
      </c>
      <c r="BP7" s="9">
        <f xml:space="preserve"> IF(CABLES[[#This Row],[SEG4]] &gt;0, INDEX(SEGMENTS[], MATCH(CABLES[[#Headers],[SEG4]],SEGMENTS[SEG_ID],0),4),0)</f>
        <v>0</v>
      </c>
      <c r="BQ7" s="9">
        <f xml:space="preserve"> IF(CABLES[[#This Row],[SEG5]] &gt;0,INDEX(SEGMENTS[], MATCH(CABLES[[#Headers],[SEG5]],SEGMENTS[SEG_ID],0),4),0)</f>
        <v>0</v>
      </c>
      <c r="BR7" s="9">
        <f xml:space="preserve"> IF(CABLES[[#This Row],[SEG6]] &gt;0,INDEX(SEGMENTS[], MATCH(CABLES[[#Headers],[SEG6]],SEGMENTS[SEG_ID],0),4),0)</f>
        <v>0</v>
      </c>
      <c r="BS7" s="9">
        <f xml:space="preserve"> IF(CABLES[[#This Row],[SEG7]] &gt;0,INDEX(SEGMENTS[], MATCH(CABLES[[#Headers],[SEG7]],SEGMENTS[SEG_ID],0),4),0)</f>
        <v>0</v>
      </c>
      <c r="BT7" s="9">
        <f xml:space="preserve"> IF(CABLES[[#This Row],[SEG8]] &gt;0,INDEX(SEGMENTS[], MATCH(CABLES[[#Headers],[SEG8]],SEGMENTS[SEG_ID],0),4),0)</f>
        <v>0</v>
      </c>
      <c r="BU7" s="9">
        <f xml:space="preserve"> IF(CABLES[[#This Row],[SEG9]] &gt;0,INDEX(SEGMENTS[], MATCH(CABLES[[#Headers],[SEG9]],SEGMENTS[SEG_ID],0),4),0)</f>
        <v>0</v>
      </c>
      <c r="BV7" s="9">
        <f xml:space="preserve"> IF(CABLES[[#This Row],[SEG10]] &gt;0,INDEX(SEGMENTS[], MATCH(CABLES[[#Headers],[SEG10]],SEGMENTS[SEG_ID],0),4),0)</f>
        <v>0</v>
      </c>
      <c r="BW7" s="9">
        <f xml:space="preserve"> IF(CABLES[[#This Row],[SEG11]] &gt;0,INDEX(SEGMENTS[], MATCH(CABLES[[#Headers],[SEG11]],SEGMENTS[SEG_ID],0),4),0)</f>
        <v>0</v>
      </c>
      <c r="BX7" s="9">
        <f>IF(CABLES[[#This Row],[SEG12]] &gt;0, INDEX(SEGMENTS[], MATCH(CABLES[[#Headers],[SEG12]],SEGMENTS[SEG_ID],0),4),0)</f>
        <v>0</v>
      </c>
      <c r="BY7" s="9">
        <f xml:space="preserve"> IF(CABLES[[#This Row],[SEG13]] &gt;0,INDEX(SEGMENTS[], MATCH(CABLES[[#Headers],[SEG13]],SEGMENTS[SEG_ID],0),4),0)</f>
        <v>0</v>
      </c>
      <c r="BZ7" s="9">
        <f xml:space="preserve"> IF(CABLES[[#This Row],[SEG14]] &gt;0,INDEX(SEGMENTS[], MATCH(CABLES[[#Headers],[SEG14]],SEGMENTS[SEG_ID],0),4),0)</f>
        <v>0</v>
      </c>
      <c r="CA7" s="9">
        <f xml:space="preserve"> IF(CABLES[[#This Row],[SEG15]] &gt;0,INDEX(SEGMENTS[], MATCH(CABLES[[#Headers],[SEG15]],SEGMENTS[SEG_ID],0),4),0)</f>
        <v>0</v>
      </c>
      <c r="CB7" s="9">
        <f xml:space="preserve"> IF(CABLES[[#This Row],[SEG16]] &gt;0,INDEX(SEGMENTS[], MATCH(CABLES[[#Headers],[SEG16]],SEGMENTS[SEG_ID],0),4),0)</f>
        <v>0</v>
      </c>
      <c r="CC7" s="9">
        <f xml:space="preserve"> IF(CABLES[[#This Row],[SEG17]] &gt;0,INDEX(SEGMENTS[], MATCH(CABLES[[#Headers],[SEG17]],SEGMENTS[SEG_ID],0),4),0)</f>
        <v>0</v>
      </c>
      <c r="CD7" s="9">
        <f xml:space="preserve"> IF(CABLES[[#This Row],[SEG18]] &gt;0,INDEX(SEGMENTS[], MATCH(CABLES[[#Headers],[SEG18]],SEGMENTS[SEG_ID],0),4),0)</f>
        <v>0</v>
      </c>
      <c r="CE7" s="9">
        <f>IF(CABLES[[#This Row],[SEG19]] &gt;0, INDEX(SEGMENTS[], MATCH(CABLES[[#Headers],[SEG19]],SEGMENTS[SEG_ID],0),4),0)</f>
        <v>0</v>
      </c>
      <c r="CF7" s="9">
        <f>IF(CABLES[[#This Row],[SEG20]] &gt;0, INDEX(SEGMENTS[], MATCH(CABLES[[#Headers],[SEG20]],SEGMENTS[SEG_ID],0),4),0)</f>
        <v>0</v>
      </c>
      <c r="CG7" s="9">
        <f xml:space="preserve"> IF(CABLES[[#This Row],[SEG21]] &gt;0,INDEX(SEGMENTS[], MATCH(CABLES[[#Headers],[SEG21]],SEGMENTS[SEG_ID],0),4),0)</f>
        <v>0</v>
      </c>
      <c r="CH7" s="9">
        <f xml:space="preserve"> IF(CABLES[[#This Row],[SEG22]] &gt;0,INDEX(SEGMENTS[], MATCH(CABLES[[#Headers],[SEG22]],SEGMENTS[SEG_ID],0),4),0)</f>
        <v>0</v>
      </c>
      <c r="CI7" s="9">
        <f>IF(CABLES[[#This Row],[SEG23]] &gt;0, INDEX(SEGMENTS[], MATCH(CABLES[[#Headers],[SEG23]],SEGMENTS[SEG_ID],0),4),0)</f>
        <v>0</v>
      </c>
      <c r="CJ7" s="9">
        <f xml:space="preserve"> IF(CABLES[[#This Row],[SEG24]] &gt;0,INDEX(SEGMENTS[], MATCH(CABLES[[#Headers],[SEG24]],SEGMENTS[SEG_ID],0),4),0)</f>
        <v>0</v>
      </c>
      <c r="CK7" s="9">
        <f>IF(CABLES[[#This Row],[SEG25]] &gt;0, INDEX(SEGMENTS[], MATCH(CABLES[[#Headers],[SEG25]],SEGMENTS[SEG_ID],0),4),0)</f>
        <v>0</v>
      </c>
      <c r="CL7" s="9">
        <f>IF(CABLES[[#This Row],[SEG26]] &gt;0, INDEX(SEGMENTS[], MATCH(CABLES[[#Headers],[SEG26]],SEGMENTS[SEG_ID],0),4),0)</f>
        <v>0</v>
      </c>
      <c r="CM7" s="9">
        <f xml:space="preserve"> IF(CABLES[[#This Row],[SEG27]] &gt;0,INDEX(SEGMENTS[], MATCH(CABLES[[#Headers],[SEG27]],SEGMENTS[SEG_ID],0),4),0)</f>
        <v>0</v>
      </c>
      <c r="CN7" s="9">
        <f xml:space="preserve"> IF(CABLES[[#This Row],[SEG28]] &gt;0,INDEX(SEGMENTS[], MATCH(CABLES[[#Headers],[SEG28]],SEGMENTS[SEG_ID],0),4),0)</f>
        <v>0</v>
      </c>
      <c r="CO7" s="9">
        <f xml:space="preserve"> IF(CABLES[[#This Row],[SEG29]] &gt;0,INDEX(SEGMENTS[], MATCH(CABLES[[#Headers],[SEG29]],SEGMENTS[SEG_ID],0),4),0)</f>
        <v>0</v>
      </c>
      <c r="CP7" s="9">
        <f xml:space="preserve"> IF(CABLES[[#This Row],[SEG30]] &gt;0,INDEX(SEGMENTS[], MATCH(CABLES[[#Headers],[SEG30]],SEGMENTS[SEG_ID],0),4),0)</f>
        <v>6</v>
      </c>
      <c r="CQ7" s="9">
        <f>IF(CABLES[[#This Row],[SEG31]] &gt;0, INDEX(SEGMENTS[], MATCH(CABLES[[#Headers],[SEG31]],SEGMENTS[SEG_ID],0),4),0)</f>
        <v>3</v>
      </c>
      <c r="CR7" s="9">
        <f xml:space="preserve"> IF(CABLES[[#This Row],[SEG32]] &gt;0,INDEX(SEGMENTS[], MATCH(CABLES[[#Headers],[SEG32]],SEGMENTS[SEG_ID],0),4),0)</f>
        <v>0</v>
      </c>
      <c r="CS7" s="9">
        <f xml:space="preserve"> IF(CABLES[[#This Row],[SEG33]] &gt;0,INDEX(SEGMENTS[], MATCH(CABLES[[#Headers],[SEG33]],SEGMENTS[SEG_ID],0),4),0)</f>
        <v>0</v>
      </c>
      <c r="CT7" s="9">
        <f>IF(CABLES[[#This Row],[SEG34]] &gt;0, INDEX(SEGMENTS[], MATCH(CABLES[[#Headers],[SEG34]],SEGMENTS[SEG_ID],0),4),0)</f>
        <v>0</v>
      </c>
      <c r="CU7" s="9">
        <f xml:space="preserve"> IF(CABLES[[#This Row],[SEG35]] &gt;0,INDEX(SEGMENTS[], MATCH(CABLES[[#Headers],[SEG35]],SEGMENTS[SEG_ID],0),4),0)</f>
        <v>0</v>
      </c>
      <c r="CV7" s="9">
        <f xml:space="preserve"> IF(CABLES[[#This Row],[SEG36]] &gt;0,INDEX(SEGMENTS[], MATCH(CABLES[[#Headers],[SEG36]],SEGMENTS[SEG_ID],0),4),0)</f>
        <v>0</v>
      </c>
      <c r="CW7" s="9">
        <f xml:space="preserve"> IF(CABLES[[#This Row],[SEG37]] &gt;0,INDEX(SEGMENTS[], MATCH(CABLES[[#Headers],[SEG37]],SEGMENTS[SEG_ID],0),4),0)</f>
        <v>0</v>
      </c>
      <c r="CX7" s="9">
        <f xml:space="preserve"> IF(CABLES[[#This Row],[SEG38]] &gt;0,INDEX(SEGMENTS[], MATCH(CABLES[[#Headers],[SEG38]],SEGMENTS[SEG_ID],0),4),0)</f>
        <v>0</v>
      </c>
      <c r="CY7" s="9">
        <f xml:space="preserve"> IF(CABLES[[#This Row],[SEG39]] &gt;0,INDEX(SEGMENTS[], MATCH(CABLES[[#Headers],[SEG39]],SEGMENTS[SEG_ID],0),4),0)</f>
        <v>8</v>
      </c>
      <c r="CZ7" s="9">
        <f xml:space="preserve"> IF(CABLES[[#This Row],[SEG40]] &gt;0,INDEX(SEGMENTS[], MATCH(CABLES[[#Headers],[SEG40]],SEGMENTS[SEG_ID],0),4),0)</f>
        <v>0</v>
      </c>
      <c r="DA7" s="9">
        <f xml:space="preserve"> IF(CABLES[[#This Row],[SEG41]] &gt;0,INDEX(SEGMENTS[], MATCH(CABLES[[#Headers],[SEG41]],SEGMENTS[SEG_ID],0),4),0)</f>
        <v>8</v>
      </c>
      <c r="DB7" s="9">
        <f xml:space="preserve"> IF(CABLES[[#This Row],[SEG42]] &gt;0,INDEX(SEGMENTS[], MATCH(CABLES[[#Headers],[SEG42]],SEGMENTS[SEG_ID],0),4),0)</f>
        <v>0</v>
      </c>
      <c r="DC7" s="9">
        <f xml:space="preserve"> IF(CABLES[[#This Row],[SEG43]] &gt;0,INDEX(SEGMENTS[], MATCH(CABLES[[#Headers],[SEG43]],SEGMENTS[SEG_ID],0),4),0)</f>
        <v>0</v>
      </c>
      <c r="DD7" s="9">
        <f xml:space="preserve"> IF(CABLES[[#This Row],[SEG44]] &gt;0,INDEX(SEGMENTS[], MATCH(CABLES[[#Headers],[SEG44]],SEGMENTS[SEG_ID],0),4),0)</f>
        <v>0</v>
      </c>
      <c r="DE7" s="9">
        <f xml:space="preserve"> IF(CABLES[[#This Row],[SEG45]] &gt;0,INDEX(SEGMENTS[], MATCH(CABLES[[#Headers],[SEG45]],SEGMENTS[SEG_ID],0),4),0)</f>
        <v>9</v>
      </c>
      <c r="DF7" s="9">
        <f xml:space="preserve"> IF(CABLES[[#This Row],[SEG46]] &gt;0,INDEX(SEGMENTS[], MATCH(CABLES[[#Headers],[SEG46]],SEGMENTS[SEG_ID],0),4),0)</f>
        <v>14</v>
      </c>
      <c r="DG7" s="9">
        <f xml:space="preserve"> IF(CABLES[[#This Row],[SEG47]] &gt;0,INDEX(SEGMENTS[], MATCH(CABLES[[#Headers],[SEG47]],SEGMENTS[SEG_ID],0),4),0)</f>
        <v>0</v>
      </c>
      <c r="DH7" s="9">
        <f xml:space="preserve"> IF(CABLES[[#This Row],[SEG48]] &gt;0,INDEX(SEGMENTS[], MATCH(CABLES[[#Headers],[SEG48]],SEGMENTS[SEG_ID],0),4),0)</f>
        <v>0</v>
      </c>
      <c r="DI7" s="9">
        <f xml:space="preserve"> IF(CABLES[[#This Row],[SEG49]] &gt;0,INDEX(SEGMENTS[], MATCH(CABLES[[#Headers],[SEG49]],SEGMENTS[SEG_ID],0),4),0)</f>
        <v>0</v>
      </c>
      <c r="DJ7" s="9">
        <f xml:space="preserve"> IF(CABLES[[#This Row],[SEG50]] &gt;0,INDEX(SEGMENTS[], MATCH(CABLES[[#Headers],[SEG50]],SEGMENTS[SEG_ID],0),4),0)</f>
        <v>0</v>
      </c>
      <c r="DK7" s="9">
        <f xml:space="preserve"> IF(CABLES[[#This Row],[SEG51]] &gt;0,INDEX(SEGMENTS[], MATCH(CABLES[[#Headers],[SEG51]],SEGMENTS[SEG_ID],0),4),0)</f>
        <v>0</v>
      </c>
      <c r="DL7" s="9">
        <f xml:space="preserve"> IF(CABLES[[#This Row],[SEG52]] &gt;0,INDEX(SEGMENTS[], MATCH(CABLES[[#Headers],[SEG52]],SEGMENTS[SEG_ID],0),4),0)</f>
        <v>0</v>
      </c>
      <c r="DM7" s="9">
        <f xml:space="preserve"> IF(CABLES[[#This Row],[SEG53]] &gt;0,INDEX(SEGMENTS[], MATCH(CABLES[[#Headers],[SEG53]],SEGMENTS[SEG_ID],0),4),0)</f>
        <v>0</v>
      </c>
      <c r="DN7" s="9">
        <f xml:space="preserve"> IF(CABLES[[#This Row],[SEG54]] &gt;0,INDEX(SEGMENTS[], MATCH(CABLES[[#Headers],[SEG54]],SEGMENTS[SEG_ID],0),4),0)</f>
        <v>0</v>
      </c>
      <c r="DO7" s="9">
        <f xml:space="preserve"> IF(CABLES[[#This Row],[SEG55]] &gt;0,INDEX(SEGMENTS[], MATCH(CABLES[[#Headers],[SEG55]],SEGMENTS[SEG_ID],0),4),0)</f>
        <v>0</v>
      </c>
      <c r="DP7" s="9">
        <f xml:space="preserve"> IF(CABLES[[#This Row],[SEG56]] &gt;0,INDEX(SEGMENTS[], MATCH(CABLES[[#Headers],[SEG56]],SEGMENTS[SEG_ID],0),4),0)</f>
        <v>0</v>
      </c>
      <c r="DQ7" s="9">
        <f xml:space="preserve"> IF(CABLES[[#This Row],[SEG57]] &gt;0,INDEX(SEGMENTS[], MATCH(CABLES[[#Headers],[SEG57]],SEGMENTS[SEG_ID],0),4),0)</f>
        <v>0</v>
      </c>
      <c r="DR7" s="9">
        <f xml:space="preserve"> IF(CABLES[[#This Row],[SEG58]] &gt;0,INDEX(SEGMENTS[], MATCH(CABLES[[#Headers],[SEG58]],SEGMENTS[SEG_ID],0),4),0)</f>
        <v>0</v>
      </c>
      <c r="DS7" s="9">
        <f xml:space="preserve"> IF(CABLES[[#This Row],[SEG59]] &gt;0,INDEX(SEGMENTS[], MATCH(CABLES[[#Headers],[SEG59]],SEGMENTS[SEG_ID],0),4),0)</f>
        <v>0</v>
      </c>
      <c r="DT7" s="9">
        <f xml:space="preserve"> IF(CABLES[[#This Row],[SEG60]] &gt;0,INDEX(SEGMENTS[], MATCH(CABLES[[#Headers],[SEG60]],SEGMENTS[SEG_ID],0),4),0)</f>
        <v>0</v>
      </c>
      <c r="DU7" s="10">
        <f>SUM(CABLES[[#This Row],[SEGL1]:[SEGL60]])</f>
        <v>48</v>
      </c>
      <c r="DV7" s="10">
        <v>5</v>
      </c>
      <c r="DW7" s="10">
        <v>1.2</v>
      </c>
      <c r="DX7" s="10">
        <f xml:space="preserve"> IF(CABLES[[#This Row],[SEGL_TOTAL]]&gt;0, (CABLES[[#This Row],[SEGL_TOTAL]] + CABLES[[#This Row],[FITOFF]]) *CABLES[[#This Row],[XCAPACITY]],0)</f>
        <v>63.599999999999994</v>
      </c>
      <c r="DY7" s="10">
        <f>IF(CABLES[[#This Row],[SEG1]]&gt;0,CABLES[[#This Row],[CABLE_DIAMETER]],0)</f>
        <v>0</v>
      </c>
      <c r="DZ7" s="10">
        <f>IF(CABLES[[#This Row],[SEG2]]&gt;0,CABLES[[#This Row],[CABLE_DIAMETER]],0)</f>
        <v>0</v>
      </c>
      <c r="EA7" s="10">
        <f>IF(CABLES[[#This Row],[SEG3]]&gt;0,CABLES[[#This Row],[CABLE_DIAMETER]],0)</f>
        <v>0</v>
      </c>
      <c r="EB7" s="10">
        <f>IF(CABLES[[#This Row],[SEG4]]&gt;0,CABLES[[#This Row],[CABLE_DIAMETER]],0)</f>
        <v>0</v>
      </c>
      <c r="EC7" s="10">
        <f>IF(CABLES[[#This Row],[SEG5]]&gt;0,CABLES[[#This Row],[CABLE_DIAMETER]],0)</f>
        <v>0</v>
      </c>
      <c r="ED7" s="10">
        <f>IF(CABLES[[#This Row],[SEG6]]&gt;0,CABLES[[#This Row],[CABLE_DIAMETER]],0)</f>
        <v>0</v>
      </c>
      <c r="EE7" s="10">
        <f>IF(CABLES[[#This Row],[SEG7]]&gt;0,CABLES[[#This Row],[CABLE_DIAMETER]],0)</f>
        <v>0</v>
      </c>
      <c r="EF7" s="10">
        <f>IF(CABLES[[#This Row],[SEG9]]&gt;0,CABLES[[#This Row],[CABLE_DIAMETER]],0)</f>
        <v>0</v>
      </c>
      <c r="EG7" s="10">
        <f>IF(CABLES[[#This Row],[SEG9]]&gt;0,CABLES[[#This Row],[CABLE_DIAMETER]],0)</f>
        <v>0</v>
      </c>
      <c r="EH7" s="10">
        <f>IF(CABLES[[#This Row],[SEG10]]&gt;0,CABLES[[#This Row],[CABLE_DIAMETER]],0)</f>
        <v>0</v>
      </c>
      <c r="EI7" s="10">
        <f>IF(CABLES[[#This Row],[SEG11]]&gt;0,CABLES[[#This Row],[CABLE_DIAMETER]],0)</f>
        <v>0</v>
      </c>
      <c r="EJ7" s="10">
        <f>IF(CABLES[[#This Row],[SEG12]]&gt;0,CABLES[[#This Row],[CABLE_DIAMETER]],0)</f>
        <v>0</v>
      </c>
      <c r="EK7" s="10">
        <f>IF(CABLES[[#This Row],[SEG13]]&gt;0,CABLES[[#This Row],[CABLE_DIAMETER]],0)</f>
        <v>0</v>
      </c>
      <c r="EL7" s="10">
        <f>IF(CABLES[[#This Row],[SEG14]]&gt;0,CABLES[[#This Row],[CABLE_DIAMETER]],0)</f>
        <v>0</v>
      </c>
      <c r="EM7" s="10">
        <f>IF(CABLES[[#This Row],[SEG15]]&gt;0,CABLES[[#This Row],[CABLE_DIAMETER]],0)</f>
        <v>0</v>
      </c>
      <c r="EN7" s="10">
        <f>IF(CABLES[[#This Row],[SEG16]]&gt;0,CABLES[[#This Row],[CABLE_DIAMETER]],0)</f>
        <v>0</v>
      </c>
      <c r="EO7" s="10">
        <f>IF(CABLES[[#This Row],[SEG17]]&gt;0,CABLES[[#This Row],[CABLE_DIAMETER]],0)</f>
        <v>0</v>
      </c>
      <c r="EP7" s="10">
        <f>IF(CABLES[[#This Row],[SEG18]]&gt;0,CABLES[[#This Row],[CABLE_DIAMETER]],0)</f>
        <v>0</v>
      </c>
      <c r="EQ7" s="10">
        <f>IF(CABLES[[#This Row],[SEG19]]&gt;0,CABLES[[#This Row],[CABLE_DIAMETER]],0)</f>
        <v>0</v>
      </c>
      <c r="ER7" s="10">
        <f>IF(CABLES[[#This Row],[SEG20]]&gt;0,CABLES[[#This Row],[CABLE_DIAMETER]],0)</f>
        <v>0</v>
      </c>
      <c r="ES7" s="10">
        <f>IF(CABLES[[#This Row],[SEG21]]&gt;0,CABLES[[#This Row],[CABLE_DIAMETER]],0)</f>
        <v>0</v>
      </c>
      <c r="ET7" s="10">
        <f>IF(CABLES[[#This Row],[SEG22]]&gt;0,CABLES[[#This Row],[CABLE_DIAMETER]],0)</f>
        <v>0</v>
      </c>
      <c r="EU7" s="10">
        <f>IF(CABLES[[#This Row],[SEG23]]&gt;0,CABLES[[#This Row],[CABLE_DIAMETER]],0)</f>
        <v>0</v>
      </c>
      <c r="EV7" s="10">
        <f>IF(CABLES[[#This Row],[SEG24]]&gt;0,CABLES[[#This Row],[CABLE_DIAMETER]],0)</f>
        <v>0</v>
      </c>
      <c r="EW7" s="10">
        <f>IF(CABLES[[#This Row],[SEG25]]&gt;0,CABLES[[#This Row],[CABLE_DIAMETER]],0)</f>
        <v>0</v>
      </c>
      <c r="EX7" s="10">
        <f>IF(CABLES[[#This Row],[SEG26]]&gt;0,CABLES[[#This Row],[CABLE_DIAMETER]],0)</f>
        <v>0</v>
      </c>
      <c r="EY7" s="10">
        <f>IF(CABLES[[#This Row],[SEG27]]&gt;0,CABLES[[#This Row],[CABLE_DIAMETER]],0)</f>
        <v>0</v>
      </c>
      <c r="EZ7" s="10">
        <f>IF(CABLES[[#This Row],[SEG28]]&gt;0,CABLES[[#This Row],[CABLE_DIAMETER]],0)</f>
        <v>0</v>
      </c>
      <c r="FA7" s="10">
        <f>IF(CABLES[[#This Row],[SEG29]]&gt;0,CABLES[[#This Row],[CABLE_DIAMETER]],0)</f>
        <v>0</v>
      </c>
      <c r="FB7" s="10">
        <f>IF(CABLES[[#This Row],[SEG30]]&gt;0,CABLES[[#This Row],[CABLE_DIAMETER]],0)</f>
        <v>12</v>
      </c>
      <c r="FC7" s="10">
        <f>IF(CABLES[[#This Row],[SEG31]]&gt;0,CABLES[[#This Row],[CABLE_DIAMETER]],0)</f>
        <v>12</v>
      </c>
      <c r="FD7" s="10">
        <f>IF(CABLES[[#This Row],[SEG32]]&gt;0,CABLES[[#This Row],[CABLE_DIAMETER]],0)</f>
        <v>0</v>
      </c>
      <c r="FE7" s="10">
        <f>IF(CABLES[[#This Row],[SEG33]]&gt;0,CABLES[[#This Row],[CABLE_DIAMETER]],0)</f>
        <v>0</v>
      </c>
      <c r="FF7" s="10">
        <f>IF(CABLES[[#This Row],[SEG34]]&gt;0,CABLES[[#This Row],[CABLE_DIAMETER]],0)</f>
        <v>0</v>
      </c>
      <c r="FG7" s="10">
        <f>IF(CABLES[[#This Row],[SEG35]]&gt;0,CABLES[[#This Row],[CABLE_DIAMETER]],0)</f>
        <v>0</v>
      </c>
      <c r="FH7" s="10">
        <f>IF(CABLES[[#This Row],[SEG36]]&gt;0,CABLES[[#This Row],[CABLE_DIAMETER]],0)</f>
        <v>0</v>
      </c>
      <c r="FI7" s="10">
        <f>IF(CABLES[[#This Row],[SEG37]]&gt;0,CABLES[[#This Row],[CABLE_DIAMETER]],0)</f>
        <v>0</v>
      </c>
      <c r="FJ7" s="10">
        <f>IF(CABLES[[#This Row],[SEG38]]&gt;0,CABLES[[#This Row],[CABLE_DIAMETER]],0)</f>
        <v>0</v>
      </c>
      <c r="FK7" s="10">
        <f>IF(CABLES[[#This Row],[SEG39]]&gt;0,CABLES[[#This Row],[CABLE_DIAMETER]],0)</f>
        <v>12</v>
      </c>
      <c r="FL7" s="10">
        <f>IF(CABLES[[#This Row],[SEG40]]&gt;0,CABLES[[#This Row],[CABLE_DIAMETER]],0)</f>
        <v>0</v>
      </c>
      <c r="FM7" s="10">
        <f>IF(CABLES[[#This Row],[SEG41]]&gt;0,CABLES[[#This Row],[CABLE_DIAMETER]],0)</f>
        <v>12</v>
      </c>
      <c r="FN7" s="10">
        <f>IF(CABLES[[#This Row],[SEG42]]&gt;0,CABLES[[#This Row],[CABLE_DIAMETER]],0)</f>
        <v>0</v>
      </c>
      <c r="FO7" s="10">
        <f>IF(CABLES[[#This Row],[SEG43]]&gt;0,CABLES[[#This Row],[CABLE_DIAMETER]],0)</f>
        <v>0</v>
      </c>
      <c r="FP7" s="10">
        <f>IF(CABLES[[#This Row],[SEG44]]&gt;0,CABLES[[#This Row],[CABLE_DIAMETER]],0)</f>
        <v>0</v>
      </c>
      <c r="FQ7" s="10">
        <f>IF(CABLES[[#This Row],[SEG45]]&gt;0,CABLES[[#This Row],[CABLE_DIAMETER]],0)</f>
        <v>12</v>
      </c>
      <c r="FR7" s="10">
        <f>IF(CABLES[[#This Row],[SEG46]]&gt;0,CABLES[[#This Row],[CABLE_DIAMETER]],0)</f>
        <v>12</v>
      </c>
      <c r="FS7" s="10">
        <f>IF(CABLES[[#This Row],[SEG47]]&gt;0,CABLES[[#This Row],[CABLE_DIAMETER]],0)</f>
        <v>0</v>
      </c>
      <c r="FT7" s="10">
        <f>IF(CABLES[[#This Row],[SEG48]]&gt;0,CABLES[[#This Row],[CABLE_DIAMETER]],0)</f>
        <v>0</v>
      </c>
      <c r="FU7" s="10">
        <f>IF(CABLES[[#This Row],[SEG49]]&gt;0,CABLES[[#This Row],[CABLE_DIAMETER]],0)</f>
        <v>0</v>
      </c>
      <c r="FV7" s="10">
        <f>IF(CABLES[[#This Row],[SEG50]]&gt;0,CABLES[[#This Row],[CABLE_DIAMETER]],0)</f>
        <v>0</v>
      </c>
      <c r="FW7" s="10">
        <f>IF(CABLES[[#This Row],[SEG51]]&gt;0,CABLES[[#This Row],[CABLE_DIAMETER]],0)</f>
        <v>0</v>
      </c>
      <c r="FX7" s="10">
        <f>IF(CABLES[[#This Row],[SEG52]]&gt;0,CABLES[[#This Row],[CABLE_DIAMETER]],0)</f>
        <v>0</v>
      </c>
      <c r="FY7" s="10">
        <f>IF(CABLES[[#This Row],[SEG53]]&gt;0,CABLES[[#This Row],[CABLE_DIAMETER]],0)</f>
        <v>0</v>
      </c>
      <c r="FZ7" s="10">
        <f>IF(CABLES[[#This Row],[SEG54]]&gt;0,CABLES[[#This Row],[CABLE_DIAMETER]],0)</f>
        <v>0</v>
      </c>
      <c r="GA7" s="10">
        <f>IF(CABLES[[#This Row],[SEG55]]&gt;0,CABLES[[#This Row],[CABLE_DIAMETER]],0)</f>
        <v>0</v>
      </c>
      <c r="GB7" s="10">
        <f>IF(CABLES[[#This Row],[SEG56]]&gt;0,CABLES[[#This Row],[CABLE_DIAMETER]],0)</f>
        <v>0</v>
      </c>
      <c r="GC7" s="10">
        <f>IF(CABLES[[#This Row],[SEG57]]&gt;0,CABLES[[#This Row],[CABLE_DIAMETER]],0)</f>
        <v>0</v>
      </c>
      <c r="GD7" s="10">
        <f>IF(CABLES[[#This Row],[SEG58]]&gt;0,CABLES[[#This Row],[CABLE_DIAMETER]],0)</f>
        <v>0</v>
      </c>
      <c r="GE7" s="10">
        <f>IF(CABLES[[#This Row],[SEG59]]&gt;0,CABLES[[#This Row],[CABLE_DIAMETER]],0)</f>
        <v>0</v>
      </c>
      <c r="GF7" s="10">
        <f>IF(CABLES[[#This Row],[SEG60]]&gt;0,CABLES[[#This Row],[CABLE_DIAMETER]],0)</f>
        <v>0</v>
      </c>
      <c r="GG7" s="10">
        <f>IF(CABLES[[#This Row],[SEG1]]&gt;0,CABLES[[#This Row],[CABLE_MASS]],0)</f>
        <v>0</v>
      </c>
      <c r="GH7" s="10">
        <f>IF(CABLES[[#This Row],[SEG2]]&gt;0,CABLES[[#This Row],[CABLE_MASS]],0)</f>
        <v>0</v>
      </c>
      <c r="GI7" s="10">
        <f>IF(CABLES[[#This Row],[SEG3]]&gt;0,CABLES[[#This Row],[CABLE_MASS]],0)</f>
        <v>0</v>
      </c>
      <c r="GJ7" s="10">
        <f>IF(CABLES[[#This Row],[SEG4]]&gt;0,CABLES[[#This Row],[CABLE_MASS]],0)</f>
        <v>0</v>
      </c>
      <c r="GK7" s="10">
        <f>IF(CABLES[[#This Row],[SEG5]]&gt;0,CABLES[[#This Row],[CABLE_MASS]],0)</f>
        <v>0</v>
      </c>
      <c r="GL7" s="10">
        <f>IF(CABLES[[#This Row],[SEG6]]&gt;0,CABLES[[#This Row],[CABLE_MASS]],0)</f>
        <v>0</v>
      </c>
      <c r="GM7" s="10">
        <f>IF(CABLES[[#This Row],[SEG7]]&gt;0,CABLES[[#This Row],[CABLE_MASS]],0)</f>
        <v>0</v>
      </c>
      <c r="GN7" s="10">
        <f>IF(CABLES[[#This Row],[SEG8]]&gt;0,CABLES[[#This Row],[CABLE_MASS]],0)</f>
        <v>0</v>
      </c>
      <c r="GO7" s="10">
        <f>IF(CABLES[[#This Row],[SEG9]]&gt;0,CABLES[[#This Row],[CABLE_MASS]],0)</f>
        <v>0</v>
      </c>
      <c r="GP7" s="10">
        <f>IF(CABLES[[#This Row],[SEG10]]&gt;0,CABLES[[#This Row],[CABLE_MASS]],0)</f>
        <v>0</v>
      </c>
      <c r="GQ7" s="10">
        <f>IF(CABLES[[#This Row],[SEG11]]&gt;0,CABLES[[#This Row],[CABLE_MASS]],0)</f>
        <v>0</v>
      </c>
      <c r="GR7" s="10">
        <f>IF(CABLES[[#This Row],[SEG12]]&gt;0,CABLES[[#This Row],[CABLE_MASS]],0)</f>
        <v>0</v>
      </c>
      <c r="GS7" s="10">
        <f>IF(CABLES[[#This Row],[SEG13]]&gt;0,CABLES[[#This Row],[CABLE_MASS]],0)</f>
        <v>0</v>
      </c>
      <c r="GT7" s="10">
        <f>IF(CABLES[[#This Row],[SEG14]]&gt;0,CABLES[[#This Row],[CABLE_MASS]],0)</f>
        <v>0</v>
      </c>
      <c r="GU7" s="10">
        <f>IF(CABLES[[#This Row],[SEG15]]&gt;0,CABLES[[#This Row],[CABLE_MASS]],0)</f>
        <v>0</v>
      </c>
      <c r="GV7" s="10">
        <f>IF(CABLES[[#This Row],[SEG16]]&gt;0,CABLES[[#This Row],[CABLE_MASS]],0)</f>
        <v>0</v>
      </c>
      <c r="GW7" s="10">
        <f>IF(CABLES[[#This Row],[SEG17]]&gt;0,CABLES[[#This Row],[CABLE_MASS]],0)</f>
        <v>0</v>
      </c>
      <c r="GX7" s="10">
        <f>IF(CABLES[[#This Row],[SEG18]]&gt;0,CABLES[[#This Row],[CABLE_MASS]],0)</f>
        <v>0</v>
      </c>
      <c r="GY7" s="10">
        <f>IF(CABLES[[#This Row],[SEG19]]&gt;0,CABLES[[#This Row],[CABLE_MASS]],0)</f>
        <v>0</v>
      </c>
      <c r="GZ7" s="10">
        <f>IF(CABLES[[#This Row],[SEG20]]&gt;0,CABLES[[#This Row],[CABLE_MASS]],0)</f>
        <v>0</v>
      </c>
      <c r="HA7" s="10">
        <f>IF(CABLES[[#This Row],[SEG21]]&gt;0,CABLES[[#This Row],[CABLE_MASS]],0)</f>
        <v>0</v>
      </c>
      <c r="HB7" s="10">
        <f>IF(CABLES[[#This Row],[SEG22]]&gt;0,CABLES[[#This Row],[CABLE_MASS]],0)</f>
        <v>0</v>
      </c>
      <c r="HC7" s="10">
        <f>IF(CABLES[[#This Row],[SEG23]]&gt;0,CABLES[[#This Row],[CABLE_MASS]],0)</f>
        <v>0</v>
      </c>
      <c r="HD7" s="10">
        <f>IF(CABLES[[#This Row],[SEG24]]&gt;0,CABLES[[#This Row],[CABLE_MASS]],0)</f>
        <v>0</v>
      </c>
      <c r="HE7" s="10">
        <f>IF(CABLES[[#This Row],[SEG25]]&gt;0,CABLES[[#This Row],[CABLE_MASS]],0)</f>
        <v>0</v>
      </c>
      <c r="HF7" s="10">
        <f>IF(CABLES[[#This Row],[SEG26]]&gt;0,CABLES[[#This Row],[CABLE_MASS]],0)</f>
        <v>0</v>
      </c>
      <c r="HG7" s="10">
        <f>IF(CABLES[[#This Row],[SEG27]]&gt;0,CABLES[[#This Row],[CABLE_MASS]],0)</f>
        <v>0</v>
      </c>
      <c r="HH7" s="10">
        <f>IF(CABLES[[#This Row],[SEG28]]&gt;0,CABLES[[#This Row],[CABLE_MASS]],0)</f>
        <v>0</v>
      </c>
      <c r="HI7" s="10">
        <f>IF(CABLES[[#This Row],[SEG29]]&gt;0,CABLES[[#This Row],[CABLE_MASS]],0)</f>
        <v>0</v>
      </c>
      <c r="HJ7" s="10">
        <f>IF(CABLES[[#This Row],[SEG30]]&gt;0,CABLES[[#This Row],[CABLE_MASS]],0)</f>
        <v>0.21</v>
      </c>
      <c r="HK7" s="10">
        <f>IF(CABLES[[#This Row],[SEG31]]&gt;0,CABLES[[#This Row],[CABLE_MASS]],0)</f>
        <v>0.21</v>
      </c>
      <c r="HL7" s="10">
        <f>IF(CABLES[[#This Row],[SEG32]]&gt;0,CABLES[[#This Row],[CABLE_MASS]],0)</f>
        <v>0</v>
      </c>
      <c r="HM7" s="10">
        <f>IF(CABLES[[#This Row],[SEG33]]&gt;0,CABLES[[#This Row],[CABLE_MASS]],0)</f>
        <v>0</v>
      </c>
      <c r="HN7" s="10">
        <f>IF(CABLES[[#This Row],[SEG34]]&gt;0,CABLES[[#This Row],[CABLE_MASS]],0)</f>
        <v>0</v>
      </c>
      <c r="HO7" s="10">
        <f>IF(CABLES[[#This Row],[SEG35]]&gt;0,CABLES[[#This Row],[CABLE_MASS]],0)</f>
        <v>0</v>
      </c>
      <c r="HP7" s="10">
        <f>IF(CABLES[[#This Row],[SEG36]]&gt;0,CABLES[[#This Row],[CABLE_MASS]],0)</f>
        <v>0</v>
      </c>
      <c r="HQ7" s="10">
        <f>IF(CABLES[[#This Row],[SEG37]]&gt;0,CABLES[[#This Row],[CABLE_MASS]],0)</f>
        <v>0</v>
      </c>
      <c r="HR7" s="10">
        <f>IF(CABLES[[#This Row],[SEG38]]&gt;0,CABLES[[#This Row],[CABLE_MASS]],0)</f>
        <v>0</v>
      </c>
      <c r="HS7" s="10">
        <f>IF(CABLES[[#This Row],[SEG39]]&gt;0,CABLES[[#This Row],[CABLE_MASS]],0)</f>
        <v>0.21</v>
      </c>
      <c r="HT7" s="10">
        <f>IF(CABLES[[#This Row],[SEG40]]&gt;0,CABLES[[#This Row],[CABLE_MASS]],0)</f>
        <v>0</v>
      </c>
      <c r="HU7" s="10">
        <f>IF(CABLES[[#This Row],[SEG41]]&gt;0,CABLES[[#This Row],[CABLE_MASS]],0)</f>
        <v>0.21</v>
      </c>
      <c r="HV7" s="10">
        <f>IF(CABLES[[#This Row],[SEG42]]&gt;0,CABLES[[#This Row],[CABLE_MASS]],0)</f>
        <v>0</v>
      </c>
      <c r="HW7" s="10">
        <f>IF(CABLES[[#This Row],[SEG43]]&gt;0,CABLES[[#This Row],[CABLE_MASS]],0)</f>
        <v>0</v>
      </c>
      <c r="HX7" s="10">
        <f>IF(CABLES[[#This Row],[SEG44]]&gt;0,CABLES[[#This Row],[CABLE_MASS]],0)</f>
        <v>0</v>
      </c>
      <c r="HY7" s="10">
        <f>IF(CABLES[[#This Row],[SEG45]]&gt;0,CABLES[[#This Row],[CABLE_MASS]],0)</f>
        <v>0.21</v>
      </c>
      <c r="HZ7" s="10">
        <f>IF(CABLES[[#This Row],[SEG46]]&gt;0,CABLES[[#This Row],[CABLE_MASS]],0)</f>
        <v>0.21</v>
      </c>
      <c r="IA7" s="10">
        <f>IF(CABLES[[#This Row],[SEG47]]&gt;0,CABLES[[#This Row],[CABLE_MASS]],0)</f>
        <v>0</v>
      </c>
      <c r="IB7" s="10">
        <f>IF(CABLES[[#This Row],[SEG48]]&gt;0,CABLES[[#This Row],[CABLE_MASS]],0)</f>
        <v>0</v>
      </c>
      <c r="IC7" s="10">
        <f>IF(CABLES[[#This Row],[SEG49]]&gt;0,CABLES[[#This Row],[CABLE_MASS]],0)</f>
        <v>0</v>
      </c>
      <c r="ID7" s="10">
        <f>IF(CABLES[[#This Row],[SEG50]]&gt;0,CABLES[[#This Row],[CABLE_MASS]],0)</f>
        <v>0</v>
      </c>
      <c r="IE7" s="10">
        <f>IF(CABLES[[#This Row],[SEG51]]&gt;0,CABLES[[#This Row],[CABLE_MASS]],0)</f>
        <v>0</v>
      </c>
      <c r="IF7" s="10">
        <f>IF(CABLES[[#This Row],[SEG52]]&gt;0,CABLES[[#This Row],[CABLE_MASS]],0)</f>
        <v>0</v>
      </c>
      <c r="IG7" s="10">
        <f>IF(CABLES[[#This Row],[SEG53]]&gt;0,CABLES[[#This Row],[CABLE_MASS]],0)</f>
        <v>0</v>
      </c>
      <c r="IH7" s="10">
        <f>IF(CABLES[[#This Row],[SEG54]]&gt;0,CABLES[[#This Row],[CABLE_MASS]],0)</f>
        <v>0</v>
      </c>
      <c r="II7" s="10">
        <f>IF(CABLES[[#This Row],[SEG55]]&gt;0,CABLES[[#This Row],[CABLE_MASS]],0)</f>
        <v>0</v>
      </c>
      <c r="IJ7" s="10">
        <f>IF(CABLES[[#This Row],[SEG56]]&gt;0,CABLES[[#This Row],[CABLE_MASS]],0)</f>
        <v>0</v>
      </c>
      <c r="IK7" s="10">
        <f>IF(CABLES[[#This Row],[SEG57]]&gt;0,CABLES[[#This Row],[CABLE_MASS]],0)</f>
        <v>0</v>
      </c>
      <c r="IL7" s="10">
        <f>IF(CABLES[[#This Row],[SEG58]]&gt;0,CABLES[[#This Row],[CABLE_MASS]],0)</f>
        <v>0</v>
      </c>
      <c r="IM7" s="10">
        <f>IF(CABLES[[#This Row],[SEG59]]&gt;0,CABLES[[#This Row],[CABLE_MASS]],0)</f>
        <v>0</v>
      </c>
      <c r="IN7" s="10">
        <f>IF(CABLES[[#This Row],[SEG60]]&gt;0,CABLES[[#This Row],[CABLE_MASS]],0)</f>
        <v>0</v>
      </c>
      <c r="IO7" s="10">
        <f xml:space="preserve">  (CABLES[[#This Row],[LOAD_KW]]/(SQRT(3)*SYSTEM_VOLTAGE*POWER_FACTOR))*1000</f>
        <v>17.641258225238563</v>
      </c>
      <c r="IP7" s="10">
        <v>45</v>
      </c>
      <c r="IQ7" s="10">
        <f xml:space="preserve"> INDEX(AS3000_AMBIENTDERATE[], MATCH(CABLES[[#This Row],[AMBIENT]],AS3000_AMBIENTDERATE[AMBIENT],0), 2)</f>
        <v>0.94</v>
      </c>
      <c r="IR7" s="10">
        <f xml:space="preserve"> ROUNDUP( CABLES[[#This Row],[CALCULATED_AMPS]]/CABLES[[#This Row],[AMBIENT_DERATING]],1)</f>
        <v>18.8</v>
      </c>
      <c r="IS7" s="10" t="s">
        <v>531</v>
      </c>
      <c r="IT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7" s="10">
        <f t="shared" si="0"/>
        <v>28.000000000000004</v>
      </c>
      <c r="IV7" s="10">
        <f>(1000*CABLES[[#This Row],[MAX_VDROP]])/(CABLES[[#This Row],[ESTIMATED_CABLE_LENGTH]]*CABLES[[#This Row],[AMP_RATING]])</f>
        <v>23.417636825906602</v>
      </c>
      <c r="IW7" s="10">
        <f xml:space="preserve"> INDEX(AS3000_VDROP[], MATCH(CABLES[[#This Row],[VC_CALC]],AS3000_VDROP[Vc],1),1)</f>
        <v>2.5</v>
      </c>
      <c r="IX7" s="10">
        <f>MAX(CABLES[[#This Row],[CABLESIZE_METHOD1]],CABLES[[#This Row],[CABLESIZE_METHOD2]])</f>
        <v>2.5</v>
      </c>
      <c r="IY7" s="10"/>
      <c r="IZ7" s="10">
        <f>IF(LEN(CABLES[[#This Row],[OVERRIDE_CABLESIZE]])&gt;0,CABLES[[#This Row],[OVERRIDE_CABLESIZE]],CABLES[[#This Row],[INITIAL_CABLESIZE]])</f>
        <v>2.5</v>
      </c>
      <c r="JA7" s="10">
        <f>INDEX(PROTECTIVE_DEVICE[DEVICE], MATCH(CABLES[[#This Row],[CALCULATED_AMPS]],PROTECTIVE_DEVICE[DEVICE],-1),1)</f>
        <v>20</v>
      </c>
      <c r="JB7" s="10"/>
      <c r="JC7" s="10">
        <f>IF(LEN(CABLES[[#This Row],[OVERRIDE_PDEVICE]])&gt;0, CABLES[[#This Row],[OVERRIDE_PDEVICE]],CABLES[[#This Row],[RECOMMEND_PDEVICE]])</f>
        <v>20</v>
      </c>
      <c r="JD7" s="10" t="s">
        <v>450</v>
      </c>
      <c r="JE7" s="10">
        <f xml:space="preserve"> CABLES[[#This Row],[SELECTED_PDEVICE]] * INDEX(DEVICE_CURVE[], MATCH(CABLES[[#This Row],[PDEVICE_CURVE]], DEVICE_CURVE[DEVICE_CURVE],0),2)</f>
        <v>130</v>
      </c>
      <c r="JF7" s="10" t="s">
        <v>458</v>
      </c>
      <c r="JG7" s="10">
        <f xml:space="preserve"> INDEX(CONDUCTOR_MATERIAL[], MATCH(CABLES[[#This Row],[CONDUCTOR_MATERIAL]],CONDUCTOR_MATERIAL[CONDUCTOR_MATERIAL],0),2)</f>
        <v>2.2499999999999999E-2</v>
      </c>
      <c r="JH7" s="10">
        <f>CABLES[[#This Row],[SELECTED_CABLESIZE]]</f>
        <v>2.5</v>
      </c>
      <c r="JI7" s="10">
        <f xml:space="preserve"> INDEX( EARTH_CONDUCTOR_SIZE[], MATCH(CABLES[[#This Row],[SPH]],EARTH_CONDUCTOR_SIZE[MM^2],-1), 2)</f>
        <v>2.5</v>
      </c>
      <c r="JJ7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7" s="10" t="str">
        <f>IF(CABLES[[#This Row],[LMAX]]&gt;CABLES[[#This Row],[ESTIMATED_CABLE_LENGTH]], "PASS", "ERROR")</f>
        <v>PASS</v>
      </c>
      <c r="JL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7" s="6">
        <f xml:space="preserve"> ROUNDUP( CABLES[[#This Row],[CALCULATED_AMPS]],1)</f>
        <v>17.700000000000003</v>
      </c>
      <c r="JO7" s="6">
        <f>CABLES[[#This Row],[SELECTED_CABLESIZE]]</f>
        <v>2.5</v>
      </c>
      <c r="JP7" s="10">
        <f>CABLES[[#This Row],[ESTIMATED_CABLE_LENGTH]]</f>
        <v>63.599999999999994</v>
      </c>
      <c r="JQ7" s="6">
        <f>CABLES[[#This Row],[SELECTED_PDEVICE]]</f>
        <v>20</v>
      </c>
    </row>
    <row r="8" spans="1:277" x14ac:dyDescent="0.35">
      <c r="A8" s="5" t="s">
        <v>7</v>
      </c>
      <c r="B8" s="5" t="s">
        <v>83</v>
      </c>
      <c r="C8" s="10" t="s">
        <v>262</v>
      </c>
      <c r="D8" s="9">
        <v>1.5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</v>
      </c>
      <c r="AI8" s="9">
        <v>1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1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1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f xml:space="preserve"> IF(CABLES[[#This Row],[SEG1]] &gt;0, INDEX(SEGMENTS[], MATCH(CABLES[[#Headers],[SEG1]],SEGMENTS[SEG_ID],0),4),0)</f>
        <v>0</v>
      </c>
      <c r="BN8" s="9">
        <f xml:space="preserve"> IF(CABLES[[#This Row],[SEG2]] &gt;0, INDEX(SEGMENTS[], MATCH(CABLES[[#Headers],[SEG2]],SEGMENTS[SEG_ID],0),4),0)</f>
        <v>0</v>
      </c>
      <c r="BO8" s="9">
        <f xml:space="preserve"> IF(CABLES[[#This Row],[SEG3]] &gt;0, INDEX(SEGMENTS[], MATCH(CABLES[[#Headers],[SEG3]],SEGMENTS[SEG_ID],0),4),0)</f>
        <v>0</v>
      </c>
      <c r="BP8" s="9">
        <f xml:space="preserve"> IF(CABLES[[#This Row],[SEG4]] &gt;0, INDEX(SEGMENTS[], MATCH(CABLES[[#Headers],[SEG4]],SEGMENTS[SEG_ID],0),4),0)</f>
        <v>0</v>
      </c>
      <c r="BQ8" s="9">
        <f xml:space="preserve"> IF(CABLES[[#This Row],[SEG5]] &gt;0,INDEX(SEGMENTS[], MATCH(CABLES[[#Headers],[SEG5]],SEGMENTS[SEG_ID],0),4),0)</f>
        <v>0</v>
      </c>
      <c r="BR8" s="9">
        <f xml:space="preserve"> IF(CABLES[[#This Row],[SEG6]] &gt;0,INDEX(SEGMENTS[], MATCH(CABLES[[#Headers],[SEG6]],SEGMENTS[SEG_ID],0),4),0)</f>
        <v>0</v>
      </c>
      <c r="BS8" s="9">
        <f xml:space="preserve"> IF(CABLES[[#This Row],[SEG7]] &gt;0,INDEX(SEGMENTS[], MATCH(CABLES[[#Headers],[SEG7]],SEGMENTS[SEG_ID],0),4),0)</f>
        <v>0</v>
      </c>
      <c r="BT8" s="9">
        <f xml:space="preserve"> IF(CABLES[[#This Row],[SEG8]] &gt;0,INDEX(SEGMENTS[], MATCH(CABLES[[#Headers],[SEG8]],SEGMENTS[SEG_ID],0),4),0)</f>
        <v>0</v>
      </c>
      <c r="BU8" s="9">
        <f xml:space="preserve"> IF(CABLES[[#This Row],[SEG9]] &gt;0,INDEX(SEGMENTS[], MATCH(CABLES[[#Headers],[SEG9]],SEGMENTS[SEG_ID],0),4),0)</f>
        <v>0</v>
      </c>
      <c r="BV8" s="9">
        <f xml:space="preserve"> IF(CABLES[[#This Row],[SEG10]] &gt;0,INDEX(SEGMENTS[], MATCH(CABLES[[#Headers],[SEG10]],SEGMENTS[SEG_ID],0),4),0)</f>
        <v>0</v>
      </c>
      <c r="BW8" s="9">
        <f xml:space="preserve"> IF(CABLES[[#This Row],[SEG11]] &gt;0,INDEX(SEGMENTS[], MATCH(CABLES[[#Headers],[SEG11]],SEGMENTS[SEG_ID],0),4),0)</f>
        <v>0</v>
      </c>
      <c r="BX8" s="9">
        <f>IF(CABLES[[#This Row],[SEG12]] &gt;0, INDEX(SEGMENTS[], MATCH(CABLES[[#Headers],[SEG12]],SEGMENTS[SEG_ID],0),4),0)</f>
        <v>0</v>
      </c>
      <c r="BY8" s="9">
        <f xml:space="preserve"> IF(CABLES[[#This Row],[SEG13]] &gt;0,INDEX(SEGMENTS[], MATCH(CABLES[[#Headers],[SEG13]],SEGMENTS[SEG_ID],0),4),0)</f>
        <v>0</v>
      </c>
      <c r="BZ8" s="9">
        <f xml:space="preserve"> IF(CABLES[[#This Row],[SEG14]] &gt;0,INDEX(SEGMENTS[], MATCH(CABLES[[#Headers],[SEG14]],SEGMENTS[SEG_ID],0),4),0)</f>
        <v>0</v>
      </c>
      <c r="CA8" s="9">
        <f xml:space="preserve"> IF(CABLES[[#This Row],[SEG15]] &gt;0,INDEX(SEGMENTS[], MATCH(CABLES[[#Headers],[SEG15]],SEGMENTS[SEG_ID],0),4),0)</f>
        <v>0</v>
      </c>
      <c r="CB8" s="9">
        <f xml:space="preserve"> IF(CABLES[[#This Row],[SEG16]] &gt;0,INDEX(SEGMENTS[], MATCH(CABLES[[#Headers],[SEG16]],SEGMENTS[SEG_ID],0),4),0)</f>
        <v>0</v>
      </c>
      <c r="CC8" s="9">
        <f xml:space="preserve"> IF(CABLES[[#This Row],[SEG17]] &gt;0,INDEX(SEGMENTS[], MATCH(CABLES[[#Headers],[SEG17]],SEGMENTS[SEG_ID],0),4),0)</f>
        <v>0</v>
      </c>
      <c r="CD8" s="9">
        <f xml:space="preserve"> IF(CABLES[[#This Row],[SEG18]] &gt;0,INDEX(SEGMENTS[], MATCH(CABLES[[#Headers],[SEG18]],SEGMENTS[SEG_ID],0),4),0)</f>
        <v>0</v>
      </c>
      <c r="CE8" s="9">
        <f>IF(CABLES[[#This Row],[SEG19]] &gt;0, INDEX(SEGMENTS[], MATCH(CABLES[[#Headers],[SEG19]],SEGMENTS[SEG_ID],0),4),0)</f>
        <v>0</v>
      </c>
      <c r="CF8" s="9">
        <f>IF(CABLES[[#This Row],[SEG20]] &gt;0, INDEX(SEGMENTS[], MATCH(CABLES[[#Headers],[SEG20]],SEGMENTS[SEG_ID],0),4),0)</f>
        <v>0</v>
      </c>
      <c r="CG8" s="9">
        <f xml:space="preserve"> IF(CABLES[[#This Row],[SEG21]] &gt;0,INDEX(SEGMENTS[], MATCH(CABLES[[#Headers],[SEG21]],SEGMENTS[SEG_ID],0),4),0)</f>
        <v>0</v>
      </c>
      <c r="CH8" s="9">
        <f xml:space="preserve"> IF(CABLES[[#This Row],[SEG22]] &gt;0,INDEX(SEGMENTS[], MATCH(CABLES[[#Headers],[SEG22]],SEGMENTS[SEG_ID],0),4),0)</f>
        <v>0</v>
      </c>
      <c r="CI8" s="9">
        <f>IF(CABLES[[#This Row],[SEG23]] &gt;0, INDEX(SEGMENTS[], MATCH(CABLES[[#Headers],[SEG23]],SEGMENTS[SEG_ID],0),4),0)</f>
        <v>0</v>
      </c>
      <c r="CJ8" s="9">
        <f xml:space="preserve"> IF(CABLES[[#This Row],[SEG24]] &gt;0,INDEX(SEGMENTS[], MATCH(CABLES[[#Headers],[SEG24]],SEGMENTS[SEG_ID],0),4),0)</f>
        <v>0</v>
      </c>
      <c r="CK8" s="9">
        <f>IF(CABLES[[#This Row],[SEG25]] &gt;0, INDEX(SEGMENTS[], MATCH(CABLES[[#Headers],[SEG25]],SEGMENTS[SEG_ID],0),4),0)</f>
        <v>0</v>
      </c>
      <c r="CL8" s="9">
        <f>IF(CABLES[[#This Row],[SEG26]] &gt;0, INDEX(SEGMENTS[], MATCH(CABLES[[#Headers],[SEG26]],SEGMENTS[SEG_ID],0),4),0)</f>
        <v>0</v>
      </c>
      <c r="CM8" s="9">
        <f xml:space="preserve"> IF(CABLES[[#This Row],[SEG27]] &gt;0,INDEX(SEGMENTS[], MATCH(CABLES[[#Headers],[SEG27]],SEGMENTS[SEG_ID],0),4),0)</f>
        <v>0</v>
      </c>
      <c r="CN8" s="9">
        <f xml:space="preserve"> IF(CABLES[[#This Row],[SEG28]] &gt;0,INDEX(SEGMENTS[], MATCH(CABLES[[#Headers],[SEG28]],SEGMENTS[SEG_ID],0),4),0)</f>
        <v>0</v>
      </c>
      <c r="CO8" s="9">
        <f xml:space="preserve"> IF(CABLES[[#This Row],[SEG29]] &gt;0,INDEX(SEGMENTS[], MATCH(CABLES[[#Headers],[SEG29]],SEGMENTS[SEG_ID],0),4),0)</f>
        <v>0</v>
      </c>
      <c r="CP8" s="9">
        <f xml:space="preserve"> IF(CABLES[[#This Row],[SEG30]] &gt;0,INDEX(SEGMENTS[], MATCH(CABLES[[#Headers],[SEG30]],SEGMENTS[SEG_ID],0),4),0)</f>
        <v>6</v>
      </c>
      <c r="CQ8" s="9">
        <f>IF(CABLES[[#This Row],[SEG31]] &gt;0, INDEX(SEGMENTS[], MATCH(CABLES[[#Headers],[SEG31]],SEGMENTS[SEG_ID],0),4),0)</f>
        <v>3</v>
      </c>
      <c r="CR8" s="9">
        <f xml:space="preserve"> IF(CABLES[[#This Row],[SEG32]] &gt;0,INDEX(SEGMENTS[], MATCH(CABLES[[#Headers],[SEG32]],SEGMENTS[SEG_ID],0),4),0)</f>
        <v>0</v>
      </c>
      <c r="CS8" s="9">
        <f xml:space="preserve"> IF(CABLES[[#This Row],[SEG33]] &gt;0,INDEX(SEGMENTS[], MATCH(CABLES[[#Headers],[SEG33]],SEGMENTS[SEG_ID],0),4),0)</f>
        <v>0</v>
      </c>
      <c r="CT8" s="9">
        <f>IF(CABLES[[#This Row],[SEG34]] &gt;0, INDEX(SEGMENTS[], MATCH(CABLES[[#Headers],[SEG34]],SEGMENTS[SEG_ID],0),4),0)</f>
        <v>0</v>
      </c>
      <c r="CU8" s="9">
        <f xml:space="preserve"> IF(CABLES[[#This Row],[SEG35]] &gt;0,INDEX(SEGMENTS[], MATCH(CABLES[[#Headers],[SEG35]],SEGMENTS[SEG_ID],0),4),0)</f>
        <v>0</v>
      </c>
      <c r="CV8" s="9">
        <f xml:space="preserve"> IF(CABLES[[#This Row],[SEG36]] &gt;0,INDEX(SEGMENTS[], MATCH(CABLES[[#Headers],[SEG36]],SEGMENTS[SEG_ID],0),4),0)</f>
        <v>0</v>
      </c>
      <c r="CW8" s="9">
        <f xml:space="preserve"> IF(CABLES[[#This Row],[SEG37]] &gt;0,INDEX(SEGMENTS[], MATCH(CABLES[[#Headers],[SEG37]],SEGMENTS[SEG_ID],0),4),0)</f>
        <v>0</v>
      </c>
      <c r="CX8" s="9">
        <f xml:space="preserve"> IF(CABLES[[#This Row],[SEG38]] &gt;0,INDEX(SEGMENTS[], MATCH(CABLES[[#Headers],[SEG38]],SEGMENTS[SEG_ID],0),4),0)</f>
        <v>0</v>
      </c>
      <c r="CY8" s="9">
        <f xml:space="preserve"> IF(CABLES[[#This Row],[SEG39]] &gt;0,INDEX(SEGMENTS[], MATCH(CABLES[[#Headers],[SEG39]],SEGMENTS[SEG_ID],0),4),0)</f>
        <v>8</v>
      </c>
      <c r="CZ8" s="9">
        <f xml:space="preserve"> IF(CABLES[[#This Row],[SEG40]] &gt;0,INDEX(SEGMENTS[], MATCH(CABLES[[#Headers],[SEG40]],SEGMENTS[SEG_ID],0),4),0)</f>
        <v>0</v>
      </c>
      <c r="DA8" s="9">
        <f xml:space="preserve"> IF(CABLES[[#This Row],[SEG41]] &gt;0,INDEX(SEGMENTS[], MATCH(CABLES[[#Headers],[SEG41]],SEGMENTS[SEG_ID],0),4),0)</f>
        <v>8</v>
      </c>
      <c r="DB8" s="9">
        <f xml:space="preserve"> IF(CABLES[[#This Row],[SEG42]] &gt;0,INDEX(SEGMENTS[], MATCH(CABLES[[#Headers],[SEG42]],SEGMENTS[SEG_ID],0),4),0)</f>
        <v>0</v>
      </c>
      <c r="DC8" s="9">
        <f xml:space="preserve"> IF(CABLES[[#This Row],[SEG43]] &gt;0,INDEX(SEGMENTS[], MATCH(CABLES[[#Headers],[SEG43]],SEGMENTS[SEG_ID],0),4),0)</f>
        <v>0</v>
      </c>
      <c r="DD8" s="9">
        <f xml:space="preserve"> IF(CABLES[[#This Row],[SEG44]] &gt;0,INDEX(SEGMENTS[], MATCH(CABLES[[#Headers],[SEG44]],SEGMENTS[SEG_ID],0),4),0)</f>
        <v>0</v>
      </c>
      <c r="DE8" s="9">
        <f xml:space="preserve"> IF(CABLES[[#This Row],[SEG45]] &gt;0,INDEX(SEGMENTS[], MATCH(CABLES[[#Headers],[SEG45]],SEGMENTS[SEG_ID],0),4),0)</f>
        <v>9</v>
      </c>
      <c r="DF8" s="9">
        <f xml:space="preserve"> IF(CABLES[[#This Row],[SEG46]] &gt;0,INDEX(SEGMENTS[], MATCH(CABLES[[#Headers],[SEG46]],SEGMENTS[SEG_ID],0),4),0)</f>
        <v>14</v>
      </c>
      <c r="DG8" s="9">
        <f xml:space="preserve"> IF(CABLES[[#This Row],[SEG47]] &gt;0,INDEX(SEGMENTS[], MATCH(CABLES[[#Headers],[SEG47]],SEGMENTS[SEG_ID],0),4),0)</f>
        <v>0</v>
      </c>
      <c r="DH8" s="9">
        <f xml:space="preserve"> IF(CABLES[[#This Row],[SEG48]] &gt;0,INDEX(SEGMENTS[], MATCH(CABLES[[#Headers],[SEG48]],SEGMENTS[SEG_ID],0),4),0)</f>
        <v>0</v>
      </c>
      <c r="DI8" s="9">
        <f xml:space="preserve"> IF(CABLES[[#This Row],[SEG49]] &gt;0,INDEX(SEGMENTS[], MATCH(CABLES[[#Headers],[SEG49]],SEGMENTS[SEG_ID],0),4),0)</f>
        <v>0</v>
      </c>
      <c r="DJ8" s="9">
        <f xml:space="preserve"> IF(CABLES[[#This Row],[SEG50]] &gt;0,INDEX(SEGMENTS[], MATCH(CABLES[[#Headers],[SEG50]],SEGMENTS[SEG_ID],0),4),0)</f>
        <v>0</v>
      </c>
      <c r="DK8" s="9">
        <f xml:space="preserve"> IF(CABLES[[#This Row],[SEG51]] &gt;0,INDEX(SEGMENTS[], MATCH(CABLES[[#Headers],[SEG51]],SEGMENTS[SEG_ID],0),4),0)</f>
        <v>0</v>
      </c>
      <c r="DL8" s="9">
        <f xml:space="preserve"> IF(CABLES[[#This Row],[SEG52]] &gt;0,INDEX(SEGMENTS[], MATCH(CABLES[[#Headers],[SEG52]],SEGMENTS[SEG_ID],0),4),0)</f>
        <v>0</v>
      </c>
      <c r="DM8" s="9">
        <f xml:space="preserve"> IF(CABLES[[#This Row],[SEG53]] &gt;0,INDEX(SEGMENTS[], MATCH(CABLES[[#Headers],[SEG53]],SEGMENTS[SEG_ID],0),4),0)</f>
        <v>0</v>
      </c>
      <c r="DN8" s="9">
        <f xml:space="preserve"> IF(CABLES[[#This Row],[SEG54]] &gt;0,INDEX(SEGMENTS[], MATCH(CABLES[[#Headers],[SEG54]],SEGMENTS[SEG_ID],0),4),0)</f>
        <v>0</v>
      </c>
      <c r="DO8" s="9">
        <f xml:space="preserve"> IF(CABLES[[#This Row],[SEG55]] &gt;0,INDEX(SEGMENTS[], MATCH(CABLES[[#Headers],[SEG55]],SEGMENTS[SEG_ID],0),4),0)</f>
        <v>0</v>
      </c>
      <c r="DP8" s="9">
        <f xml:space="preserve"> IF(CABLES[[#This Row],[SEG56]] &gt;0,INDEX(SEGMENTS[], MATCH(CABLES[[#Headers],[SEG56]],SEGMENTS[SEG_ID],0),4),0)</f>
        <v>0</v>
      </c>
      <c r="DQ8" s="9">
        <f xml:space="preserve"> IF(CABLES[[#This Row],[SEG57]] &gt;0,INDEX(SEGMENTS[], MATCH(CABLES[[#Headers],[SEG57]],SEGMENTS[SEG_ID],0),4),0)</f>
        <v>0</v>
      </c>
      <c r="DR8" s="9">
        <f xml:space="preserve"> IF(CABLES[[#This Row],[SEG58]] &gt;0,INDEX(SEGMENTS[], MATCH(CABLES[[#Headers],[SEG58]],SEGMENTS[SEG_ID],0),4),0)</f>
        <v>0</v>
      </c>
      <c r="DS8" s="9">
        <f xml:space="preserve"> IF(CABLES[[#This Row],[SEG59]] &gt;0,INDEX(SEGMENTS[], MATCH(CABLES[[#Headers],[SEG59]],SEGMENTS[SEG_ID],0),4),0)</f>
        <v>0</v>
      </c>
      <c r="DT8" s="9">
        <f xml:space="preserve"> IF(CABLES[[#This Row],[SEG60]] &gt;0,INDEX(SEGMENTS[], MATCH(CABLES[[#Headers],[SEG60]],SEGMENTS[SEG_ID],0),4),0)</f>
        <v>0</v>
      </c>
      <c r="DU8" s="10">
        <f>SUM(CABLES[[#This Row],[SEGL1]:[SEGL60]])</f>
        <v>48</v>
      </c>
      <c r="DV8" s="10">
        <v>5</v>
      </c>
      <c r="DW8" s="10">
        <v>1.2</v>
      </c>
      <c r="DX8" s="10">
        <f xml:space="preserve"> IF(CABLES[[#This Row],[SEGL_TOTAL]]&gt;0, (CABLES[[#This Row],[SEGL_TOTAL]] + CABLES[[#This Row],[FITOFF]]) *CABLES[[#This Row],[XCAPACITY]],0)</f>
        <v>63.599999999999994</v>
      </c>
      <c r="DY8" s="10">
        <f>IF(CABLES[[#This Row],[SEG1]]&gt;0,CABLES[[#This Row],[CABLE_DIAMETER]],0)</f>
        <v>0</v>
      </c>
      <c r="DZ8" s="10">
        <f>IF(CABLES[[#This Row],[SEG2]]&gt;0,CABLES[[#This Row],[CABLE_DIAMETER]],0)</f>
        <v>0</v>
      </c>
      <c r="EA8" s="10">
        <f>IF(CABLES[[#This Row],[SEG3]]&gt;0,CABLES[[#This Row],[CABLE_DIAMETER]],0)</f>
        <v>0</v>
      </c>
      <c r="EB8" s="10">
        <f>IF(CABLES[[#This Row],[SEG4]]&gt;0,CABLES[[#This Row],[CABLE_DIAMETER]],0)</f>
        <v>0</v>
      </c>
      <c r="EC8" s="10">
        <f>IF(CABLES[[#This Row],[SEG5]]&gt;0,CABLES[[#This Row],[CABLE_DIAMETER]],0)</f>
        <v>0</v>
      </c>
      <c r="ED8" s="10">
        <f>IF(CABLES[[#This Row],[SEG6]]&gt;0,CABLES[[#This Row],[CABLE_DIAMETER]],0)</f>
        <v>0</v>
      </c>
      <c r="EE8" s="10">
        <f>IF(CABLES[[#This Row],[SEG7]]&gt;0,CABLES[[#This Row],[CABLE_DIAMETER]],0)</f>
        <v>0</v>
      </c>
      <c r="EF8" s="10">
        <f>IF(CABLES[[#This Row],[SEG9]]&gt;0,CABLES[[#This Row],[CABLE_DIAMETER]],0)</f>
        <v>0</v>
      </c>
      <c r="EG8" s="10">
        <f>IF(CABLES[[#This Row],[SEG9]]&gt;0,CABLES[[#This Row],[CABLE_DIAMETER]],0)</f>
        <v>0</v>
      </c>
      <c r="EH8" s="10">
        <f>IF(CABLES[[#This Row],[SEG10]]&gt;0,CABLES[[#This Row],[CABLE_DIAMETER]],0)</f>
        <v>0</v>
      </c>
      <c r="EI8" s="10">
        <f>IF(CABLES[[#This Row],[SEG11]]&gt;0,CABLES[[#This Row],[CABLE_DIAMETER]],0)</f>
        <v>0</v>
      </c>
      <c r="EJ8" s="10">
        <f>IF(CABLES[[#This Row],[SEG12]]&gt;0,CABLES[[#This Row],[CABLE_DIAMETER]],0)</f>
        <v>0</v>
      </c>
      <c r="EK8" s="10">
        <f>IF(CABLES[[#This Row],[SEG13]]&gt;0,CABLES[[#This Row],[CABLE_DIAMETER]],0)</f>
        <v>0</v>
      </c>
      <c r="EL8" s="10">
        <f>IF(CABLES[[#This Row],[SEG14]]&gt;0,CABLES[[#This Row],[CABLE_DIAMETER]],0)</f>
        <v>0</v>
      </c>
      <c r="EM8" s="10">
        <f>IF(CABLES[[#This Row],[SEG15]]&gt;0,CABLES[[#This Row],[CABLE_DIAMETER]],0)</f>
        <v>0</v>
      </c>
      <c r="EN8" s="10">
        <f>IF(CABLES[[#This Row],[SEG16]]&gt;0,CABLES[[#This Row],[CABLE_DIAMETER]],0)</f>
        <v>0</v>
      </c>
      <c r="EO8" s="10">
        <f>IF(CABLES[[#This Row],[SEG17]]&gt;0,CABLES[[#This Row],[CABLE_DIAMETER]],0)</f>
        <v>0</v>
      </c>
      <c r="EP8" s="10">
        <f>IF(CABLES[[#This Row],[SEG18]]&gt;0,CABLES[[#This Row],[CABLE_DIAMETER]],0)</f>
        <v>0</v>
      </c>
      <c r="EQ8" s="10">
        <f>IF(CABLES[[#This Row],[SEG19]]&gt;0,CABLES[[#This Row],[CABLE_DIAMETER]],0)</f>
        <v>0</v>
      </c>
      <c r="ER8" s="10">
        <f>IF(CABLES[[#This Row],[SEG20]]&gt;0,CABLES[[#This Row],[CABLE_DIAMETER]],0)</f>
        <v>0</v>
      </c>
      <c r="ES8" s="10">
        <f>IF(CABLES[[#This Row],[SEG21]]&gt;0,CABLES[[#This Row],[CABLE_DIAMETER]],0)</f>
        <v>0</v>
      </c>
      <c r="ET8" s="10">
        <f>IF(CABLES[[#This Row],[SEG22]]&gt;0,CABLES[[#This Row],[CABLE_DIAMETER]],0)</f>
        <v>0</v>
      </c>
      <c r="EU8" s="10">
        <f>IF(CABLES[[#This Row],[SEG23]]&gt;0,CABLES[[#This Row],[CABLE_DIAMETER]],0)</f>
        <v>0</v>
      </c>
      <c r="EV8" s="10">
        <f>IF(CABLES[[#This Row],[SEG24]]&gt;0,CABLES[[#This Row],[CABLE_DIAMETER]],0)</f>
        <v>0</v>
      </c>
      <c r="EW8" s="10">
        <f>IF(CABLES[[#This Row],[SEG25]]&gt;0,CABLES[[#This Row],[CABLE_DIAMETER]],0)</f>
        <v>0</v>
      </c>
      <c r="EX8" s="10">
        <f>IF(CABLES[[#This Row],[SEG26]]&gt;0,CABLES[[#This Row],[CABLE_DIAMETER]],0)</f>
        <v>0</v>
      </c>
      <c r="EY8" s="10">
        <f>IF(CABLES[[#This Row],[SEG27]]&gt;0,CABLES[[#This Row],[CABLE_DIAMETER]],0)</f>
        <v>0</v>
      </c>
      <c r="EZ8" s="10">
        <f>IF(CABLES[[#This Row],[SEG28]]&gt;0,CABLES[[#This Row],[CABLE_DIAMETER]],0)</f>
        <v>0</v>
      </c>
      <c r="FA8" s="10">
        <f>IF(CABLES[[#This Row],[SEG29]]&gt;0,CABLES[[#This Row],[CABLE_DIAMETER]],0)</f>
        <v>0</v>
      </c>
      <c r="FB8" s="10">
        <f>IF(CABLES[[#This Row],[SEG30]]&gt;0,CABLES[[#This Row],[CABLE_DIAMETER]],0)</f>
        <v>12</v>
      </c>
      <c r="FC8" s="10">
        <f>IF(CABLES[[#This Row],[SEG31]]&gt;0,CABLES[[#This Row],[CABLE_DIAMETER]],0)</f>
        <v>12</v>
      </c>
      <c r="FD8" s="10">
        <f>IF(CABLES[[#This Row],[SEG32]]&gt;0,CABLES[[#This Row],[CABLE_DIAMETER]],0)</f>
        <v>0</v>
      </c>
      <c r="FE8" s="10">
        <f>IF(CABLES[[#This Row],[SEG33]]&gt;0,CABLES[[#This Row],[CABLE_DIAMETER]],0)</f>
        <v>0</v>
      </c>
      <c r="FF8" s="10">
        <f>IF(CABLES[[#This Row],[SEG34]]&gt;0,CABLES[[#This Row],[CABLE_DIAMETER]],0)</f>
        <v>0</v>
      </c>
      <c r="FG8" s="10">
        <f>IF(CABLES[[#This Row],[SEG35]]&gt;0,CABLES[[#This Row],[CABLE_DIAMETER]],0)</f>
        <v>0</v>
      </c>
      <c r="FH8" s="10">
        <f>IF(CABLES[[#This Row],[SEG36]]&gt;0,CABLES[[#This Row],[CABLE_DIAMETER]],0)</f>
        <v>0</v>
      </c>
      <c r="FI8" s="10">
        <f>IF(CABLES[[#This Row],[SEG37]]&gt;0,CABLES[[#This Row],[CABLE_DIAMETER]],0)</f>
        <v>0</v>
      </c>
      <c r="FJ8" s="10">
        <f>IF(CABLES[[#This Row],[SEG38]]&gt;0,CABLES[[#This Row],[CABLE_DIAMETER]],0)</f>
        <v>0</v>
      </c>
      <c r="FK8" s="10">
        <f>IF(CABLES[[#This Row],[SEG39]]&gt;0,CABLES[[#This Row],[CABLE_DIAMETER]],0)</f>
        <v>12</v>
      </c>
      <c r="FL8" s="10">
        <f>IF(CABLES[[#This Row],[SEG40]]&gt;0,CABLES[[#This Row],[CABLE_DIAMETER]],0)</f>
        <v>0</v>
      </c>
      <c r="FM8" s="10">
        <f>IF(CABLES[[#This Row],[SEG41]]&gt;0,CABLES[[#This Row],[CABLE_DIAMETER]],0)</f>
        <v>12</v>
      </c>
      <c r="FN8" s="10">
        <f>IF(CABLES[[#This Row],[SEG42]]&gt;0,CABLES[[#This Row],[CABLE_DIAMETER]],0)</f>
        <v>0</v>
      </c>
      <c r="FO8" s="10">
        <f>IF(CABLES[[#This Row],[SEG43]]&gt;0,CABLES[[#This Row],[CABLE_DIAMETER]],0)</f>
        <v>0</v>
      </c>
      <c r="FP8" s="10">
        <f>IF(CABLES[[#This Row],[SEG44]]&gt;0,CABLES[[#This Row],[CABLE_DIAMETER]],0)</f>
        <v>0</v>
      </c>
      <c r="FQ8" s="10">
        <f>IF(CABLES[[#This Row],[SEG45]]&gt;0,CABLES[[#This Row],[CABLE_DIAMETER]],0)</f>
        <v>12</v>
      </c>
      <c r="FR8" s="10">
        <f>IF(CABLES[[#This Row],[SEG46]]&gt;0,CABLES[[#This Row],[CABLE_DIAMETER]],0)</f>
        <v>12</v>
      </c>
      <c r="FS8" s="10">
        <f>IF(CABLES[[#This Row],[SEG47]]&gt;0,CABLES[[#This Row],[CABLE_DIAMETER]],0)</f>
        <v>0</v>
      </c>
      <c r="FT8" s="10">
        <f>IF(CABLES[[#This Row],[SEG48]]&gt;0,CABLES[[#This Row],[CABLE_DIAMETER]],0)</f>
        <v>0</v>
      </c>
      <c r="FU8" s="10">
        <f>IF(CABLES[[#This Row],[SEG49]]&gt;0,CABLES[[#This Row],[CABLE_DIAMETER]],0)</f>
        <v>0</v>
      </c>
      <c r="FV8" s="10">
        <f>IF(CABLES[[#This Row],[SEG50]]&gt;0,CABLES[[#This Row],[CABLE_DIAMETER]],0)</f>
        <v>0</v>
      </c>
      <c r="FW8" s="10">
        <f>IF(CABLES[[#This Row],[SEG51]]&gt;0,CABLES[[#This Row],[CABLE_DIAMETER]],0)</f>
        <v>0</v>
      </c>
      <c r="FX8" s="10">
        <f>IF(CABLES[[#This Row],[SEG52]]&gt;0,CABLES[[#This Row],[CABLE_DIAMETER]],0)</f>
        <v>0</v>
      </c>
      <c r="FY8" s="10">
        <f>IF(CABLES[[#This Row],[SEG53]]&gt;0,CABLES[[#This Row],[CABLE_DIAMETER]],0)</f>
        <v>0</v>
      </c>
      <c r="FZ8" s="10">
        <f>IF(CABLES[[#This Row],[SEG54]]&gt;0,CABLES[[#This Row],[CABLE_DIAMETER]],0)</f>
        <v>0</v>
      </c>
      <c r="GA8" s="10">
        <f>IF(CABLES[[#This Row],[SEG55]]&gt;0,CABLES[[#This Row],[CABLE_DIAMETER]],0)</f>
        <v>0</v>
      </c>
      <c r="GB8" s="10">
        <f>IF(CABLES[[#This Row],[SEG56]]&gt;0,CABLES[[#This Row],[CABLE_DIAMETER]],0)</f>
        <v>0</v>
      </c>
      <c r="GC8" s="10">
        <f>IF(CABLES[[#This Row],[SEG57]]&gt;0,CABLES[[#This Row],[CABLE_DIAMETER]],0)</f>
        <v>0</v>
      </c>
      <c r="GD8" s="10">
        <f>IF(CABLES[[#This Row],[SEG58]]&gt;0,CABLES[[#This Row],[CABLE_DIAMETER]],0)</f>
        <v>0</v>
      </c>
      <c r="GE8" s="10">
        <f>IF(CABLES[[#This Row],[SEG59]]&gt;0,CABLES[[#This Row],[CABLE_DIAMETER]],0)</f>
        <v>0</v>
      </c>
      <c r="GF8" s="10">
        <f>IF(CABLES[[#This Row],[SEG60]]&gt;0,CABLES[[#This Row],[CABLE_DIAMETER]],0)</f>
        <v>0</v>
      </c>
      <c r="GG8" s="10">
        <f>IF(CABLES[[#This Row],[SEG1]]&gt;0,CABLES[[#This Row],[CABLE_MASS]],0)</f>
        <v>0</v>
      </c>
      <c r="GH8" s="10">
        <f>IF(CABLES[[#This Row],[SEG2]]&gt;0,CABLES[[#This Row],[CABLE_MASS]],0)</f>
        <v>0</v>
      </c>
      <c r="GI8" s="10">
        <f>IF(CABLES[[#This Row],[SEG3]]&gt;0,CABLES[[#This Row],[CABLE_MASS]],0)</f>
        <v>0</v>
      </c>
      <c r="GJ8" s="10">
        <f>IF(CABLES[[#This Row],[SEG4]]&gt;0,CABLES[[#This Row],[CABLE_MASS]],0)</f>
        <v>0</v>
      </c>
      <c r="GK8" s="10">
        <f>IF(CABLES[[#This Row],[SEG5]]&gt;0,CABLES[[#This Row],[CABLE_MASS]],0)</f>
        <v>0</v>
      </c>
      <c r="GL8" s="10">
        <f>IF(CABLES[[#This Row],[SEG6]]&gt;0,CABLES[[#This Row],[CABLE_MASS]],0)</f>
        <v>0</v>
      </c>
      <c r="GM8" s="10">
        <f>IF(CABLES[[#This Row],[SEG7]]&gt;0,CABLES[[#This Row],[CABLE_MASS]],0)</f>
        <v>0</v>
      </c>
      <c r="GN8" s="10">
        <f>IF(CABLES[[#This Row],[SEG8]]&gt;0,CABLES[[#This Row],[CABLE_MASS]],0)</f>
        <v>0</v>
      </c>
      <c r="GO8" s="10">
        <f>IF(CABLES[[#This Row],[SEG9]]&gt;0,CABLES[[#This Row],[CABLE_MASS]],0)</f>
        <v>0</v>
      </c>
      <c r="GP8" s="10">
        <f>IF(CABLES[[#This Row],[SEG10]]&gt;0,CABLES[[#This Row],[CABLE_MASS]],0)</f>
        <v>0</v>
      </c>
      <c r="GQ8" s="10">
        <f>IF(CABLES[[#This Row],[SEG11]]&gt;0,CABLES[[#This Row],[CABLE_MASS]],0)</f>
        <v>0</v>
      </c>
      <c r="GR8" s="10">
        <f>IF(CABLES[[#This Row],[SEG12]]&gt;0,CABLES[[#This Row],[CABLE_MASS]],0)</f>
        <v>0</v>
      </c>
      <c r="GS8" s="10">
        <f>IF(CABLES[[#This Row],[SEG13]]&gt;0,CABLES[[#This Row],[CABLE_MASS]],0)</f>
        <v>0</v>
      </c>
      <c r="GT8" s="10">
        <f>IF(CABLES[[#This Row],[SEG14]]&gt;0,CABLES[[#This Row],[CABLE_MASS]],0)</f>
        <v>0</v>
      </c>
      <c r="GU8" s="10">
        <f>IF(CABLES[[#This Row],[SEG15]]&gt;0,CABLES[[#This Row],[CABLE_MASS]],0)</f>
        <v>0</v>
      </c>
      <c r="GV8" s="10">
        <f>IF(CABLES[[#This Row],[SEG16]]&gt;0,CABLES[[#This Row],[CABLE_MASS]],0)</f>
        <v>0</v>
      </c>
      <c r="GW8" s="10">
        <f>IF(CABLES[[#This Row],[SEG17]]&gt;0,CABLES[[#This Row],[CABLE_MASS]],0)</f>
        <v>0</v>
      </c>
      <c r="GX8" s="10">
        <f>IF(CABLES[[#This Row],[SEG18]]&gt;0,CABLES[[#This Row],[CABLE_MASS]],0)</f>
        <v>0</v>
      </c>
      <c r="GY8" s="10">
        <f>IF(CABLES[[#This Row],[SEG19]]&gt;0,CABLES[[#This Row],[CABLE_MASS]],0)</f>
        <v>0</v>
      </c>
      <c r="GZ8" s="10">
        <f>IF(CABLES[[#This Row],[SEG20]]&gt;0,CABLES[[#This Row],[CABLE_MASS]],0)</f>
        <v>0</v>
      </c>
      <c r="HA8" s="10">
        <f>IF(CABLES[[#This Row],[SEG21]]&gt;0,CABLES[[#This Row],[CABLE_MASS]],0)</f>
        <v>0</v>
      </c>
      <c r="HB8" s="10">
        <f>IF(CABLES[[#This Row],[SEG22]]&gt;0,CABLES[[#This Row],[CABLE_MASS]],0)</f>
        <v>0</v>
      </c>
      <c r="HC8" s="10">
        <f>IF(CABLES[[#This Row],[SEG23]]&gt;0,CABLES[[#This Row],[CABLE_MASS]],0)</f>
        <v>0</v>
      </c>
      <c r="HD8" s="10">
        <f>IF(CABLES[[#This Row],[SEG24]]&gt;0,CABLES[[#This Row],[CABLE_MASS]],0)</f>
        <v>0</v>
      </c>
      <c r="HE8" s="10">
        <f>IF(CABLES[[#This Row],[SEG25]]&gt;0,CABLES[[#This Row],[CABLE_MASS]],0)</f>
        <v>0</v>
      </c>
      <c r="HF8" s="10">
        <f>IF(CABLES[[#This Row],[SEG26]]&gt;0,CABLES[[#This Row],[CABLE_MASS]],0)</f>
        <v>0</v>
      </c>
      <c r="HG8" s="10">
        <f>IF(CABLES[[#This Row],[SEG27]]&gt;0,CABLES[[#This Row],[CABLE_MASS]],0)</f>
        <v>0</v>
      </c>
      <c r="HH8" s="10">
        <f>IF(CABLES[[#This Row],[SEG28]]&gt;0,CABLES[[#This Row],[CABLE_MASS]],0)</f>
        <v>0</v>
      </c>
      <c r="HI8" s="10">
        <f>IF(CABLES[[#This Row],[SEG29]]&gt;0,CABLES[[#This Row],[CABLE_MASS]],0)</f>
        <v>0</v>
      </c>
      <c r="HJ8" s="10">
        <f>IF(CABLES[[#This Row],[SEG30]]&gt;0,CABLES[[#This Row],[CABLE_MASS]],0)</f>
        <v>0.21</v>
      </c>
      <c r="HK8" s="10">
        <f>IF(CABLES[[#This Row],[SEG31]]&gt;0,CABLES[[#This Row],[CABLE_MASS]],0)</f>
        <v>0.21</v>
      </c>
      <c r="HL8" s="10">
        <f>IF(CABLES[[#This Row],[SEG32]]&gt;0,CABLES[[#This Row],[CABLE_MASS]],0)</f>
        <v>0</v>
      </c>
      <c r="HM8" s="10">
        <f>IF(CABLES[[#This Row],[SEG33]]&gt;0,CABLES[[#This Row],[CABLE_MASS]],0)</f>
        <v>0</v>
      </c>
      <c r="HN8" s="10">
        <f>IF(CABLES[[#This Row],[SEG34]]&gt;0,CABLES[[#This Row],[CABLE_MASS]],0)</f>
        <v>0</v>
      </c>
      <c r="HO8" s="10">
        <f>IF(CABLES[[#This Row],[SEG35]]&gt;0,CABLES[[#This Row],[CABLE_MASS]],0)</f>
        <v>0</v>
      </c>
      <c r="HP8" s="10">
        <f>IF(CABLES[[#This Row],[SEG36]]&gt;0,CABLES[[#This Row],[CABLE_MASS]],0)</f>
        <v>0</v>
      </c>
      <c r="HQ8" s="10">
        <f>IF(CABLES[[#This Row],[SEG37]]&gt;0,CABLES[[#This Row],[CABLE_MASS]],0)</f>
        <v>0</v>
      </c>
      <c r="HR8" s="10">
        <f>IF(CABLES[[#This Row],[SEG38]]&gt;0,CABLES[[#This Row],[CABLE_MASS]],0)</f>
        <v>0</v>
      </c>
      <c r="HS8" s="10">
        <f>IF(CABLES[[#This Row],[SEG39]]&gt;0,CABLES[[#This Row],[CABLE_MASS]],0)</f>
        <v>0.21</v>
      </c>
      <c r="HT8" s="10">
        <f>IF(CABLES[[#This Row],[SEG40]]&gt;0,CABLES[[#This Row],[CABLE_MASS]],0)</f>
        <v>0</v>
      </c>
      <c r="HU8" s="10">
        <f>IF(CABLES[[#This Row],[SEG41]]&gt;0,CABLES[[#This Row],[CABLE_MASS]],0)</f>
        <v>0.21</v>
      </c>
      <c r="HV8" s="10">
        <f>IF(CABLES[[#This Row],[SEG42]]&gt;0,CABLES[[#This Row],[CABLE_MASS]],0)</f>
        <v>0</v>
      </c>
      <c r="HW8" s="10">
        <f>IF(CABLES[[#This Row],[SEG43]]&gt;0,CABLES[[#This Row],[CABLE_MASS]],0)</f>
        <v>0</v>
      </c>
      <c r="HX8" s="10">
        <f>IF(CABLES[[#This Row],[SEG44]]&gt;0,CABLES[[#This Row],[CABLE_MASS]],0)</f>
        <v>0</v>
      </c>
      <c r="HY8" s="10">
        <f>IF(CABLES[[#This Row],[SEG45]]&gt;0,CABLES[[#This Row],[CABLE_MASS]],0)</f>
        <v>0.21</v>
      </c>
      <c r="HZ8" s="10">
        <f>IF(CABLES[[#This Row],[SEG46]]&gt;0,CABLES[[#This Row],[CABLE_MASS]],0)</f>
        <v>0.21</v>
      </c>
      <c r="IA8" s="10">
        <f>IF(CABLES[[#This Row],[SEG47]]&gt;0,CABLES[[#This Row],[CABLE_MASS]],0)</f>
        <v>0</v>
      </c>
      <c r="IB8" s="10">
        <f>IF(CABLES[[#This Row],[SEG48]]&gt;0,CABLES[[#This Row],[CABLE_MASS]],0)</f>
        <v>0</v>
      </c>
      <c r="IC8" s="10">
        <f>IF(CABLES[[#This Row],[SEG49]]&gt;0,CABLES[[#This Row],[CABLE_MASS]],0)</f>
        <v>0</v>
      </c>
      <c r="ID8" s="10">
        <f>IF(CABLES[[#This Row],[SEG50]]&gt;0,CABLES[[#This Row],[CABLE_MASS]],0)</f>
        <v>0</v>
      </c>
      <c r="IE8" s="10">
        <f>IF(CABLES[[#This Row],[SEG51]]&gt;0,CABLES[[#This Row],[CABLE_MASS]],0)</f>
        <v>0</v>
      </c>
      <c r="IF8" s="10">
        <f>IF(CABLES[[#This Row],[SEG52]]&gt;0,CABLES[[#This Row],[CABLE_MASS]],0)</f>
        <v>0</v>
      </c>
      <c r="IG8" s="10">
        <f>IF(CABLES[[#This Row],[SEG53]]&gt;0,CABLES[[#This Row],[CABLE_MASS]],0)</f>
        <v>0</v>
      </c>
      <c r="IH8" s="10">
        <f>IF(CABLES[[#This Row],[SEG54]]&gt;0,CABLES[[#This Row],[CABLE_MASS]],0)</f>
        <v>0</v>
      </c>
      <c r="II8" s="10">
        <f>IF(CABLES[[#This Row],[SEG55]]&gt;0,CABLES[[#This Row],[CABLE_MASS]],0)</f>
        <v>0</v>
      </c>
      <c r="IJ8" s="10">
        <f>IF(CABLES[[#This Row],[SEG56]]&gt;0,CABLES[[#This Row],[CABLE_MASS]],0)</f>
        <v>0</v>
      </c>
      <c r="IK8" s="10">
        <f>IF(CABLES[[#This Row],[SEG57]]&gt;0,CABLES[[#This Row],[CABLE_MASS]],0)</f>
        <v>0</v>
      </c>
      <c r="IL8" s="10">
        <f>IF(CABLES[[#This Row],[SEG58]]&gt;0,CABLES[[#This Row],[CABLE_MASS]],0)</f>
        <v>0</v>
      </c>
      <c r="IM8" s="10">
        <f>IF(CABLES[[#This Row],[SEG59]]&gt;0,CABLES[[#This Row],[CABLE_MASS]],0)</f>
        <v>0</v>
      </c>
      <c r="IN8" s="10">
        <f>IF(CABLES[[#This Row],[SEG60]]&gt;0,CABLES[[#This Row],[CABLE_MASS]],0)</f>
        <v>0</v>
      </c>
      <c r="IO8" s="10">
        <f xml:space="preserve">  (CABLES[[#This Row],[LOAD_KW]]/(SQRT(3)*SYSTEM_VOLTAGE*POWER_FACTOR))*1000</f>
        <v>2.4056261216234405</v>
      </c>
      <c r="IP8" s="10">
        <v>45</v>
      </c>
      <c r="IQ8" s="10">
        <f xml:space="preserve"> INDEX(AS3000_AMBIENTDERATE[], MATCH(CABLES[[#This Row],[AMBIENT]],AS3000_AMBIENTDERATE[AMBIENT],0), 2)</f>
        <v>0.94</v>
      </c>
      <c r="IR8" s="10">
        <f xml:space="preserve"> ROUNDUP( CABLES[[#This Row],[CALCULATED_AMPS]]/CABLES[[#This Row],[AMBIENT_DERATING]],1)</f>
        <v>2.6</v>
      </c>
      <c r="IS8" s="10" t="s">
        <v>531</v>
      </c>
      <c r="IT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" s="10">
        <f t="shared" si="0"/>
        <v>28.000000000000004</v>
      </c>
      <c r="IV8" s="10">
        <f>(1000*CABLES[[#This Row],[MAX_VDROP]])/(CABLES[[#This Row],[ESTIMATED_CABLE_LENGTH]]*CABLES[[#This Row],[AMP_RATING]])</f>
        <v>169.3275278180939</v>
      </c>
      <c r="IW8" s="10">
        <f xml:space="preserve"> INDEX(AS3000_VDROP[], MATCH(CABLES[[#This Row],[VC_CALC]],AS3000_VDROP[Vc],1),1)</f>
        <v>2.5</v>
      </c>
      <c r="IX8" s="10">
        <f>MAX(CABLES[[#This Row],[CABLESIZE_METHOD1]],CABLES[[#This Row],[CABLESIZE_METHOD2]])</f>
        <v>2.5</v>
      </c>
      <c r="IY8" s="10"/>
      <c r="IZ8" s="10">
        <f>IF(LEN(CABLES[[#This Row],[OVERRIDE_CABLESIZE]])&gt;0,CABLES[[#This Row],[OVERRIDE_CABLESIZE]],CABLES[[#This Row],[INITIAL_CABLESIZE]])</f>
        <v>2.5</v>
      </c>
      <c r="JA8" s="10">
        <f>INDEX(PROTECTIVE_DEVICE[DEVICE], MATCH(CABLES[[#This Row],[CALCULATED_AMPS]],PROTECTIVE_DEVICE[DEVICE],-1),1)</f>
        <v>6</v>
      </c>
      <c r="JB8" s="10"/>
      <c r="JC8" s="10">
        <f>IF(LEN(CABLES[[#This Row],[OVERRIDE_PDEVICE]])&gt;0, CABLES[[#This Row],[OVERRIDE_PDEVICE]],CABLES[[#This Row],[RECOMMEND_PDEVICE]])</f>
        <v>6</v>
      </c>
      <c r="JD8" s="10" t="s">
        <v>450</v>
      </c>
      <c r="JE8" s="10">
        <f xml:space="preserve"> CABLES[[#This Row],[SELECTED_PDEVICE]] * INDEX(DEVICE_CURVE[], MATCH(CABLES[[#This Row],[PDEVICE_CURVE]], DEVICE_CURVE[DEVICE_CURVE],0),2)</f>
        <v>39</v>
      </c>
      <c r="JF8" s="10" t="s">
        <v>458</v>
      </c>
      <c r="JG8" s="10">
        <f xml:space="preserve"> INDEX(CONDUCTOR_MATERIAL[], MATCH(CABLES[[#This Row],[CONDUCTOR_MATERIAL]],CONDUCTOR_MATERIAL[CONDUCTOR_MATERIAL],0),2)</f>
        <v>2.2499999999999999E-2</v>
      </c>
      <c r="JH8" s="10">
        <f>CABLES[[#This Row],[SELECTED_CABLESIZE]]</f>
        <v>2.5</v>
      </c>
      <c r="JI8" s="10">
        <f xml:space="preserve"> INDEX( EARTH_CONDUCTOR_SIZE[], MATCH(CABLES[[#This Row],[SPH]],EARTH_CONDUCTOR_SIZE[MM^2],-1), 2)</f>
        <v>2.5</v>
      </c>
      <c r="JJ8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8" s="10" t="str">
        <f>IF(CABLES[[#This Row],[LMAX]]&gt;CABLES[[#This Row],[ESTIMATED_CABLE_LENGTH]], "PASS", "ERROR")</f>
        <v>PASS</v>
      </c>
      <c r="JL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8" s="6">
        <f xml:space="preserve"> ROUNDUP( CABLES[[#This Row],[CALCULATED_AMPS]],1)</f>
        <v>2.5</v>
      </c>
      <c r="JO8" s="6">
        <f>CABLES[[#This Row],[SELECTED_CABLESIZE]]</f>
        <v>2.5</v>
      </c>
      <c r="JP8" s="10">
        <f>CABLES[[#This Row],[ESTIMATED_CABLE_LENGTH]]</f>
        <v>63.599999999999994</v>
      </c>
      <c r="JQ8" s="6">
        <f>CABLES[[#This Row],[SELECTED_PDEVICE]]</f>
        <v>6</v>
      </c>
    </row>
    <row r="9" spans="1:277" x14ac:dyDescent="0.35">
      <c r="A9" s="5" t="s">
        <v>8</v>
      </c>
      <c r="B9" s="5" t="s">
        <v>84</v>
      </c>
      <c r="C9" s="10" t="s">
        <v>262</v>
      </c>
      <c r="D9" s="9">
        <v>1.5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1</v>
      </c>
      <c r="AI9" s="9">
        <v>1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1</v>
      </c>
      <c r="AR9" s="9">
        <v>0</v>
      </c>
      <c r="AS9" s="9">
        <v>1</v>
      </c>
      <c r="AT9" s="9">
        <v>0</v>
      </c>
      <c r="AU9" s="9">
        <v>0</v>
      </c>
      <c r="AV9" s="9">
        <v>0</v>
      </c>
      <c r="AW9" s="9">
        <v>1</v>
      </c>
      <c r="AX9" s="9">
        <v>1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f xml:space="preserve"> IF(CABLES[[#This Row],[SEG1]] &gt;0, INDEX(SEGMENTS[], MATCH(CABLES[[#Headers],[SEG1]],SEGMENTS[SEG_ID],0),4),0)</f>
        <v>0</v>
      </c>
      <c r="BN9" s="9">
        <f xml:space="preserve"> IF(CABLES[[#This Row],[SEG2]] &gt;0, INDEX(SEGMENTS[], MATCH(CABLES[[#Headers],[SEG2]],SEGMENTS[SEG_ID],0),4),0)</f>
        <v>0</v>
      </c>
      <c r="BO9" s="9">
        <f xml:space="preserve"> IF(CABLES[[#This Row],[SEG3]] &gt;0, INDEX(SEGMENTS[], MATCH(CABLES[[#Headers],[SEG3]],SEGMENTS[SEG_ID],0),4),0)</f>
        <v>0</v>
      </c>
      <c r="BP9" s="9">
        <f xml:space="preserve"> IF(CABLES[[#This Row],[SEG4]] &gt;0, INDEX(SEGMENTS[], MATCH(CABLES[[#Headers],[SEG4]],SEGMENTS[SEG_ID],0),4),0)</f>
        <v>0</v>
      </c>
      <c r="BQ9" s="9">
        <f xml:space="preserve"> IF(CABLES[[#This Row],[SEG5]] &gt;0,INDEX(SEGMENTS[], MATCH(CABLES[[#Headers],[SEG5]],SEGMENTS[SEG_ID],0),4),0)</f>
        <v>0</v>
      </c>
      <c r="BR9" s="9">
        <f xml:space="preserve"> IF(CABLES[[#This Row],[SEG6]] &gt;0,INDEX(SEGMENTS[], MATCH(CABLES[[#Headers],[SEG6]],SEGMENTS[SEG_ID],0),4),0)</f>
        <v>0</v>
      </c>
      <c r="BS9" s="9">
        <f xml:space="preserve"> IF(CABLES[[#This Row],[SEG7]] &gt;0,INDEX(SEGMENTS[], MATCH(CABLES[[#Headers],[SEG7]],SEGMENTS[SEG_ID],0),4),0)</f>
        <v>0</v>
      </c>
      <c r="BT9" s="9">
        <f xml:space="preserve"> IF(CABLES[[#This Row],[SEG8]] &gt;0,INDEX(SEGMENTS[], MATCH(CABLES[[#Headers],[SEG8]],SEGMENTS[SEG_ID],0),4),0)</f>
        <v>0</v>
      </c>
      <c r="BU9" s="9">
        <f xml:space="preserve"> IF(CABLES[[#This Row],[SEG9]] &gt;0,INDEX(SEGMENTS[], MATCH(CABLES[[#Headers],[SEG9]],SEGMENTS[SEG_ID],0),4),0)</f>
        <v>0</v>
      </c>
      <c r="BV9" s="9">
        <f xml:space="preserve"> IF(CABLES[[#This Row],[SEG10]] &gt;0,INDEX(SEGMENTS[], MATCH(CABLES[[#Headers],[SEG10]],SEGMENTS[SEG_ID],0),4),0)</f>
        <v>0</v>
      </c>
      <c r="BW9" s="9">
        <f xml:space="preserve"> IF(CABLES[[#This Row],[SEG11]] &gt;0,INDEX(SEGMENTS[], MATCH(CABLES[[#Headers],[SEG11]],SEGMENTS[SEG_ID],0),4),0)</f>
        <v>0</v>
      </c>
      <c r="BX9" s="9">
        <f>IF(CABLES[[#This Row],[SEG12]] &gt;0, INDEX(SEGMENTS[], MATCH(CABLES[[#Headers],[SEG12]],SEGMENTS[SEG_ID],0),4),0)</f>
        <v>0</v>
      </c>
      <c r="BY9" s="9">
        <f xml:space="preserve"> IF(CABLES[[#This Row],[SEG13]] &gt;0,INDEX(SEGMENTS[], MATCH(CABLES[[#Headers],[SEG13]],SEGMENTS[SEG_ID],0),4),0)</f>
        <v>0</v>
      </c>
      <c r="BZ9" s="9">
        <f xml:space="preserve"> IF(CABLES[[#This Row],[SEG14]] &gt;0,INDEX(SEGMENTS[], MATCH(CABLES[[#Headers],[SEG14]],SEGMENTS[SEG_ID],0),4),0)</f>
        <v>0</v>
      </c>
      <c r="CA9" s="9">
        <f xml:space="preserve"> IF(CABLES[[#This Row],[SEG15]] &gt;0,INDEX(SEGMENTS[], MATCH(CABLES[[#Headers],[SEG15]],SEGMENTS[SEG_ID],0),4),0)</f>
        <v>0</v>
      </c>
      <c r="CB9" s="9">
        <f xml:space="preserve"> IF(CABLES[[#This Row],[SEG16]] &gt;0,INDEX(SEGMENTS[], MATCH(CABLES[[#Headers],[SEG16]],SEGMENTS[SEG_ID],0),4),0)</f>
        <v>0</v>
      </c>
      <c r="CC9" s="9">
        <f xml:space="preserve"> IF(CABLES[[#This Row],[SEG17]] &gt;0,INDEX(SEGMENTS[], MATCH(CABLES[[#Headers],[SEG17]],SEGMENTS[SEG_ID],0),4),0)</f>
        <v>0</v>
      </c>
      <c r="CD9" s="9">
        <f xml:space="preserve"> IF(CABLES[[#This Row],[SEG18]] &gt;0,INDEX(SEGMENTS[], MATCH(CABLES[[#Headers],[SEG18]],SEGMENTS[SEG_ID],0),4),0)</f>
        <v>0</v>
      </c>
      <c r="CE9" s="9">
        <f>IF(CABLES[[#This Row],[SEG19]] &gt;0, INDEX(SEGMENTS[], MATCH(CABLES[[#Headers],[SEG19]],SEGMENTS[SEG_ID],0),4),0)</f>
        <v>0</v>
      </c>
      <c r="CF9" s="9">
        <f>IF(CABLES[[#This Row],[SEG20]] &gt;0, INDEX(SEGMENTS[], MATCH(CABLES[[#Headers],[SEG20]],SEGMENTS[SEG_ID],0),4),0)</f>
        <v>0</v>
      </c>
      <c r="CG9" s="9">
        <f xml:space="preserve"> IF(CABLES[[#This Row],[SEG21]] &gt;0,INDEX(SEGMENTS[], MATCH(CABLES[[#Headers],[SEG21]],SEGMENTS[SEG_ID],0),4),0)</f>
        <v>0</v>
      </c>
      <c r="CH9" s="9">
        <f xml:space="preserve"> IF(CABLES[[#This Row],[SEG22]] &gt;0,INDEX(SEGMENTS[], MATCH(CABLES[[#Headers],[SEG22]],SEGMENTS[SEG_ID],0),4),0)</f>
        <v>0</v>
      </c>
      <c r="CI9" s="9">
        <f>IF(CABLES[[#This Row],[SEG23]] &gt;0, INDEX(SEGMENTS[], MATCH(CABLES[[#Headers],[SEG23]],SEGMENTS[SEG_ID],0),4),0)</f>
        <v>0</v>
      </c>
      <c r="CJ9" s="9">
        <f xml:space="preserve"> IF(CABLES[[#This Row],[SEG24]] &gt;0,INDEX(SEGMENTS[], MATCH(CABLES[[#Headers],[SEG24]],SEGMENTS[SEG_ID],0),4),0)</f>
        <v>0</v>
      </c>
      <c r="CK9" s="9">
        <f>IF(CABLES[[#This Row],[SEG25]] &gt;0, INDEX(SEGMENTS[], MATCH(CABLES[[#Headers],[SEG25]],SEGMENTS[SEG_ID],0),4),0)</f>
        <v>0</v>
      </c>
      <c r="CL9" s="9">
        <f>IF(CABLES[[#This Row],[SEG26]] &gt;0, INDEX(SEGMENTS[], MATCH(CABLES[[#Headers],[SEG26]],SEGMENTS[SEG_ID],0),4),0)</f>
        <v>0</v>
      </c>
      <c r="CM9" s="9">
        <f xml:space="preserve"> IF(CABLES[[#This Row],[SEG27]] &gt;0,INDEX(SEGMENTS[], MATCH(CABLES[[#Headers],[SEG27]],SEGMENTS[SEG_ID],0),4),0)</f>
        <v>0</v>
      </c>
      <c r="CN9" s="9">
        <f xml:space="preserve"> IF(CABLES[[#This Row],[SEG28]] &gt;0,INDEX(SEGMENTS[], MATCH(CABLES[[#Headers],[SEG28]],SEGMENTS[SEG_ID],0),4),0)</f>
        <v>0</v>
      </c>
      <c r="CO9" s="9">
        <f xml:space="preserve"> IF(CABLES[[#This Row],[SEG29]] &gt;0,INDEX(SEGMENTS[], MATCH(CABLES[[#Headers],[SEG29]],SEGMENTS[SEG_ID],0),4),0)</f>
        <v>0</v>
      </c>
      <c r="CP9" s="9">
        <f xml:space="preserve"> IF(CABLES[[#This Row],[SEG30]] &gt;0,INDEX(SEGMENTS[], MATCH(CABLES[[#Headers],[SEG30]],SEGMENTS[SEG_ID],0),4),0)</f>
        <v>6</v>
      </c>
      <c r="CQ9" s="9">
        <f>IF(CABLES[[#This Row],[SEG31]] &gt;0, INDEX(SEGMENTS[], MATCH(CABLES[[#Headers],[SEG31]],SEGMENTS[SEG_ID],0),4),0)</f>
        <v>3</v>
      </c>
      <c r="CR9" s="9">
        <f xml:space="preserve"> IF(CABLES[[#This Row],[SEG32]] &gt;0,INDEX(SEGMENTS[], MATCH(CABLES[[#Headers],[SEG32]],SEGMENTS[SEG_ID],0),4),0)</f>
        <v>0</v>
      </c>
      <c r="CS9" s="9">
        <f xml:space="preserve"> IF(CABLES[[#This Row],[SEG33]] &gt;0,INDEX(SEGMENTS[], MATCH(CABLES[[#Headers],[SEG33]],SEGMENTS[SEG_ID],0),4),0)</f>
        <v>0</v>
      </c>
      <c r="CT9" s="9">
        <f>IF(CABLES[[#This Row],[SEG34]] &gt;0, INDEX(SEGMENTS[], MATCH(CABLES[[#Headers],[SEG34]],SEGMENTS[SEG_ID],0),4),0)</f>
        <v>0</v>
      </c>
      <c r="CU9" s="9">
        <f xml:space="preserve"> IF(CABLES[[#This Row],[SEG35]] &gt;0,INDEX(SEGMENTS[], MATCH(CABLES[[#Headers],[SEG35]],SEGMENTS[SEG_ID],0),4),0)</f>
        <v>0</v>
      </c>
      <c r="CV9" s="9">
        <f xml:space="preserve"> IF(CABLES[[#This Row],[SEG36]] &gt;0,INDEX(SEGMENTS[], MATCH(CABLES[[#Headers],[SEG36]],SEGMENTS[SEG_ID],0),4),0)</f>
        <v>0</v>
      </c>
      <c r="CW9" s="9">
        <f xml:space="preserve"> IF(CABLES[[#This Row],[SEG37]] &gt;0,INDEX(SEGMENTS[], MATCH(CABLES[[#Headers],[SEG37]],SEGMENTS[SEG_ID],0),4),0)</f>
        <v>0</v>
      </c>
      <c r="CX9" s="9">
        <f xml:space="preserve"> IF(CABLES[[#This Row],[SEG38]] &gt;0,INDEX(SEGMENTS[], MATCH(CABLES[[#Headers],[SEG38]],SEGMENTS[SEG_ID],0),4),0)</f>
        <v>0</v>
      </c>
      <c r="CY9" s="9">
        <f xml:space="preserve"> IF(CABLES[[#This Row],[SEG39]] &gt;0,INDEX(SEGMENTS[], MATCH(CABLES[[#Headers],[SEG39]],SEGMENTS[SEG_ID],0),4),0)</f>
        <v>8</v>
      </c>
      <c r="CZ9" s="9">
        <f xml:space="preserve"> IF(CABLES[[#This Row],[SEG40]] &gt;0,INDEX(SEGMENTS[], MATCH(CABLES[[#Headers],[SEG40]],SEGMENTS[SEG_ID],0),4),0)</f>
        <v>0</v>
      </c>
      <c r="DA9" s="9">
        <f xml:space="preserve"> IF(CABLES[[#This Row],[SEG41]] &gt;0,INDEX(SEGMENTS[], MATCH(CABLES[[#Headers],[SEG41]],SEGMENTS[SEG_ID],0),4),0)</f>
        <v>8</v>
      </c>
      <c r="DB9" s="9">
        <f xml:space="preserve"> IF(CABLES[[#This Row],[SEG42]] &gt;0,INDEX(SEGMENTS[], MATCH(CABLES[[#Headers],[SEG42]],SEGMENTS[SEG_ID],0),4),0)</f>
        <v>0</v>
      </c>
      <c r="DC9" s="9">
        <f xml:space="preserve"> IF(CABLES[[#This Row],[SEG43]] &gt;0,INDEX(SEGMENTS[], MATCH(CABLES[[#Headers],[SEG43]],SEGMENTS[SEG_ID],0),4),0)</f>
        <v>0</v>
      </c>
      <c r="DD9" s="9">
        <f xml:space="preserve"> IF(CABLES[[#This Row],[SEG44]] &gt;0,INDEX(SEGMENTS[], MATCH(CABLES[[#Headers],[SEG44]],SEGMENTS[SEG_ID],0),4),0)</f>
        <v>0</v>
      </c>
      <c r="DE9" s="9">
        <f xml:space="preserve"> IF(CABLES[[#This Row],[SEG45]] &gt;0,INDEX(SEGMENTS[], MATCH(CABLES[[#Headers],[SEG45]],SEGMENTS[SEG_ID],0),4),0)</f>
        <v>9</v>
      </c>
      <c r="DF9" s="9">
        <f xml:space="preserve"> IF(CABLES[[#This Row],[SEG46]] &gt;0,INDEX(SEGMENTS[], MATCH(CABLES[[#Headers],[SEG46]],SEGMENTS[SEG_ID],0),4),0)</f>
        <v>14</v>
      </c>
      <c r="DG9" s="9">
        <f xml:space="preserve"> IF(CABLES[[#This Row],[SEG47]] &gt;0,INDEX(SEGMENTS[], MATCH(CABLES[[#Headers],[SEG47]],SEGMENTS[SEG_ID],0),4),0)</f>
        <v>0</v>
      </c>
      <c r="DH9" s="9">
        <f xml:space="preserve"> IF(CABLES[[#This Row],[SEG48]] &gt;0,INDEX(SEGMENTS[], MATCH(CABLES[[#Headers],[SEG48]],SEGMENTS[SEG_ID],0),4),0)</f>
        <v>0</v>
      </c>
      <c r="DI9" s="9">
        <f xml:space="preserve"> IF(CABLES[[#This Row],[SEG49]] &gt;0,INDEX(SEGMENTS[], MATCH(CABLES[[#Headers],[SEG49]],SEGMENTS[SEG_ID],0),4),0)</f>
        <v>0</v>
      </c>
      <c r="DJ9" s="9">
        <f xml:space="preserve"> IF(CABLES[[#This Row],[SEG50]] &gt;0,INDEX(SEGMENTS[], MATCH(CABLES[[#Headers],[SEG50]],SEGMENTS[SEG_ID],0),4),0)</f>
        <v>0</v>
      </c>
      <c r="DK9" s="9">
        <f xml:space="preserve"> IF(CABLES[[#This Row],[SEG51]] &gt;0,INDEX(SEGMENTS[], MATCH(CABLES[[#Headers],[SEG51]],SEGMENTS[SEG_ID],0),4),0)</f>
        <v>0</v>
      </c>
      <c r="DL9" s="9">
        <f xml:space="preserve"> IF(CABLES[[#This Row],[SEG52]] &gt;0,INDEX(SEGMENTS[], MATCH(CABLES[[#Headers],[SEG52]],SEGMENTS[SEG_ID],0),4),0)</f>
        <v>0</v>
      </c>
      <c r="DM9" s="9">
        <f xml:space="preserve"> IF(CABLES[[#This Row],[SEG53]] &gt;0,INDEX(SEGMENTS[], MATCH(CABLES[[#Headers],[SEG53]],SEGMENTS[SEG_ID],0),4),0)</f>
        <v>0</v>
      </c>
      <c r="DN9" s="9">
        <f xml:space="preserve"> IF(CABLES[[#This Row],[SEG54]] &gt;0,INDEX(SEGMENTS[], MATCH(CABLES[[#Headers],[SEG54]],SEGMENTS[SEG_ID],0),4),0)</f>
        <v>0</v>
      </c>
      <c r="DO9" s="9">
        <f xml:space="preserve"> IF(CABLES[[#This Row],[SEG55]] &gt;0,INDEX(SEGMENTS[], MATCH(CABLES[[#Headers],[SEG55]],SEGMENTS[SEG_ID],0),4),0)</f>
        <v>0</v>
      </c>
      <c r="DP9" s="9">
        <f xml:space="preserve"> IF(CABLES[[#This Row],[SEG56]] &gt;0,INDEX(SEGMENTS[], MATCH(CABLES[[#Headers],[SEG56]],SEGMENTS[SEG_ID],0),4),0)</f>
        <v>0</v>
      </c>
      <c r="DQ9" s="9">
        <f xml:space="preserve"> IF(CABLES[[#This Row],[SEG57]] &gt;0,INDEX(SEGMENTS[], MATCH(CABLES[[#Headers],[SEG57]],SEGMENTS[SEG_ID],0),4),0)</f>
        <v>0</v>
      </c>
      <c r="DR9" s="9">
        <f xml:space="preserve"> IF(CABLES[[#This Row],[SEG58]] &gt;0,INDEX(SEGMENTS[], MATCH(CABLES[[#Headers],[SEG58]],SEGMENTS[SEG_ID],0),4),0)</f>
        <v>0</v>
      </c>
      <c r="DS9" s="9">
        <f xml:space="preserve"> IF(CABLES[[#This Row],[SEG59]] &gt;0,INDEX(SEGMENTS[], MATCH(CABLES[[#Headers],[SEG59]],SEGMENTS[SEG_ID],0),4),0)</f>
        <v>0</v>
      </c>
      <c r="DT9" s="9">
        <f xml:space="preserve"> IF(CABLES[[#This Row],[SEG60]] &gt;0,INDEX(SEGMENTS[], MATCH(CABLES[[#Headers],[SEG60]],SEGMENTS[SEG_ID],0),4),0)</f>
        <v>0</v>
      </c>
      <c r="DU9" s="10">
        <f>SUM(CABLES[[#This Row],[SEGL1]:[SEGL60]])</f>
        <v>48</v>
      </c>
      <c r="DV9" s="10">
        <v>5</v>
      </c>
      <c r="DW9" s="10">
        <v>1.2</v>
      </c>
      <c r="DX9" s="10">
        <f xml:space="preserve"> IF(CABLES[[#This Row],[SEGL_TOTAL]]&gt;0, (CABLES[[#This Row],[SEGL_TOTAL]] + CABLES[[#This Row],[FITOFF]]) *CABLES[[#This Row],[XCAPACITY]],0)</f>
        <v>63.599999999999994</v>
      </c>
      <c r="DY9" s="10">
        <f>IF(CABLES[[#This Row],[SEG1]]&gt;0,CABLES[[#This Row],[CABLE_DIAMETER]],0)</f>
        <v>0</v>
      </c>
      <c r="DZ9" s="10">
        <f>IF(CABLES[[#This Row],[SEG2]]&gt;0,CABLES[[#This Row],[CABLE_DIAMETER]],0)</f>
        <v>0</v>
      </c>
      <c r="EA9" s="10">
        <f>IF(CABLES[[#This Row],[SEG3]]&gt;0,CABLES[[#This Row],[CABLE_DIAMETER]],0)</f>
        <v>0</v>
      </c>
      <c r="EB9" s="10">
        <f>IF(CABLES[[#This Row],[SEG4]]&gt;0,CABLES[[#This Row],[CABLE_DIAMETER]],0)</f>
        <v>0</v>
      </c>
      <c r="EC9" s="10">
        <f>IF(CABLES[[#This Row],[SEG5]]&gt;0,CABLES[[#This Row],[CABLE_DIAMETER]],0)</f>
        <v>0</v>
      </c>
      <c r="ED9" s="10">
        <f>IF(CABLES[[#This Row],[SEG6]]&gt;0,CABLES[[#This Row],[CABLE_DIAMETER]],0)</f>
        <v>0</v>
      </c>
      <c r="EE9" s="10">
        <f>IF(CABLES[[#This Row],[SEG7]]&gt;0,CABLES[[#This Row],[CABLE_DIAMETER]],0)</f>
        <v>0</v>
      </c>
      <c r="EF9" s="10">
        <f>IF(CABLES[[#This Row],[SEG9]]&gt;0,CABLES[[#This Row],[CABLE_DIAMETER]],0)</f>
        <v>0</v>
      </c>
      <c r="EG9" s="10">
        <f>IF(CABLES[[#This Row],[SEG9]]&gt;0,CABLES[[#This Row],[CABLE_DIAMETER]],0)</f>
        <v>0</v>
      </c>
      <c r="EH9" s="10">
        <f>IF(CABLES[[#This Row],[SEG10]]&gt;0,CABLES[[#This Row],[CABLE_DIAMETER]],0)</f>
        <v>0</v>
      </c>
      <c r="EI9" s="10">
        <f>IF(CABLES[[#This Row],[SEG11]]&gt;0,CABLES[[#This Row],[CABLE_DIAMETER]],0)</f>
        <v>0</v>
      </c>
      <c r="EJ9" s="10">
        <f>IF(CABLES[[#This Row],[SEG12]]&gt;0,CABLES[[#This Row],[CABLE_DIAMETER]],0)</f>
        <v>0</v>
      </c>
      <c r="EK9" s="10">
        <f>IF(CABLES[[#This Row],[SEG13]]&gt;0,CABLES[[#This Row],[CABLE_DIAMETER]],0)</f>
        <v>0</v>
      </c>
      <c r="EL9" s="10">
        <f>IF(CABLES[[#This Row],[SEG14]]&gt;0,CABLES[[#This Row],[CABLE_DIAMETER]],0)</f>
        <v>0</v>
      </c>
      <c r="EM9" s="10">
        <f>IF(CABLES[[#This Row],[SEG15]]&gt;0,CABLES[[#This Row],[CABLE_DIAMETER]],0)</f>
        <v>0</v>
      </c>
      <c r="EN9" s="10">
        <f>IF(CABLES[[#This Row],[SEG16]]&gt;0,CABLES[[#This Row],[CABLE_DIAMETER]],0)</f>
        <v>0</v>
      </c>
      <c r="EO9" s="10">
        <f>IF(CABLES[[#This Row],[SEG17]]&gt;0,CABLES[[#This Row],[CABLE_DIAMETER]],0)</f>
        <v>0</v>
      </c>
      <c r="EP9" s="10">
        <f>IF(CABLES[[#This Row],[SEG18]]&gt;0,CABLES[[#This Row],[CABLE_DIAMETER]],0)</f>
        <v>0</v>
      </c>
      <c r="EQ9" s="10">
        <f>IF(CABLES[[#This Row],[SEG19]]&gt;0,CABLES[[#This Row],[CABLE_DIAMETER]],0)</f>
        <v>0</v>
      </c>
      <c r="ER9" s="10">
        <f>IF(CABLES[[#This Row],[SEG20]]&gt;0,CABLES[[#This Row],[CABLE_DIAMETER]],0)</f>
        <v>0</v>
      </c>
      <c r="ES9" s="10">
        <f>IF(CABLES[[#This Row],[SEG21]]&gt;0,CABLES[[#This Row],[CABLE_DIAMETER]],0)</f>
        <v>0</v>
      </c>
      <c r="ET9" s="10">
        <f>IF(CABLES[[#This Row],[SEG22]]&gt;0,CABLES[[#This Row],[CABLE_DIAMETER]],0)</f>
        <v>0</v>
      </c>
      <c r="EU9" s="10">
        <f>IF(CABLES[[#This Row],[SEG23]]&gt;0,CABLES[[#This Row],[CABLE_DIAMETER]],0)</f>
        <v>0</v>
      </c>
      <c r="EV9" s="10">
        <f>IF(CABLES[[#This Row],[SEG24]]&gt;0,CABLES[[#This Row],[CABLE_DIAMETER]],0)</f>
        <v>0</v>
      </c>
      <c r="EW9" s="10">
        <f>IF(CABLES[[#This Row],[SEG25]]&gt;0,CABLES[[#This Row],[CABLE_DIAMETER]],0)</f>
        <v>0</v>
      </c>
      <c r="EX9" s="10">
        <f>IF(CABLES[[#This Row],[SEG26]]&gt;0,CABLES[[#This Row],[CABLE_DIAMETER]],0)</f>
        <v>0</v>
      </c>
      <c r="EY9" s="10">
        <f>IF(CABLES[[#This Row],[SEG27]]&gt;0,CABLES[[#This Row],[CABLE_DIAMETER]],0)</f>
        <v>0</v>
      </c>
      <c r="EZ9" s="10">
        <f>IF(CABLES[[#This Row],[SEG28]]&gt;0,CABLES[[#This Row],[CABLE_DIAMETER]],0)</f>
        <v>0</v>
      </c>
      <c r="FA9" s="10">
        <f>IF(CABLES[[#This Row],[SEG29]]&gt;0,CABLES[[#This Row],[CABLE_DIAMETER]],0)</f>
        <v>0</v>
      </c>
      <c r="FB9" s="10">
        <f>IF(CABLES[[#This Row],[SEG30]]&gt;0,CABLES[[#This Row],[CABLE_DIAMETER]],0)</f>
        <v>12</v>
      </c>
      <c r="FC9" s="10">
        <f>IF(CABLES[[#This Row],[SEG31]]&gt;0,CABLES[[#This Row],[CABLE_DIAMETER]],0)</f>
        <v>12</v>
      </c>
      <c r="FD9" s="10">
        <f>IF(CABLES[[#This Row],[SEG32]]&gt;0,CABLES[[#This Row],[CABLE_DIAMETER]],0)</f>
        <v>0</v>
      </c>
      <c r="FE9" s="10">
        <f>IF(CABLES[[#This Row],[SEG33]]&gt;0,CABLES[[#This Row],[CABLE_DIAMETER]],0)</f>
        <v>0</v>
      </c>
      <c r="FF9" s="10">
        <f>IF(CABLES[[#This Row],[SEG34]]&gt;0,CABLES[[#This Row],[CABLE_DIAMETER]],0)</f>
        <v>0</v>
      </c>
      <c r="FG9" s="10">
        <f>IF(CABLES[[#This Row],[SEG35]]&gt;0,CABLES[[#This Row],[CABLE_DIAMETER]],0)</f>
        <v>0</v>
      </c>
      <c r="FH9" s="10">
        <f>IF(CABLES[[#This Row],[SEG36]]&gt;0,CABLES[[#This Row],[CABLE_DIAMETER]],0)</f>
        <v>0</v>
      </c>
      <c r="FI9" s="10">
        <f>IF(CABLES[[#This Row],[SEG37]]&gt;0,CABLES[[#This Row],[CABLE_DIAMETER]],0)</f>
        <v>0</v>
      </c>
      <c r="FJ9" s="10">
        <f>IF(CABLES[[#This Row],[SEG38]]&gt;0,CABLES[[#This Row],[CABLE_DIAMETER]],0)</f>
        <v>0</v>
      </c>
      <c r="FK9" s="10">
        <f>IF(CABLES[[#This Row],[SEG39]]&gt;0,CABLES[[#This Row],[CABLE_DIAMETER]],0)</f>
        <v>12</v>
      </c>
      <c r="FL9" s="10">
        <f>IF(CABLES[[#This Row],[SEG40]]&gt;0,CABLES[[#This Row],[CABLE_DIAMETER]],0)</f>
        <v>0</v>
      </c>
      <c r="FM9" s="10">
        <f>IF(CABLES[[#This Row],[SEG41]]&gt;0,CABLES[[#This Row],[CABLE_DIAMETER]],0)</f>
        <v>12</v>
      </c>
      <c r="FN9" s="10">
        <f>IF(CABLES[[#This Row],[SEG42]]&gt;0,CABLES[[#This Row],[CABLE_DIAMETER]],0)</f>
        <v>0</v>
      </c>
      <c r="FO9" s="10">
        <f>IF(CABLES[[#This Row],[SEG43]]&gt;0,CABLES[[#This Row],[CABLE_DIAMETER]],0)</f>
        <v>0</v>
      </c>
      <c r="FP9" s="10">
        <f>IF(CABLES[[#This Row],[SEG44]]&gt;0,CABLES[[#This Row],[CABLE_DIAMETER]],0)</f>
        <v>0</v>
      </c>
      <c r="FQ9" s="10">
        <f>IF(CABLES[[#This Row],[SEG45]]&gt;0,CABLES[[#This Row],[CABLE_DIAMETER]],0)</f>
        <v>12</v>
      </c>
      <c r="FR9" s="10">
        <f>IF(CABLES[[#This Row],[SEG46]]&gt;0,CABLES[[#This Row],[CABLE_DIAMETER]],0)</f>
        <v>12</v>
      </c>
      <c r="FS9" s="10">
        <f>IF(CABLES[[#This Row],[SEG47]]&gt;0,CABLES[[#This Row],[CABLE_DIAMETER]],0)</f>
        <v>0</v>
      </c>
      <c r="FT9" s="10">
        <f>IF(CABLES[[#This Row],[SEG48]]&gt;0,CABLES[[#This Row],[CABLE_DIAMETER]],0)</f>
        <v>0</v>
      </c>
      <c r="FU9" s="10">
        <f>IF(CABLES[[#This Row],[SEG49]]&gt;0,CABLES[[#This Row],[CABLE_DIAMETER]],0)</f>
        <v>0</v>
      </c>
      <c r="FV9" s="10">
        <f>IF(CABLES[[#This Row],[SEG50]]&gt;0,CABLES[[#This Row],[CABLE_DIAMETER]],0)</f>
        <v>0</v>
      </c>
      <c r="FW9" s="10">
        <f>IF(CABLES[[#This Row],[SEG51]]&gt;0,CABLES[[#This Row],[CABLE_DIAMETER]],0)</f>
        <v>0</v>
      </c>
      <c r="FX9" s="10">
        <f>IF(CABLES[[#This Row],[SEG52]]&gt;0,CABLES[[#This Row],[CABLE_DIAMETER]],0)</f>
        <v>0</v>
      </c>
      <c r="FY9" s="10">
        <f>IF(CABLES[[#This Row],[SEG53]]&gt;0,CABLES[[#This Row],[CABLE_DIAMETER]],0)</f>
        <v>0</v>
      </c>
      <c r="FZ9" s="10">
        <f>IF(CABLES[[#This Row],[SEG54]]&gt;0,CABLES[[#This Row],[CABLE_DIAMETER]],0)</f>
        <v>0</v>
      </c>
      <c r="GA9" s="10">
        <f>IF(CABLES[[#This Row],[SEG55]]&gt;0,CABLES[[#This Row],[CABLE_DIAMETER]],0)</f>
        <v>0</v>
      </c>
      <c r="GB9" s="10">
        <f>IF(CABLES[[#This Row],[SEG56]]&gt;0,CABLES[[#This Row],[CABLE_DIAMETER]],0)</f>
        <v>0</v>
      </c>
      <c r="GC9" s="10">
        <f>IF(CABLES[[#This Row],[SEG57]]&gt;0,CABLES[[#This Row],[CABLE_DIAMETER]],0)</f>
        <v>0</v>
      </c>
      <c r="GD9" s="10">
        <f>IF(CABLES[[#This Row],[SEG58]]&gt;0,CABLES[[#This Row],[CABLE_DIAMETER]],0)</f>
        <v>0</v>
      </c>
      <c r="GE9" s="10">
        <f>IF(CABLES[[#This Row],[SEG59]]&gt;0,CABLES[[#This Row],[CABLE_DIAMETER]],0)</f>
        <v>0</v>
      </c>
      <c r="GF9" s="10">
        <f>IF(CABLES[[#This Row],[SEG60]]&gt;0,CABLES[[#This Row],[CABLE_DIAMETER]],0)</f>
        <v>0</v>
      </c>
      <c r="GG9" s="10">
        <f>IF(CABLES[[#This Row],[SEG1]]&gt;0,CABLES[[#This Row],[CABLE_MASS]],0)</f>
        <v>0</v>
      </c>
      <c r="GH9" s="10">
        <f>IF(CABLES[[#This Row],[SEG2]]&gt;0,CABLES[[#This Row],[CABLE_MASS]],0)</f>
        <v>0</v>
      </c>
      <c r="GI9" s="10">
        <f>IF(CABLES[[#This Row],[SEG3]]&gt;0,CABLES[[#This Row],[CABLE_MASS]],0)</f>
        <v>0</v>
      </c>
      <c r="GJ9" s="10">
        <f>IF(CABLES[[#This Row],[SEG4]]&gt;0,CABLES[[#This Row],[CABLE_MASS]],0)</f>
        <v>0</v>
      </c>
      <c r="GK9" s="10">
        <f>IF(CABLES[[#This Row],[SEG5]]&gt;0,CABLES[[#This Row],[CABLE_MASS]],0)</f>
        <v>0</v>
      </c>
      <c r="GL9" s="10">
        <f>IF(CABLES[[#This Row],[SEG6]]&gt;0,CABLES[[#This Row],[CABLE_MASS]],0)</f>
        <v>0</v>
      </c>
      <c r="GM9" s="10">
        <f>IF(CABLES[[#This Row],[SEG7]]&gt;0,CABLES[[#This Row],[CABLE_MASS]],0)</f>
        <v>0</v>
      </c>
      <c r="GN9" s="10">
        <f>IF(CABLES[[#This Row],[SEG8]]&gt;0,CABLES[[#This Row],[CABLE_MASS]],0)</f>
        <v>0</v>
      </c>
      <c r="GO9" s="10">
        <f>IF(CABLES[[#This Row],[SEG9]]&gt;0,CABLES[[#This Row],[CABLE_MASS]],0)</f>
        <v>0</v>
      </c>
      <c r="GP9" s="10">
        <f>IF(CABLES[[#This Row],[SEG10]]&gt;0,CABLES[[#This Row],[CABLE_MASS]],0)</f>
        <v>0</v>
      </c>
      <c r="GQ9" s="10">
        <f>IF(CABLES[[#This Row],[SEG11]]&gt;0,CABLES[[#This Row],[CABLE_MASS]],0)</f>
        <v>0</v>
      </c>
      <c r="GR9" s="10">
        <f>IF(CABLES[[#This Row],[SEG12]]&gt;0,CABLES[[#This Row],[CABLE_MASS]],0)</f>
        <v>0</v>
      </c>
      <c r="GS9" s="10">
        <f>IF(CABLES[[#This Row],[SEG13]]&gt;0,CABLES[[#This Row],[CABLE_MASS]],0)</f>
        <v>0</v>
      </c>
      <c r="GT9" s="10">
        <f>IF(CABLES[[#This Row],[SEG14]]&gt;0,CABLES[[#This Row],[CABLE_MASS]],0)</f>
        <v>0</v>
      </c>
      <c r="GU9" s="10">
        <f>IF(CABLES[[#This Row],[SEG15]]&gt;0,CABLES[[#This Row],[CABLE_MASS]],0)</f>
        <v>0</v>
      </c>
      <c r="GV9" s="10">
        <f>IF(CABLES[[#This Row],[SEG16]]&gt;0,CABLES[[#This Row],[CABLE_MASS]],0)</f>
        <v>0</v>
      </c>
      <c r="GW9" s="10">
        <f>IF(CABLES[[#This Row],[SEG17]]&gt;0,CABLES[[#This Row],[CABLE_MASS]],0)</f>
        <v>0</v>
      </c>
      <c r="GX9" s="10">
        <f>IF(CABLES[[#This Row],[SEG18]]&gt;0,CABLES[[#This Row],[CABLE_MASS]],0)</f>
        <v>0</v>
      </c>
      <c r="GY9" s="10">
        <f>IF(CABLES[[#This Row],[SEG19]]&gt;0,CABLES[[#This Row],[CABLE_MASS]],0)</f>
        <v>0</v>
      </c>
      <c r="GZ9" s="10">
        <f>IF(CABLES[[#This Row],[SEG20]]&gt;0,CABLES[[#This Row],[CABLE_MASS]],0)</f>
        <v>0</v>
      </c>
      <c r="HA9" s="10">
        <f>IF(CABLES[[#This Row],[SEG21]]&gt;0,CABLES[[#This Row],[CABLE_MASS]],0)</f>
        <v>0</v>
      </c>
      <c r="HB9" s="10">
        <f>IF(CABLES[[#This Row],[SEG22]]&gt;0,CABLES[[#This Row],[CABLE_MASS]],0)</f>
        <v>0</v>
      </c>
      <c r="HC9" s="10">
        <f>IF(CABLES[[#This Row],[SEG23]]&gt;0,CABLES[[#This Row],[CABLE_MASS]],0)</f>
        <v>0</v>
      </c>
      <c r="HD9" s="10">
        <f>IF(CABLES[[#This Row],[SEG24]]&gt;0,CABLES[[#This Row],[CABLE_MASS]],0)</f>
        <v>0</v>
      </c>
      <c r="HE9" s="10">
        <f>IF(CABLES[[#This Row],[SEG25]]&gt;0,CABLES[[#This Row],[CABLE_MASS]],0)</f>
        <v>0</v>
      </c>
      <c r="HF9" s="10">
        <f>IF(CABLES[[#This Row],[SEG26]]&gt;0,CABLES[[#This Row],[CABLE_MASS]],0)</f>
        <v>0</v>
      </c>
      <c r="HG9" s="10">
        <f>IF(CABLES[[#This Row],[SEG27]]&gt;0,CABLES[[#This Row],[CABLE_MASS]],0)</f>
        <v>0</v>
      </c>
      <c r="HH9" s="10">
        <f>IF(CABLES[[#This Row],[SEG28]]&gt;0,CABLES[[#This Row],[CABLE_MASS]],0)</f>
        <v>0</v>
      </c>
      <c r="HI9" s="10">
        <f>IF(CABLES[[#This Row],[SEG29]]&gt;0,CABLES[[#This Row],[CABLE_MASS]],0)</f>
        <v>0</v>
      </c>
      <c r="HJ9" s="10">
        <f>IF(CABLES[[#This Row],[SEG30]]&gt;0,CABLES[[#This Row],[CABLE_MASS]],0)</f>
        <v>0.21</v>
      </c>
      <c r="HK9" s="10">
        <f>IF(CABLES[[#This Row],[SEG31]]&gt;0,CABLES[[#This Row],[CABLE_MASS]],0)</f>
        <v>0.21</v>
      </c>
      <c r="HL9" s="10">
        <f>IF(CABLES[[#This Row],[SEG32]]&gt;0,CABLES[[#This Row],[CABLE_MASS]],0)</f>
        <v>0</v>
      </c>
      <c r="HM9" s="10">
        <f>IF(CABLES[[#This Row],[SEG33]]&gt;0,CABLES[[#This Row],[CABLE_MASS]],0)</f>
        <v>0</v>
      </c>
      <c r="HN9" s="10">
        <f>IF(CABLES[[#This Row],[SEG34]]&gt;0,CABLES[[#This Row],[CABLE_MASS]],0)</f>
        <v>0</v>
      </c>
      <c r="HO9" s="10">
        <f>IF(CABLES[[#This Row],[SEG35]]&gt;0,CABLES[[#This Row],[CABLE_MASS]],0)</f>
        <v>0</v>
      </c>
      <c r="HP9" s="10">
        <f>IF(CABLES[[#This Row],[SEG36]]&gt;0,CABLES[[#This Row],[CABLE_MASS]],0)</f>
        <v>0</v>
      </c>
      <c r="HQ9" s="10">
        <f>IF(CABLES[[#This Row],[SEG37]]&gt;0,CABLES[[#This Row],[CABLE_MASS]],0)</f>
        <v>0</v>
      </c>
      <c r="HR9" s="10">
        <f>IF(CABLES[[#This Row],[SEG38]]&gt;0,CABLES[[#This Row],[CABLE_MASS]],0)</f>
        <v>0</v>
      </c>
      <c r="HS9" s="10">
        <f>IF(CABLES[[#This Row],[SEG39]]&gt;0,CABLES[[#This Row],[CABLE_MASS]],0)</f>
        <v>0.21</v>
      </c>
      <c r="HT9" s="10">
        <f>IF(CABLES[[#This Row],[SEG40]]&gt;0,CABLES[[#This Row],[CABLE_MASS]],0)</f>
        <v>0</v>
      </c>
      <c r="HU9" s="10">
        <f>IF(CABLES[[#This Row],[SEG41]]&gt;0,CABLES[[#This Row],[CABLE_MASS]],0)</f>
        <v>0.21</v>
      </c>
      <c r="HV9" s="10">
        <f>IF(CABLES[[#This Row],[SEG42]]&gt;0,CABLES[[#This Row],[CABLE_MASS]],0)</f>
        <v>0</v>
      </c>
      <c r="HW9" s="10">
        <f>IF(CABLES[[#This Row],[SEG43]]&gt;0,CABLES[[#This Row],[CABLE_MASS]],0)</f>
        <v>0</v>
      </c>
      <c r="HX9" s="10">
        <f>IF(CABLES[[#This Row],[SEG44]]&gt;0,CABLES[[#This Row],[CABLE_MASS]],0)</f>
        <v>0</v>
      </c>
      <c r="HY9" s="10">
        <f>IF(CABLES[[#This Row],[SEG45]]&gt;0,CABLES[[#This Row],[CABLE_MASS]],0)</f>
        <v>0.21</v>
      </c>
      <c r="HZ9" s="10">
        <f>IF(CABLES[[#This Row],[SEG46]]&gt;0,CABLES[[#This Row],[CABLE_MASS]],0)</f>
        <v>0.21</v>
      </c>
      <c r="IA9" s="10">
        <f>IF(CABLES[[#This Row],[SEG47]]&gt;0,CABLES[[#This Row],[CABLE_MASS]],0)</f>
        <v>0</v>
      </c>
      <c r="IB9" s="10">
        <f>IF(CABLES[[#This Row],[SEG48]]&gt;0,CABLES[[#This Row],[CABLE_MASS]],0)</f>
        <v>0</v>
      </c>
      <c r="IC9" s="10">
        <f>IF(CABLES[[#This Row],[SEG49]]&gt;0,CABLES[[#This Row],[CABLE_MASS]],0)</f>
        <v>0</v>
      </c>
      <c r="ID9" s="10">
        <f>IF(CABLES[[#This Row],[SEG50]]&gt;0,CABLES[[#This Row],[CABLE_MASS]],0)</f>
        <v>0</v>
      </c>
      <c r="IE9" s="10">
        <f>IF(CABLES[[#This Row],[SEG51]]&gt;0,CABLES[[#This Row],[CABLE_MASS]],0)</f>
        <v>0</v>
      </c>
      <c r="IF9" s="10">
        <f>IF(CABLES[[#This Row],[SEG52]]&gt;0,CABLES[[#This Row],[CABLE_MASS]],0)</f>
        <v>0</v>
      </c>
      <c r="IG9" s="10">
        <f>IF(CABLES[[#This Row],[SEG53]]&gt;0,CABLES[[#This Row],[CABLE_MASS]],0)</f>
        <v>0</v>
      </c>
      <c r="IH9" s="10">
        <f>IF(CABLES[[#This Row],[SEG54]]&gt;0,CABLES[[#This Row],[CABLE_MASS]],0)</f>
        <v>0</v>
      </c>
      <c r="II9" s="10">
        <f>IF(CABLES[[#This Row],[SEG55]]&gt;0,CABLES[[#This Row],[CABLE_MASS]],0)</f>
        <v>0</v>
      </c>
      <c r="IJ9" s="10">
        <f>IF(CABLES[[#This Row],[SEG56]]&gt;0,CABLES[[#This Row],[CABLE_MASS]],0)</f>
        <v>0</v>
      </c>
      <c r="IK9" s="10">
        <f>IF(CABLES[[#This Row],[SEG57]]&gt;0,CABLES[[#This Row],[CABLE_MASS]],0)</f>
        <v>0</v>
      </c>
      <c r="IL9" s="10">
        <f>IF(CABLES[[#This Row],[SEG58]]&gt;0,CABLES[[#This Row],[CABLE_MASS]],0)</f>
        <v>0</v>
      </c>
      <c r="IM9" s="10">
        <f>IF(CABLES[[#This Row],[SEG59]]&gt;0,CABLES[[#This Row],[CABLE_MASS]],0)</f>
        <v>0</v>
      </c>
      <c r="IN9" s="10">
        <f>IF(CABLES[[#This Row],[SEG60]]&gt;0,CABLES[[#This Row],[CABLE_MASS]],0)</f>
        <v>0</v>
      </c>
      <c r="IO9" s="10">
        <f xml:space="preserve">  (CABLES[[#This Row],[LOAD_KW]]/(SQRT(3)*SYSTEM_VOLTAGE*POWER_FACTOR))*1000</f>
        <v>2.4056261216234405</v>
      </c>
      <c r="IP9" s="10">
        <v>45</v>
      </c>
      <c r="IQ9" s="10">
        <f xml:space="preserve"> INDEX(AS3000_AMBIENTDERATE[], MATCH(CABLES[[#This Row],[AMBIENT]],AS3000_AMBIENTDERATE[AMBIENT],0), 2)</f>
        <v>0.94</v>
      </c>
      <c r="IR9" s="10">
        <f xml:space="preserve"> ROUNDUP( CABLES[[#This Row],[CALCULATED_AMPS]]/CABLES[[#This Row],[AMBIENT_DERATING]],1)</f>
        <v>2.6</v>
      </c>
      <c r="IS9" s="10" t="s">
        <v>531</v>
      </c>
      <c r="IT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9" s="10">
        <f t="shared" si="0"/>
        <v>28.000000000000004</v>
      </c>
      <c r="IV9" s="10">
        <f>(1000*CABLES[[#This Row],[MAX_VDROP]])/(CABLES[[#This Row],[ESTIMATED_CABLE_LENGTH]]*CABLES[[#This Row],[AMP_RATING]])</f>
        <v>169.3275278180939</v>
      </c>
      <c r="IW9" s="10">
        <f xml:space="preserve"> INDEX(AS3000_VDROP[], MATCH(CABLES[[#This Row],[VC_CALC]],AS3000_VDROP[Vc],1),1)</f>
        <v>2.5</v>
      </c>
      <c r="IX9" s="10">
        <f>MAX(CABLES[[#This Row],[CABLESIZE_METHOD1]],CABLES[[#This Row],[CABLESIZE_METHOD2]])</f>
        <v>2.5</v>
      </c>
      <c r="IY9" s="10"/>
      <c r="IZ9" s="10">
        <f>IF(LEN(CABLES[[#This Row],[OVERRIDE_CABLESIZE]])&gt;0,CABLES[[#This Row],[OVERRIDE_CABLESIZE]],CABLES[[#This Row],[INITIAL_CABLESIZE]])</f>
        <v>2.5</v>
      </c>
      <c r="JA9" s="10">
        <f>INDEX(PROTECTIVE_DEVICE[DEVICE], MATCH(CABLES[[#This Row],[CALCULATED_AMPS]],PROTECTIVE_DEVICE[DEVICE],-1),1)</f>
        <v>6</v>
      </c>
      <c r="JB9" s="10"/>
      <c r="JC9" s="10">
        <f>IF(LEN(CABLES[[#This Row],[OVERRIDE_PDEVICE]])&gt;0, CABLES[[#This Row],[OVERRIDE_PDEVICE]],CABLES[[#This Row],[RECOMMEND_PDEVICE]])</f>
        <v>6</v>
      </c>
      <c r="JD9" s="10" t="s">
        <v>450</v>
      </c>
      <c r="JE9" s="10">
        <f xml:space="preserve"> CABLES[[#This Row],[SELECTED_PDEVICE]] * INDEX(DEVICE_CURVE[], MATCH(CABLES[[#This Row],[PDEVICE_CURVE]], DEVICE_CURVE[DEVICE_CURVE],0),2)</f>
        <v>39</v>
      </c>
      <c r="JF9" s="10" t="s">
        <v>458</v>
      </c>
      <c r="JG9" s="10">
        <f xml:space="preserve"> INDEX(CONDUCTOR_MATERIAL[], MATCH(CABLES[[#This Row],[CONDUCTOR_MATERIAL]],CONDUCTOR_MATERIAL[CONDUCTOR_MATERIAL],0),2)</f>
        <v>2.2499999999999999E-2</v>
      </c>
      <c r="JH9" s="10">
        <f>CABLES[[#This Row],[SELECTED_CABLESIZE]]</f>
        <v>2.5</v>
      </c>
      <c r="JI9" s="10">
        <f xml:space="preserve"> INDEX( EARTH_CONDUCTOR_SIZE[], MATCH(CABLES[[#This Row],[SPH]],EARTH_CONDUCTOR_SIZE[MM^2],-1), 2)</f>
        <v>2.5</v>
      </c>
      <c r="JJ9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9" s="10" t="str">
        <f>IF(CABLES[[#This Row],[LMAX]]&gt;CABLES[[#This Row],[ESTIMATED_CABLE_LENGTH]], "PASS", "ERROR")</f>
        <v>PASS</v>
      </c>
      <c r="JL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9" s="6">
        <f xml:space="preserve"> ROUNDUP( CABLES[[#This Row],[CALCULATED_AMPS]],1)</f>
        <v>2.5</v>
      </c>
      <c r="JO9" s="6">
        <f>CABLES[[#This Row],[SELECTED_CABLESIZE]]</f>
        <v>2.5</v>
      </c>
      <c r="JP9" s="10">
        <f>CABLES[[#This Row],[ESTIMATED_CABLE_LENGTH]]</f>
        <v>63.599999999999994</v>
      </c>
      <c r="JQ9" s="6">
        <f>CABLES[[#This Row],[SELECTED_PDEVICE]]</f>
        <v>6</v>
      </c>
    </row>
    <row r="10" spans="1:277" x14ac:dyDescent="0.35">
      <c r="A10" s="5" t="s">
        <v>9</v>
      </c>
      <c r="B10" s="5" t="s">
        <v>85</v>
      </c>
      <c r="C10" s="10" t="s">
        <v>262</v>
      </c>
      <c r="D10" s="9">
        <v>1.5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1</v>
      </c>
      <c r="AI10" s="9">
        <v>1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1</v>
      </c>
      <c r="AR10" s="9">
        <v>0</v>
      </c>
      <c r="AS10" s="9">
        <v>1</v>
      </c>
      <c r="AT10" s="9">
        <v>0</v>
      </c>
      <c r="AU10" s="9">
        <v>0</v>
      </c>
      <c r="AV10" s="9">
        <v>0</v>
      </c>
      <c r="AW10" s="9">
        <v>1</v>
      </c>
      <c r="AX10" s="9">
        <v>1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f xml:space="preserve"> IF(CABLES[[#This Row],[SEG1]] &gt;0, INDEX(SEGMENTS[], MATCH(CABLES[[#Headers],[SEG1]],SEGMENTS[SEG_ID],0),4),0)</f>
        <v>0</v>
      </c>
      <c r="BN10" s="9">
        <f xml:space="preserve"> IF(CABLES[[#This Row],[SEG2]] &gt;0, INDEX(SEGMENTS[], MATCH(CABLES[[#Headers],[SEG2]],SEGMENTS[SEG_ID],0),4),0)</f>
        <v>0</v>
      </c>
      <c r="BO10" s="9">
        <f xml:space="preserve"> IF(CABLES[[#This Row],[SEG3]] &gt;0, INDEX(SEGMENTS[], MATCH(CABLES[[#Headers],[SEG3]],SEGMENTS[SEG_ID],0),4),0)</f>
        <v>0</v>
      </c>
      <c r="BP10" s="9">
        <f xml:space="preserve"> IF(CABLES[[#This Row],[SEG4]] &gt;0, INDEX(SEGMENTS[], MATCH(CABLES[[#Headers],[SEG4]],SEGMENTS[SEG_ID],0),4),0)</f>
        <v>0</v>
      </c>
      <c r="BQ10" s="9">
        <f xml:space="preserve"> IF(CABLES[[#This Row],[SEG5]] &gt;0,INDEX(SEGMENTS[], MATCH(CABLES[[#Headers],[SEG5]],SEGMENTS[SEG_ID],0),4),0)</f>
        <v>0</v>
      </c>
      <c r="BR10" s="9">
        <f xml:space="preserve"> IF(CABLES[[#This Row],[SEG6]] &gt;0,INDEX(SEGMENTS[], MATCH(CABLES[[#Headers],[SEG6]],SEGMENTS[SEG_ID],0),4),0)</f>
        <v>0</v>
      </c>
      <c r="BS10" s="9">
        <f xml:space="preserve"> IF(CABLES[[#This Row],[SEG7]] &gt;0,INDEX(SEGMENTS[], MATCH(CABLES[[#Headers],[SEG7]],SEGMENTS[SEG_ID],0),4),0)</f>
        <v>0</v>
      </c>
      <c r="BT10" s="9">
        <f xml:space="preserve"> IF(CABLES[[#This Row],[SEG8]] &gt;0,INDEX(SEGMENTS[], MATCH(CABLES[[#Headers],[SEG8]],SEGMENTS[SEG_ID],0),4),0)</f>
        <v>0</v>
      </c>
      <c r="BU10" s="9">
        <f xml:space="preserve"> IF(CABLES[[#This Row],[SEG9]] &gt;0,INDEX(SEGMENTS[], MATCH(CABLES[[#Headers],[SEG9]],SEGMENTS[SEG_ID],0),4),0)</f>
        <v>0</v>
      </c>
      <c r="BV10" s="9">
        <f xml:space="preserve"> IF(CABLES[[#This Row],[SEG10]] &gt;0,INDEX(SEGMENTS[], MATCH(CABLES[[#Headers],[SEG10]],SEGMENTS[SEG_ID],0),4),0)</f>
        <v>0</v>
      </c>
      <c r="BW10" s="9">
        <f xml:space="preserve"> IF(CABLES[[#This Row],[SEG11]] &gt;0,INDEX(SEGMENTS[], MATCH(CABLES[[#Headers],[SEG11]],SEGMENTS[SEG_ID],0),4),0)</f>
        <v>0</v>
      </c>
      <c r="BX10" s="9">
        <f>IF(CABLES[[#This Row],[SEG12]] &gt;0, INDEX(SEGMENTS[], MATCH(CABLES[[#Headers],[SEG12]],SEGMENTS[SEG_ID],0),4),0)</f>
        <v>0</v>
      </c>
      <c r="BY10" s="9">
        <f xml:space="preserve"> IF(CABLES[[#This Row],[SEG13]] &gt;0,INDEX(SEGMENTS[], MATCH(CABLES[[#Headers],[SEG13]],SEGMENTS[SEG_ID],0),4),0)</f>
        <v>0</v>
      </c>
      <c r="BZ10" s="9">
        <f xml:space="preserve"> IF(CABLES[[#This Row],[SEG14]] &gt;0,INDEX(SEGMENTS[], MATCH(CABLES[[#Headers],[SEG14]],SEGMENTS[SEG_ID],0),4),0)</f>
        <v>0</v>
      </c>
      <c r="CA10" s="9">
        <f xml:space="preserve"> IF(CABLES[[#This Row],[SEG15]] &gt;0,INDEX(SEGMENTS[], MATCH(CABLES[[#Headers],[SEG15]],SEGMENTS[SEG_ID],0),4),0)</f>
        <v>0</v>
      </c>
      <c r="CB10" s="9">
        <f xml:space="preserve"> IF(CABLES[[#This Row],[SEG16]] &gt;0,INDEX(SEGMENTS[], MATCH(CABLES[[#Headers],[SEG16]],SEGMENTS[SEG_ID],0),4),0)</f>
        <v>0</v>
      </c>
      <c r="CC10" s="9">
        <f xml:space="preserve"> IF(CABLES[[#This Row],[SEG17]] &gt;0,INDEX(SEGMENTS[], MATCH(CABLES[[#Headers],[SEG17]],SEGMENTS[SEG_ID],0),4),0)</f>
        <v>0</v>
      </c>
      <c r="CD10" s="9">
        <f xml:space="preserve"> IF(CABLES[[#This Row],[SEG18]] &gt;0,INDEX(SEGMENTS[], MATCH(CABLES[[#Headers],[SEG18]],SEGMENTS[SEG_ID],0),4),0)</f>
        <v>0</v>
      </c>
      <c r="CE10" s="9">
        <f>IF(CABLES[[#This Row],[SEG19]] &gt;0, INDEX(SEGMENTS[], MATCH(CABLES[[#Headers],[SEG19]],SEGMENTS[SEG_ID],0),4),0)</f>
        <v>0</v>
      </c>
      <c r="CF10" s="9">
        <f>IF(CABLES[[#This Row],[SEG20]] &gt;0, INDEX(SEGMENTS[], MATCH(CABLES[[#Headers],[SEG20]],SEGMENTS[SEG_ID],0),4),0)</f>
        <v>0</v>
      </c>
      <c r="CG10" s="9">
        <f xml:space="preserve"> IF(CABLES[[#This Row],[SEG21]] &gt;0,INDEX(SEGMENTS[], MATCH(CABLES[[#Headers],[SEG21]],SEGMENTS[SEG_ID],0),4),0)</f>
        <v>0</v>
      </c>
      <c r="CH10" s="9">
        <f xml:space="preserve"> IF(CABLES[[#This Row],[SEG22]] &gt;0,INDEX(SEGMENTS[], MATCH(CABLES[[#Headers],[SEG22]],SEGMENTS[SEG_ID],0),4),0)</f>
        <v>0</v>
      </c>
      <c r="CI10" s="9">
        <f>IF(CABLES[[#This Row],[SEG23]] &gt;0, INDEX(SEGMENTS[], MATCH(CABLES[[#Headers],[SEG23]],SEGMENTS[SEG_ID],0),4),0)</f>
        <v>0</v>
      </c>
      <c r="CJ10" s="9">
        <f xml:space="preserve"> IF(CABLES[[#This Row],[SEG24]] &gt;0,INDEX(SEGMENTS[], MATCH(CABLES[[#Headers],[SEG24]],SEGMENTS[SEG_ID],0),4),0)</f>
        <v>0</v>
      </c>
      <c r="CK10" s="9">
        <f>IF(CABLES[[#This Row],[SEG25]] &gt;0, INDEX(SEGMENTS[], MATCH(CABLES[[#Headers],[SEG25]],SEGMENTS[SEG_ID],0),4),0)</f>
        <v>0</v>
      </c>
      <c r="CL10" s="9">
        <f>IF(CABLES[[#This Row],[SEG26]] &gt;0, INDEX(SEGMENTS[], MATCH(CABLES[[#Headers],[SEG26]],SEGMENTS[SEG_ID],0),4),0)</f>
        <v>0</v>
      </c>
      <c r="CM10" s="9">
        <f xml:space="preserve"> IF(CABLES[[#This Row],[SEG27]] &gt;0,INDEX(SEGMENTS[], MATCH(CABLES[[#Headers],[SEG27]],SEGMENTS[SEG_ID],0),4),0)</f>
        <v>0</v>
      </c>
      <c r="CN10" s="9">
        <f xml:space="preserve"> IF(CABLES[[#This Row],[SEG28]] &gt;0,INDEX(SEGMENTS[], MATCH(CABLES[[#Headers],[SEG28]],SEGMENTS[SEG_ID],0),4),0)</f>
        <v>0</v>
      </c>
      <c r="CO10" s="9">
        <f xml:space="preserve"> IF(CABLES[[#This Row],[SEG29]] &gt;0,INDEX(SEGMENTS[], MATCH(CABLES[[#Headers],[SEG29]],SEGMENTS[SEG_ID],0),4),0)</f>
        <v>0</v>
      </c>
      <c r="CP10" s="9">
        <f xml:space="preserve"> IF(CABLES[[#This Row],[SEG30]] &gt;0,INDEX(SEGMENTS[], MATCH(CABLES[[#Headers],[SEG30]],SEGMENTS[SEG_ID],0),4),0)</f>
        <v>6</v>
      </c>
      <c r="CQ10" s="9">
        <f>IF(CABLES[[#This Row],[SEG31]] &gt;0, INDEX(SEGMENTS[], MATCH(CABLES[[#Headers],[SEG31]],SEGMENTS[SEG_ID],0),4),0)</f>
        <v>3</v>
      </c>
      <c r="CR10" s="9">
        <f xml:space="preserve"> IF(CABLES[[#This Row],[SEG32]] &gt;0,INDEX(SEGMENTS[], MATCH(CABLES[[#Headers],[SEG32]],SEGMENTS[SEG_ID],0),4),0)</f>
        <v>0</v>
      </c>
      <c r="CS10" s="9">
        <f xml:space="preserve"> IF(CABLES[[#This Row],[SEG33]] &gt;0,INDEX(SEGMENTS[], MATCH(CABLES[[#Headers],[SEG33]],SEGMENTS[SEG_ID],0),4),0)</f>
        <v>0</v>
      </c>
      <c r="CT10" s="9">
        <f>IF(CABLES[[#This Row],[SEG34]] &gt;0, INDEX(SEGMENTS[], MATCH(CABLES[[#Headers],[SEG34]],SEGMENTS[SEG_ID],0),4),0)</f>
        <v>0</v>
      </c>
      <c r="CU10" s="9">
        <f xml:space="preserve"> IF(CABLES[[#This Row],[SEG35]] &gt;0,INDEX(SEGMENTS[], MATCH(CABLES[[#Headers],[SEG35]],SEGMENTS[SEG_ID],0),4),0)</f>
        <v>0</v>
      </c>
      <c r="CV10" s="9">
        <f xml:space="preserve"> IF(CABLES[[#This Row],[SEG36]] &gt;0,INDEX(SEGMENTS[], MATCH(CABLES[[#Headers],[SEG36]],SEGMENTS[SEG_ID],0),4),0)</f>
        <v>0</v>
      </c>
      <c r="CW10" s="9">
        <f xml:space="preserve"> IF(CABLES[[#This Row],[SEG37]] &gt;0,INDEX(SEGMENTS[], MATCH(CABLES[[#Headers],[SEG37]],SEGMENTS[SEG_ID],0),4),0)</f>
        <v>0</v>
      </c>
      <c r="CX10" s="9">
        <f xml:space="preserve"> IF(CABLES[[#This Row],[SEG38]] &gt;0,INDEX(SEGMENTS[], MATCH(CABLES[[#Headers],[SEG38]],SEGMENTS[SEG_ID],0),4),0)</f>
        <v>0</v>
      </c>
      <c r="CY10" s="9">
        <f xml:space="preserve"> IF(CABLES[[#This Row],[SEG39]] &gt;0,INDEX(SEGMENTS[], MATCH(CABLES[[#Headers],[SEG39]],SEGMENTS[SEG_ID],0),4),0)</f>
        <v>8</v>
      </c>
      <c r="CZ10" s="9">
        <f xml:space="preserve"> IF(CABLES[[#This Row],[SEG40]] &gt;0,INDEX(SEGMENTS[], MATCH(CABLES[[#Headers],[SEG40]],SEGMENTS[SEG_ID],0),4),0)</f>
        <v>0</v>
      </c>
      <c r="DA10" s="9">
        <f xml:space="preserve"> IF(CABLES[[#This Row],[SEG41]] &gt;0,INDEX(SEGMENTS[], MATCH(CABLES[[#Headers],[SEG41]],SEGMENTS[SEG_ID],0),4),0)</f>
        <v>8</v>
      </c>
      <c r="DB10" s="9">
        <f xml:space="preserve"> IF(CABLES[[#This Row],[SEG42]] &gt;0,INDEX(SEGMENTS[], MATCH(CABLES[[#Headers],[SEG42]],SEGMENTS[SEG_ID],0),4),0)</f>
        <v>0</v>
      </c>
      <c r="DC10" s="9">
        <f xml:space="preserve"> IF(CABLES[[#This Row],[SEG43]] &gt;0,INDEX(SEGMENTS[], MATCH(CABLES[[#Headers],[SEG43]],SEGMENTS[SEG_ID],0),4),0)</f>
        <v>0</v>
      </c>
      <c r="DD10" s="9">
        <f xml:space="preserve"> IF(CABLES[[#This Row],[SEG44]] &gt;0,INDEX(SEGMENTS[], MATCH(CABLES[[#Headers],[SEG44]],SEGMENTS[SEG_ID],0),4),0)</f>
        <v>0</v>
      </c>
      <c r="DE10" s="9">
        <f xml:space="preserve"> IF(CABLES[[#This Row],[SEG45]] &gt;0,INDEX(SEGMENTS[], MATCH(CABLES[[#Headers],[SEG45]],SEGMENTS[SEG_ID],0),4),0)</f>
        <v>9</v>
      </c>
      <c r="DF10" s="9">
        <f xml:space="preserve"> IF(CABLES[[#This Row],[SEG46]] &gt;0,INDEX(SEGMENTS[], MATCH(CABLES[[#Headers],[SEG46]],SEGMENTS[SEG_ID],0),4),0)</f>
        <v>14</v>
      </c>
      <c r="DG10" s="9">
        <f xml:space="preserve"> IF(CABLES[[#This Row],[SEG47]] &gt;0,INDEX(SEGMENTS[], MATCH(CABLES[[#Headers],[SEG47]],SEGMENTS[SEG_ID],0),4),0)</f>
        <v>0</v>
      </c>
      <c r="DH10" s="9">
        <f xml:space="preserve"> IF(CABLES[[#This Row],[SEG48]] &gt;0,INDEX(SEGMENTS[], MATCH(CABLES[[#Headers],[SEG48]],SEGMENTS[SEG_ID],0),4),0)</f>
        <v>0</v>
      </c>
      <c r="DI10" s="9">
        <f xml:space="preserve"> IF(CABLES[[#This Row],[SEG49]] &gt;0,INDEX(SEGMENTS[], MATCH(CABLES[[#Headers],[SEG49]],SEGMENTS[SEG_ID],0),4),0)</f>
        <v>0</v>
      </c>
      <c r="DJ10" s="9">
        <f xml:space="preserve"> IF(CABLES[[#This Row],[SEG50]] &gt;0,INDEX(SEGMENTS[], MATCH(CABLES[[#Headers],[SEG50]],SEGMENTS[SEG_ID],0),4),0)</f>
        <v>0</v>
      </c>
      <c r="DK10" s="9">
        <f xml:space="preserve"> IF(CABLES[[#This Row],[SEG51]] &gt;0,INDEX(SEGMENTS[], MATCH(CABLES[[#Headers],[SEG51]],SEGMENTS[SEG_ID],0),4),0)</f>
        <v>0</v>
      </c>
      <c r="DL10" s="9">
        <f xml:space="preserve"> IF(CABLES[[#This Row],[SEG52]] &gt;0,INDEX(SEGMENTS[], MATCH(CABLES[[#Headers],[SEG52]],SEGMENTS[SEG_ID],0),4),0)</f>
        <v>0</v>
      </c>
      <c r="DM10" s="9">
        <f xml:space="preserve"> IF(CABLES[[#This Row],[SEG53]] &gt;0,INDEX(SEGMENTS[], MATCH(CABLES[[#Headers],[SEG53]],SEGMENTS[SEG_ID],0),4),0)</f>
        <v>0</v>
      </c>
      <c r="DN10" s="9">
        <f xml:space="preserve"> IF(CABLES[[#This Row],[SEG54]] &gt;0,INDEX(SEGMENTS[], MATCH(CABLES[[#Headers],[SEG54]],SEGMENTS[SEG_ID],0),4),0)</f>
        <v>0</v>
      </c>
      <c r="DO10" s="9">
        <f xml:space="preserve"> IF(CABLES[[#This Row],[SEG55]] &gt;0,INDEX(SEGMENTS[], MATCH(CABLES[[#Headers],[SEG55]],SEGMENTS[SEG_ID],0),4),0)</f>
        <v>0</v>
      </c>
      <c r="DP10" s="9">
        <f xml:space="preserve"> IF(CABLES[[#This Row],[SEG56]] &gt;0,INDEX(SEGMENTS[], MATCH(CABLES[[#Headers],[SEG56]],SEGMENTS[SEG_ID],0),4),0)</f>
        <v>0</v>
      </c>
      <c r="DQ10" s="9">
        <f xml:space="preserve"> IF(CABLES[[#This Row],[SEG57]] &gt;0,INDEX(SEGMENTS[], MATCH(CABLES[[#Headers],[SEG57]],SEGMENTS[SEG_ID],0),4),0)</f>
        <v>0</v>
      </c>
      <c r="DR10" s="9">
        <f xml:space="preserve"> IF(CABLES[[#This Row],[SEG58]] &gt;0,INDEX(SEGMENTS[], MATCH(CABLES[[#Headers],[SEG58]],SEGMENTS[SEG_ID],0),4),0)</f>
        <v>0</v>
      </c>
      <c r="DS10" s="9">
        <f xml:space="preserve"> IF(CABLES[[#This Row],[SEG59]] &gt;0,INDEX(SEGMENTS[], MATCH(CABLES[[#Headers],[SEG59]],SEGMENTS[SEG_ID],0),4),0)</f>
        <v>0</v>
      </c>
      <c r="DT10" s="9">
        <f xml:space="preserve"> IF(CABLES[[#This Row],[SEG60]] &gt;0,INDEX(SEGMENTS[], MATCH(CABLES[[#Headers],[SEG60]],SEGMENTS[SEG_ID],0),4),0)</f>
        <v>0</v>
      </c>
      <c r="DU10" s="10">
        <f>SUM(CABLES[[#This Row],[SEGL1]:[SEGL60]])</f>
        <v>48</v>
      </c>
      <c r="DV10" s="10">
        <v>5</v>
      </c>
      <c r="DW10" s="10">
        <v>1.2</v>
      </c>
      <c r="DX10" s="10">
        <f xml:space="preserve"> IF(CABLES[[#This Row],[SEGL_TOTAL]]&gt;0, (CABLES[[#This Row],[SEGL_TOTAL]] + CABLES[[#This Row],[FITOFF]]) *CABLES[[#This Row],[XCAPACITY]],0)</f>
        <v>63.599999999999994</v>
      </c>
      <c r="DY10" s="10">
        <f>IF(CABLES[[#This Row],[SEG1]]&gt;0,CABLES[[#This Row],[CABLE_DIAMETER]],0)</f>
        <v>0</v>
      </c>
      <c r="DZ10" s="10">
        <f>IF(CABLES[[#This Row],[SEG2]]&gt;0,CABLES[[#This Row],[CABLE_DIAMETER]],0)</f>
        <v>0</v>
      </c>
      <c r="EA10" s="10">
        <f>IF(CABLES[[#This Row],[SEG3]]&gt;0,CABLES[[#This Row],[CABLE_DIAMETER]],0)</f>
        <v>0</v>
      </c>
      <c r="EB10" s="10">
        <f>IF(CABLES[[#This Row],[SEG4]]&gt;0,CABLES[[#This Row],[CABLE_DIAMETER]],0)</f>
        <v>0</v>
      </c>
      <c r="EC10" s="10">
        <f>IF(CABLES[[#This Row],[SEG5]]&gt;0,CABLES[[#This Row],[CABLE_DIAMETER]],0)</f>
        <v>0</v>
      </c>
      <c r="ED10" s="10">
        <f>IF(CABLES[[#This Row],[SEG6]]&gt;0,CABLES[[#This Row],[CABLE_DIAMETER]],0)</f>
        <v>0</v>
      </c>
      <c r="EE10" s="10">
        <f>IF(CABLES[[#This Row],[SEG7]]&gt;0,CABLES[[#This Row],[CABLE_DIAMETER]],0)</f>
        <v>0</v>
      </c>
      <c r="EF10" s="10">
        <f>IF(CABLES[[#This Row],[SEG9]]&gt;0,CABLES[[#This Row],[CABLE_DIAMETER]],0)</f>
        <v>0</v>
      </c>
      <c r="EG10" s="10">
        <f>IF(CABLES[[#This Row],[SEG9]]&gt;0,CABLES[[#This Row],[CABLE_DIAMETER]],0)</f>
        <v>0</v>
      </c>
      <c r="EH10" s="10">
        <f>IF(CABLES[[#This Row],[SEG10]]&gt;0,CABLES[[#This Row],[CABLE_DIAMETER]],0)</f>
        <v>0</v>
      </c>
      <c r="EI10" s="10">
        <f>IF(CABLES[[#This Row],[SEG11]]&gt;0,CABLES[[#This Row],[CABLE_DIAMETER]],0)</f>
        <v>0</v>
      </c>
      <c r="EJ10" s="10">
        <f>IF(CABLES[[#This Row],[SEG12]]&gt;0,CABLES[[#This Row],[CABLE_DIAMETER]],0)</f>
        <v>0</v>
      </c>
      <c r="EK10" s="10">
        <f>IF(CABLES[[#This Row],[SEG13]]&gt;0,CABLES[[#This Row],[CABLE_DIAMETER]],0)</f>
        <v>0</v>
      </c>
      <c r="EL10" s="10">
        <f>IF(CABLES[[#This Row],[SEG14]]&gt;0,CABLES[[#This Row],[CABLE_DIAMETER]],0)</f>
        <v>0</v>
      </c>
      <c r="EM10" s="10">
        <f>IF(CABLES[[#This Row],[SEG15]]&gt;0,CABLES[[#This Row],[CABLE_DIAMETER]],0)</f>
        <v>0</v>
      </c>
      <c r="EN10" s="10">
        <f>IF(CABLES[[#This Row],[SEG16]]&gt;0,CABLES[[#This Row],[CABLE_DIAMETER]],0)</f>
        <v>0</v>
      </c>
      <c r="EO10" s="10">
        <f>IF(CABLES[[#This Row],[SEG17]]&gt;0,CABLES[[#This Row],[CABLE_DIAMETER]],0)</f>
        <v>0</v>
      </c>
      <c r="EP10" s="10">
        <f>IF(CABLES[[#This Row],[SEG18]]&gt;0,CABLES[[#This Row],[CABLE_DIAMETER]],0)</f>
        <v>0</v>
      </c>
      <c r="EQ10" s="10">
        <f>IF(CABLES[[#This Row],[SEG19]]&gt;0,CABLES[[#This Row],[CABLE_DIAMETER]],0)</f>
        <v>0</v>
      </c>
      <c r="ER10" s="10">
        <f>IF(CABLES[[#This Row],[SEG20]]&gt;0,CABLES[[#This Row],[CABLE_DIAMETER]],0)</f>
        <v>0</v>
      </c>
      <c r="ES10" s="10">
        <f>IF(CABLES[[#This Row],[SEG21]]&gt;0,CABLES[[#This Row],[CABLE_DIAMETER]],0)</f>
        <v>0</v>
      </c>
      <c r="ET10" s="10">
        <f>IF(CABLES[[#This Row],[SEG22]]&gt;0,CABLES[[#This Row],[CABLE_DIAMETER]],0)</f>
        <v>0</v>
      </c>
      <c r="EU10" s="10">
        <f>IF(CABLES[[#This Row],[SEG23]]&gt;0,CABLES[[#This Row],[CABLE_DIAMETER]],0)</f>
        <v>0</v>
      </c>
      <c r="EV10" s="10">
        <f>IF(CABLES[[#This Row],[SEG24]]&gt;0,CABLES[[#This Row],[CABLE_DIAMETER]],0)</f>
        <v>0</v>
      </c>
      <c r="EW10" s="10">
        <f>IF(CABLES[[#This Row],[SEG25]]&gt;0,CABLES[[#This Row],[CABLE_DIAMETER]],0)</f>
        <v>0</v>
      </c>
      <c r="EX10" s="10">
        <f>IF(CABLES[[#This Row],[SEG26]]&gt;0,CABLES[[#This Row],[CABLE_DIAMETER]],0)</f>
        <v>0</v>
      </c>
      <c r="EY10" s="10">
        <f>IF(CABLES[[#This Row],[SEG27]]&gt;0,CABLES[[#This Row],[CABLE_DIAMETER]],0)</f>
        <v>0</v>
      </c>
      <c r="EZ10" s="10">
        <f>IF(CABLES[[#This Row],[SEG28]]&gt;0,CABLES[[#This Row],[CABLE_DIAMETER]],0)</f>
        <v>0</v>
      </c>
      <c r="FA10" s="10">
        <f>IF(CABLES[[#This Row],[SEG29]]&gt;0,CABLES[[#This Row],[CABLE_DIAMETER]],0)</f>
        <v>0</v>
      </c>
      <c r="FB10" s="10">
        <f>IF(CABLES[[#This Row],[SEG30]]&gt;0,CABLES[[#This Row],[CABLE_DIAMETER]],0)</f>
        <v>12</v>
      </c>
      <c r="FC10" s="10">
        <f>IF(CABLES[[#This Row],[SEG31]]&gt;0,CABLES[[#This Row],[CABLE_DIAMETER]],0)</f>
        <v>12</v>
      </c>
      <c r="FD10" s="10">
        <f>IF(CABLES[[#This Row],[SEG32]]&gt;0,CABLES[[#This Row],[CABLE_DIAMETER]],0)</f>
        <v>0</v>
      </c>
      <c r="FE10" s="10">
        <f>IF(CABLES[[#This Row],[SEG33]]&gt;0,CABLES[[#This Row],[CABLE_DIAMETER]],0)</f>
        <v>0</v>
      </c>
      <c r="FF10" s="10">
        <f>IF(CABLES[[#This Row],[SEG34]]&gt;0,CABLES[[#This Row],[CABLE_DIAMETER]],0)</f>
        <v>0</v>
      </c>
      <c r="FG10" s="10">
        <f>IF(CABLES[[#This Row],[SEG35]]&gt;0,CABLES[[#This Row],[CABLE_DIAMETER]],0)</f>
        <v>0</v>
      </c>
      <c r="FH10" s="10">
        <f>IF(CABLES[[#This Row],[SEG36]]&gt;0,CABLES[[#This Row],[CABLE_DIAMETER]],0)</f>
        <v>0</v>
      </c>
      <c r="FI10" s="10">
        <f>IF(CABLES[[#This Row],[SEG37]]&gt;0,CABLES[[#This Row],[CABLE_DIAMETER]],0)</f>
        <v>0</v>
      </c>
      <c r="FJ10" s="10">
        <f>IF(CABLES[[#This Row],[SEG38]]&gt;0,CABLES[[#This Row],[CABLE_DIAMETER]],0)</f>
        <v>0</v>
      </c>
      <c r="FK10" s="10">
        <f>IF(CABLES[[#This Row],[SEG39]]&gt;0,CABLES[[#This Row],[CABLE_DIAMETER]],0)</f>
        <v>12</v>
      </c>
      <c r="FL10" s="10">
        <f>IF(CABLES[[#This Row],[SEG40]]&gt;0,CABLES[[#This Row],[CABLE_DIAMETER]],0)</f>
        <v>0</v>
      </c>
      <c r="FM10" s="10">
        <f>IF(CABLES[[#This Row],[SEG41]]&gt;0,CABLES[[#This Row],[CABLE_DIAMETER]],0)</f>
        <v>12</v>
      </c>
      <c r="FN10" s="10">
        <f>IF(CABLES[[#This Row],[SEG42]]&gt;0,CABLES[[#This Row],[CABLE_DIAMETER]],0)</f>
        <v>0</v>
      </c>
      <c r="FO10" s="10">
        <f>IF(CABLES[[#This Row],[SEG43]]&gt;0,CABLES[[#This Row],[CABLE_DIAMETER]],0)</f>
        <v>0</v>
      </c>
      <c r="FP10" s="10">
        <f>IF(CABLES[[#This Row],[SEG44]]&gt;0,CABLES[[#This Row],[CABLE_DIAMETER]],0)</f>
        <v>0</v>
      </c>
      <c r="FQ10" s="10">
        <f>IF(CABLES[[#This Row],[SEG45]]&gt;0,CABLES[[#This Row],[CABLE_DIAMETER]],0)</f>
        <v>12</v>
      </c>
      <c r="FR10" s="10">
        <f>IF(CABLES[[#This Row],[SEG46]]&gt;0,CABLES[[#This Row],[CABLE_DIAMETER]],0)</f>
        <v>12</v>
      </c>
      <c r="FS10" s="10">
        <f>IF(CABLES[[#This Row],[SEG47]]&gt;0,CABLES[[#This Row],[CABLE_DIAMETER]],0)</f>
        <v>0</v>
      </c>
      <c r="FT10" s="10">
        <f>IF(CABLES[[#This Row],[SEG48]]&gt;0,CABLES[[#This Row],[CABLE_DIAMETER]],0)</f>
        <v>0</v>
      </c>
      <c r="FU10" s="10">
        <f>IF(CABLES[[#This Row],[SEG49]]&gt;0,CABLES[[#This Row],[CABLE_DIAMETER]],0)</f>
        <v>0</v>
      </c>
      <c r="FV10" s="10">
        <f>IF(CABLES[[#This Row],[SEG50]]&gt;0,CABLES[[#This Row],[CABLE_DIAMETER]],0)</f>
        <v>0</v>
      </c>
      <c r="FW10" s="10">
        <f>IF(CABLES[[#This Row],[SEG51]]&gt;0,CABLES[[#This Row],[CABLE_DIAMETER]],0)</f>
        <v>0</v>
      </c>
      <c r="FX10" s="10">
        <f>IF(CABLES[[#This Row],[SEG52]]&gt;0,CABLES[[#This Row],[CABLE_DIAMETER]],0)</f>
        <v>0</v>
      </c>
      <c r="FY10" s="10">
        <f>IF(CABLES[[#This Row],[SEG53]]&gt;0,CABLES[[#This Row],[CABLE_DIAMETER]],0)</f>
        <v>0</v>
      </c>
      <c r="FZ10" s="10">
        <f>IF(CABLES[[#This Row],[SEG54]]&gt;0,CABLES[[#This Row],[CABLE_DIAMETER]],0)</f>
        <v>0</v>
      </c>
      <c r="GA10" s="10">
        <f>IF(CABLES[[#This Row],[SEG55]]&gt;0,CABLES[[#This Row],[CABLE_DIAMETER]],0)</f>
        <v>0</v>
      </c>
      <c r="GB10" s="10">
        <f>IF(CABLES[[#This Row],[SEG56]]&gt;0,CABLES[[#This Row],[CABLE_DIAMETER]],0)</f>
        <v>0</v>
      </c>
      <c r="GC10" s="10">
        <f>IF(CABLES[[#This Row],[SEG57]]&gt;0,CABLES[[#This Row],[CABLE_DIAMETER]],0)</f>
        <v>0</v>
      </c>
      <c r="GD10" s="10">
        <f>IF(CABLES[[#This Row],[SEG58]]&gt;0,CABLES[[#This Row],[CABLE_DIAMETER]],0)</f>
        <v>0</v>
      </c>
      <c r="GE10" s="10">
        <f>IF(CABLES[[#This Row],[SEG59]]&gt;0,CABLES[[#This Row],[CABLE_DIAMETER]],0)</f>
        <v>0</v>
      </c>
      <c r="GF10" s="10">
        <f>IF(CABLES[[#This Row],[SEG60]]&gt;0,CABLES[[#This Row],[CABLE_DIAMETER]],0)</f>
        <v>0</v>
      </c>
      <c r="GG10" s="10">
        <f>IF(CABLES[[#This Row],[SEG1]]&gt;0,CABLES[[#This Row],[CABLE_MASS]],0)</f>
        <v>0</v>
      </c>
      <c r="GH10" s="10">
        <f>IF(CABLES[[#This Row],[SEG2]]&gt;0,CABLES[[#This Row],[CABLE_MASS]],0)</f>
        <v>0</v>
      </c>
      <c r="GI10" s="10">
        <f>IF(CABLES[[#This Row],[SEG3]]&gt;0,CABLES[[#This Row],[CABLE_MASS]],0)</f>
        <v>0</v>
      </c>
      <c r="GJ10" s="10">
        <f>IF(CABLES[[#This Row],[SEG4]]&gt;0,CABLES[[#This Row],[CABLE_MASS]],0)</f>
        <v>0</v>
      </c>
      <c r="GK10" s="10">
        <f>IF(CABLES[[#This Row],[SEG5]]&gt;0,CABLES[[#This Row],[CABLE_MASS]],0)</f>
        <v>0</v>
      </c>
      <c r="GL10" s="10">
        <f>IF(CABLES[[#This Row],[SEG6]]&gt;0,CABLES[[#This Row],[CABLE_MASS]],0)</f>
        <v>0</v>
      </c>
      <c r="GM10" s="10">
        <f>IF(CABLES[[#This Row],[SEG7]]&gt;0,CABLES[[#This Row],[CABLE_MASS]],0)</f>
        <v>0</v>
      </c>
      <c r="GN10" s="10">
        <f>IF(CABLES[[#This Row],[SEG8]]&gt;0,CABLES[[#This Row],[CABLE_MASS]],0)</f>
        <v>0</v>
      </c>
      <c r="GO10" s="10">
        <f>IF(CABLES[[#This Row],[SEG9]]&gt;0,CABLES[[#This Row],[CABLE_MASS]],0)</f>
        <v>0</v>
      </c>
      <c r="GP10" s="10">
        <f>IF(CABLES[[#This Row],[SEG10]]&gt;0,CABLES[[#This Row],[CABLE_MASS]],0)</f>
        <v>0</v>
      </c>
      <c r="GQ10" s="10">
        <f>IF(CABLES[[#This Row],[SEG11]]&gt;0,CABLES[[#This Row],[CABLE_MASS]],0)</f>
        <v>0</v>
      </c>
      <c r="GR10" s="10">
        <f>IF(CABLES[[#This Row],[SEG12]]&gt;0,CABLES[[#This Row],[CABLE_MASS]],0)</f>
        <v>0</v>
      </c>
      <c r="GS10" s="10">
        <f>IF(CABLES[[#This Row],[SEG13]]&gt;0,CABLES[[#This Row],[CABLE_MASS]],0)</f>
        <v>0</v>
      </c>
      <c r="GT10" s="10">
        <f>IF(CABLES[[#This Row],[SEG14]]&gt;0,CABLES[[#This Row],[CABLE_MASS]],0)</f>
        <v>0</v>
      </c>
      <c r="GU10" s="10">
        <f>IF(CABLES[[#This Row],[SEG15]]&gt;0,CABLES[[#This Row],[CABLE_MASS]],0)</f>
        <v>0</v>
      </c>
      <c r="GV10" s="10">
        <f>IF(CABLES[[#This Row],[SEG16]]&gt;0,CABLES[[#This Row],[CABLE_MASS]],0)</f>
        <v>0</v>
      </c>
      <c r="GW10" s="10">
        <f>IF(CABLES[[#This Row],[SEG17]]&gt;0,CABLES[[#This Row],[CABLE_MASS]],0)</f>
        <v>0</v>
      </c>
      <c r="GX10" s="10">
        <f>IF(CABLES[[#This Row],[SEG18]]&gt;0,CABLES[[#This Row],[CABLE_MASS]],0)</f>
        <v>0</v>
      </c>
      <c r="GY10" s="10">
        <f>IF(CABLES[[#This Row],[SEG19]]&gt;0,CABLES[[#This Row],[CABLE_MASS]],0)</f>
        <v>0</v>
      </c>
      <c r="GZ10" s="10">
        <f>IF(CABLES[[#This Row],[SEG20]]&gt;0,CABLES[[#This Row],[CABLE_MASS]],0)</f>
        <v>0</v>
      </c>
      <c r="HA10" s="10">
        <f>IF(CABLES[[#This Row],[SEG21]]&gt;0,CABLES[[#This Row],[CABLE_MASS]],0)</f>
        <v>0</v>
      </c>
      <c r="HB10" s="10">
        <f>IF(CABLES[[#This Row],[SEG22]]&gt;0,CABLES[[#This Row],[CABLE_MASS]],0)</f>
        <v>0</v>
      </c>
      <c r="HC10" s="10">
        <f>IF(CABLES[[#This Row],[SEG23]]&gt;0,CABLES[[#This Row],[CABLE_MASS]],0)</f>
        <v>0</v>
      </c>
      <c r="HD10" s="10">
        <f>IF(CABLES[[#This Row],[SEG24]]&gt;0,CABLES[[#This Row],[CABLE_MASS]],0)</f>
        <v>0</v>
      </c>
      <c r="HE10" s="10">
        <f>IF(CABLES[[#This Row],[SEG25]]&gt;0,CABLES[[#This Row],[CABLE_MASS]],0)</f>
        <v>0</v>
      </c>
      <c r="HF10" s="10">
        <f>IF(CABLES[[#This Row],[SEG26]]&gt;0,CABLES[[#This Row],[CABLE_MASS]],0)</f>
        <v>0</v>
      </c>
      <c r="HG10" s="10">
        <f>IF(CABLES[[#This Row],[SEG27]]&gt;0,CABLES[[#This Row],[CABLE_MASS]],0)</f>
        <v>0</v>
      </c>
      <c r="HH10" s="10">
        <f>IF(CABLES[[#This Row],[SEG28]]&gt;0,CABLES[[#This Row],[CABLE_MASS]],0)</f>
        <v>0</v>
      </c>
      <c r="HI10" s="10">
        <f>IF(CABLES[[#This Row],[SEG29]]&gt;0,CABLES[[#This Row],[CABLE_MASS]],0)</f>
        <v>0</v>
      </c>
      <c r="HJ10" s="10">
        <f>IF(CABLES[[#This Row],[SEG30]]&gt;0,CABLES[[#This Row],[CABLE_MASS]],0)</f>
        <v>0.21</v>
      </c>
      <c r="HK10" s="10">
        <f>IF(CABLES[[#This Row],[SEG31]]&gt;0,CABLES[[#This Row],[CABLE_MASS]],0)</f>
        <v>0.21</v>
      </c>
      <c r="HL10" s="10">
        <f>IF(CABLES[[#This Row],[SEG32]]&gt;0,CABLES[[#This Row],[CABLE_MASS]],0)</f>
        <v>0</v>
      </c>
      <c r="HM10" s="10">
        <f>IF(CABLES[[#This Row],[SEG33]]&gt;0,CABLES[[#This Row],[CABLE_MASS]],0)</f>
        <v>0</v>
      </c>
      <c r="HN10" s="10">
        <f>IF(CABLES[[#This Row],[SEG34]]&gt;0,CABLES[[#This Row],[CABLE_MASS]],0)</f>
        <v>0</v>
      </c>
      <c r="HO10" s="10">
        <f>IF(CABLES[[#This Row],[SEG35]]&gt;0,CABLES[[#This Row],[CABLE_MASS]],0)</f>
        <v>0</v>
      </c>
      <c r="HP10" s="10">
        <f>IF(CABLES[[#This Row],[SEG36]]&gt;0,CABLES[[#This Row],[CABLE_MASS]],0)</f>
        <v>0</v>
      </c>
      <c r="HQ10" s="10">
        <f>IF(CABLES[[#This Row],[SEG37]]&gt;0,CABLES[[#This Row],[CABLE_MASS]],0)</f>
        <v>0</v>
      </c>
      <c r="HR10" s="10">
        <f>IF(CABLES[[#This Row],[SEG38]]&gt;0,CABLES[[#This Row],[CABLE_MASS]],0)</f>
        <v>0</v>
      </c>
      <c r="HS10" s="10">
        <f>IF(CABLES[[#This Row],[SEG39]]&gt;0,CABLES[[#This Row],[CABLE_MASS]],0)</f>
        <v>0.21</v>
      </c>
      <c r="HT10" s="10">
        <f>IF(CABLES[[#This Row],[SEG40]]&gt;0,CABLES[[#This Row],[CABLE_MASS]],0)</f>
        <v>0</v>
      </c>
      <c r="HU10" s="10">
        <f>IF(CABLES[[#This Row],[SEG41]]&gt;0,CABLES[[#This Row],[CABLE_MASS]],0)</f>
        <v>0.21</v>
      </c>
      <c r="HV10" s="10">
        <f>IF(CABLES[[#This Row],[SEG42]]&gt;0,CABLES[[#This Row],[CABLE_MASS]],0)</f>
        <v>0</v>
      </c>
      <c r="HW10" s="10">
        <f>IF(CABLES[[#This Row],[SEG43]]&gt;0,CABLES[[#This Row],[CABLE_MASS]],0)</f>
        <v>0</v>
      </c>
      <c r="HX10" s="10">
        <f>IF(CABLES[[#This Row],[SEG44]]&gt;0,CABLES[[#This Row],[CABLE_MASS]],0)</f>
        <v>0</v>
      </c>
      <c r="HY10" s="10">
        <f>IF(CABLES[[#This Row],[SEG45]]&gt;0,CABLES[[#This Row],[CABLE_MASS]],0)</f>
        <v>0.21</v>
      </c>
      <c r="HZ10" s="10">
        <f>IF(CABLES[[#This Row],[SEG46]]&gt;0,CABLES[[#This Row],[CABLE_MASS]],0)</f>
        <v>0.21</v>
      </c>
      <c r="IA10" s="10">
        <f>IF(CABLES[[#This Row],[SEG47]]&gt;0,CABLES[[#This Row],[CABLE_MASS]],0)</f>
        <v>0</v>
      </c>
      <c r="IB10" s="10">
        <f>IF(CABLES[[#This Row],[SEG48]]&gt;0,CABLES[[#This Row],[CABLE_MASS]],0)</f>
        <v>0</v>
      </c>
      <c r="IC10" s="10">
        <f>IF(CABLES[[#This Row],[SEG49]]&gt;0,CABLES[[#This Row],[CABLE_MASS]],0)</f>
        <v>0</v>
      </c>
      <c r="ID10" s="10">
        <f>IF(CABLES[[#This Row],[SEG50]]&gt;0,CABLES[[#This Row],[CABLE_MASS]],0)</f>
        <v>0</v>
      </c>
      <c r="IE10" s="10">
        <f>IF(CABLES[[#This Row],[SEG51]]&gt;0,CABLES[[#This Row],[CABLE_MASS]],0)</f>
        <v>0</v>
      </c>
      <c r="IF10" s="10">
        <f>IF(CABLES[[#This Row],[SEG52]]&gt;0,CABLES[[#This Row],[CABLE_MASS]],0)</f>
        <v>0</v>
      </c>
      <c r="IG10" s="10">
        <f>IF(CABLES[[#This Row],[SEG53]]&gt;0,CABLES[[#This Row],[CABLE_MASS]],0)</f>
        <v>0</v>
      </c>
      <c r="IH10" s="10">
        <f>IF(CABLES[[#This Row],[SEG54]]&gt;0,CABLES[[#This Row],[CABLE_MASS]],0)</f>
        <v>0</v>
      </c>
      <c r="II10" s="10">
        <f>IF(CABLES[[#This Row],[SEG55]]&gt;0,CABLES[[#This Row],[CABLE_MASS]],0)</f>
        <v>0</v>
      </c>
      <c r="IJ10" s="10">
        <f>IF(CABLES[[#This Row],[SEG56]]&gt;0,CABLES[[#This Row],[CABLE_MASS]],0)</f>
        <v>0</v>
      </c>
      <c r="IK10" s="10">
        <f>IF(CABLES[[#This Row],[SEG57]]&gt;0,CABLES[[#This Row],[CABLE_MASS]],0)</f>
        <v>0</v>
      </c>
      <c r="IL10" s="10">
        <f>IF(CABLES[[#This Row],[SEG58]]&gt;0,CABLES[[#This Row],[CABLE_MASS]],0)</f>
        <v>0</v>
      </c>
      <c r="IM10" s="10">
        <f>IF(CABLES[[#This Row],[SEG59]]&gt;0,CABLES[[#This Row],[CABLE_MASS]],0)</f>
        <v>0</v>
      </c>
      <c r="IN10" s="10">
        <f>IF(CABLES[[#This Row],[SEG60]]&gt;0,CABLES[[#This Row],[CABLE_MASS]],0)</f>
        <v>0</v>
      </c>
      <c r="IO10" s="10">
        <f xml:space="preserve">  (CABLES[[#This Row],[LOAD_KW]]/(SQRT(3)*SYSTEM_VOLTAGE*POWER_FACTOR))*1000</f>
        <v>2.4056261216234405</v>
      </c>
      <c r="IP10" s="10">
        <v>45</v>
      </c>
      <c r="IQ10" s="10">
        <f xml:space="preserve"> INDEX(AS3000_AMBIENTDERATE[], MATCH(CABLES[[#This Row],[AMBIENT]],AS3000_AMBIENTDERATE[AMBIENT],0), 2)</f>
        <v>0.94</v>
      </c>
      <c r="IR10" s="10">
        <f xml:space="preserve"> ROUNDUP( CABLES[[#This Row],[CALCULATED_AMPS]]/CABLES[[#This Row],[AMBIENT_DERATING]],1)</f>
        <v>2.6</v>
      </c>
      <c r="IS10" s="10" t="s">
        <v>531</v>
      </c>
      <c r="IT1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10" s="10">
        <f t="shared" si="0"/>
        <v>28.000000000000004</v>
      </c>
      <c r="IV10" s="10">
        <f>(1000*CABLES[[#This Row],[MAX_VDROP]])/(CABLES[[#This Row],[ESTIMATED_CABLE_LENGTH]]*CABLES[[#This Row],[AMP_RATING]])</f>
        <v>169.3275278180939</v>
      </c>
      <c r="IW10" s="10">
        <f xml:space="preserve"> INDEX(AS3000_VDROP[], MATCH(CABLES[[#This Row],[VC_CALC]],AS3000_VDROP[Vc],1),1)</f>
        <v>2.5</v>
      </c>
      <c r="IX10" s="10">
        <f>MAX(CABLES[[#This Row],[CABLESIZE_METHOD1]],CABLES[[#This Row],[CABLESIZE_METHOD2]])</f>
        <v>2.5</v>
      </c>
      <c r="IY10" s="10"/>
      <c r="IZ10" s="10">
        <f>IF(LEN(CABLES[[#This Row],[OVERRIDE_CABLESIZE]])&gt;0,CABLES[[#This Row],[OVERRIDE_CABLESIZE]],CABLES[[#This Row],[INITIAL_CABLESIZE]])</f>
        <v>2.5</v>
      </c>
      <c r="JA10" s="10">
        <f>INDEX(PROTECTIVE_DEVICE[DEVICE], MATCH(CABLES[[#This Row],[CALCULATED_AMPS]],PROTECTIVE_DEVICE[DEVICE],-1),1)</f>
        <v>6</v>
      </c>
      <c r="JB10" s="10"/>
      <c r="JC10" s="10">
        <f>IF(LEN(CABLES[[#This Row],[OVERRIDE_PDEVICE]])&gt;0, CABLES[[#This Row],[OVERRIDE_PDEVICE]],CABLES[[#This Row],[RECOMMEND_PDEVICE]])</f>
        <v>6</v>
      </c>
      <c r="JD10" s="10" t="s">
        <v>450</v>
      </c>
      <c r="JE10" s="10">
        <f xml:space="preserve"> CABLES[[#This Row],[SELECTED_PDEVICE]] * INDEX(DEVICE_CURVE[], MATCH(CABLES[[#This Row],[PDEVICE_CURVE]], DEVICE_CURVE[DEVICE_CURVE],0),2)</f>
        <v>39</v>
      </c>
      <c r="JF10" s="10" t="s">
        <v>458</v>
      </c>
      <c r="JG10" s="10">
        <f xml:space="preserve"> INDEX(CONDUCTOR_MATERIAL[], MATCH(CABLES[[#This Row],[CONDUCTOR_MATERIAL]],CONDUCTOR_MATERIAL[CONDUCTOR_MATERIAL],0),2)</f>
        <v>2.2499999999999999E-2</v>
      </c>
      <c r="JH10" s="10">
        <f>CABLES[[#This Row],[SELECTED_CABLESIZE]]</f>
        <v>2.5</v>
      </c>
      <c r="JI10" s="10">
        <f xml:space="preserve"> INDEX( EARTH_CONDUCTOR_SIZE[], MATCH(CABLES[[#This Row],[SPH]],EARTH_CONDUCTOR_SIZE[MM^2],-1), 2)</f>
        <v>2.5</v>
      </c>
      <c r="JJ10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10" s="10" t="str">
        <f>IF(CABLES[[#This Row],[LMAX]]&gt;CABLES[[#This Row],[ESTIMATED_CABLE_LENGTH]], "PASS", "ERROR")</f>
        <v>PASS</v>
      </c>
      <c r="JL1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1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10" s="6">
        <f xml:space="preserve"> ROUNDUP( CABLES[[#This Row],[CALCULATED_AMPS]],1)</f>
        <v>2.5</v>
      </c>
      <c r="JO10" s="6">
        <f>CABLES[[#This Row],[SELECTED_CABLESIZE]]</f>
        <v>2.5</v>
      </c>
      <c r="JP10" s="10">
        <f>CABLES[[#This Row],[ESTIMATED_CABLE_LENGTH]]</f>
        <v>63.599999999999994</v>
      </c>
      <c r="JQ10" s="6">
        <f>CABLES[[#This Row],[SELECTED_PDEVICE]]</f>
        <v>6</v>
      </c>
    </row>
    <row r="11" spans="1:277" x14ac:dyDescent="0.35">
      <c r="A11" s="5" t="s">
        <v>10</v>
      </c>
      <c r="B11" s="5" t="s">
        <v>480</v>
      </c>
      <c r="C11" s="10" t="s">
        <v>261</v>
      </c>
      <c r="D11" s="9">
        <v>7.5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f xml:space="preserve"> IF(CABLES[[#This Row],[SEG1]] &gt;0, INDEX(SEGMENTS[], MATCH(CABLES[[#Headers],[SEG1]],SEGMENTS[SEG_ID],0),4),0)</f>
        <v>13</v>
      </c>
      <c r="BN11" s="9">
        <f xml:space="preserve"> IF(CABLES[[#This Row],[SEG2]] &gt;0, INDEX(SEGMENTS[], MATCH(CABLES[[#Headers],[SEG2]],SEGMENTS[SEG_ID],0),4),0)</f>
        <v>2</v>
      </c>
      <c r="BO11" s="9">
        <f xml:space="preserve"> IF(CABLES[[#This Row],[SEG3]] &gt;0, INDEX(SEGMENTS[], MATCH(CABLES[[#Headers],[SEG3]],SEGMENTS[SEG_ID],0),4),0)</f>
        <v>16</v>
      </c>
      <c r="BP11" s="9">
        <f xml:space="preserve"> IF(CABLES[[#This Row],[SEG4]] &gt;0, INDEX(SEGMENTS[], MATCH(CABLES[[#Headers],[SEG4]],SEGMENTS[SEG_ID],0),4),0)</f>
        <v>0</v>
      </c>
      <c r="BQ11" s="9">
        <f xml:space="preserve"> IF(CABLES[[#This Row],[SEG5]] &gt;0,INDEX(SEGMENTS[], MATCH(CABLES[[#Headers],[SEG5]],SEGMENTS[SEG_ID],0),4),0)</f>
        <v>0</v>
      </c>
      <c r="BR11" s="9">
        <f xml:space="preserve"> IF(CABLES[[#This Row],[SEG6]] &gt;0,INDEX(SEGMENTS[], MATCH(CABLES[[#Headers],[SEG6]],SEGMENTS[SEG_ID],0),4),0)</f>
        <v>0</v>
      </c>
      <c r="BS11" s="9">
        <f xml:space="preserve"> IF(CABLES[[#This Row],[SEG7]] &gt;0,INDEX(SEGMENTS[], MATCH(CABLES[[#Headers],[SEG7]],SEGMENTS[SEG_ID],0),4),0)</f>
        <v>0</v>
      </c>
      <c r="BT11" s="9">
        <f xml:space="preserve"> IF(CABLES[[#This Row],[SEG8]] &gt;0,INDEX(SEGMENTS[], MATCH(CABLES[[#Headers],[SEG8]],SEGMENTS[SEG_ID],0),4),0)</f>
        <v>0</v>
      </c>
      <c r="BU11" s="9">
        <f xml:space="preserve"> IF(CABLES[[#This Row],[SEG9]] &gt;0,INDEX(SEGMENTS[], MATCH(CABLES[[#Headers],[SEG9]],SEGMENTS[SEG_ID],0),4),0)</f>
        <v>0</v>
      </c>
      <c r="BV11" s="9">
        <f xml:space="preserve"> IF(CABLES[[#This Row],[SEG10]] &gt;0,INDEX(SEGMENTS[], MATCH(CABLES[[#Headers],[SEG10]],SEGMENTS[SEG_ID],0),4),0)</f>
        <v>0</v>
      </c>
      <c r="BW11" s="9">
        <f xml:space="preserve"> IF(CABLES[[#This Row],[SEG11]] &gt;0,INDEX(SEGMENTS[], MATCH(CABLES[[#Headers],[SEG11]],SEGMENTS[SEG_ID],0),4),0)</f>
        <v>0</v>
      </c>
      <c r="BX11" s="9">
        <f>IF(CABLES[[#This Row],[SEG12]] &gt;0, INDEX(SEGMENTS[], MATCH(CABLES[[#Headers],[SEG12]],SEGMENTS[SEG_ID],0),4),0)</f>
        <v>0</v>
      </c>
      <c r="BY11" s="9">
        <f xml:space="preserve"> IF(CABLES[[#This Row],[SEG13]] &gt;0,INDEX(SEGMENTS[], MATCH(CABLES[[#Headers],[SEG13]],SEGMENTS[SEG_ID],0),4),0)</f>
        <v>0</v>
      </c>
      <c r="BZ11" s="9">
        <f xml:space="preserve"> IF(CABLES[[#This Row],[SEG14]] &gt;0,INDEX(SEGMENTS[], MATCH(CABLES[[#Headers],[SEG14]],SEGMENTS[SEG_ID],0),4),0)</f>
        <v>0</v>
      </c>
      <c r="CA11" s="9">
        <f xml:space="preserve"> IF(CABLES[[#This Row],[SEG15]] &gt;0,INDEX(SEGMENTS[], MATCH(CABLES[[#Headers],[SEG15]],SEGMENTS[SEG_ID],0),4),0)</f>
        <v>0</v>
      </c>
      <c r="CB11" s="9">
        <f xml:space="preserve"> IF(CABLES[[#This Row],[SEG16]] &gt;0,INDEX(SEGMENTS[], MATCH(CABLES[[#Headers],[SEG16]],SEGMENTS[SEG_ID],0),4),0)</f>
        <v>0</v>
      </c>
      <c r="CC11" s="9">
        <f xml:space="preserve"> IF(CABLES[[#This Row],[SEG17]] &gt;0,INDEX(SEGMENTS[], MATCH(CABLES[[#Headers],[SEG17]],SEGMENTS[SEG_ID],0),4),0)</f>
        <v>0</v>
      </c>
      <c r="CD11" s="9">
        <f xml:space="preserve"> IF(CABLES[[#This Row],[SEG18]] &gt;0,INDEX(SEGMENTS[], MATCH(CABLES[[#Headers],[SEG18]],SEGMENTS[SEG_ID],0),4),0)</f>
        <v>0</v>
      </c>
      <c r="CE11" s="9">
        <f>IF(CABLES[[#This Row],[SEG19]] &gt;0, INDEX(SEGMENTS[], MATCH(CABLES[[#Headers],[SEG19]],SEGMENTS[SEG_ID],0),4),0)</f>
        <v>0</v>
      </c>
      <c r="CF11" s="9">
        <f>IF(CABLES[[#This Row],[SEG20]] &gt;0, INDEX(SEGMENTS[], MATCH(CABLES[[#Headers],[SEG20]],SEGMENTS[SEG_ID],0),4),0)</f>
        <v>0</v>
      </c>
      <c r="CG11" s="9">
        <f xml:space="preserve"> IF(CABLES[[#This Row],[SEG21]] &gt;0,INDEX(SEGMENTS[], MATCH(CABLES[[#Headers],[SEG21]],SEGMENTS[SEG_ID],0),4),0)</f>
        <v>0</v>
      </c>
      <c r="CH11" s="9">
        <f xml:space="preserve"> IF(CABLES[[#This Row],[SEG22]] &gt;0,INDEX(SEGMENTS[], MATCH(CABLES[[#Headers],[SEG22]],SEGMENTS[SEG_ID],0),4),0)</f>
        <v>0</v>
      </c>
      <c r="CI11" s="9">
        <f>IF(CABLES[[#This Row],[SEG23]] &gt;0, INDEX(SEGMENTS[], MATCH(CABLES[[#Headers],[SEG23]],SEGMENTS[SEG_ID],0),4),0)</f>
        <v>0</v>
      </c>
      <c r="CJ11" s="9">
        <f xml:space="preserve"> IF(CABLES[[#This Row],[SEG24]] &gt;0,INDEX(SEGMENTS[], MATCH(CABLES[[#Headers],[SEG24]],SEGMENTS[SEG_ID],0),4),0)</f>
        <v>0</v>
      </c>
      <c r="CK11" s="9">
        <f>IF(CABLES[[#This Row],[SEG25]] &gt;0, INDEX(SEGMENTS[], MATCH(CABLES[[#Headers],[SEG25]],SEGMENTS[SEG_ID],0),4),0)</f>
        <v>0</v>
      </c>
      <c r="CL11" s="9">
        <f>IF(CABLES[[#This Row],[SEG26]] &gt;0, INDEX(SEGMENTS[], MATCH(CABLES[[#Headers],[SEG26]],SEGMENTS[SEG_ID],0),4),0)</f>
        <v>0</v>
      </c>
      <c r="CM11" s="9">
        <f xml:space="preserve"> IF(CABLES[[#This Row],[SEG27]] &gt;0,INDEX(SEGMENTS[], MATCH(CABLES[[#Headers],[SEG27]],SEGMENTS[SEG_ID],0),4),0)</f>
        <v>0</v>
      </c>
      <c r="CN11" s="9">
        <f xml:space="preserve"> IF(CABLES[[#This Row],[SEG28]] &gt;0,INDEX(SEGMENTS[], MATCH(CABLES[[#Headers],[SEG28]],SEGMENTS[SEG_ID],0),4),0)</f>
        <v>0</v>
      </c>
      <c r="CO11" s="9">
        <f xml:space="preserve"> IF(CABLES[[#This Row],[SEG29]] &gt;0,INDEX(SEGMENTS[], MATCH(CABLES[[#Headers],[SEG29]],SEGMENTS[SEG_ID],0),4),0)</f>
        <v>0</v>
      </c>
      <c r="CP11" s="9">
        <f xml:space="preserve"> IF(CABLES[[#This Row],[SEG30]] &gt;0,INDEX(SEGMENTS[], MATCH(CABLES[[#Headers],[SEG30]],SEGMENTS[SEG_ID],0),4),0)</f>
        <v>0</v>
      </c>
      <c r="CQ11" s="9">
        <f>IF(CABLES[[#This Row],[SEG31]] &gt;0, INDEX(SEGMENTS[], MATCH(CABLES[[#Headers],[SEG31]],SEGMENTS[SEG_ID],0),4),0)</f>
        <v>0</v>
      </c>
      <c r="CR11" s="9">
        <f xml:space="preserve"> IF(CABLES[[#This Row],[SEG32]] &gt;0,INDEX(SEGMENTS[], MATCH(CABLES[[#Headers],[SEG32]],SEGMENTS[SEG_ID],0),4),0)</f>
        <v>0</v>
      </c>
      <c r="CS11" s="9">
        <f xml:space="preserve"> IF(CABLES[[#This Row],[SEG33]] &gt;0,INDEX(SEGMENTS[], MATCH(CABLES[[#Headers],[SEG33]],SEGMENTS[SEG_ID],0),4),0)</f>
        <v>0</v>
      </c>
      <c r="CT11" s="9">
        <f>IF(CABLES[[#This Row],[SEG34]] &gt;0, INDEX(SEGMENTS[], MATCH(CABLES[[#Headers],[SEG34]],SEGMENTS[SEG_ID],0),4),0)</f>
        <v>0</v>
      </c>
      <c r="CU11" s="9">
        <f xml:space="preserve"> IF(CABLES[[#This Row],[SEG35]] &gt;0,INDEX(SEGMENTS[], MATCH(CABLES[[#Headers],[SEG35]],SEGMENTS[SEG_ID],0),4),0)</f>
        <v>0</v>
      </c>
      <c r="CV11" s="9">
        <f xml:space="preserve"> IF(CABLES[[#This Row],[SEG36]] &gt;0,INDEX(SEGMENTS[], MATCH(CABLES[[#Headers],[SEG36]],SEGMENTS[SEG_ID],0),4),0)</f>
        <v>0</v>
      </c>
      <c r="CW11" s="9">
        <f xml:space="preserve"> IF(CABLES[[#This Row],[SEG37]] &gt;0,INDEX(SEGMENTS[], MATCH(CABLES[[#Headers],[SEG37]],SEGMENTS[SEG_ID],0),4),0)</f>
        <v>0</v>
      </c>
      <c r="CX11" s="9">
        <f xml:space="preserve"> IF(CABLES[[#This Row],[SEG38]] &gt;0,INDEX(SEGMENTS[], MATCH(CABLES[[#Headers],[SEG38]],SEGMENTS[SEG_ID],0),4),0)</f>
        <v>0</v>
      </c>
      <c r="CY11" s="9">
        <f xml:space="preserve"> IF(CABLES[[#This Row],[SEG39]] &gt;0,INDEX(SEGMENTS[], MATCH(CABLES[[#Headers],[SEG39]],SEGMENTS[SEG_ID],0),4),0)</f>
        <v>0</v>
      </c>
      <c r="CZ11" s="9">
        <f xml:space="preserve"> IF(CABLES[[#This Row],[SEG40]] &gt;0,INDEX(SEGMENTS[], MATCH(CABLES[[#Headers],[SEG40]],SEGMENTS[SEG_ID],0),4),0)</f>
        <v>0</v>
      </c>
      <c r="DA11" s="9">
        <f xml:space="preserve"> IF(CABLES[[#This Row],[SEG41]] &gt;0,INDEX(SEGMENTS[], MATCH(CABLES[[#Headers],[SEG41]],SEGMENTS[SEG_ID],0),4),0)</f>
        <v>0</v>
      </c>
      <c r="DB11" s="9">
        <f xml:space="preserve"> IF(CABLES[[#This Row],[SEG42]] &gt;0,INDEX(SEGMENTS[], MATCH(CABLES[[#Headers],[SEG42]],SEGMENTS[SEG_ID],0),4),0)</f>
        <v>0</v>
      </c>
      <c r="DC11" s="9">
        <f xml:space="preserve"> IF(CABLES[[#This Row],[SEG43]] &gt;0,INDEX(SEGMENTS[], MATCH(CABLES[[#Headers],[SEG43]],SEGMENTS[SEG_ID],0),4),0)</f>
        <v>0</v>
      </c>
      <c r="DD11" s="9">
        <f xml:space="preserve"> IF(CABLES[[#This Row],[SEG44]] &gt;0,INDEX(SEGMENTS[], MATCH(CABLES[[#Headers],[SEG44]],SEGMENTS[SEG_ID],0),4),0)</f>
        <v>0</v>
      </c>
      <c r="DE11" s="9">
        <f xml:space="preserve"> IF(CABLES[[#This Row],[SEG45]] &gt;0,INDEX(SEGMENTS[], MATCH(CABLES[[#Headers],[SEG45]],SEGMENTS[SEG_ID],0),4),0)</f>
        <v>0</v>
      </c>
      <c r="DF11" s="9">
        <f xml:space="preserve"> IF(CABLES[[#This Row],[SEG46]] &gt;0,INDEX(SEGMENTS[], MATCH(CABLES[[#Headers],[SEG46]],SEGMENTS[SEG_ID],0),4),0)</f>
        <v>0</v>
      </c>
      <c r="DG11" s="9">
        <f xml:space="preserve"> IF(CABLES[[#This Row],[SEG47]] &gt;0,INDEX(SEGMENTS[], MATCH(CABLES[[#Headers],[SEG47]],SEGMENTS[SEG_ID],0),4),0)</f>
        <v>0</v>
      </c>
      <c r="DH11" s="9">
        <f xml:space="preserve"> IF(CABLES[[#This Row],[SEG48]] &gt;0,INDEX(SEGMENTS[], MATCH(CABLES[[#Headers],[SEG48]],SEGMENTS[SEG_ID],0),4),0)</f>
        <v>0</v>
      </c>
      <c r="DI11" s="9">
        <f xml:space="preserve"> IF(CABLES[[#This Row],[SEG49]] &gt;0,INDEX(SEGMENTS[], MATCH(CABLES[[#Headers],[SEG49]],SEGMENTS[SEG_ID],0),4),0)</f>
        <v>0</v>
      </c>
      <c r="DJ11" s="9">
        <f xml:space="preserve"> IF(CABLES[[#This Row],[SEG50]] &gt;0,INDEX(SEGMENTS[], MATCH(CABLES[[#Headers],[SEG50]],SEGMENTS[SEG_ID],0),4),0)</f>
        <v>0</v>
      </c>
      <c r="DK11" s="9">
        <f xml:space="preserve"> IF(CABLES[[#This Row],[SEG51]] &gt;0,INDEX(SEGMENTS[], MATCH(CABLES[[#Headers],[SEG51]],SEGMENTS[SEG_ID],0),4),0)</f>
        <v>0</v>
      </c>
      <c r="DL11" s="9">
        <f xml:space="preserve"> IF(CABLES[[#This Row],[SEG52]] &gt;0,INDEX(SEGMENTS[], MATCH(CABLES[[#Headers],[SEG52]],SEGMENTS[SEG_ID],0),4),0)</f>
        <v>0</v>
      </c>
      <c r="DM11" s="9">
        <f xml:space="preserve"> IF(CABLES[[#This Row],[SEG53]] &gt;0,INDEX(SEGMENTS[], MATCH(CABLES[[#Headers],[SEG53]],SEGMENTS[SEG_ID],0),4),0)</f>
        <v>0</v>
      </c>
      <c r="DN11" s="9">
        <f xml:space="preserve"> IF(CABLES[[#This Row],[SEG54]] &gt;0,INDEX(SEGMENTS[], MATCH(CABLES[[#Headers],[SEG54]],SEGMENTS[SEG_ID],0),4),0)</f>
        <v>0</v>
      </c>
      <c r="DO11" s="9">
        <f xml:space="preserve"> IF(CABLES[[#This Row],[SEG55]] &gt;0,INDEX(SEGMENTS[], MATCH(CABLES[[#Headers],[SEG55]],SEGMENTS[SEG_ID],0),4),0)</f>
        <v>0</v>
      </c>
      <c r="DP11" s="9">
        <f xml:space="preserve"> IF(CABLES[[#This Row],[SEG56]] &gt;0,INDEX(SEGMENTS[], MATCH(CABLES[[#Headers],[SEG56]],SEGMENTS[SEG_ID],0),4),0)</f>
        <v>0</v>
      </c>
      <c r="DQ11" s="9">
        <f xml:space="preserve"> IF(CABLES[[#This Row],[SEG57]] &gt;0,INDEX(SEGMENTS[], MATCH(CABLES[[#Headers],[SEG57]],SEGMENTS[SEG_ID],0),4),0)</f>
        <v>0</v>
      </c>
      <c r="DR11" s="9">
        <f xml:space="preserve"> IF(CABLES[[#This Row],[SEG58]] &gt;0,INDEX(SEGMENTS[], MATCH(CABLES[[#Headers],[SEG58]],SEGMENTS[SEG_ID],0),4),0)</f>
        <v>0</v>
      </c>
      <c r="DS11" s="9">
        <f xml:space="preserve"> IF(CABLES[[#This Row],[SEG59]] &gt;0,INDEX(SEGMENTS[], MATCH(CABLES[[#Headers],[SEG59]],SEGMENTS[SEG_ID],0),4),0)</f>
        <v>0</v>
      </c>
      <c r="DT11" s="9">
        <f xml:space="preserve"> IF(CABLES[[#This Row],[SEG60]] &gt;0,INDEX(SEGMENTS[], MATCH(CABLES[[#Headers],[SEG60]],SEGMENTS[SEG_ID],0),4),0)</f>
        <v>0</v>
      </c>
      <c r="DU11" s="10">
        <f>SUM(CABLES[[#This Row],[SEGL1]:[SEGL60]])</f>
        <v>31</v>
      </c>
      <c r="DV11" s="10">
        <v>5</v>
      </c>
      <c r="DW11" s="10">
        <v>1.2</v>
      </c>
      <c r="DX11" s="10">
        <f xml:space="preserve"> IF(CABLES[[#This Row],[SEGL_TOTAL]]&gt;0, (CABLES[[#This Row],[SEGL_TOTAL]] + CABLES[[#This Row],[FITOFF]]) *CABLES[[#This Row],[XCAPACITY]],0)</f>
        <v>43.199999999999996</v>
      </c>
      <c r="DY11" s="10">
        <f>IF(CABLES[[#This Row],[SEG1]]&gt;0,CABLES[[#This Row],[CABLE_DIAMETER]],0)</f>
        <v>14.5</v>
      </c>
      <c r="DZ11" s="10">
        <f>IF(CABLES[[#This Row],[SEG2]]&gt;0,CABLES[[#This Row],[CABLE_DIAMETER]],0)</f>
        <v>14.5</v>
      </c>
      <c r="EA11" s="10">
        <f>IF(CABLES[[#This Row],[SEG3]]&gt;0,CABLES[[#This Row],[CABLE_DIAMETER]],0)</f>
        <v>14.5</v>
      </c>
      <c r="EB11" s="10">
        <f>IF(CABLES[[#This Row],[SEG4]]&gt;0,CABLES[[#This Row],[CABLE_DIAMETER]],0)</f>
        <v>0</v>
      </c>
      <c r="EC11" s="10">
        <f>IF(CABLES[[#This Row],[SEG5]]&gt;0,CABLES[[#This Row],[CABLE_DIAMETER]],0)</f>
        <v>0</v>
      </c>
      <c r="ED11" s="10">
        <f>IF(CABLES[[#This Row],[SEG6]]&gt;0,CABLES[[#This Row],[CABLE_DIAMETER]],0)</f>
        <v>0</v>
      </c>
      <c r="EE11" s="10">
        <f>IF(CABLES[[#This Row],[SEG7]]&gt;0,CABLES[[#This Row],[CABLE_DIAMETER]],0)</f>
        <v>0</v>
      </c>
      <c r="EF11" s="10">
        <f>IF(CABLES[[#This Row],[SEG9]]&gt;0,CABLES[[#This Row],[CABLE_DIAMETER]],0)</f>
        <v>0</v>
      </c>
      <c r="EG11" s="10">
        <f>IF(CABLES[[#This Row],[SEG9]]&gt;0,CABLES[[#This Row],[CABLE_DIAMETER]],0)</f>
        <v>0</v>
      </c>
      <c r="EH11" s="10">
        <f>IF(CABLES[[#This Row],[SEG10]]&gt;0,CABLES[[#This Row],[CABLE_DIAMETER]],0)</f>
        <v>0</v>
      </c>
      <c r="EI11" s="10">
        <f>IF(CABLES[[#This Row],[SEG11]]&gt;0,CABLES[[#This Row],[CABLE_DIAMETER]],0)</f>
        <v>0</v>
      </c>
      <c r="EJ11" s="10">
        <f>IF(CABLES[[#This Row],[SEG12]]&gt;0,CABLES[[#This Row],[CABLE_DIAMETER]],0)</f>
        <v>0</v>
      </c>
      <c r="EK11" s="10">
        <f>IF(CABLES[[#This Row],[SEG13]]&gt;0,CABLES[[#This Row],[CABLE_DIAMETER]],0)</f>
        <v>0</v>
      </c>
      <c r="EL11" s="10">
        <f>IF(CABLES[[#This Row],[SEG14]]&gt;0,CABLES[[#This Row],[CABLE_DIAMETER]],0)</f>
        <v>0</v>
      </c>
      <c r="EM11" s="10">
        <f>IF(CABLES[[#This Row],[SEG15]]&gt;0,CABLES[[#This Row],[CABLE_DIAMETER]],0)</f>
        <v>0</v>
      </c>
      <c r="EN11" s="10">
        <f>IF(CABLES[[#This Row],[SEG16]]&gt;0,CABLES[[#This Row],[CABLE_DIAMETER]],0)</f>
        <v>0</v>
      </c>
      <c r="EO11" s="10">
        <f>IF(CABLES[[#This Row],[SEG17]]&gt;0,CABLES[[#This Row],[CABLE_DIAMETER]],0)</f>
        <v>0</v>
      </c>
      <c r="EP11" s="10">
        <f>IF(CABLES[[#This Row],[SEG18]]&gt;0,CABLES[[#This Row],[CABLE_DIAMETER]],0)</f>
        <v>0</v>
      </c>
      <c r="EQ11" s="10">
        <f>IF(CABLES[[#This Row],[SEG19]]&gt;0,CABLES[[#This Row],[CABLE_DIAMETER]],0)</f>
        <v>0</v>
      </c>
      <c r="ER11" s="10">
        <f>IF(CABLES[[#This Row],[SEG20]]&gt;0,CABLES[[#This Row],[CABLE_DIAMETER]],0)</f>
        <v>0</v>
      </c>
      <c r="ES11" s="10">
        <f>IF(CABLES[[#This Row],[SEG21]]&gt;0,CABLES[[#This Row],[CABLE_DIAMETER]],0)</f>
        <v>0</v>
      </c>
      <c r="ET11" s="10">
        <f>IF(CABLES[[#This Row],[SEG22]]&gt;0,CABLES[[#This Row],[CABLE_DIAMETER]],0)</f>
        <v>0</v>
      </c>
      <c r="EU11" s="10">
        <f>IF(CABLES[[#This Row],[SEG23]]&gt;0,CABLES[[#This Row],[CABLE_DIAMETER]],0)</f>
        <v>0</v>
      </c>
      <c r="EV11" s="10">
        <f>IF(CABLES[[#This Row],[SEG24]]&gt;0,CABLES[[#This Row],[CABLE_DIAMETER]],0)</f>
        <v>0</v>
      </c>
      <c r="EW11" s="10">
        <f>IF(CABLES[[#This Row],[SEG25]]&gt;0,CABLES[[#This Row],[CABLE_DIAMETER]],0)</f>
        <v>0</v>
      </c>
      <c r="EX11" s="10">
        <f>IF(CABLES[[#This Row],[SEG26]]&gt;0,CABLES[[#This Row],[CABLE_DIAMETER]],0)</f>
        <v>0</v>
      </c>
      <c r="EY11" s="10">
        <f>IF(CABLES[[#This Row],[SEG27]]&gt;0,CABLES[[#This Row],[CABLE_DIAMETER]],0)</f>
        <v>0</v>
      </c>
      <c r="EZ11" s="10">
        <f>IF(CABLES[[#This Row],[SEG28]]&gt;0,CABLES[[#This Row],[CABLE_DIAMETER]],0)</f>
        <v>0</v>
      </c>
      <c r="FA11" s="10">
        <f>IF(CABLES[[#This Row],[SEG29]]&gt;0,CABLES[[#This Row],[CABLE_DIAMETER]],0)</f>
        <v>0</v>
      </c>
      <c r="FB11" s="10">
        <f>IF(CABLES[[#This Row],[SEG30]]&gt;0,CABLES[[#This Row],[CABLE_DIAMETER]],0)</f>
        <v>0</v>
      </c>
      <c r="FC11" s="10">
        <f>IF(CABLES[[#This Row],[SEG31]]&gt;0,CABLES[[#This Row],[CABLE_DIAMETER]],0)</f>
        <v>0</v>
      </c>
      <c r="FD11" s="10">
        <f>IF(CABLES[[#This Row],[SEG32]]&gt;0,CABLES[[#This Row],[CABLE_DIAMETER]],0)</f>
        <v>0</v>
      </c>
      <c r="FE11" s="10">
        <f>IF(CABLES[[#This Row],[SEG33]]&gt;0,CABLES[[#This Row],[CABLE_DIAMETER]],0)</f>
        <v>0</v>
      </c>
      <c r="FF11" s="10">
        <f>IF(CABLES[[#This Row],[SEG34]]&gt;0,CABLES[[#This Row],[CABLE_DIAMETER]],0)</f>
        <v>0</v>
      </c>
      <c r="FG11" s="10">
        <f>IF(CABLES[[#This Row],[SEG35]]&gt;0,CABLES[[#This Row],[CABLE_DIAMETER]],0)</f>
        <v>0</v>
      </c>
      <c r="FH11" s="10">
        <f>IF(CABLES[[#This Row],[SEG36]]&gt;0,CABLES[[#This Row],[CABLE_DIAMETER]],0)</f>
        <v>0</v>
      </c>
      <c r="FI11" s="10">
        <f>IF(CABLES[[#This Row],[SEG37]]&gt;0,CABLES[[#This Row],[CABLE_DIAMETER]],0)</f>
        <v>0</v>
      </c>
      <c r="FJ11" s="10">
        <f>IF(CABLES[[#This Row],[SEG38]]&gt;0,CABLES[[#This Row],[CABLE_DIAMETER]],0)</f>
        <v>0</v>
      </c>
      <c r="FK11" s="10">
        <f>IF(CABLES[[#This Row],[SEG39]]&gt;0,CABLES[[#This Row],[CABLE_DIAMETER]],0)</f>
        <v>0</v>
      </c>
      <c r="FL11" s="10">
        <f>IF(CABLES[[#This Row],[SEG40]]&gt;0,CABLES[[#This Row],[CABLE_DIAMETER]],0)</f>
        <v>0</v>
      </c>
      <c r="FM11" s="10">
        <f>IF(CABLES[[#This Row],[SEG41]]&gt;0,CABLES[[#This Row],[CABLE_DIAMETER]],0)</f>
        <v>0</v>
      </c>
      <c r="FN11" s="10">
        <f>IF(CABLES[[#This Row],[SEG42]]&gt;0,CABLES[[#This Row],[CABLE_DIAMETER]],0)</f>
        <v>0</v>
      </c>
      <c r="FO11" s="10">
        <f>IF(CABLES[[#This Row],[SEG43]]&gt;0,CABLES[[#This Row],[CABLE_DIAMETER]],0)</f>
        <v>0</v>
      </c>
      <c r="FP11" s="10">
        <f>IF(CABLES[[#This Row],[SEG44]]&gt;0,CABLES[[#This Row],[CABLE_DIAMETER]],0)</f>
        <v>0</v>
      </c>
      <c r="FQ11" s="10">
        <f>IF(CABLES[[#This Row],[SEG45]]&gt;0,CABLES[[#This Row],[CABLE_DIAMETER]],0)</f>
        <v>0</v>
      </c>
      <c r="FR11" s="10">
        <f>IF(CABLES[[#This Row],[SEG46]]&gt;0,CABLES[[#This Row],[CABLE_DIAMETER]],0)</f>
        <v>0</v>
      </c>
      <c r="FS11" s="10">
        <f>IF(CABLES[[#This Row],[SEG47]]&gt;0,CABLES[[#This Row],[CABLE_DIAMETER]],0)</f>
        <v>0</v>
      </c>
      <c r="FT11" s="10">
        <f>IF(CABLES[[#This Row],[SEG48]]&gt;0,CABLES[[#This Row],[CABLE_DIAMETER]],0)</f>
        <v>0</v>
      </c>
      <c r="FU11" s="10">
        <f>IF(CABLES[[#This Row],[SEG49]]&gt;0,CABLES[[#This Row],[CABLE_DIAMETER]],0)</f>
        <v>0</v>
      </c>
      <c r="FV11" s="10">
        <f>IF(CABLES[[#This Row],[SEG50]]&gt;0,CABLES[[#This Row],[CABLE_DIAMETER]],0)</f>
        <v>0</v>
      </c>
      <c r="FW11" s="10">
        <f>IF(CABLES[[#This Row],[SEG51]]&gt;0,CABLES[[#This Row],[CABLE_DIAMETER]],0)</f>
        <v>0</v>
      </c>
      <c r="FX11" s="10">
        <f>IF(CABLES[[#This Row],[SEG52]]&gt;0,CABLES[[#This Row],[CABLE_DIAMETER]],0)</f>
        <v>0</v>
      </c>
      <c r="FY11" s="10">
        <f>IF(CABLES[[#This Row],[SEG53]]&gt;0,CABLES[[#This Row],[CABLE_DIAMETER]],0)</f>
        <v>0</v>
      </c>
      <c r="FZ11" s="10">
        <f>IF(CABLES[[#This Row],[SEG54]]&gt;0,CABLES[[#This Row],[CABLE_DIAMETER]],0)</f>
        <v>0</v>
      </c>
      <c r="GA11" s="10">
        <f>IF(CABLES[[#This Row],[SEG55]]&gt;0,CABLES[[#This Row],[CABLE_DIAMETER]],0)</f>
        <v>0</v>
      </c>
      <c r="GB11" s="10">
        <f>IF(CABLES[[#This Row],[SEG56]]&gt;0,CABLES[[#This Row],[CABLE_DIAMETER]],0)</f>
        <v>0</v>
      </c>
      <c r="GC11" s="10">
        <f>IF(CABLES[[#This Row],[SEG57]]&gt;0,CABLES[[#This Row],[CABLE_DIAMETER]],0)</f>
        <v>0</v>
      </c>
      <c r="GD11" s="10">
        <f>IF(CABLES[[#This Row],[SEG58]]&gt;0,CABLES[[#This Row],[CABLE_DIAMETER]],0)</f>
        <v>0</v>
      </c>
      <c r="GE11" s="10">
        <f>IF(CABLES[[#This Row],[SEG59]]&gt;0,CABLES[[#This Row],[CABLE_DIAMETER]],0)</f>
        <v>0</v>
      </c>
      <c r="GF11" s="10">
        <f>IF(CABLES[[#This Row],[SEG60]]&gt;0,CABLES[[#This Row],[CABLE_DIAMETER]],0)</f>
        <v>0</v>
      </c>
      <c r="GG11" s="10">
        <f>IF(CABLES[[#This Row],[SEG1]]&gt;0,CABLES[[#This Row],[CABLE_MASS]],0)</f>
        <v>0.33</v>
      </c>
      <c r="GH11" s="10">
        <f>IF(CABLES[[#This Row],[SEG2]]&gt;0,CABLES[[#This Row],[CABLE_MASS]],0)</f>
        <v>0.33</v>
      </c>
      <c r="GI11" s="10">
        <f>IF(CABLES[[#This Row],[SEG3]]&gt;0,CABLES[[#This Row],[CABLE_MASS]],0)</f>
        <v>0.33</v>
      </c>
      <c r="GJ11" s="10">
        <f>IF(CABLES[[#This Row],[SEG4]]&gt;0,CABLES[[#This Row],[CABLE_MASS]],0)</f>
        <v>0</v>
      </c>
      <c r="GK11" s="10">
        <f>IF(CABLES[[#This Row],[SEG5]]&gt;0,CABLES[[#This Row],[CABLE_MASS]],0)</f>
        <v>0</v>
      </c>
      <c r="GL11" s="10">
        <f>IF(CABLES[[#This Row],[SEG6]]&gt;0,CABLES[[#This Row],[CABLE_MASS]],0)</f>
        <v>0</v>
      </c>
      <c r="GM11" s="10">
        <f>IF(CABLES[[#This Row],[SEG7]]&gt;0,CABLES[[#This Row],[CABLE_MASS]],0)</f>
        <v>0</v>
      </c>
      <c r="GN11" s="10">
        <f>IF(CABLES[[#This Row],[SEG8]]&gt;0,CABLES[[#This Row],[CABLE_MASS]],0)</f>
        <v>0</v>
      </c>
      <c r="GO11" s="10">
        <f>IF(CABLES[[#This Row],[SEG9]]&gt;0,CABLES[[#This Row],[CABLE_MASS]],0)</f>
        <v>0</v>
      </c>
      <c r="GP11" s="10">
        <f>IF(CABLES[[#This Row],[SEG10]]&gt;0,CABLES[[#This Row],[CABLE_MASS]],0)</f>
        <v>0</v>
      </c>
      <c r="GQ11" s="10">
        <f>IF(CABLES[[#This Row],[SEG11]]&gt;0,CABLES[[#This Row],[CABLE_MASS]],0)</f>
        <v>0</v>
      </c>
      <c r="GR11" s="10">
        <f>IF(CABLES[[#This Row],[SEG12]]&gt;0,CABLES[[#This Row],[CABLE_MASS]],0)</f>
        <v>0</v>
      </c>
      <c r="GS11" s="10">
        <f>IF(CABLES[[#This Row],[SEG13]]&gt;0,CABLES[[#This Row],[CABLE_MASS]],0)</f>
        <v>0</v>
      </c>
      <c r="GT11" s="10">
        <f>IF(CABLES[[#This Row],[SEG14]]&gt;0,CABLES[[#This Row],[CABLE_MASS]],0)</f>
        <v>0</v>
      </c>
      <c r="GU11" s="10">
        <f>IF(CABLES[[#This Row],[SEG15]]&gt;0,CABLES[[#This Row],[CABLE_MASS]],0)</f>
        <v>0</v>
      </c>
      <c r="GV11" s="10">
        <f>IF(CABLES[[#This Row],[SEG16]]&gt;0,CABLES[[#This Row],[CABLE_MASS]],0)</f>
        <v>0</v>
      </c>
      <c r="GW11" s="10">
        <f>IF(CABLES[[#This Row],[SEG17]]&gt;0,CABLES[[#This Row],[CABLE_MASS]],0)</f>
        <v>0</v>
      </c>
      <c r="GX11" s="10">
        <f>IF(CABLES[[#This Row],[SEG18]]&gt;0,CABLES[[#This Row],[CABLE_MASS]],0)</f>
        <v>0</v>
      </c>
      <c r="GY11" s="10">
        <f>IF(CABLES[[#This Row],[SEG19]]&gt;0,CABLES[[#This Row],[CABLE_MASS]],0)</f>
        <v>0</v>
      </c>
      <c r="GZ11" s="10">
        <f>IF(CABLES[[#This Row],[SEG20]]&gt;0,CABLES[[#This Row],[CABLE_MASS]],0)</f>
        <v>0</v>
      </c>
      <c r="HA11" s="10">
        <f>IF(CABLES[[#This Row],[SEG21]]&gt;0,CABLES[[#This Row],[CABLE_MASS]],0)</f>
        <v>0</v>
      </c>
      <c r="HB11" s="10">
        <f>IF(CABLES[[#This Row],[SEG22]]&gt;0,CABLES[[#This Row],[CABLE_MASS]],0)</f>
        <v>0</v>
      </c>
      <c r="HC11" s="10">
        <f>IF(CABLES[[#This Row],[SEG23]]&gt;0,CABLES[[#This Row],[CABLE_MASS]],0)</f>
        <v>0</v>
      </c>
      <c r="HD11" s="10">
        <f>IF(CABLES[[#This Row],[SEG24]]&gt;0,CABLES[[#This Row],[CABLE_MASS]],0)</f>
        <v>0</v>
      </c>
      <c r="HE11" s="10">
        <f>IF(CABLES[[#This Row],[SEG25]]&gt;0,CABLES[[#This Row],[CABLE_MASS]],0)</f>
        <v>0</v>
      </c>
      <c r="HF11" s="10">
        <f>IF(CABLES[[#This Row],[SEG26]]&gt;0,CABLES[[#This Row],[CABLE_MASS]],0)</f>
        <v>0</v>
      </c>
      <c r="HG11" s="10">
        <f>IF(CABLES[[#This Row],[SEG27]]&gt;0,CABLES[[#This Row],[CABLE_MASS]],0)</f>
        <v>0</v>
      </c>
      <c r="HH11" s="10">
        <f>IF(CABLES[[#This Row],[SEG28]]&gt;0,CABLES[[#This Row],[CABLE_MASS]],0)</f>
        <v>0</v>
      </c>
      <c r="HI11" s="10">
        <f>IF(CABLES[[#This Row],[SEG29]]&gt;0,CABLES[[#This Row],[CABLE_MASS]],0)</f>
        <v>0</v>
      </c>
      <c r="HJ11" s="10">
        <f>IF(CABLES[[#This Row],[SEG30]]&gt;0,CABLES[[#This Row],[CABLE_MASS]],0)</f>
        <v>0</v>
      </c>
      <c r="HK11" s="10">
        <f>IF(CABLES[[#This Row],[SEG31]]&gt;0,CABLES[[#This Row],[CABLE_MASS]],0)</f>
        <v>0</v>
      </c>
      <c r="HL11" s="10">
        <f>IF(CABLES[[#This Row],[SEG32]]&gt;0,CABLES[[#This Row],[CABLE_MASS]],0)</f>
        <v>0</v>
      </c>
      <c r="HM11" s="10">
        <f>IF(CABLES[[#This Row],[SEG33]]&gt;0,CABLES[[#This Row],[CABLE_MASS]],0)</f>
        <v>0</v>
      </c>
      <c r="HN11" s="10">
        <f>IF(CABLES[[#This Row],[SEG34]]&gt;0,CABLES[[#This Row],[CABLE_MASS]],0)</f>
        <v>0</v>
      </c>
      <c r="HO11" s="10">
        <f>IF(CABLES[[#This Row],[SEG35]]&gt;0,CABLES[[#This Row],[CABLE_MASS]],0)</f>
        <v>0</v>
      </c>
      <c r="HP11" s="10">
        <f>IF(CABLES[[#This Row],[SEG36]]&gt;0,CABLES[[#This Row],[CABLE_MASS]],0)</f>
        <v>0</v>
      </c>
      <c r="HQ11" s="10">
        <f>IF(CABLES[[#This Row],[SEG37]]&gt;0,CABLES[[#This Row],[CABLE_MASS]],0)</f>
        <v>0</v>
      </c>
      <c r="HR11" s="10">
        <f>IF(CABLES[[#This Row],[SEG38]]&gt;0,CABLES[[#This Row],[CABLE_MASS]],0)</f>
        <v>0</v>
      </c>
      <c r="HS11" s="10">
        <f>IF(CABLES[[#This Row],[SEG39]]&gt;0,CABLES[[#This Row],[CABLE_MASS]],0)</f>
        <v>0</v>
      </c>
      <c r="HT11" s="10">
        <f>IF(CABLES[[#This Row],[SEG40]]&gt;0,CABLES[[#This Row],[CABLE_MASS]],0)</f>
        <v>0</v>
      </c>
      <c r="HU11" s="10">
        <f>IF(CABLES[[#This Row],[SEG41]]&gt;0,CABLES[[#This Row],[CABLE_MASS]],0)</f>
        <v>0</v>
      </c>
      <c r="HV11" s="10">
        <f>IF(CABLES[[#This Row],[SEG42]]&gt;0,CABLES[[#This Row],[CABLE_MASS]],0)</f>
        <v>0</v>
      </c>
      <c r="HW11" s="10">
        <f>IF(CABLES[[#This Row],[SEG43]]&gt;0,CABLES[[#This Row],[CABLE_MASS]],0)</f>
        <v>0</v>
      </c>
      <c r="HX11" s="10">
        <f>IF(CABLES[[#This Row],[SEG44]]&gt;0,CABLES[[#This Row],[CABLE_MASS]],0)</f>
        <v>0</v>
      </c>
      <c r="HY11" s="10">
        <f>IF(CABLES[[#This Row],[SEG45]]&gt;0,CABLES[[#This Row],[CABLE_MASS]],0)</f>
        <v>0</v>
      </c>
      <c r="HZ11" s="10">
        <f>IF(CABLES[[#This Row],[SEG46]]&gt;0,CABLES[[#This Row],[CABLE_MASS]],0)</f>
        <v>0</v>
      </c>
      <c r="IA11" s="10">
        <f>IF(CABLES[[#This Row],[SEG47]]&gt;0,CABLES[[#This Row],[CABLE_MASS]],0)</f>
        <v>0</v>
      </c>
      <c r="IB11" s="10">
        <f>IF(CABLES[[#This Row],[SEG48]]&gt;0,CABLES[[#This Row],[CABLE_MASS]],0)</f>
        <v>0</v>
      </c>
      <c r="IC11" s="10">
        <f>IF(CABLES[[#This Row],[SEG49]]&gt;0,CABLES[[#This Row],[CABLE_MASS]],0)</f>
        <v>0</v>
      </c>
      <c r="ID11" s="10">
        <f>IF(CABLES[[#This Row],[SEG50]]&gt;0,CABLES[[#This Row],[CABLE_MASS]],0)</f>
        <v>0</v>
      </c>
      <c r="IE11" s="10">
        <f>IF(CABLES[[#This Row],[SEG51]]&gt;0,CABLES[[#This Row],[CABLE_MASS]],0)</f>
        <v>0</v>
      </c>
      <c r="IF11" s="10">
        <f>IF(CABLES[[#This Row],[SEG52]]&gt;0,CABLES[[#This Row],[CABLE_MASS]],0)</f>
        <v>0</v>
      </c>
      <c r="IG11" s="10">
        <f>IF(CABLES[[#This Row],[SEG53]]&gt;0,CABLES[[#This Row],[CABLE_MASS]],0)</f>
        <v>0</v>
      </c>
      <c r="IH11" s="10">
        <f>IF(CABLES[[#This Row],[SEG54]]&gt;0,CABLES[[#This Row],[CABLE_MASS]],0)</f>
        <v>0</v>
      </c>
      <c r="II11" s="10">
        <f>IF(CABLES[[#This Row],[SEG55]]&gt;0,CABLES[[#This Row],[CABLE_MASS]],0)</f>
        <v>0</v>
      </c>
      <c r="IJ11" s="10">
        <f>IF(CABLES[[#This Row],[SEG56]]&gt;0,CABLES[[#This Row],[CABLE_MASS]],0)</f>
        <v>0</v>
      </c>
      <c r="IK11" s="10">
        <f>IF(CABLES[[#This Row],[SEG57]]&gt;0,CABLES[[#This Row],[CABLE_MASS]],0)</f>
        <v>0</v>
      </c>
      <c r="IL11" s="10">
        <f>IF(CABLES[[#This Row],[SEG58]]&gt;0,CABLES[[#This Row],[CABLE_MASS]],0)</f>
        <v>0</v>
      </c>
      <c r="IM11" s="10">
        <f>IF(CABLES[[#This Row],[SEG59]]&gt;0,CABLES[[#This Row],[CABLE_MASS]],0)</f>
        <v>0</v>
      </c>
      <c r="IN11" s="10">
        <f>IF(CABLES[[#This Row],[SEG60]]&gt;0,CABLES[[#This Row],[CABLE_MASS]],0)</f>
        <v>0</v>
      </c>
      <c r="IO11" s="10">
        <f xml:space="preserve">  (CABLES[[#This Row],[LOAD_KW]]/(SQRT(3)*SYSTEM_VOLTAGE*POWER_FACTOR))*1000</f>
        <v>12.028130608117204</v>
      </c>
      <c r="IP11" s="10">
        <v>45</v>
      </c>
      <c r="IQ11" s="10">
        <f xml:space="preserve"> INDEX(AS3000_AMBIENTDERATE[], MATCH(CABLES[[#This Row],[AMBIENT]],AS3000_AMBIENTDERATE[AMBIENT],0), 2)</f>
        <v>0.94</v>
      </c>
      <c r="IR11" s="10">
        <f xml:space="preserve"> ROUNDUP( CABLES[[#This Row],[CALCULATED_AMPS]]/CABLES[[#This Row],[AMBIENT_DERATING]],1)</f>
        <v>12.799999999999999</v>
      </c>
      <c r="IS11" s="10" t="s">
        <v>531</v>
      </c>
      <c r="IT1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11" s="10">
        <f t="shared" si="0"/>
        <v>28.000000000000004</v>
      </c>
      <c r="IV11" s="10">
        <f>(1000*CABLES[[#This Row],[MAX_VDROP]])/(CABLES[[#This Row],[ESTIMATED_CABLE_LENGTH]]*CABLES[[#This Row],[AMP_RATING]])</f>
        <v>50.63657407407409</v>
      </c>
      <c r="IW11" s="10">
        <f xml:space="preserve"> INDEX(AS3000_VDROP[], MATCH(CABLES[[#This Row],[VC_CALC]],AS3000_VDROP[Vc],1),1)</f>
        <v>2.5</v>
      </c>
      <c r="IX11" s="10">
        <f>MAX(CABLES[[#This Row],[CABLESIZE_METHOD1]],CABLES[[#This Row],[CABLESIZE_METHOD2]])</f>
        <v>2.5</v>
      </c>
      <c r="IY11" s="10"/>
      <c r="IZ11" s="10">
        <f>IF(LEN(CABLES[[#This Row],[OVERRIDE_CABLESIZE]])&gt;0,CABLES[[#This Row],[OVERRIDE_CABLESIZE]],CABLES[[#This Row],[INITIAL_CABLESIZE]])</f>
        <v>2.5</v>
      </c>
      <c r="JA11" s="10">
        <f>INDEX(PROTECTIVE_DEVICE[DEVICE], MATCH(CABLES[[#This Row],[CALCULATED_AMPS]],PROTECTIVE_DEVICE[DEVICE],-1),1)</f>
        <v>16</v>
      </c>
      <c r="JB11" s="10"/>
      <c r="JC11" s="10">
        <f>IF(LEN(CABLES[[#This Row],[OVERRIDE_PDEVICE]])&gt;0, CABLES[[#This Row],[OVERRIDE_PDEVICE]],CABLES[[#This Row],[RECOMMEND_PDEVICE]])</f>
        <v>16</v>
      </c>
      <c r="JD11" s="10" t="s">
        <v>450</v>
      </c>
      <c r="JE11" s="10">
        <f xml:space="preserve"> CABLES[[#This Row],[SELECTED_PDEVICE]] * INDEX(DEVICE_CURVE[], MATCH(CABLES[[#This Row],[PDEVICE_CURVE]], DEVICE_CURVE[DEVICE_CURVE],0),2)</f>
        <v>104</v>
      </c>
      <c r="JF11" s="10" t="s">
        <v>458</v>
      </c>
      <c r="JG11" s="10">
        <f xml:space="preserve"> INDEX(CONDUCTOR_MATERIAL[], MATCH(CABLES[[#This Row],[CONDUCTOR_MATERIAL]],CONDUCTOR_MATERIAL[CONDUCTOR_MATERIAL],0),2)</f>
        <v>2.2499999999999999E-2</v>
      </c>
      <c r="JH11" s="10">
        <f>CABLES[[#This Row],[SELECTED_CABLESIZE]]</f>
        <v>2.5</v>
      </c>
      <c r="JI11" s="10">
        <f xml:space="preserve"> INDEX( EARTH_CONDUCTOR_SIZE[], MATCH(CABLES[[#This Row],[SPH]],EARTH_CONDUCTOR_SIZE[MM^2],-1), 2)</f>
        <v>2.5</v>
      </c>
      <c r="JJ11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11" s="10" t="str">
        <f>IF(CABLES[[#This Row],[LMAX]]&gt;CABLES[[#This Row],[ESTIMATED_CABLE_LENGTH]], "PASS", "ERROR")</f>
        <v>PASS</v>
      </c>
      <c r="JL1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1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11" s="6">
        <f xml:space="preserve"> ROUNDUP( CABLES[[#This Row],[CALCULATED_AMPS]],1)</f>
        <v>12.1</v>
      </c>
      <c r="JO11" s="6">
        <f>CABLES[[#This Row],[SELECTED_CABLESIZE]]</f>
        <v>2.5</v>
      </c>
      <c r="JP11" s="10">
        <f>CABLES[[#This Row],[ESTIMATED_CABLE_LENGTH]]</f>
        <v>43.199999999999996</v>
      </c>
      <c r="JQ11" s="6">
        <f>CABLES[[#This Row],[SELECTED_PDEVICE]]</f>
        <v>16</v>
      </c>
    </row>
    <row r="12" spans="1:277" x14ac:dyDescent="0.35">
      <c r="A12" s="5" t="s">
        <v>11</v>
      </c>
      <c r="B12" s="5" t="s">
        <v>481</v>
      </c>
      <c r="C12" s="10" t="s">
        <v>261</v>
      </c>
      <c r="D12" s="9">
        <v>45</v>
      </c>
      <c r="E12" s="9">
        <v>1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1</v>
      </c>
      <c r="Z12" s="9">
        <v>1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f xml:space="preserve"> IF(CABLES[[#This Row],[SEG1]] &gt;0, INDEX(SEGMENTS[], MATCH(CABLES[[#Headers],[SEG1]],SEGMENTS[SEG_ID],0),4),0)</f>
        <v>13</v>
      </c>
      <c r="BN12" s="9">
        <f xml:space="preserve"> IF(CABLES[[#This Row],[SEG2]] &gt;0, INDEX(SEGMENTS[], MATCH(CABLES[[#Headers],[SEG2]],SEGMENTS[SEG_ID],0),4),0)</f>
        <v>2</v>
      </c>
      <c r="BO12" s="9">
        <f xml:space="preserve"> IF(CABLES[[#This Row],[SEG3]] &gt;0, INDEX(SEGMENTS[], MATCH(CABLES[[#Headers],[SEG3]],SEGMENTS[SEG_ID],0),4),0)</f>
        <v>0</v>
      </c>
      <c r="BP12" s="9">
        <f xml:space="preserve"> IF(CABLES[[#This Row],[SEG4]] &gt;0, INDEX(SEGMENTS[], MATCH(CABLES[[#Headers],[SEG4]],SEGMENTS[SEG_ID],0),4),0)</f>
        <v>0</v>
      </c>
      <c r="BQ12" s="9">
        <f xml:space="preserve"> IF(CABLES[[#This Row],[SEG5]] &gt;0,INDEX(SEGMENTS[], MATCH(CABLES[[#Headers],[SEG5]],SEGMENTS[SEG_ID],0),4),0)</f>
        <v>0</v>
      </c>
      <c r="BR12" s="9">
        <f xml:space="preserve"> IF(CABLES[[#This Row],[SEG6]] &gt;0,INDEX(SEGMENTS[], MATCH(CABLES[[#Headers],[SEG6]],SEGMENTS[SEG_ID],0),4),0)</f>
        <v>0</v>
      </c>
      <c r="BS12" s="9">
        <f xml:space="preserve"> IF(CABLES[[#This Row],[SEG7]] &gt;0,INDEX(SEGMENTS[], MATCH(CABLES[[#Headers],[SEG7]],SEGMENTS[SEG_ID],0),4),0)</f>
        <v>0</v>
      </c>
      <c r="BT12" s="9">
        <f xml:space="preserve"> IF(CABLES[[#This Row],[SEG8]] &gt;0,INDEX(SEGMENTS[], MATCH(CABLES[[#Headers],[SEG8]],SEGMENTS[SEG_ID],0),4),0)</f>
        <v>0</v>
      </c>
      <c r="BU12" s="9">
        <f xml:space="preserve"> IF(CABLES[[#This Row],[SEG9]] &gt;0,INDEX(SEGMENTS[], MATCH(CABLES[[#Headers],[SEG9]],SEGMENTS[SEG_ID],0),4),0)</f>
        <v>0</v>
      </c>
      <c r="BV12" s="9">
        <f xml:space="preserve"> IF(CABLES[[#This Row],[SEG10]] &gt;0,INDEX(SEGMENTS[], MATCH(CABLES[[#Headers],[SEG10]],SEGMENTS[SEG_ID],0),4),0)</f>
        <v>0</v>
      </c>
      <c r="BW12" s="9">
        <f xml:space="preserve"> IF(CABLES[[#This Row],[SEG11]] &gt;0,INDEX(SEGMENTS[], MATCH(CABLES[[#Headers],[SEG11]],SEGMENTS[SEG_ID],0),4),0)</f>
        <v>0</v>
      </c>
      <c r="BX12" s="9">
        <f>IF(CABLES[[#This Row],[SEG12]] &gt;0, INDEX(SEGMENTS[], MATCH(CABLES[[#Headers],[SEG12]],SEGMENTS[SEG_ID],0),4),0)</f>
        <v>0</v>
      </c>
      <c r="BY12" s="9">
        <f xml:space="preserve"> IF(CABLES[[#This Row],[SEG13]] &gt;0,INDEX(SEGMENTS[], MATCH(CABLES[[#Headers],[SEG13]],SEGMENTS[SEG_ID],0),4),0)</f>
        <v>0</v>
      </c>
      <c r="BZ12" s="9">
        <f xml:space="preserve"> IF(CABLES[[#This Row],[SEG14]] &gt;0,INDEX(SEGMENTS[], MATCH(CABLES[[#Headers],[SEG14]],SEGMENTS[SEG_ID],0),4),0)</f>
        <v>0</v>
      </c>
      <c r="CA12" s="9">
        <f xml:space="preserve"> IF(CABLES[[#This Row],[SEG15]] &gt;0,INDEX(SEGMENTS[], MATCH(CABLES[[#Headers],[SEG15]],SEGMENTS[SEG_ID],0),4),0)</f>
        <v>0</v>
      </c>
      <c r="CB12" s="9">
        <f xml:space="preserve"> IF(CABLES[[#This Row],[SEG16]] &gt;0,INDEX(SEGMENTS[], MATCH(CABLES[[#Headers],[SEG16]],SEGMENTS[SEG_ID],0),4),0)</f>
        <v>0</v>
      </c>
      <c r="CC12" s="9">
        <f xml:space="preserve"> IF(CABLES[[#This Row],[SEG17]] &gt;0,INDEX(SEGMENTS[], MATCH(CABLES[[#Headers],[SEG17]],SEGMENTS[SEG_ID],0),4),0)</f>
        <v>0</v>
      </c>
      <c r="CD12" s="9">
        <f xml:space="preserve"> IF(CABLES[[#This Row],[SEG18]] &gt;0,INDEX(SEGMENTS[], MATCH(CABLES[[#Headers],[SEG18]],SEGMENTS[SEG_ID],0),4),0)</f>
        <v>0</v>
      </c>
      <c r="CE12" s="9">
        <f>IF(CABLES[[#This Row],[SEG19]] &gt;0, INDEX(SEGMENTS[], MATCH(CABLES[[#Headers],[SEG19]],SEGMENTS[SEG_ID],0),4),0)</f>
        <v>0</v>
      </c>
      <c r="CF12" s="9">
        <f>IF(CABLES[[#This Row],[SEG20]] &gt;0, INDEX(SEGMENTS[], MATCH(CABLES[[#Headers],[SEG20]],SEGMENTS[SEG_ID],0),4),0)</f>
        <v>0</v>
      </c>
      <c r="CG12" s="9">
        <f xml:space="preserve"> IF(CABLES[[#This Row],[SEG21]] &gt;0,INDEX(SEGMENTS[], MATCH(CABLES[[#Headers],[SEG21]],SEGMENTS[SEG_ID],0),4),0)</f>
        <v>4</v>
      </c>
      <c r="CH12" s="9">
        <f xml:space="preserve"> IF(CABLES[[#This Row],[SEG22]] &gt;0,INDEX(SEGMENTS[], MATCH(CABLES[[#Headers],[SEG22]],SEGMENTS[SEG_ID],0),4),0)</f>
        <v>16</v>
      </c>
      <c r="CI12" s="9">
        <f>IF(CABLES[[#This Row],[SEG23]] &gt;0, INDEX(SEGMENTS[], MATCH(CABLES[[#Headers],[SEG23]],SEGMENTS[SEG_ID],0),4),0)</f>
        <v>0</v>
      </c>
      <c r="CJ12" s="9">
        <f xml:space="preserve"> IF(CABLES[[#This Row],[SEG24]] &gt;0,INDEX(SEGMENTS[], MATCH(CABLES[[#Headers],[SEG24]],SEGMENTS[SEG_ID],0),4),0)</f>
        <v>0</v>
      </c>
      <c r="CK12" s="9">
        <f>IF(CABLES[[#This Row],[SEG25]] &gt;0, INDEX(SEGMENTS[], MATCH(CABLES[[#Headers],[SEG25]],SEGMENTS[SEG_ID],0),4),0)</f>
        <v>0</v>
      </c>
      <c r="CL12" s="9">
        <f>IF(CABLES[[#This Row],[SEG26]] &gt;0, INDEX(SEGMENTS[], MATCH(CABLES[[#Headers],[SEG26]],SEGMENTS[SEG_ID],0),4),0)</f>
        <v>0</v>
      </c>
      <c r="CM12" s="9">
        <f xml:space="preserve"> IF(CABLES[[#This Row],[SEG27]] &gt;0,INDEX(SEGMENTS[], MATCH(CABLES[[#Headers],[SEG27]],SEGMENTS[SEG_ID],0),4),0)</f>
        <v>0</v>
      </c>
      <c r="CN12" s="9">
        <f xml:space="preserve"> IF(CABLES[[#This Row],[SEG28]] &gt;0,INDEX(SEGMENTS[], MATCH(CABLES[[#Headers],[SEG28]],SEGMENTS[SEG_ID],0),4),0)</f>
        <v>0</v>
      </c>
      <c r="CO12" s="9">
        <f xml:space="preserve"> IF(CABLES[[#This Row],[SEG29]] &gt;0,INDEX(SEGMENTS[], MATCH(CABLES[[#Headers],[SEG29]],SEGMENTS[SEG_ID],0),4),0)</f>
        <v>0</v>
      </c>
      <c r="CP12" s="9">
        <f xml:space="preserve"> IF(CABLES[[#This Row],[SEG30]] &gt;0,INDEX(SEGMENTS[], MATCH(CABLES[[#Headers],[SEG30]],SEGMENTS[SEG_ID],0),4),0)</f>
        <v>0</v>
      </c>
      <c r="CQ12" s="9">
        <f>IF(CABLES[[#This Row],[SEG31]] &gt;0, INDEX(SEGMENTS[], MATCH(CABLES[[#Headers],[SEG31]],SEGMENTS[SEG_ID],0),4),0)</f>
        <v>0</v>
      </c>
      <c r="CR12" s="9">
        <f xml:space="preserve"> IF(CABLES[[#This Row],[SEG32]] &gt;0,INDEX(SEGMENTS[], MATCH(CABLES[[#Headers],[SEG32]],SEGMENTS[SEG_ID],0),4),0)</f>
        <v>0</v>
      </c>
      <c r="CS12" s="9">
        <f xml:space="preserve"> IF(CABLES[[#This Row],[SEG33]] &gt;0,INDEX(SEGMENTS[], MATCH(CABLES[[#Headers],[SEG33]],SEGMENTS[SEG_ID],0),4),0)</f>
        <v>0</v>
      </c>
      <c r="CT12" s="9">
        <f>IF(CABLES[[#This Row],[SEG34]] &gt;0, INDEX(SEGMENTS[], MATCH(CABLES[[#Headers],[SEG34]],SEGMENTS[SEG_ID],0),4),0)</f>
        <v>0</v>
      </c>
      <c r="CU12" s="9">
        <f xml:space="preserve"> IF(CABLES[[#This Row],[SEG35]] &gt;0,INDEX(SEGMENTS[], MATCH(CABLES[[#Headers],[SEG35]],SEGMENTS[SEG_ID],0),4),0)</f>
        <v>0</v>
      </c>
      <c r="CV12" s="9">
        <f xml:space="preserve"> IF(CABLES[[#This Row],[SEG36]] &gt;0,INDEX(SEGMENTS[], MATCH(CABLES[[#Headers],[SEG36]],SEGMENTS[SEG_ID],0),4),0)</f>
        <v>0</v>
      </c>
      <c r="CW12" s="9">
        <f xml:space="preserve"> IF(CABLES[[#This Row],[SEG37]] &gt;0,INDEX(SEGMENTS[], MATCH(CABLES[[#Headers],[SEG37]],SEGMENTS[SEG_ID],0),4),0)</f>
        <v>0</v>
      </c>
      <c r="CX12" s="9">
        <f xml:space="preserve"> IF(CABLES[[#This Row],[SEG38]] &gt;0,INDEX(SEGMENTS[], MATCH(CABLES[[#Headers],[SEG38]],SEGMENTS[SEG_ID],0),4),0)</f>
        <v>0</v>
      </c>
      <c r="CY12" s="9">
        <f xml:space="preserve"> IF(CABLES[[#This Row],[SEG39]] &gt;0,INDEX(SEGMENTS[], MATCH(CABLES[[#Headers],[SEG39]],SEGMENTS[SEG_ID],0),4),0)</f>
        <v>0</v>
      </c>
      <c r="CZ12" s="9">
        <f xml:space="preserve"> IF(CABLES[[#This Row],[SEG40]] &gt;0,INDEX(SEGMENTS[], MATCH(CABLES[[#Headers],[SEG40]],SEGMENTS[SEG_ID],0),4),0)</f>
        <v>0</v>
      </c>
      <c r="DA12" s="9">
        <f xml:space="preserve"> IF(CABLES[[#This Row],[SEG41]] &gt;0,INDEX(SEGMENTS[], MATCH(CABLES[[#Headers],[SEG41]],SEGMENTS[SEG_ID],0),4),0)</f>
        <v>0</v>
      </c>
      <c r="DB12" s="9">
        <f xml:space="preserve"> IF(CABLES[[#This Row],[SEG42]] &gt;0,INDEX(SEGMENTS[], MATCH(CABLES[[#Headers],[SEG42]],SEGMENTS[SEG_ID],0),4),0)</f>
        <v>0</v>
      </c>
      <c r="DC12" s="9">
        <f xml:space="preserve"> IF(CABLES[[#This Row],[SEG43]] &gt;0,INDEX(SEGMENTS[], MATCH(CABLES[[#Headers],[SEG43]],SEGMENTS[SEG_ID],0),4),0)</f>
        <v>0</v>
      </c>
      <c r="DD12" s="9">
        <f xml:space="preserve"> IF(CABLES[[#This Row],[SEG44]] &gt;0,INDEX(SEGMENTS[], MATCH(CABLES[[#Headers],[SEG44]],SEGMENTS[SEG_ID],0),4),0)</f>
        <v>0</v>
      </c>
      <c r="DE12" s="9">
        <f xml:space="preserve"> IF(CABLES[[#This Row],[SEG45]] &gt;0,INDEX(SEGMENTS[], MATCH(CABLES[[#Headers],[SEG45]],SEGMENTS[SEG_ID],0),4),0)</f>
        <v>0</v>
      </c>
      <c r="DF12" s="9">
        <f xml:space="preserve"> IF(CABLES[[#This Row],[SEG46]] &gt;0,INDEX(SEGMENTS[], MATCH(CABLES[[#Headers],[SEG46]],SEGMENTS[SEG_ID],0),4),0)</f>
        <v>0</v>
      </c>
      <c r="DG12" s="9">
        <f xml:space="preserve"> IF(CABLES[[#This Row],[SEG47]] &gt;0,INDEX(SEGMENTS[], MATCH(CABLES[[#Headers],[SEG47]],SEGMENTS[SEG_ID],0),4),0)</f>
        <v>0</v>
      </c>
      <c r="DH12" s="9">
        <f xml:space="preserve"> IF(CABLES[[#This Row],[SEG48]] &gt;0,INDEX(SEGMENTS[], MATCH(CABLES[[#Headers],[SEG48]],SEGMENTS[SEG_ID],0),4),0)</f>
        <v>0</v>
      </c>
      <c r="DI12" s="9">
        <f xml:space="preserve"> IF(CABLES[[#This Row],[SEG49]] &gt;0,INDEX(SEGMENTS[], MATCH(CABLES[[#Headers],[SEG49]],SEGMENTS[SEG_ID],0),4),0)</f>
        <v>0</v>
      </c>
      <c r="DJ12" s="9">
        <f xml:space="preserve"> IF(CABLES[[#This Row],[SEG50]] &gt;0,INDEX(SEGMENTS[], MATCH(CABLES[[#Headers],[SEG50]],SEGMENTS[SEG_ID],0),4),0)</f>
        <v>0</v>
      </c>
      <c r="DK12" s="9">
        <f xml:space="preserve"> IF(CABLES[[#This Row],[SEG51]] &gt;0,INDEX(SEGMENTS[], MATCH(CABLES[[#Headers],[SEG51]],SEGMENTS[SEG_ID],0),4),0)</f>
        <v>0</v>
      </c>
      <c r="DL12" s="9">
        <f xml:space="preserve"> IF(CABLES[[#This Row],[SEG52]] &gt;0,INDEX(SEGMENTS[], MATCH(CABLES[[#Headers],[SEG52]],SEGMENTS[SEG_ID],0),4),0)</f>
        <v>0</v>
      </c>
      <c r="DM12" s="9">
        <f xml:space="preserve"> IF(CABLES[[#This Row],[SEG53]] &gt;0,INDEX(SEGMENTS[], MATCH(CABLES[[#Headers],[SEG53]],SEGMENTS[SEG_ID],0),4),0)</f>
        <v>0</v>
      </c>
      <c r="DN12" s="9">
        <f xml:space="preserve"> IF(CABLES[[#This Row],[SEG54]] &gt;0,INDEX(SEGMENTS[], MATCH(CABLES[[#Headers],[SEG54]],SEGMENTS[SEG_ID],0),4),0)</f>
        <v>0</v>
      </c>
      <c r="DO12" s="9">
        <f xml:space="preserve"> IF(CABLES[[#This Row],[SEG55]] &gt;0,INDEX(SEGMENTS[], MATCH(CABLES[[#Headers],[SEG55]],SEGMENTS[SEG_ID],0),4),0)</f>
        <v>0</v>
      </c>
      <c r="DP12" s="9">
        <f xml:space="preserve"> IF(CABLES[[#This Row],[SEG56]] &gt;0,INDEX(SEGMENTS[], MATCH(CABLES[[#Headers],[SEG56]],SEGMENTS[SEG_ID],0),4),0)</f>
        <v>0</v>
      </c>
      <c r="DQ12" s="9">
        <f xml:space="preserve"> IF(CABLES[[#This Row],[SEG57]] &gt;0,INDEX(SEGMENTS[], MATCH(CABLES[[#Headers],[SEG57]],SEGMENTS[SEG_ID],0),4),0)</f>
        <v>0</v>
      </c>
      <c r="DR12" s="9">
        <f xml:space="preserve"> IF(CABLES[[#This Row],[SEG58]] &gt;0,INDEX(SEGMENTS[], MATCH(CABLES[[#Headers],[SEG58]],SEGMENTS[SEG_ID],0),4),0)</f>
        <v>0</v>
      </c>
      <c r="DS12" s="9">
        <f xml:space="preserve"> IF(CABLES[[#This Row],[SEG59]] &gt;0,INDEX(SEGMENTS[], MATCH(CABLES[[#Headers],[SEG59]],SEGMENTS[SEG_ID],0),4),0)</f>
        <v>0</v>
      </c>
      <c r="DT12" s="9">
        <f xml:space="preserve"> IF(CABLES[[#This Row],[SEG60]] &gt;0,INDEX(SEGMENTS[], MATCH(CABLES[[#Headers],[SEG60]],SEGMENTS[SEG_ID],0),4),0)</f>
        <v>0</v>
      </c>
      <c r="DU12" s="10">
        <f>SUM(CABLES[[#This Row],[SEGL1]:[SEGL60]])</f>
        <v>35</v>
      </c>
      <c r="DV12" s="10">
        <v>5</v>
      </c>
      <c r="DW12" s="10">
        <v>1.2</v>
      </c>
      <c r="DX12" s="10">
        <f xml:space="preserve"> IF(CABLES[[#This Row],[SEGL_TOTAL]]&gt;0, (CABLES[[#This Row],[SEGL_TOTAL]] + CABLES[[#This Row],[FITOFF]]) *CABLES[[#This Row],[XCAPACITY]],0)</f>
        <v>48</v>
      </c>
      <c r="DY12" s="10">
        <f>IF(CABLES[[#This Row],[SEG1]]&gt;0,CABLES[[#This Row],[CABLE_DIAMETER]],0)</f>
        <v>25.6</v>
      </c>
      <c r="DZ12" s="10">
        <f>IF(CABLES[[#This Row],[SEG2]]&gt;0,CABLES[[#This Row],[CABLE_DIAMETER]],0)</f>
        <v>25.6</v>
      </c>
      <c r="EA12" s="10">
        <f>IF(CABLES[[#This Row],[SEG3]]&gt;0,CABLES[[#This Row],[CABLE_DIAMETER]],0)</f>
        <v>0</v>
      </c>
      <c r="EB12" s="10">
        <f>IF(CABLES[[#This Row],[SEG4]]&gt;0,CABLES[[#This Row],[CABLE_DIAMETER]],0)</f>
        <v>0</v>
      </c>
      <c r="EC12" s="10">
        <f>IF(CABLES[[#This Row],[SEG5]]&gt;0,CABLES[[#This Row],[CABLE_DIAMETER]],0)</f>
        <v>0</v>
      </c>
      <c r="ED12" s="10">
        <f>IF(CABLES[[#This Row],[SEG6]]&gt;0,CABLES[[#This Row],[CABLE_DIAMETER]],0)</f>
        <v>0</v>
      </c>
      <c r="EE12" s="10">
        <f>IF(CABLES[[#This Row],[SEG7]]&gt;0,CABLES[[#This Row],[CABLE_DIAMETER]],0)</f>
        <v>0</v>
      </c>
      <c r="EF12" s="10">
        <f>IF(CABLES[[#This Row],[SEG9]]&gt;0,CABLES[[#This Row],[CABLE_DIAMETER]],0)</f>
        <v>0</v>
      </c>
      <c r="EG12" s="10">
        <f>IF(CABLES[[#This Row],[SEG9]]&gt;0,CABLES[[#This Row],[CABLE_DIAMETER]],0)</f>
        <v>0</v>
      </c>
      <c r="EH12" s="10">
        <f>IF(CABLES[[#This Row],[SEG10]]&gt;0,CABLES[[#This Row],[CABLE_DIAMETER]],0)</f>
        <v>0</v>
      </c>
      <c r="EI12" s="10">
        <f>IF(CABLES[[#This Row],[SEG11]]&gt;0,CABLES[[#This Row],[CABLE_DIAMETER]],0)</f>
        <v>0</v>
      </c>
      <c r="EJ12" s="10">
        <f>IF(CABLES[[#This Row],[SEG12]]&gt;0,CABLES[[#This Row],[CABLE_DIAMETER]],0)</f>
        <v>0</v>
      </c>
      <c r="EK12" s="10">
        <f>IF(CABLES[[#This Row],[SEG13]]&gt;0,CABLES[[#This Row],[CABLE_DIAMETER]],0)</f>
        <v>0</v>
      </c>
      <c r="EL12" s="10">
        <f>IF(CABLES[[#This Row],[SEG14]]&gt;0,CABLES[[#This Row],[CABLE_DIAMETER]],0)</f>
        <v>0</v>
      </c>
      <c r="EM12" s="10">
        <f>IF(CABLES[[#This Row],[SEG15]]&gt;0,CABLES[[#This Row],[CABLE_DIAMETER]],0)</f>
        <v>0</v>
      </c>
      <c r="EN12" s="10">
        <f>IF(CABLES[[#This Row],[SEG16]]&gt;0,CABLES[[#This Row],[CABLE_DIAMETER]],0)</f>
        <v>0</v>
      </c>
      <c r="EO12" s="10">
        <f>IF(CABLES[[#This Row],[SEG17]]&gt;0,CABLES[[#This Row],[CABLE_DIAMETER]],0)</f>
        <v>0</v>
      </c>
      <c r="EP12" s="10">
        <f>IF(CABLES[[#This Row],[SEG18]]&gt;0,CABLES[[#This Row],[CABLE_DIAMETER]],0)</f>
        <v>0</v>
      </c>
      <c r="EQ12" s="10">
        <f>IF(CABLES[[#This Row],[SEG19]]&gt;0,CABLES[[#This Row],[CABLE_DIAMETER]],0)</f>
        <v>0</v>
      </c>
      <c r="ER12" s="10">
        <f>IF(CABLES[[#This Row],[SEG20]]&gt;0,CABLES[[#This Row],[CABLE_DIAMETER]],0)</f>
        <v>0</v>
      </c>
      <c r="ES12" s="10">
        <f>IF(CABLES[[#This Row],[SEG21]]&gt;0,CABLES[[#This Row],[CABLE_DIAMETER]],0)</f>
        <v>25.6</v>
      </c>
      <c r="ET12" s="10">
        <f>IF(CABLES[[#This Row],[SEG22]]&gt;0,CABLES[[#This Row],[CABLE_DIAMETER]],0)</f>
        <v>25.6</v>
      </c>
      <c r="EU12" s="10">
        <f>IF(CABLES[[#This Row],[SEG23]]&gt;0,CABLES[[#This Row],[CABLE_DIAMETER]],0)</f>
        <v>0</v>
      </c>
      <c r="EV12" s="10">
        <f>IF(CABLES[[#This Row],[SEG24]]&gt;0,CABLES[[#This Row],[CABLE_DIAMETER]],0)</f>
        <v>0</v>
      </c>
      <c r="EW12" s="10">
        <f>IF(CABLES[[#This Row],[SEG25]]&gt;0,CABLES[[#This Row],[CABLE_DIAMETER]],0)</f>
        <v>0</v>
      </c>
      <c r="EX12" s="10">
        <f>IF(CABLES[[#This Row],[SEG26]]&gt;0,CABLES[[#This Row],[CABLE_DIAMETER]],0)</f>
        <v>0</v>
      </c>
      <c r="EY12" s="10">
        <f>IF(CABLES[[#This Row],[SEG27]]&gt;0,CABLES[[#This Row],[CABLE_DIAMETER]],0)</f>
        <v>0</v>
      </c>
      <c r="EZ12" s="10">
        <f>IF(CABLES[[#This Row],[SEG28]]&gt;0,CABLES[[#This Row],[CABLE_DIAMETER]],0)</f>
        <v>0</v>
      </c>
      <c r="FA12" s="10">
        <f>IF(CABLES[[#This Row],[SEG29]]&gt;0,CABLES[[#This Row],[CABLE_DIAMETER]],0)</f>
        <v>0</v>
      </c>
      <c r="FB12" s="10">
        <f>IF(CABLES[[#This Row],[SEG30]]&gt;0,CABLES[[#This Row],[CABLE_DIAMETER]],0)</f>
        <v>0</v>
      </c>
      <c r="FC12" s="10">
        <f>IF(CABLES[[#This Row],[SEG31]]&gt;0,CABLES[[#This Row],[CABLE_DIAMETER]],0)</f>
        <v>0</v>
      </c>
      <c r="FD12" s="10">
        <f>IF(CABLES[[#This Row],[SEG32]]&gt;0,CABLES[[#This Row],[CABLE_DIAMETER]],0)</f>
        <v>0</v>
      </c>
      <c r="FE12" s="10">
        <f>IF(CABLES[[#This Row],[SEG33]]&gt;0,CABLES[[#This Row],[CABLE_DIAMETER]],0)</f>
        <v>0</v>
      </c>
      <c r="FF12" s="10">
        <f>IF(CABLES[[#This Row],[SEG34]]&gt;0,CABLES[[#This Row],[CABLE_DIAMETER]],0)</f>
        <v>0</v>
      </c>
      <c r="FG12" s="10">
        <f>IF(CABLES[[#This Row],[SEG35]]&gt;0,CABLES[[#This Row],[CABLE_DIAMETER]],0)</f>
        <v>0</v>
      </c>
      <c r="FH12" s="10">
        <f>IF(CABLES[[#This Row],[SEG36]]&gt;0,CABLES[[#This Row],[CABLE_DIAMETER]],0)</f>
        <v>0</v>
      </c>
      <c r="FI12" s="10">
        <f>IF(CABLES[[#This Row],[SEG37]]&gt;0,CABLES[[#This Row],[CABLE_DIAMETER]],0)</f>
        <v>0</v>
      </c>
      <c r="FJ12" s="10">
        <f>IF(CABLES[[#This Row],[SEG38]]&gt;0,CABLES[[#This Row],[CABLE_DIAMETER]],0)</f>
        <v>0</v>
      </c>
      <c r="FK12" s="10">
        <f>IF(CABLES[[#This Row],[SEG39]]&gt;0,CABLES[[#This Row],[CABLE_DIAMETER]],0)</f>
        <v>0</v>
      </c>
      <c r="FL12" s="10">
        <f>IF(CABLES[[#This Row],[SEG40]]&gt;0,CABLES[[#This Row],[CABLE_DIAMETER]],0)</f>
        <v>0</v>
      </c>
      <c r="FM12" s="10">
        <f>IF(CABLES[[#This Row],[SEG41]]&gt;0,CABLES[[#This Row],[CABLE_DIAMETER]],0)</f>
        <v>0</v>
      </c>
      <c r="FN12" s="10">
        <f>IF(CABLES[[#This Row],[SEG42]]&gt;0,CABLES[[#This Row],[CABLE_DIAMETER]],0)</f>
        <v>0</v>
      </c>
      <c r="FO12" s="10">
        <f>IF(CABLES[[#This Row],[SEG43]]&gt;0,CABLES[[#This Row],[CABLE_DIAMETER]],0)</f>
        <v>0</v>
      </c>
      <c r="FP12" s="10">
        <f>IF(CABLES[[#This Row],[SEG44]]&gt;0,CABLES[[#This Row],[CABLE_DIAMETER]],0)</f>
        <v>0</v>
      </c>
      <c r="FQ12" s="10">
        <f>IF(CABLES[[#This Row],[SEG45]]&gt;0,CABLES[[#This Row],[CABLE_DIAMETER]],0)</f>
        <v>0</v>
      </c>
      <c r="FR12" s="10">
        <f>IF(CABLES[[#This Row],[SEG46]]&gt;0,CABLES[[#This Row],[CABLE_DIAMETER]],0)</f>
        <v>0</v>
      </c>
      <c r="FS12" s="10">
        <f>IF(CABLES[[#This Row],[SEG47]]&gt;0,CABLES[[#This Row],[CABLE_DIAMETER]],0)</f>
        <v>0</v>
      </c>
      <c r="FT12" s="10">
        <f>IF(CABLES[[#This Row],[SEG48]]&gt;0,CABLES[[#This Row],[CABLE_DIAMETER]],0)</f>
        <v>0</v>
      </c>
      <c r="FU12" s="10">
        <f>IF(CABLES[[#This Row],[SEG49]]&gt;0,CABLES[[#This Row],[CABLE_DIAMETER]],0)</f>
        <v>0</v>
      </c>
      <c r="FV12" s="10">
        <f>IF(CABLES[[#This Row],[SEG50]]&gt;0,CABLES[[#This Row],[CABLE_DIAMETER]],0)</f>
        <v>0</v>
      </c>
      <c r="FW12" s="10">
        <f>IF(CABLES[[#This Row],[SEG51]]&gt;0,CABLES[[#This Row],[CABLE_DIAMETER]],0)</f>
        <v>0</v>
      </c>
      <c r="FX12" s="10">
        <f>IF(CABLES[[#This Row],[SEG52]]&gt;0,CABLES[[#This Row],[CABLE_DIAMETER]],0)</f>
        <v>0</v>
      </c>
      <c r="FY12" s="10">
        <f>IF(CABLES[[#This Row],[SEG53]]&gt;0,CABLES[[#This Row],[CABLE_DIAMETER]],0)</f>
        <v>0</v>
      </c>
      <c r="FZ12" s="10">
        <f>IF(CABLES[[#This Row],[SEG54]]&gt;0,CABLES[[#This Row],[CABLE_DIAMETER]],0)</f>
        <v>0</v>
      </c>
      <c r="GA12" s="10">
        <f>IF(CABLES[[#This Row],[SEG55]]&gt;0,CABLES[[#This Row],[CABLE_DIAMETER]],0)</f>
        <v>0</v>
      </c>
      <c r="GB12" s="10">
        <f>IF(CABLES[[#This Row],[SEG56]]&gt;0,CABLES[[#This Row],[CABLE_DIAMETER]],0)</f>
        <v>0</v>
      </c>
      <c r="GC12" s="10">
        <f>IF(CABLES[[#This Row],[SEG57]]&gt;0,CABLES[[#This Row],[CABLE_DIAMETER]],0)</f>
        <v>0</v>
      </c>
      <c r="GD12" s="10">
        <f>IF(CABLES[[#This Row],[SEG58]]&gt;0,CABLES[[#This Row],[CABLE_DIAMETER]],0)</f>
        <v>0</v>
      </c>
      <c r="GE12" s="10">
        <f>IF(CABLES[[#This Row],[SEG59]]&gt;0,CABLES[[#This Row],[CABLE_DIAMETER]],0)</f>
        <v>0</v>
      </c>
      <c r="GF12" s="10">
        <f>IF(CABLES[[#This Row],[SEG60]]&gt;0,CABLES[[#This Row],[CABLE_DIAMETER]],0)</f>
        <v>0</v>
      </c>
      <c r="GG12" s="10">
        <f>IF(CABLES[[#This Row],[SEG1]]&gt;0,CABLES[[#This Row],[CABLE_MASS]],0)</f>
        <v>1.62</v>
      </c>
      <c r="GH12" s="10">
        <f>IF(CABLES[[#This Row],[SEG2]]&gt;0,CABLES[[#This Row],[CABLE_MASS]],0)</f>
        <v>1.62</v>
      </c>
      <c r="GI12" s="10">
        <f>IF(CABLES[[#This Row],[SEG3]]&gt;0,CABLES[[#This Row],[CABLE_MASS]],0)</f>
        <v>0</v>
      </c>
      <c r="GJ12" s="10">
        <f>IF(CABLES[[#This Row],[SEG4]]&gt;0,CABLES[[#This Row],[CABLE_MASS]],0)</f>
        <v>0</v>
      </c>
      <c r="GK12" s="10">
        <f>IF(CABLES[[#This Row],[SEG5]]&gt;0,CABLES[[#This Row],[CABLE_MASS]],0)</f>
        <v>0</v>
      </c>
      <c r="GL12" s="10">
        <f>IF(CABLES[[#This Row],[SEG6]]&gt;0,CABLES[[#This Row],[CABLE_MASS]],0)</f>
        <v>0</v>
      </c>
      <c r="GM12" s="10">
        <f>IF(CABLES[[#This Row],[SEG7]]&gt;0,CABLES[[#This Row],[CABLE_MASS]],0)</f>
        <v>0</v>
      </c>
      <c r="GN12" s="10">
        <f>IF(CABLES[[#This Row],[SEG8]]&gt;0,CABLES[[#This Row],[CABLE_MASS]],0)</f>
        <v>0</v>
      </c>
      <c r="GO12" s="10">
        <f>IF(CABLES[[#This Row],[SEG9]]&gt;0,CABLES[[#This Row],[CABLE_MASS]],0)</f>
        <v>0</v>
      </c>
      <c r="GP12" s="10">
        <f>IF(CABLES[[#This Row],[SEG10]]&gt;0,CABLES[[#This Row],[CABLE_MASS]],0)</f>
        <v>0</v>
      </c>
      <c r="GQ12" s="10">
        <f>IF(CABLES[[#This Row],[SEG11]]&gt;0,CABLES[[#This Row],[CABLE_MASS]],0)</f>
        <v>0</v>
      </c>
      <c r="GR12" s="10">
        <f>IF(CABLES[[#This Row],[SEG12]]&gt;0,CABLES[[#This Row],[CABLE_MASS]],0)</f>
        <v>0</v>
      </c>
      <c r="GS12" s="10">
        <f>IF(CABLES[[#This Row],[SEG13]]&gt;0,CABLES[[#This Row],[CABLE_MASS]],0)</f>
        <v>0</v>
      </c>
      <c r="GT12" s="10">
        <f>IF(CABLES[[#This Row],[SEG14]]&gt;0,CABLES[[#This Row],[CABLE_MASS]],0)</f>
        <v>0</v>
      </c>
      <c r="GU12" s="10">
        <f>IF(CABLES[[#This Row],[SEG15]]&gt;0,CABLES[[#This Row],[CABLE_MASS]],0)</f>
        <v>0</v>
      </c>
      <c r="GV12" s="10">
        <f>IF(CABLES[[#This Row],[SEG16]]&gt;0,CABLES[[#This Row],[CABLE_MASS]],0)</f>
        <v>0</v>
      </c>
      <c r="GW12" s="10">
        <f>IF(CABLES[[#This Row],[SEG17]]&gt;0,CABLES[[#This Row],[CABLE_MASS]],0)</f>
        <v>0</v>
      </c>
      <c r="GX12" s="10">
        <f>IF(CABLES[[#This Row],[SEG18]]&gt;0,CABLES[[#This Row],[CABLE_MASS]],0)</f>
        <v>0</v>
      </c>
      <c r="GY12" s="10">
        <f>IF(CABLES[[#This Row],[SEG19]]&gt;0,CABLES[[#This Row],[CABLE_MASS]],0)</f>
        <v>0</v>
      </c>
      <c r="GZ12" s="10">
        <f>IF(CABLES[[#This Row],[SEG20]]&gt;0,CABLES[[#This Row],[CABLE_MASS]],0)</f>
        <v>0</v>
      </c>
      <c r="HA12" s="10">
        <f>IF(CABLES[[#This Row],[SEG21]]&gt;0,CABLES[[#This Row],[CABLE_MASS]],0)</f>
        <v>1.62</v>
      </c>
      <c r="HB12" s="10">
        <f>IF(CABLES[[#This Row],[SEG22]]&gt;0,CABLES[[#This Row],[CABLE_MASS]],0)</f>
        <v>1.62</v>
      </c>
      <c r="HC12" s="10">
        <f>IF(CABLES[[#This Row],[SEG23]]&gt;0,CABLES[[#This Row],[CABLE_MASS]],0)</f>
        <v>0</v>
      </c>
      <c r="HD12" s="10">
        <f>IF(CABLES[[#This Row],[SEG24]]&gt;0,CABLES[[#This Row],[CABLE_MASS]],0)</f>
        <v>0</v>
      </c>
      <c r="HE12" s="10">
        <f>IF(CABLES[[#This Row],[SEG25]]&gt;0,CABLES[[#This Row],[CABLE_MASS]],0)</f>
        <v>0</v>
      </c>
      <c r="HF12" s="10">
        <f>IF(CABLES[[#This Row],[SEG26]]&gt;0,CABLES[[#This Row],[CABLE_MASS]],0)</f>
        <v>0</v>
      </c>
      <c r="HG12" s="10">
        <f>IF(CABLES[[#This Row],[SEG27]]&gt;0,CABLES[[#This Row],[CABLE_MASS]],0)</f>
        <v>0</v>
      </c>
      <c r="HH12" s="10">
        <f>IF(CABLES[[#This Row],[SEG28]]&gt;0,CABLES[[#This Row],[CABLE_MASS]],0)</f>
        <v>0</v>
      </c>
      <c r="HI12" s="10">
        <f>IF(CABLES[[#This Row],[SEG29]]&gt;0,CABLES[[#This Row],[CABLE_MASS]],0)</f>
        <v>0</v>
      </c>
      <c r="HJ12" s="10">
        <f>IF(CABLES[[#This Row],[SEG30]]&gt;0,CABLES[[#This Row],[CABLE_MASS]],0)</f>
        <v>0</v>
      </c>
      <c r="HK12" s="10">
        <f>IF(CABLES[[#This Row],[SEG31]]&gt;0,CABLES[[#This Row],[CABLE_MASS]],0)</f>
        <v>0</v>
      </c>
      <c r="HL12" s="10">
        <f>IF(CABLES[[#This Row],[SEG32]]&gt;0,CABLES[[#This Row],[CABLE_MASS]],0)</f>
        <v>0</v>
      </c>
      <c r="HM12" s="10">
        <f>IF(CABLES[[#This Row],[SEG33]]&gt;0,CABLES[[#This Row],[CABLE_MASS]],0)</f>
        <v>0</v>
      </c>
      <c r="HN12" s="10">
        <f>IF(CABLES[[#This Row],[SEG34]]&gt;0,CABLES[[#This Row],[CABLE_MASS]],0)</f>
        <v>0</v>
      </c>
      <c r="HO12" s="10">
        <f>IF(CABLES[[#This Row],[SEG35]]&gt;0,CABLES[[#This Row],[CABLE_MASS]],0)</f>
        <v>0</v>
      </c>
      <c r="HP12" s="10">
        <f>IF(CABLES[[#This Row],[SEG36]]&gt;0,CABLES[[#This Row],[CABLE_MASS]],0)</f>
        <v>0</v>
      </c>
      <c r="HQ12" s="10">
        <f>IF(CABLES[[#This Row],[SEG37]]&gt;0,CABLES[[#This Row],[CABLE_MASS]],0)</f>
        <v>0</v>
      </c>
      <c r="HR12" s="10">
        <f>IF(CABLES[[#This Row],[SEG38]]&gt;0,CABLES[[#This Row],[CABLE_MASS]],0)</f>
        <v>0</v>
      </c>
      <c r="HS12" s="10">
        <f>IF(CABLES[[#This Row],[SEG39]]&gt;0,CABLES[[#This Row],[CABLE_MASS]],0)</f>
        <v>0</v>
      </c>
      <c r="HT12" s="10">
        <f>IF(CABLES[[#This Row],[SEG40]]&gt;0,CABLES[[#This Row],[CABLE_MASS]],0)</f>
        <v>0</v>
      </c>
      <c r="HU12" s="10">
        <f>IF(CABLES[[#This Row],[SEG41]]&gt;0,CABLES[[#This Row],[CABLE_MASS]],0)</f>
        <v>0</v>
      </c>
      <c r="HV12" s="10">
        <f>IF(CABLES[[#This Row],[SEG42]]&gt;0,CABLES[[#This Row],[CABLE_MASS]],0)</f>
        <v>0</v>
      </c>
      <c r="HW12" s="10">
        <f>IF(CABLES[[#This Row],[SEG43]]&gt;0,CABLES[[#This Row],[CABLE_MASS]],0)</f>
        <v>0</v>
      </c>
      <c r="HX12" s="10">
        <f>IF(CABLES[[#This Row],[SEG44]]&gt;0,CABLES[[#This Row],[CABLE_MASS]],0)</f>
        <v>0</v>
      </c>
      <c r="HY12" s="10">
        <f>IF(CABLES[[#This Row],[SEG45]]&gt;0,CABLES[[#This Row],[CABLE_MASS]],0)</f>
        <v>0</v>
      </c>
      <c r="HZ12" s="10">
        <f>IF(CABLES[[#This Row],[SEG46]]&gt;0,CABLES[[#This Row],[CABLE_MASS]],0)</f>
        <v>0</v>
      </c>
      <c r="IA12" s="10">
        <f>IF(CABLES[[#This Row],[SEG47]]&gt;0,CABLES[[#This Row],[CABLE_MASS]],0)</f>
        <v>0</v>
      </c>
      <c r="IB12" s="10">
        <f>IF(CABLES[[#This Row],[SEG48]]&gt;0,CABLES[[#This Row],[CABLE_MASS]],0)</f>
        <v>0</v>
      </c>
      <c r="IC12" s="10">
        <f>IF(CABLES[[#This Row],[SEG49]]&gt;0,CABLES[[#This Row],[CABLE_MASS]],0)</f>
        <v>0</v>
      </c>
      <c r="ID12" s="10">
        <f>IF(CABLES[[#This Row],[SEG50]]&gt;0,CABLES[[#This Row],[CABLE_MASS]],0)</f>
        <v>0</v>
      </c>
      <c r="IE12" s="10">
        <f>IF(CABLES[[#This Row],[SEG51]]&gt;0,CABLES[[#This Row],[CABLE_MASS]],0)</f>
        <v>0</v>
      </c>
      <c r="IF12" s="10">
        <f>IF(CABLES[[#This Row],[SEG52]]&gt;0,CABLES[[#This Row],[CABLE_MASS]],0)</f>
        <v>0</v>
      </c>
      <c r="IG12" s="10">
        <f>IF(CABLES[[#This Row],[SEG53]]&gt;0,CABLES[[#This Row],[CABLE_MASS]],0)</f>
        <v>0</v>
      </c>
      <c r="IH12" s="10">
        <f>IF(CABLES[[#This Row],[SEG54]]&gt;0,CABLES[[#This Row],[CABLE_MASS]],0)</f>
        <v>0</v>
      </c>
      <c r="II12" s="10">
        <f>IF(CABLES[[#This Row],[SEG55]]&gt;0,CABLES[[#This Row],[CABLE_MASS]],0)</f>
        <v>0</v>
      </c>
      <c r="IJ12" s="10">
        <f>IF(CABLES[[#This Row],[SEG56]]&gt;0,CABLES[[#This Row],[CABLE_MASS]],0)</f>
        <v>0</v>
      </c>
      <c r="IK12" s="10">
        <f>IF(CABLES[[#This Row],[SEG57]]&gt;0,CABLES[[#This Row],[CABLE_MASS]],0)</f>
        <v>0</v>
      </c>
      <c r="IL12" s="10">
        <f>IF(CABLES[[#This Row],[SEG58]]&gt;0,CABLES[[#This Row],[CABLE_MASS]],0)</f>
        <v>0</v>
      </c>
      <c r="IM12" s="10">
        <f>IF(CABLES[[#This Row],[SEG59]]&gt;0,CABLES[[#This Row],[CABLE_MASS]],0)</f>
        <v>0</v>
      </c>
      <c r="IN12" s="10">
        <f>IF(CABLES[[#This Row],[SEG60]]&gt;0,CABLES[[#This Row],[CABLE_MASS]],0)</f>
        <v>0</v>
      </c>
      <c r="IO12" s="10">
        <f xml:space="preserve">  (CABLES[[#This Row],[LOAD_KW]]/(SQRT(3)*SYSTEM_VOLTAGE*POWER_FACTOR))*1000</f>
        <v>72.168783648703211</v>
      </c>
      <c r="IP12" s="10">
        <v>45</v>
      </c>
      <c r="IQ12" s="10">
        <f xml:space="preserve"> INDEX(AS3000_AMBIENTDERATE[], MATCH(CABLES[[#This Row],[AMBIENT]],AS3000_AMBIENTDERATE[AMBIENT],0), 2)</f>
        <v>0.94</v>
      </c>
      <c r="IR12" s="10">
        <f xml:space="preserve"> ROUNDUP( CABLES[[#This Row],[CALCULATED_AMPS]]/CABLES[[#This Row],[AMBIENT_DERATING]],1)</f>
        <v>76.8</v>
      </c>
      <c r="IS12" s="10" t="s">
        <v>531</v>
      </c>
      <c r="IT1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25</v>
      </c>
      <c r="IU12" s="10">
        <f t="shared" si="0"/>
        <v>28.000000000000004</v>
      </c>
      <c r="IV12" s="10">
        <f>(1000*CABLES[[#This Row],[MAX_VDROP]])/(CABLES[[#This Row],[ESTIMATED_CABLE_LENGTH]]*CABLES[[#This Row],[AMP_RATING]])</f>
        <v>7.5954861111111125</v>
      </c>
      <c r="IW12" s="10">
        <f xml:space="preserve"> INDEX(AS3000_VDROP[], MATCH(CABLES[[#This Row],[VC_CALC]],AS3000_VDROP[Vc],1),1)</f>
        <v>6</v>
      </c>
      <c r="IX12" s="10">
        <f>MAX(CABLES[[#This Row],[CABLESIZE_METHOD1]],CABLES[[#This Row],[CABLESIZE_METHOD2]])</f>
        <v>25</v>
      </c>
      <c r="IY12" s="10">
        <v>35</v>
      </c>
      <c r="IZ12" s="10">
        <f>IF(LEN(CABLES[[#This Row],[OVERRIDE_CABLESIZE]])&gt;0,CABLES[[#This Row],[OVERRIDE_CABLESIZE]],CABLES[[#This Row],[INITIAL_CABLESIZE]])</f>
        <v>35</v>
      </c>
      <c r="JA12" s="10">
        <f>INDEX(PROTECTIVE_DEVICE[DEVICE], MATCH(CABLES[[#This Row],[CALCULATED_AMPS]],PROTECTIVE_DEVICE[DEVICE],-1),1)</f>
        <v>80</v>
      </c>
      <c r="JB12" s="10"/>
      <c r="JC12" s="10">
        <f>IF(LEN(CABLES[[#This Row],[OVERRIDE_PDEVICE]])&gt;0, CABLES[[#This Row],[OVERRIDE_PDEVICE]],CABLES[[#This Row],[RECOMMEND_PDEVICE]])</f>
        <v>80</v>
      </c>
      <c r="JD12" s="10" t="s">
        <v>450</v>
      </c>
      <c r="JE12" s="10">
        <f xml:space="preserve"> CABLES[[#This Row],[SELECTED_PDEVICE]] * INDEX(DEVICE_CURVE[], MATCH(CABLES[[#This Row],[PDEVICE_CURVE]], DEVICE_CURVE[DEVICE_CURVE],0),2)</f>
        <v>520</v>
      </c>
      <c r="JF12" s="10" t="s">
        <v>458</v>
      </c>
      <c r="JG12" s="10">
        <f xml:space="preserve"> INDEX(CONDUCTOR_MATERIAL[], MATCH(CABLES[[#This Row],[CONDUCTOR_MATERIAL]],CONDUCTOR_MATERIAL[CONDUCTOR_MATERIAL],0),2)</f>
        <v>2.2499999999999999E-2</v>
      </c>
      <c r="JH12" s="10">
        <f>CABLES[[#This Row],[SELECTED_CABLESIZE]]</f>
        <v>35</v>
      </c>
      <c r="JI12" s="10">
        <f xml:space="preserve"> INDEX( EARTH_CONDUCTOR_SIZE[], MATCH(CABLES[[#This Row],[SPH]],EARTH_CONDUCTOR_SIZE[MM^2],-1), 2)</f>
        <v>10</v>
      </c>
      <c r="JJ12" s="10">
        <f>(0.8*PHASE_VOLTAGE*CABLES[[#This Row],[SPH]]*CABLES[[#This Row],[SPE]])/(CABLES[[#This Row],[PDEVICE_IA]]*CABLES[[#This Row],[MATERIAL_CONSTANT]]*(CABLES[[#This Row],[SPH]]+CABLES[[#This Row],[SPE]]))</f>
        <v>122.31718898385564</v>
      </c>
      <c r="JK12" s="10" t="str">
        <f>IF(CABLES[[#This Row],[LMAX]]&gt;CABLES[[#This Row],[ESTIMATED_CABLE_LENGTH]], "PASS", "ERROR")</f>
        <v>PASS</v>
      </c>
      <c r="JL1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25.6</v>
      </c>
      <c r="JM1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1.62</v>
      </c>
      <c r="JN12" s="6">
        <f xml:space="preserve"> ROUNDUP( CABLES[[#This Row],[CALCULATED_AMPS]],1)</f>
        <v>72.199999999999989</v>
      </c>
      <c r="JO12" s="6">
        <f>CABLES[[#This Row],[SELECTED_CABLESIZE]]</f>
        <v>35</v>
      </c>
      <c r="JP12" s="10">
        <f>CABLES[[#This Row],[ESTIMATED_CABLE_LENGTH]]</f>
        <v>48</v>
      </c>
      <c r="JQ12" s="6">
        <f>CABLES[[#This Row],[SELECTED_PDEVICE]]</f>
        <v>80</v>
      </c>
    </row>
    <row r="13" spans="1:277" x14ac:dyDescent="0.35">
      <c r="A13" s="5" t="s">
        <v>12</v>
      </c>
      <c r="B13" s="5" t="s">
        <v>482</v>
      </c>
      <c r="C13" s="10" t="s">
        <v>261</v>
      </c>
      <c r="D13" s="9">
        <v>1.5</v>
      </c>
      <c r="E13" s="9">
        <v>1</v>
      </c>
      <c r="F13" s="9">
        <v>1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f xml:space="preserve"> IF(CABLES[[#This Row],[SEG1]] &gt;0, INDEX(SEGMENTS[], MATCH(CABLES[[#Headers],[SEG1]],SEGMENTS[SEG_ID],0),4),0)</f>
        <v>13</v>
      </c>
      <c r="BN13" s="9">
        <f xml:space="preserve"> IF(CABLES[[#This Row],[SEG2]] &gt;0, INDEX(SEGMENTS[], MATCH(CABLES[[#Headers],[SEG2]],SEGMENTS[SEG_ID],0),4),0)</f>
        <v>2</v>
      </c>
      <c r="BO13" s="9">
        <f xml:space="preserve"> IF(CABLES[[#This Row],[SEG3]] &gt;0, INDEX(SEGMENTS[], MATCH(CABLES[[#Headers],[SEG3]],SEGMENTS[SEG_ID],0),4),0)</f>
        <v>16</v>
      </c>
      <c r="BP13" s="9">
        <f xml:space="preserve"> IF(CABLES[[#This Row],[SEG4]] &gt;0, INDEX(SEGMENTS[], MATCH(CABLES[[#Headers],[SEG4]],SEGMENTS[SEG_ID],0),4),0)</f>
        <v>0</v>
      </c>
      <c r="BQ13" s="9">
        <f xml:space="preserve"> IF(CABLES[[#This Row],[SEG5]] &gt;0,INDEX(SEGMENTS[], MATCH(CABLES[[#Headers],[SEG5]],SEGMENTS[SEG_ID],0),4),0)</f>
        <v>0</v>
      </c>
      <c r="BR13" s="9">
        <f xml:space="preserve"> IF(CABLES[[#This Row],[SEG6]] &gt;0,INDEX(SEGMENTS[], MATCH(CABLES[[#Headers],[SEG6]],SEGMENTS[SEG_ID],0),4),0)</f>
        <v>0</v>
      </c>
      <c r="BS13" s="9">
        <f xml:space="preserve"> IF(CABLES[[#This Row],[SEG7]] &gt;0,INDEX(SEGMENTS[], MATCH(CABLES[[#Headers],[SEG7]],SEGMENTS[SEG_ID],0),4),0)</f>
        <v>0</v>
      </c>
      <c r="BT13" s="9">
        <f xml:space="preserve"> IF(CABLES[[#This Row],[SEG8]] &gt;0,INDEX(SEGMENTS[], MATCH(CABLES[[#Headers],[SEG8]],SEGMENTS[SEG_ID],0),4),0)</f>
        <v>0</v>
      </c>
      <c r="BU13" s="9">
        <f xml:space="preserve"> IF(CABLES[[#This Row],[SEG9]] &gt;0,INDEX(SEGMENTS[], MATCH(CABLES[[#Headers],[SEG9]],SEGMENTS[SEG_ID],0),4),0)</f>
        <v>0</v>
      </c>
      <c r="BV13" s="9">
        <f xml:space="preserve"> IF(CABLES[[#This Row],[SEG10]] &gt;0,INDEX(SEGMENTS[], MATCH(CABLES[[#Headers],[SEG10]],SEGMENTS[SEG_ID],0),4),0)</f>
        <v>0</v>
      </c>
      <c r="BW13" s="9">
        <f xml:space="preserve"> IF(CABLES[[#This Row],[SEG11]] &gt;0,INDEX(SEGMENTS[], MATCH(CABLES[[#Headers],[SEG11]],SEGMENTS[SEG_ID],0),4),0)</f>
        <v>0</v>
      </c>
      <c r="BX13" s="9">
        <f>IF(CABLES[[#This Row],[SEG12]] &gt;0, INDEX(SEGMENTS[], MATCH(CABLES[[#Headers],[SEG12]],SEGMENTS[SEG_ID],0),4),0)</f>
        <v>0</v>
      </c>
      <c r="BY13" s="9">
        <f xml:space="preserve"> IF(CABLES[[#This Row],[SEG13]] &gt;0,INDEX(SEGMENTS[], MATCH(CABLES[[#Headers],[SEG13]],SEGMENTS[SEG_ID],0),4),0)</f>
        <v>0</v>
      </c>
      <c r="BZ13" s="9">
        <f xml:space="preserve"> IF(CABLES[[#This Row],[SEG14]] &gt;0,INDEX(SEGMENTS[], MATCH(CABLES[[#Headers],[SEG14]],SEGMENTS[SEG_ID],0),4),0)</f>
        <v>0</v>
      </c>
      <c r="CA13" s="9">
        <f xml:space="preserve"> IF(CABLES[[#This Row],[SEG15]] &gt;0,INDEX(SEGMENTS[], MATCH(CABLES[[#Headers],[SEG15]],SEGMENTS[SEG_ID],0),4),0)</f>
        <v>0</v>
      </c>
      <c r="CB13" s="9">
        <f xml:space="preserve"> IF(CABLES[[#This Row],[SEG16]] &gt;0,INDEX(SEGMENTS[], MATCH(CABLES[[#Headers],[SEG16]],SEGMENTS[SEG_ID],0),4),0)</f>
        <v>0</v>
      </c>
      <c r="CC13" s="9">
        <f xml:space="preserve"> IF(CABLES[[#This Row],[SEG17]] &gt;0,INDEX(SEGMENTS[], MATCH(CABLES[[#Headers],[SEG17]],SEGMENTS[SEG_ID],0),4),0)</f>
        <v>0</v>
      </c>
      <c r="CD13" s="9">
        <f xml:space="preserve"> IF(CABLES[[#This Row],[SEG18]] &gt;0,INDEX(SEGMENTS[], MATCH(CABLES[[#Headers],[SEG18]],SEGMENTS[SEG_ID],0),4),0)</f>
        <v>0</v>
      </c>
      <c r="CE13" s="9">
        <f>IF(CABLES[[#This Row],[SEG19]] &gt;0, INDEX(SEGMENTS[], MATCH(CABLES[[#Headers],[SEG19]],SEGMENTS[SEG_ID],0),4),0)</f>
        <v>0</v>
      </c>
      <c r="CF13" s="9">
        <f>IF(CABLES[[#This Row],[SEG20]] &gt;0, INDEX(SEGMENTS[], MATCH(CABLES[[#Headers],[SEG20]],SEGMENTS[SEG_ID],0),4),0)</f>
        <v>0</v>
      </c>
      <c r="CG13" s="9">
        <f xml:space="preserve"> IF(CABLES[[#This Row],[SEG21]] &gt;0,INDEX(SEGMENTS[], MATCH(CABLES[[#Headers],[SEG21]],SEGMENTS[SEG_ID],0),4),0)</f>
        <v>0</v>
      </c>
      <c r="CH13" s="9">
        <f xml:space="preserve"> IF(CABLES[[#This Row],[SEG22]] &gt;0,INDEX(SEGMENTS[], MATCH(CABLES[[#Headers],[SEG22]],SEGMENTS[SEG_ID],0),4),0)</f>
        <v>0</v>
      </c>
      <c r="CI13" s="9">
        <f>IF(CABLES[[#This Row],[SEG23]] &gt;0, INDEX(SEGMENTS[], MATCH(CABLES[[#Headers],[SEG23]],SEGMENTS[SEG_ID],0),4),0)</f>
        <v>0</v>
      </c>
      <c r="CJ13" s="9">
        <f xml:space="preserve"> IF(CABLES[[#This Row],[SEG24]] &gt;0,INDEX(SEGMENTS[], MATCH(CABLES[[#Headers],[SEG24]],SEGMENTS[SEG_ID],0),4),0)</f>
        <v>0</v>
      </c>
      <c r="CK13" s="9">
        <f>IF(CABLES[[#This Row],[SEG25]] &gt;0, INDEX(SEGMENTS[], MATCH(CABLES[[#Headers],[SEG25]],SEGMENTS[SEG_ID],0),4),0)</f>
        <v>0</v>
      </c>
      <c r="CL13" s="9">
        <f>IF(CABLES[[#This Row],[SEG26]] &gt;0, INDEX(SEGMENTS[], MATCH(CABLES[[#Headers],[SEG26]],SEGMENTS[SEG_ID],0),4),0)</f>
        <v>0</v>
      </c>
      <c r="CM13" s="9">
        <f xml:space="preserve"> IF(CABLES[[#This Row],[SEG27]] &gt;0,INDEX(SEGMENTS[], MATCH(CABLES[[#Headers],[SEG27]],SEGMENTS[SEG_ID],0),4),0)</f>
        <v>0</v>
      </c>
      <c r="CN13" s="9">
        <f xml:space="preserve"> IF(CABLES[[#This Row],[SEG28]] &gt;0,INDEX(SEGMENTS[], MATCH(CABLES[[#Headers],[SEG28]],SEGMENTS[SEG_ID],0),4),0)</f>
        <v>0</v>
      </c>
      <c r="CO13" s="9">
        <f xml:space="preserve"> IF(CABLES[[#This Row],[SEG29]] &gt;0,INDEX(SEGMENTS[], MATCH(CABLES[[#Headers],[SEG29]],SEGMENTS[SEG_ID],0),4),0)</f>
        <v>0</v>
      </c>
      <c r="CP13" s="9">
        <f xml:space="preserve"> IF(CABLES[[#This Row],[SEG30]] &gt;0,INDEX(SEGMENTS[], MATCH(CABLES[[#Headers],[SEG30]],SEGMENTS[SEG_ID],0),4),0)</f>
        <v>0</v>
      </c>
      <c r="CQ13" s="9">
        <f>IF(CABLES[[#This Row],[SEG31]] &gt;0, INDEX(SEGMENTS[], MATCH(CABLES[[#Headers],[SEG31]],SEGMENTS[SEG_ID],0),4),0)</f>
        <v>0</v>
      </c>
      <c r="CR13" s="9">
        <f xml:space="preserve"> IF(CABLES[[#This Row],[SEG32]] &gt;0,INDEX(SEGMENTS[], MATCH(CABLES[[#Headers],[SEG32]],SEGMENTS[SEG_ID],0),4),0)</f>
        <v>0</v>
      </c>
      <c r="CS13" s="9">
        <f xml:space="preserve"> IF(CABLES[[#This Row],[SEG33]] &gt;0,INDEX(SEGMENTS[], MATCH(CABLES[[#Headers],[SEG33]],SEGMENTS[SEG_ID],0),4),0)</f>
        <v>0</v>
      </c>
      <c r="CT13" s="9">
        <f>IF(CABLES[[#This Row],[SEG34]] &gt;0, INDEX(SEGMENTS[], MATCH(CABLES[[#Headers],[SEG34]],SEGMENTS[SEG_ID],0),4),0)</f>
        <v>0</v>
      </c>
      <c r="CU13" s="9">
        <f xml:space="preserve"> IF(CABLES[[#This Row],[SEG35]] &gt;0,INDEX(SEGMENTS[], MATCH(CABLES[[#Headers],[SEG35]],SEGMENTS[SEG_ID],0),4),0)</f>
        <v>0</v>
      </c>
      <c r="CV13" s="9">
        <f xml:space="preserve"> IF(CABLES[[#This Row],[SEG36]] &gt;0,INDEX(SEGMENTS[], MATCH(CABLES[[#Headers],[SEG36]],SEGMENTS[SEG_ID],0),4),0)</f>
        <v>0</v>
      </c>
      <c r="CW13" s="9">
        <f xml:space="preserve"> IF(CABLES[[#This Row],[SEG37]] &gt;0,INDEX(SEGMENTS[], MATCH(CABLES[[#Headers],[SEG37]],SEGMENTS[SEG_ID],0),4),0)</f>
        <v>0</v>
      </c>
      <c r="CX13" s="9">
        <f xml:space="preserve"> IF(CABLES[[#This Row],[SEG38]] &gt;0,INDEX(SEGMENTS[], MATCH(CABLES[[#Headers],[SEG38]],SEGMENTS[SEG_ID],0),4),0)</f>
        <v>0</v>
      </c>
      <c r="CY13" s="9">
        <f xml:space="preserve"> IF(CABLES[[#This Row],[SEG39]] &gt;0,INDEX(SEGMENTS[], MATCH(CABLES[[#Headers],[SEG39]],SEGMENTS[SEG_ID],0),4),0)</f>
        <v>0</v>
      </c>
      <c r="CZ13" s="9">
        <f xml:space="preserve"> IF(CABLES[[#This Row],[SEG40]] &gt;0,INDEX(SEGMENTS[], MATCH(CABLES[[#Headers],[SEG40]],SEGMENTS[SEG_ID],0),4),0)</f>
        <v>0</v>
      </c>
      <c r="DA13" s="9">
        <f xml:space="preserve"> IF(CABLES[[#This Row],[SEG41]] &gt;0,INDEX(SEGMENTS[], MATCH(CABLES[[#Headers],[SEG41]],SEGMENTS[SEG_ID],0),4),0)</f>
        <v>0</v>
      </c>
      <c r="DB13" s="9">
        <f xml:space="preserve"> IF(CABLES[[#This Row],[SEG42]] &gt;0,INDEX(SEGMENTS[], MATCH(CABLES[[#Headers],[SEG42]],SEGMENTS[SEG_ID],0),4),0)</f>
        <v>0</v>
      </c>
      <c r="DC13" s="9">
        <f xml:space="preserve"> IF(CABLES[[#This Row],[SEG43]] &gt;0,INDEX(SEGMENTS[], MATCH(CABLES[[#Headers],[SEG43]],SEGMENTS[SEG_ID],0),4),0)</f>
        <v>0</v>
      </c>
      <c r="DD13" s="9">
        <f xml:space="preserve"> IF(CABLES[[#This Row],[SEG44]] &gt;0,INDEX(SEGMENTS[], MATCH(CABLES[[#Headers],[SEG44]],SEGMENTS[SEG_ID],0),4),0)</f>
        <v>0</v>
      </c>
      <c r="DE13" s="9">
        <f xml:space="preserve"> IF(CABLES[[#This Row],[SEG45]] &gt;0,INDEX(SEGMENTS[], MATCH(CABLES[[#Headers],[SEG45]],SEGMENTS[SEG_ID],0),4),0)</f>
        <v>0</v>
      </c>
      <c r="DF13" s="9">
        <f xml:space="preserve"> IF(CABLES[[#This Row],[SEG46]] &gt;0,INDEX(SEGMENTS[], MATCH(CABLES[[#Headers],[SEG46]],SEGMENTS[SEG_ID],0),4),0)</f>
        <v>0</v>
      </c>
      <c r="DG13" s="9">
        <f xml:space="preserve"> IF(CABLES[[#This Row],[SEG47]] &gt;0,INDEX(SEGMENTS[], MATCH(CABLES[[#Headers],[SEG47]],SEGMENTS[SEG_ID],0),4),0)</f>
        <v>0</v>
      </c>
      <c r="DH13" s="9">
        <f xml:space="preserve"> IF(CABLES[[#This Row],[SEG48]] &gt;0,INDEX(SEGMENTS[], MATCH(CABLES[[#Headers],[SEG48]],SEGMENTS[SEG_ID],0),4),0)</f>
        <v>0</v>
      </c>
      <c r="DI13" s="9">
        <f xml:space="preserve"> IF(CABLES[[#This Row],[SEG49]] &gt;0,INDEX(SEGMENTS[], MATCH(CABLES[[#Headers],[SEG49]],SEGMENTS[SEG_ID],0),4),0)</f>
        <v>0</v>
      </c>
      <c r="DJ13" s="9">
        <f xml:space="preserve"> IF(CABLES[[#This Row],[SEG50]] &gt;0,INDEX(SEGMENTS[], MATCH(CABLES[[#Headers],[SEG50]],SEGMENTS[SEG_ID],0),4),0)</f>
        <v>0</v>
      </c>
      <c r="DK13" s="9">
        <f xml:space="preserve"> IF(CABLES[[#This Row],[SEG51]] &gt;0,INDEX(SEGMENTS[], MATCH(CABLES[[#Headers],[SEG51]],SEGMENTS[SEG_ID],0),4),0)</f>
        <v>0</v>
      </c>
      <c r="DL13" s="9">
        <f xml:space="preserve"> IF(CABLES[[#This Row],[SEG52]] &gt;0,INDEX(SEGMENTS[], MATCH(CABLES[[#Headers],[SEG52]],SEGMENTS[SEG_ID],0),4),0)</f>
        <v>0</v>
      </c>
      <c r="DM13" s="9">
        <f xml:space="preserve"> IF(CABLES[[#This Row],[SEG53]] &gt;0,INDEX(SEGMENTS[], MATCH(CABLES[[#Headers],[SEG53]],SEGMENTS[SEG_ID],0),4),0)</f>
        <v>0</v>
      </c>
      <c r="DN13" s="9">
        <f xml:space="preserve"> IF(CABLES[[#This Row],[SEG54]] &gt;0,INDEX(SEGMENTS[], MATCH(CABLES[[#Headers],[SEG54]],SEGMENTS[SEG_ID],0),4),0)</f>
        <v>0</v>
      </c>
      <c r="DO13" s="9">
        <f xml:space="preserve"> IF(CABLES[[#This Row],[SEG55]] &gt;0,INDEX(SEGMENTS[], MATCH(CABLES[[#Headers],[SEG55]],SEGMENTS[SEG_ID],0),4),0)</f>
        <v>0</v>
      </c>
      <c r="DP13" s="9">
        <f xml:space="preserve"> IF(CABLES[[#This Row],[SEG56]] &gt;0,INDEX(SEGMENTS[], MATCH(CABLES[[#Headers],[SEG56]],SEGMENTS[SEG_ID],0),4),0)</f>
        <v>0</v>
      </c>
      <c r="DQ13" s="9">
        <f xml:space="preserve"> IF(CABLES[[#This Row],[SEG57]] &gt;0,INDEX(SEGMENTS[], MATCH(CABLES[[#Headers],[SEG57]],SEGMENTS[SEG_ID],0),4),0)</f>
        <v>0</v>
      </c>
      <c r="DR13" s="9">
        <f xml:space="preserve"> IF(CABLES[[#This Row],[SEG58]] &gt;0,INDEX(SEGMENTS[], MATCH(CABLES[[#Headers],[SEG58]],SEGMENTS[SEG_ID],0),4),0)</f>
        <v>0</v>
      </c>
      <c r="DS13" s="9">
        <f xml:space="preserve"> IF(CABLES[[#This Row],[SEG59]] &gt;0,INDEX(SEGMENTS[], MATCH(CABLES[[#Headers],[SEG59]],SEGMENTS[SEG_ID],0),4),0)</f>
        <v>0</v>
      </c>
      <c r="DT13" s="9">
        <f xml:space="preserve"> IF(CABLES[[#This Row],[SEG60]] &gt;0,INDEX(SEGMENTS[], MATCH(CABLES[[#Headers],[SEG60]],SEGMENTS[SEG_ID],0),4),0)</f>
        <v>0</v>
      </c>
      <c r="DU13" s="10">
        <f>SUM(CABLES[[#This Row],[SEGL1]:[SEGL60]])</f>
        <v>31</v>
      </c>
      <c r="DV13" s="10">
        <v>5</v>
      </c>
      <c r="DW13" s="10">
        <v>1.2</v>
      </c>
      <c r="DX13" s="10">
        <f xml:space="preserve"> IF(CABLES[[#This Row],[SEGL_TOTAL]]&gt;0, (CABLES[[#This Row],[SEGL_TOTAL]] + CABLES[[#This Row],[FITOFF]]) *CABLES[[#This Row],[XCAPACITY]],0)</f>
        <v>43.199999999999996</v>
      </c>
      <c r="DY13" s="10">
        <f>IF(CABLES[[#This Row],[SEG1]]&gt;0,CABLES[[#This Row],[CABLE_DIAMETER]],0)</f>
        <v>14.5</v>
      </c>
      <c r="DZ13" s="10">
        <f>IF(CABLES[[#This Row],[SEG2]]&gt;0,CABLES[[#This Row],[CABLE_DIAMETER]],0)</f>
        <v>14.5</v>
      </c>
      <c r="EA13" s="10">
        <f>IF(CABLES[[#This Row],[SEG3]]&gt;0,CABLES[[#This Row],[CABLE_DIAMETER]],0)</f>
        <v>14.5</v>
      </c>
      <c r="EB13" s="10">
        <f>IF(CABLES[[#This Row],[SEG4]]&gt;0,CABLES[[#This Row],[CABLE_DIAMETER]],0)</f>
        <v>0</v>
      </c>
      <c r="EC13" s="10">
        <f>IF(CABLES[[#This Row],[SEG5]]&gt;0,CABLES[[#This Row],[CABLE_DIAMETER]],0)</f>
        <v>0</v>
      </c>
      <c r="ED13" s="10">
        <f>IF(CABLES[[#This Row],[SEG6]]&gt;0,CABLES[[#This Row],[CABLE_DIAMETER]],0)</f>
        <v>0</v>
      </c>
      <c r="EE13" s="10">
        <f>IF(CABLES[[#This Row],[SEG7]]&gt;0,CABLES[[#This Row],[CABLE_DIAMETER]],0)</f>
        <v>0</v>
      </c>
      <c r="EF13" s="10">
        <f>IF(CABLES[[#This Row],[SEG9]]&gt;0,CABLES[[#This Row],[CABLE_DIAMETER]],0)</f>
        <v>0</v>
      </c>
      <c r="EG13" s="10">
        <f>IF(CABLES[[#This Row],[SEG9]]&gt;0,CABLES[[#This Row],[CABLE_DIAMETER]],0)</f>
        <v>0</v>
      </c>
      <c r="EH13" s="10">
        <f>IF(CABLES[[#This Row],[SEG10]]&gt;0,CABLES[[#This Row],[CABLE_DIAMETER]],0)</f>
        <v>0</v>
      </c>
      <c r="EI13" s="10">
        <f>IF(CABLES[[#This Row],[SEG11]]&gt;0,CABLES[[#This Row],[CABLE_DIAMETER]],0)</f>
        <v>0</v>
      </c>
      <c r="EJ13" s="10">
        <f>IF(CABLES[[#This Row],[SEG12]]&gt;0,CABLES[[#This Row],[CABLE_DIAMETER]],0)</f>
        <v>0</v>
      </c>
      <c r="EK13" s="10">
        <f>IF(CABLES[[#This Row],[SEG13]]&gt;0,CABLES[[#This Row],[CABLE_DIAMETER]],0)</f>
        <v>0</v>
      </c>
      <c r="EL13" s="10">
        <f>IF(CABLES[[#This Row],[SEG14]]&gt;0,CABLES[[#This Row],[CABLE_DIAMETER]],0)</f>
        <v>0</v>
      </c>
      <c r="EM13" s="10">
        <f>IF(CABLES[[#This Row],[SEG15]]&gt;0,CABLES[[#This Row],[CABLE_DIAMETER]],0)</f>
        <v>0</v>
      </c>
      <c r="EN13" s="10">
        <f>IF(CABLES[[#This Row],[SEG16]]&gt;0,CABLES[[#This Row],[CABLE_DIAMETER]],0)</f>
        <v>0</v>
      </c>
      <c r="EO13" s="10">
        <f>IF(CABLES[[#This Row],[SEG17]]&gt;0,CABLES[[#This Row],[CABLE_DIAMETER]],0)</f>
        <v>0</v>
      </c>
      <c r="EP13" s="10">
        <f>IF(CABLES[[#This Row],[SEG18]]&gt;0,CABLES[[#This Row],[CABLE_DIAMETER]],0)</f>
        <v>0</v>
      </c>
      <c r="EQ13" s="10">
        <f>IF(CABLES[[#This Row],[SEG19]]&gt;0,CABLES[[#This Row],[CABLE_DIAMETER]],0)</f>
        <v>0</v>
      </c>
      <c r="ER13" s="10">
        <f>IF(CABLES[[#This Row],[SEG20]]&gt;0,CABLES[[#This Row],[CABLE_DIAMETER]],0)</f>
        <v>0</v>
      </c>
      <c r="ES13" s="10">
        <f>IF(CABLES[[#This Row],[SEG21]]&gt;0,CABLES[[#This Row],[CABLE_DIAMETER]],0)</f>
        <v>0</v>
      </c>
      <c r="ET13" s="10">
        <f>IF(CABLES[[#This Row],[SEG22]]&gt;0,CABLES[[#This Row],[CABLE_DIAMETER]],0)</f>
        <v>0</v>
      </c>
      <c r="EU13" s="10">
        <f>IF(CABLES[[#This Row],[SEG23]]&gt;0,CABLES[[#This Row],[CABLE_DIAMETER]],0)</f>
        <v>0</v>
      </c>
      <c r="EV13" s="10">
        <f>IF(CABLES[[#This Row],[SEG24]]&gt;0,CABLES[[#This Row],[CABLE_DIAMETER]],0)</f>
        <v>0</v>
      </c>
      <c r="EW13" s="10">
        <f>IF(CABLES[[#This Row],[SEG25]]&gt;0,CABLES[[#This Row],[CABLE_DIAMETER]],0)</f>
        <v>0</v>
      </c>
      <c r="EX13" s="10">
        <f>IF(CABLES[[#This Row],[SEG26]]&gt;0,CABLES[[#This Row],[CABLE_DIAMETER]],0)</f>
        <v>0</v>
      </c>
      <c r="EY13" s="10">
        <f>IF(CABLES[[#This Row],[SEG27]]&gt;0,CABLES[[#This Row],[CABLE_DIAMETER]],0)</f>
        <v>0</v>
      </c>
      <c r="EZ13" s="10">
        <f>IF(CABLES[[#This Row],[SEG28]]&gt;0,CABLES[[#This Row],[CABLE_DIAMETER]],0)</f>
        <v>0</v>
      </c>
      <c r="FA13" s="10">
        <f>IF(CABLES[[#This Row],[SEG29]]&gt;0,CABLES[[#This Row],[CABLE_DIAMETER]],0)</f>
        <v>0</v>
      </c>
      <c r="FB13" s="10">
        <f>IF(CABLES[[#This Row],[SEG30]]&gt;0,CABLES[[#This Row],[CABLE_DIAMETER]],0)</f>
        <v>0</v>
      </c>
      <c r="FC13" s="10">
        <f>IF(CABLES[[#This Row],[SEG31]]&gt;0,CABLES[[#This Row],[CABLE_DIAMETER]],0)</f>
        <v>0</v>
      </c>
      <c r="FD13" s="10">
        <f>IF(CABLES[[#This Row],[SEG32]]&gt;0,CABLES[[#This Row],[CABLE_DIAMETER]],0)</f>
        <v>0</v>
      </c>
      <c r="FE13" s="10">
        <f>IF(CABLES[[#This Row],[SEG33]]&gt;0,CABLES[[#This Row],[CABLE_DIAMETER]],0)</f>
        <v>0</v>
      </c>
      <c r="FF13" s="10">
        <f>IF(CABLES[[#This Row],[SEG34]]&gt;0,CABLES[[#This Row],[CABLE_DIAMETER]],0)</f>
        <v>0</v>
      </c>
      <c r="FG13" s="10">
        <f>IF(CABLES[[#This Row],[SEG35]]&gt;0,CABLES[[#This Row],[CABLE_DIAMETER]],0)</f>
        <v>0</v>
      </c>
      <c r="FH13" s="10">
        <f>IF(CABLES[[#This Row],[SEG36]]&gt;0,CABLES[[#This Row],[CABLE_DIAMETER]],0)</f>
        <v>0</v>
      </c>
      <c r="FI13" s="10">
        <f>IF(CABLES[[#This Row],[SEG37]]&gt;0,CABLES[[#This Row],[CABLE_DIAMETER]],0)</f>
        <v>0</v>
      </c>
      <c r="FJ13" s="10">
        <f>IF(CABLES[[#This Row],[SEG38]]&gt;0,CABLES[[#This Row],[CABLE_DIAMETER]],0)</f>
        <v>0</v>
      </c>
      <c r="FK13" s="10">
        <f>IF(CABLES[[#This Row],[SEG39]]&gt;0,CABLES[[#This Row],[CABLE_DIAMETER]],0)</f>
        <v>0</v>
      </c>
      <c r="FL13" s="10">
        <f>IF(CABLES[[#This Row],[SEG40]]&gt;0,CABLES[[#This Row],[CABLE_DIAMETER]],0)</f>
        <v>0</v>
      </c>
      <c r="FM13" s="10">
        <f>IF(CABLES[[#This Row],[SEG41]]&gt;0,CABLES[[#This Row],[CABLE_DIAMETER]],0)</f>
        <v>0</v>
      </c>
      <c r="FN13" s="10">
        <f>IF(CABLES[[#This Row],[SEG42]]&gt;0,CABLES[[#This Row],[CABLE_DIAMETER]],0)</f>
        <v>0</v>
      </c>
      <c r="FO13" s="10">
        <f>IF(CABLES[[#This Row],[SEG43]]&gt;0,CABLES[[#This Row],[CABLE_DIAMETER]],0)</f>
        <v>0</v>
      </c>
      <c r="FP13" s="10">
        <f>IF(CABLES[[#This Row],[SEG44]]&gt;0,CABLES[[#This Row],[CABLE_DIAMETER]],0)</f>
        <v>0</v>
      </c>
      <c r="FQ13" s="10">
        <f>IF(CABLES[[#This Row],[SEG45]]&gt;0,CABLES[[#This Row],[CABLE_DIAMETER]],0)</f>
        <v>0</v>
      </c>
      <c r="FR13" s="10">
        <f>IF(CABLES[[#This Row],[SEG46]]&gt;0,CABLES[[#This Row],[CABLE_DIAMETER]],0)</f>
        <v>0</v>
      </c>
      <c r="FS13" s="10">
        <f>IF(CABLES[[#This Row],[SEG47]]&gt;0,CABLES[[#This Row],[CABLE_DIAMETER]],0)</f>
        <v>0</v>
      </c>
      <c r="FT13" s="10">
        <f>IF(CABLES[[#This Row],[SEG48]]&gt;0,CABLES[[#This Row],[CABLE_DIAMETER]],0)</f>
        <v>0</v>
      </c>
      <c r="FU13" s="10">
        <f>IF(CABLES[[#This Row],[SEG49]]&gt;0,CABLES[[#This Row],[CABLE_DIAMETER]],0)</f>
        <v>0</v>
      </c>
      <c r="FV13" s="10">
        <f>IF(CABLES[[#This Row],[SEG50]]&gt;0,CABLES[[#This Row],[CABLE_DIAMETER]],0)</f>
        <v>0</v>
      </c>
      <c r="FW13" s="10">
        <f>IF(CABLES[[#This Row],[SEG51]]&gt;0,CABLES[[#This Row],[CABLE_DIAMETER]],0)</f>
        <v>0</v>
      </c>
      <c r="FX13" s="10">
        <f>IF(CABLES[[#This Row],[SEG52]]&gt;0,CABLES[[#This Row],[CABLE_DIAMETER]],0)</f>
        <v>0</v>
      </c>
      <c r="FY13" s="10">
        <f>IF(CABLES[[#This Row],[SEG53]]&gt;0,CABLES[[#This Row],[CABLE_DIAMETER]],0)</f>
        <v>0</v>
      </c>
      <c r="FZ13" s="10">
        <f>IF(CABLES[[#This Row],[SEG54]]&gt;0,CABLES[[#This Row],[CABLE_DIAMETER]],0)</f>
        <v>0</v>
      </c>
      <c r="GA13" s="10">
        <f>IF(CABLES[[#This Row],[SEG55]]&gt;0,CABLES[[#This Row],[CABLE_DIAMETER]],0)</f>
        <v>0</v>
      </c>
      <c r="GB13" s="10">
        <f>IF(CABLES[[#This Row],[SEG56]]&gt;0,CABLES[[#This Row],[CABLE_DIAMETER]],0)</f>
        <v>0</v>
      </c>
      <c r="GC13" s="10">
        <f>IF(CABLES[[#This Row],[SEG57]]&gt;0,CABLES[[#This Row],[CABLE_DIAMETER]],0)</f>
        <v>0</v>
      </c>
      <c r="GD13" s="10">
        <f>IF(CABLES[[#This Row],[SEG58]]&gt;0,CABLES[[#This Row],[CABLE_DIAMETER]],0)</f>
        <v>0</v>
      </c>
      <c r="GE13" s="10">
        <f>IF(CABLES[[#This Row],[SEG59]]&gt;0,CABLES[[#This Row],[CABLE_DIAMETER]],0)</f>
        <v>0</v>
      </c>
      <c r="GF13" s="10">
        <f>IF(CABLES[[#This Row],[SEG60]]&gt;0,CABLES[[#This Row],[CABLE_DIAMETER]],0)</f>
        <v>0</v>
      </c>
      <c r="GG13" s="10">
        <f>IF(CABLES[[#This Row],[SEG1]]&gt;0,CABLES[[#This Row],[CABLE_MASS]],0)</f>
        <v>0.33</v>
      </c>
      <c r="GH13" s="10">
        <f>IF(CABLES[[#This Row],[SEG2]]&gt;0,CABLES[[#This Row],[CABLE_MASS]],0)</f>
        <v>0.33</v>
      </c>
      <c r="GI13" s="10">
        <f>IF(CABLES[[#This Row],[SEG3]]&gt;0,CABLES[[#This Row],[CABLE_MASS]],0)</f>
        <v>0.33</v>
      </c>
      <c r="GJ13" s="10">
        <f>IF(CABLES[[#This Row],[SEG4]]&gt;0,CABLES[[#This Row],[CABLE_MASS]],0)</f>
        <v>0</v>
      </c>
      <c r="GK13" s="10">
        <f>IF(CABLES[[#This Row],[SEG5]]&gt;0,CABLES[[#This Row],[CABLE_MASS]],0)</f>
        <v>0</v>
      </c>
      <c r="GL13" s="10">
        <f>IF(CABLES[[#This Row],[SEG6]]&gt;0,CABLES[[#This Row],[CABLE_MASS]],0)</f>
        <v>0</v>
      </c>
      <c r="GM13" s="10">
        <f>IF(CABLES[[#This Row],[SEG7]]&gt;0,CABLES[[#This Row],[CABLE_MASS]],0)</f>
        <v>0</v>
      </c>
      <c r="GN13" s="10">
        <f>IF(CABLES[[#This Row],[SEG8]]&gt;0,CABLES[[#This Row],[CABLE_MASS]],0)</f>
        <v>0</v>
      </c>
      <c r="GO13" s="10">
        <f>IF(CABLES[[#This Row],[SEG9]]&gt;0,CABLES[[#This Row],[CABLE_MASS]],0)</f>
        <v>0</v>
      </c>
      <c r="GP13" s="10">
        <f>IF(CABLES[[#This Row],[SEG10]]&gt;0,CABLES[[#This Row],[CABLE_MASS]],0)</f>
        <v>0</v>
      </c>
      <c r="GQ13" s="10">
        <f>IF(CABLES[[#This Row],[SEG11]]&gt;0,CABLES[[#This Row],[CABLE_MASS]],0)</f>
        <v>0</v>
      </c>
      <c r="GR13" s="10">
        <f>IF(CABLES[[#This Row],[SEG12]]&gt;0,CABLES[[#This Row],[CABLE_MASS]],0)</f>
        <v>0</v>
      </c>
      <c r="GS13" s="10">
        <f>IF(CABLES[[#This Row],[SEG13]]&gt;0,CABLES[[#This Row],[CABLE_MASS]],0)</f>
        <v>0</v>
      </c>
      <c r="GT13" s="10">
        <f>IF(CABLES[[#This Row],[SEG14]]&gt;0,CABLES[[#This Row],[CABLE_MASS]],0)</f>
        <v>0</v>
      </c>
      <c r="GU13" s="10">
        <f>IF(CABLES[[#This Row],[SEG15]]&gt;0,CABLES[[#This Row],[CABLE_MASS]],0)</f>
        <v>0</v>
      </c>
      <c r="GV13" s="10">
        <f>IF(CABLES[[#This Row],[SEG16]]&gt;0,CABLES[[#This Row],[CABLE_MASS]],0)</f>
        <v>0</v>
      </c>
      <c r="GW13" s="10">
        <f>IF(CABLES[[#This Row],[SEG17]]&gt;0,CABLES[[#This Row],[CABLE_MASS]],0)</f>
        <v>0</v>
      </c>
      <c r="GX13" s="10">
        <f>IF(CABLES[[#This Row],[SEG18]]&gt;0,CABLES[[#This Row],[CABLE_MASS]],0)</f>
        <v>0</v>
      </c>
      <c r="GY13" s="10">
        <f>IF(CABLES[[#This Row],[SEG19]]&gt;0,CABLES[[#This Row],[CABLE_MASS]],0)</f>
        <v>0</v>
      </c>
      <c r="GZ13" s="10">
        <f>IF(CABLES[[#This Row],[SEG20]]&gt;0,CABLES[[#This Row],[CABLE_MASS]],0)</f>
        <v>0</v>
      </c>
      <c r="HA13" s="10">
        <f>IF(CABLES[[#This Row],[SEG21]]&gt;0,CABLES[[#This Row],[CABLE_MASS]],0)</f>
        <v>0</v>
      </c>
      <c r="HB13" s="10">
        <f>IF(CABLES[[#This Row],[SEG22]]&gt;0,CABLES[[#This Row],[CABLE_MASS]],0)</f>
        <v>0</v>
      </c>
      <c r="HC13" s="10">
        <f>IF(CABLES[[#This Row],[SEG23]]&gt;0,CABLES[[#This Row],[CABLE_MASS]],0)</f>
        <v>0</v>
      </c>
      <c r="HD13" s="10">
        <f>IF(CABLES[[#This Row],[SEG24]]&gt;0,CABLES[[#This Row],[CABLE_MASS]],0)</f>
        <v>0</v>
      </c>
      <c r="HE13" s="10">
        <f>IF(CABLES[[#This Row],[SEG25]]&gt;0,CABLES[[#This Row],[CABLE_MASS]],0)</f>
        <v>0</v>
      </c>
      <c r="HF13" s="10">
        <f>IF(CABLES[[#This Row],[SEG26]]&gt;0,CABLES[[#This Row],[CABLE_MASS]],0)</f>
        <v>0</v>
      </c>
      <c r="HG13" s="10">
        <f>IF(CABLES[[#This Row],[SEG27]]&gt;0,CABLES[[#This Row],[CABLE_MASS]],0)</f>
        <v>0</v>
      </c>
      <c r="HH13" s="10">
        <f>IF(CABLES[[#This Row],[SEG28]]&gt;0,CABLES[[#This Row],[CABLE_MASS]],0)</f>
        <v>0</v>
      </c>
      <c r="HI13" s="10">
        <f>IF(CABLES[[#This Row],[SEG29]]&gt;0,CABLES[[#This Row],[CABLE_MASS]],0)</f>
        <v>0</v>
      </c>
      <c r="HJ13" s="10">
        <f>IF(CABLES[[#This Row],[SEG30]]&gt;0,CABLES[[#This Row],[CABLE_MASS]],0)</f>
        <v>0</v>
      </c>
      <c r="HK13" s="10">
        <f>IF(CABLES[[#This Row],[SEG31]]&gt;0,CABLES[[#This Row],[CABLE_MASS]],0)</f>
        <v>0</v>
      </c>
      <c r="HL13" s="10">
        <f>IF(CABLES[[#This Row],[SEG32]]&gt;0,CABLES[[#This Row],[CABLE_MASS]],0)</f>
        <v>0</v>
      </c>
      <c r="HM13" s="10">
        <f>IF(CABLES[[#This Row],[SEG33]]&gt;0,CABLES[[#This Row],[CABLE_MASS]],0)</f>
        <v>0</v>
      </c>
      <c r="HN13" s="10">
        <f>IF(CABLES[[#This Row],[SEG34]]&gt;0,CABLES[[#This Row],[CABLE_MASS]],0)</f>
        <v>0</v>
      </c>
      <c r="HO13" s="10">
        <f>IF(CABLES[[#This Row],[SEG35]]&gt;0,CABLES[[#This Row],[CABLE_MASS]],0)</f>
        <v>0</v>
      </c>
      <c r="HP13" s="10">
        <f>IF(CABLES[[#This Row],[SEG36]]&gt;0,CABLES[[#This Row],[CABLE_MASS]],0)</f>
        <v>0</v>
      </c>
      <c r="HQ13" s="10">
        <f>IF(CABLES[[#This Row],[SEG37]]&gt;0,CABLES[[#This Row],[CABLE_MASS]],0)</f>
        <v>0</v>
      </c>
      <c r="HR13" s="10">
        <f>IF(CABLES[[#This Row],[SEG38]]&gt;0,CABLES[[#This Row],[CABLE_MASS]],0)</f>
        <v>0</v>
      </c>
      <c r="HS13" s="10">
        <f>IF(CABLES[[#This Row],[SEG39]]&gt;0,CABLES[[#This Row],[CABLE_MASS]],0)</f>
        <v>0</v>
      </c>
      <c r="HT13" s="10">
        <f>IF(CABLES[[#This Row],[SEG40]]&gt;0,CABLES[[#This Row],[CABLE_MASS]],0)</f>
        <v>0</v>
      </c>
      <c r="HU13" s="10">
        <f>IF(CABLES[[#This Row],[SEG41]]&gt;0,CABLES[[#This Row],[CABLE_MASS]],0)</f>
        <v>0</v>
      </c>
      <c r="HV13" s="10">
        <f>IF(CABLES[[#This Row],[SEG42]]&gt;0,CABLES[[#This Row],[CABLE_MASS]],0)</f>
        <v>0</v>
      </c>
      <c r="HW13" s="10">
        <f>IF(CABLES[[#This Row],[SEG43]]&gt;0,CABLES[[#This Row],[CABLE_MASS]],0)</f>
        <v>0</v>
      </c>
      <c r="HX13" s="10">
        <f>IF(CABLES[[#This Row],[SEG44]]&gt;0,CABLES[[#This Row],[CABLE_MASS]],0)</f>
        <v>0</v>
      </c>
      <c r="HY13" s="10">
        <f>IF(CABLES[[#This Row],[SEG45]]&gt;0,CABLES[[#This Row],[CABLE_MASS]],0)</f>
        <v>0</v>
      </c>
      <c r="HZ13" s="10">
        <f>IF(CABLES[[#This Row],[SEG46]]&gt;0,CABLES[[#This Row],[CABLE_MASS]],0)</f>
        <v>0</v>
      </c>
      <c r="IA13" s="10">
        <f>IF(CABLES[[#This Row],[SEG47]]&gt;0,CABLES[[#This Row],[CABLE_MASS]],0)</f>
        <v>0</v>
      </c>
      <c r="IB13" s="10">
        <f>IF(CABLES[[#This Row],[SEG48]]&gt;0,CABLES[[#This Row],[CABLE_MASS]],0)</f>
        <v>0</v>
      </c>
      <c r="IC13" s="10">
        <f>IF(CABLES[[#This Row],[SEG49]]&gt;0,CABLES[[#This Row],[CABLE_MASS]],0)</f>
        <v>0</v>
      </c>
      <c r="ID13" s="10">
        <f>IF(CABLES[[#This Row],[SEG50]]&gt;0,CABLES[[#This Row],[CABLE_MASS]],0)</f>
        <v>0</v>
      </c>
      <c r="IE13" s="10">
        <f>IF(CABLES[[#This Row],[SEG51]]&gt;0,CABLES[[#This Row],[CABLE_MASS]],0)</f>
        <v>0</v>
      </c>
      <c r="IF13" s="10">
        <f>IF(CABLES[[#This Row],[SEG52]]&gt;0,CABLES[[#This Row],[CABLE_MASS]],0)</f>
        <v>0</v>
      </c>
      <c r="IG13" s="10">
        <f>IF(CABLES[[#This Row],[SEG53]]&gt;0,CABLES[[#This Row],[CABLE_MASS]],0)</f>
        <v>0</v>
      </c>
      <c r="IH13" s="10">
        <f>IF(CABLES[[#This Row],[SEG54]]&gt;0,CABLES[[#This Row],[CABLE_MASS]],0)</f>
        <v>0</v>
      </c>
      <c r="II13" s="10">
        <f>IF(CABLES[[#This Row],[SEG55]]&gt;0,CABLES[[#This Row],[CABLE_MASS]],0)</f>
        <v>0</v>
      </c>
      <c r="IJ13" s="10">
        <f>IF(CABLES[[#This Row],[SEG56]]&gt;0,CABLES[[#This Row],[CABLE_MASS]],0)</f>
        <v>0</v>
      </c>
      <c r="IK13" s="10">
        <f>IF(CABLES[[#This Row],[SEG57]]&gt;0,CABLES[[#This Row],[CABLE_MASS]],0)</f>
        <v>0</v>
      </c>
      <c r="IL13" s="10">
        <f>IF(CABLES[[#This Row],[SEG58]]&gt;0,CABLES[[#This Row],[CABLE_MASS]],0)</f>
        <v>0</v>
      </c>
      <c r="IM13" s="10">
        <f>IF(CABLES[[#This Row],[SEG59]]&gt;0,CABLES[[#This Row],[CABLE_MASS]],0)</f>
        <v>0</v>
      </c>
      <c r="IN13" s="10">
        <f>IF(CABLES[[#This Row],[SEG60]]&gt;0,CABLES[[#This Row],[CABLE_MASS]],0)</f>
        <v>0</v>
      </c>
      <c r="IO13" s="10">
        <f xml:space="preserve">  (CABLES[[#This Row],[LOAD_KW]]/(SQRT(3)*SYSTEM_VOLTAGE*POWER_FACTOR))*1000</f>
        <v>2.4056261216234405</v>
      </c>
      <c r="IP13" s="10">
        <v>45</v>
      </c>
      <c r="IQ13" s="10">
        <f xml:space="preserve"> INDEX(AS3000_AMBIENTDERATE[], MATCH(CABLES[[#This Row],[AMBIENT]],AS3000_AMBIENTDERATE[AMBIENT],0), 2)</f>
        <v>0.94</v>
      </c>
      <c r="IR13" s="10">
        <f xml:space="preserve"> ROUNDUP( CABLES[[#This Row],[CALCULATED_AMPS]]/CABLES[[#This Row],[AMBIENT_DERATING]],1)</f>
        <v>2.6</v>
      </c>
      <c r="IS13" s="10" t="s">
        <v>531</v>
      </c>
      <c r="IT1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13" s="10">
        <f t="shared" si="0"/>
        <v>28.000000000000004</v>
      </c>
      <c r="IV13" s="10">
        <f>(1000*CABLES[[#This Row],[MAX_VDROP]])/(CABLES[[#This Row],[ESTIMATED_CABLE_LENGTH]]*CABLES[[#This Row],[AMP_RATING]])</f>
        <v>249.28774928774934</v>
      </c>
      <c r="IW13" s="10">
        <f xml:space="preserve"> INDEX(AS3000_VDROP[], MATCH(CABLES[[#This Row],[VC_CALC]],AS3000_VDROP[Vc],1),1)</f>
        <v>2.5</v>
      </c>
      <c r="IX13" s="10">
        <f>MAX(CABLES[[#This Row],[CABLESIZE_METHOD1]],CABLES[[#This Row],[CABLESIZE_METHOD2]])</f>
        <v>2.5</v>
      </c>
      <c r="IY13" s="10"/>
      <c r="IZ13" s="10">
        <f>IF(LEN(CABLES[[#This Row],[OVERRIDE_CABLESIZE]])&gt;0,CABLES[[#This Row],[OVERRIDE_CABLESIZE]],CABLES[[#This Row],[INITIAL_CABLESIZE]])</f>
        <v>2.5</v>
      </c>
      <c r="JA13" s="10">
        <f>INDEX(PROTECTIVE_DEVICE[DEVICE], MATCH(CABLES[[#This Row],[CALCULATED_AMPS]],PROTECTIVE_DEVICE[DEVICE],-1),1)</f>
        <v>6</v>
      </c>
      <c r="JB13" s="10"/>
      <c r="JC13" s="10">
        <f>IF(LEN(CABLES[[#This Row],[OVERRIDE_PDEVICE]])&gt;0, CABLES[[#This Row],[OVERRIDE_PDEVICE]],CABLES[[#This Row],[RECOMMEND_PDEVICE]])</f>
        <v>6</v>
      </c>
      <c r="JD13" s="10" t="s">
        <v>450</v>
      </c>
      <c r="JE13" s="10">
        <f xml:space="preserve"> CABLES[[#This Row],[SELECTED_PDEVICE]] * INDEX(DEVICE_CURVE[], MATCH(CABLES[[#This Row],[PDEVICE_CURVE]], DEVICE_CURVE[DEVICE_CURVE],0),2)</f>
        <v>39</v>
      </c>
      <c r="JF13" s="10" t="s">
        <v>458</v>
      </c>
      <c r="JG13" s="10">
        <f xml:space="preserve"> INDEX(CONDUCTOR_MATERIAL[], MATCH(CABLES[[#This Row],[CONDUCTOR_MATERIAL]],CONDUCTOR_MATERIAL[CONDUCTOR_MATERIAL],0),2)</f>
        <v>2.2499999999999999E-2</v>
      </c>
      <c r="JH13" s="10">
        <f>CABLES[[#This Row],[SELECTED_CABLESIZE]]</f>
        <v>2.5</v>
      </c>
      <c r="JI13" s="10">
        <f xml:space="preserve"> INDEX( EARTH_CONDUCTOR_SIZE[], MATCH(CABLES[[#This Row],[SPH]],EARTH_CONDUCTOR_SIZE[MM^2],-1), 2)</f>
        <v>2.5</v>
      </c>
      <c r="JJ13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13" s="10" t="str">
        <f>IF(CABLES[[#This Row],[LMAX]]&gt;CABLES[[#This Row],[ESTIMATED_CABLE_LENGTH]], "PASS", "ERROR")</f>
        <v>PASS</v>
      </c>
      <c r="JL1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1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13" s="6">
        <f xml:space="preserve"> ROUNDUP( CABLES[[#This Row],[CALCULATED_AMPS]],1)</f>
        <v>2.5</v>
      </c>
      <c r="JO13" s="6">
        <f>CABLES[[#This Row],[SELECTED_CABLESIZE]]</f>
        <v>2.5</v>
      </c>
      <c r="JP13" s="10">
        <f>CABLES[[#This Row],[ESTIMATED_CABLE_LENGTH]]</f>
        <v>43.199999999999996</v>
      </c>
      <c r="JQ13" s="6">
        <f>CABLES[[#This Row],[SELECTED_PDEVICE]]</f>
        <v>6</v>
      </c>
    </row>
    <row r="14" spans="1:277" x14ac:dyDescent="0.35">
      <c r="A14" s="5" t="s">
        <v>13</v>
      </c>
      <c r="B14" s="5" t="s">
        <v>483</v>
      </c>
      <c r="C14" s="10" t="s">
        <v>262</v>
      </c>
      <c r="D14" s="9">
        <v>11</v>
      </c>
      <c r="E14" s="9">
        <v>1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f xml:space="preserve"> IF(CABLES[[#This Row],[SEG1]] &gt;0, INDEX(SEGMENTS[], MATCH(CABLES[[#Headers],[SEG1]],SEGMENTS[SEG_ID],0),4),0)</f>
        <v>13</v>
      </c>
      <c r="BN14" s="9">
        <f xml:space="preserve"> IF(CABLES[[#This Row],[SEG2]] &gt;0, INDEX(SEGMENTS[], MATCH(CABLES[[#Headers],[SEG2]],SEGMENTS[SEG_ID],0),4),0)</f>
        <v>2</v>
      </c>
      <c r="BO14" s="9">
        <f xml:space="preserve"> IF(CABLES[[#This Row],[SEG3]] &gt;0, INDEX(SEGMENTS[], MATCH(CABLES[[#Headers],[SEG3]],SEGMENTS[SEG_ID],0),4),0)</f>
        <v>0</v>
      </c>
      <c r="BP14" s="9">
        <f xml:space="preserve"> IF(CABLES[[#This Row],[SEG4]] &gt;0, INDEX(SEGMENTS[], MATCH(CABLES[[#Headers],[SEG4]],SEGMENTS[SEG_ID],0),4),0)</f>
        <v>0</v>
      </c>
      <c r="BQ14" s="9">
        <f xml:space="preserve"> IF(CABLES[[#This Row],[SEG5]] &gt;0,INDEX(SEGMENTS[], MATCH(CABLES[[#Headers],[SEG5]],SEGMENTS[SEG_ID],0),4),0)</f>
        <v>0</v>
      </c>
      <c r="BR14" s="9">
        <f xml:space="preserve"> IF(CABLES[[#This Row],[SEG6]] &gt;0,INDEX(SEGMENTS[], MATCH(CABLES[[#Headers],[SEG6]],SEGMENTS[SEG_ID],0),4),0)</f>
        <v>0</v>
      </c>
      <c r="BS14" s="9">
        <f xml:space="preserve"> IF(CABLES[[#This Row],[SEG7]] &gt;0,INDEX(SEGMENTS[], MATCH(CABLES[[#Headers],[SEG7]],SEGMENTS[SEG_ID],0),4),0)</f>
        <v>0</v>
      </c>
      <c r="BT14" s="9">
        <f xml:space="preserve"> IF(CABLES[[#This Row],[SEG8]] &gt;0,INDEX(SEGMENTS[], MATCH(CABLES[[#Headers],[SEG8]],SEGMENTS[SEG_ID],0),4),0)</f>
        <v>0</v>
      </c>
      <c r="BU14" s="9">
        <f xml:space="preserve"> IF(CABLES[[#This Row],[SEG9]] &gt;0,INDEX(SEGMENTS[], MATCH(CABLES[[#Headers],[SEG9]],SEGMENTS[SEG_ID],0),4),0)</f>
        <v>0</v>
      </c>
      <c r="BV14" s="9">
        <f xml:space="preserve"> IF(CABLES[[#This Row],[SEG10]] &gt;0,INDEX(SEGMENTS[], MATCH(CABLES[[#Headers],[SEG10]],SEGMENTS[SEG_ID],0),4),0)</f>
        <v>0</v>
      </c>
      <c r="BW14" s="9">
        <f xml:space="preserve"> IF(CABLES[[#This Row],[SEG11]] &gt;0,INDEX(SEGMENTS[], MATCH(CABLES[[#Headers],[SEG11]],SEGMENTS[SEG_ID],0),4),0)</f>
        <v>0</v>
      </c>
      <c r="BX14" s="9">
        <f>IF(CABLES[[#This Row],[SEG12]] &gt;0, INDEX(SEGMENTS[], MATCH(CABLES[[#Headers],[SEG12]],SEGMENTS[SEG_ID],0),4),0)</f>
        <v>0</v>
      </c>
      <c r="BY14" s="9">
        <f xml:space="preserve"> IF(CABLES[[#This Row],[SEG13]] &gt;0,INDEX(SEGMENTS[], MATCH(CABLES[[#Headers],[SEG13]],SEGMENTS[SEG_ID],0),4),0)</f>
        <v>0</v>
      </c>
      <c r="BZ14" s="9">
        <f xml:space="preserve"> IF(CABLES[[#This Row],[SEG14]] &gt;0,INDEX(SEGMENTS[], MATCH(CABLES[[#Headers],[SEG14]],SEGMENTS[SEG_ID],0),4),0)</f>
        <v>0</v>
      </c>
      <c r="CA14" s="9">
        <f xml:space="preserve"> IF(CABLES[[#This Row],[SEG15]] &gt;0,INDEX(SEGMENTS[], MATCH(CABLES[[#Headers],[SEG15]],SEGMENTS[SEG_ID],0),4),0)</f>
        <v>0</v>
      </c>
      <c r="CB14" s="9">
        <f xml:space="preserve"> IF(CABLES[[#This Row],[SEG16]] &gt;0,INDEX(SEGMENTS[], MATCH(CABLES[[#Headers],[SEG16]],SEGMENTS[SEG_ID],0),4),0)</f>
        <v>0</v>
      </c>
      <c r="CC14" s="9">
        <f xml:space="preserve"> IF(CABLES[[#This Row],[SEG17]] &gt;0,INDEX(SEGMENTS[], MATCH(CABLES[[#Headers],[SEG17]],SEGMENTS[SEG_ID],0),4),0)</f>
        <v>0</v>
      </c>
      <c r="CD14" s="9">
        <f xml:space="preserve"> IF(CABLES[[#This Row],[SEG18]] &gt;0,INDEX(SEGMENTS[], MATCH(CABLES[[#Headers],[SEG18]],SEGMENTS[SEG_ID],0),4),0)</f>
        <v>0</v>
      </c>
      <c r="CE14" s="9">
        <f>IF(CABLES[[#This Row],[SEG19]] &gt;0, INDEX(SEGMENTS[], MATCH(CABLES[[#Headers],[SEG19]],SEGMENTS[SEG_ID],0),4),0)</f>
        <v>0</v>
      </c>
      <c r="CF14" s="9">
        <f>IF(CABLES[[#This Row],[SEG20]] &gt;0, INDEX(SEGMENTS[], MATCH(CABLES[[#Headers],[SEG20]],SEGMENTS[SEG_ID],0),4),0)</f>
        <v>0</v>
      </c>
      <c r="CG14" s="9">
        <f xml:space="preserve"> IF(CABLES[[#This Row],[SEG21]] &gt;0,INDEX(SEGMENTS[], MATCH(CABLES[[#Headers],[SEG21]],SEGMENTS[SEG_ID],0),4),0)</f>
        <v>4</v>
      </c>
      <c r="CH14" s="9">
        <f xml:space="preserve"> IF(CABLES[[#This Row],[SEG22]] &gt;0,INDEX(SEGMENTS[], MATCH(CABLES[[#Headers],[SEG22]],SEGMENTS[SEG_ID],0),4),0)</f>
        <v>16</v>
      </c>
      <c r="CI14" s="9">
        <f>IF(CABLES[[#This Row],[SEG23]] &gt;0, INDEX(SEGMENTS[], MATCH(CABLES[[#Headers],[SEG23]],SEGMENTS[SEG_ID],0),4),0)</f>
        <v>0</v>
      </c>
      <c r="CJ14" s="9">
        <f xml:space="preserve"> IF(CABLES[[#This Row],[SEG24]] &gt;0,INDEX(SEGMENTS[], MATCH(CABLES[[#Headers],[SEG24]],SEGMENTS[SEG_ID],0),4),0)</f>
        <v>0</v>
      </c>
      <c r="CK14" s="9">
        <f>IF(CABLES[[#This Row],[SEG25]] &gt;0, INDEX(SEGMENTS[], MATCH(CABLES[[#Headers],[SEG25]],SEGMENTS[SEG_ID],0),4),0)</f>
        <v>0</v>
      </c>
      <c r="CL14" s="9">
        <f>IF(CABLES[[#This Row],[SEG26]] &gt;0, INDEX(SEGMENTS[], MATCH(CABLES[[#Headers],[SEG26]],SEGMENTS[SEG_ID],0),4),0)</f>
        <v>0</v>
      </c>
      <c r="CM14" s="9">
        <f xml:space="preserve"> IF(CABLES[[#This Row],[SEG27]] &gt;0,INDEX(SEGMENTS[], MATCH(CABLES[[#Headers],[SEG27]],SEGMENTS[SEG_ID],0),4),0)</f>
        <v>0</v>
      </c>
      <c r="CN14" s="9">
        <f xml:space="preserve"> IF(CABLES[[#This Row],[SEG28]] &gt;0,INDEX(SEGMENTS[], MATCH(CABLES[[#Headers],[SEG28]],SEGMENTS[SEG_ID],0),4),0)</f>
        <v>0</v>
      </c>
      <c r="CO14" s="9">
        <f xml:space="preserve"> IF(CABLES[[#This Row],[SEG29]] &gt;0,INDEX(SEGMENTS[], MATCH(CABLES[[#Headers],[SEG29]],SEGMENTS[SEG_ID],0),4),0)</f>
        <v>0</v>
      </c>
      <c r="CP14" s="9">
        <f xml:space="preserve"> IF(CABLES[[#This Row],[SEG30]] &gt;0,INDEX(SEGMENTS[], MATCH(CABLES[[#Headers],[SEG30]],SEGMENTS[SEG_ID],0),4),0)</f>
        <v>0</v>
      </c>
      <c r="CQ14" s="9">
        <f>IF(CABLES[[#This Row],[SEG31]] &gt;0, INDEX(SEGMENTS[], MATCH(CABLES[[#Headers],[SEG31]],SEGMENTS[SEG_ID],0),4),0)</f>
        <v>0</v>
      </c>
      <c r="CR14" s="9">
        <f xml:space="preserve"> IF(CABLES[[#This Row],[SEG32]] &gt;0,INDEX(SEGMENTS[], MATCH(CABLES[[#Headers],[SEG32]],SEGMENTS[SEG_ID],0),4),0)</f>
        <v>0</v>
      </c>
      <c r="CS14" s="9">
        <f xml:space="preserve"> IF(CABLES[[#This Row],[SEG33]] &gt;0,INDEX(SEGMENTS[], MATCH(CABLES[[#Headers],[SEG33]],SEGMENTS[SEG_ID],0),4),0)</f>
        <v>0</v>
      </c>
      <c r="CT14" s="9">
        <f>IF(CABLES[[#This Row],[SEG34]] &gt;0, INDEX(SEGMENTS[], MATCH(CABLES[[#Headers],[SEG34]],SEGMENTS[SEG_ID],0),4),0)</f>
        <v>0</v>
      </c>
      <c r="CU14" s="9">
        <f xml:space="preserve"> IF(CABLES[[#This Row],[SEG35]] &gt;0,INDEX(SEGMENTS[], MATCH(CABLES[[#Headers],[SEG35]],SEGMENTS[SEG_ID],0),4),0)</f>
        <v>0</v>
      </c>
      <c r="CV14" s="9">
        <f xml:space="preserve"> IF(CABLES[[#This Row],[SEG36]] &gt;0,INDEX(SEGMENTS[], MATCH(CABLES[[#Headers],[SEG36]],SEGMENTS[SEG_ID],0),4),0)</f>
        <v>0</v>
      </c>
      <c r="CW14" s="9">
        <f xml:space="preserve"> IF(CABLES[[#This Row],[SEG37]] &gt;0,INDEX(SEGMENTS[], MATCH(CABLES[[#Headers],[SEG37]],SEGMENTS[SEG_ID],0),4),0)</f>
        <v>0</v>
      </c>
      <c r="CX14" s="9">
        <f xml:space="preserve"> IF(CABLES[[#This Row],[SEG38]] &gt;0,INDEX(SEGMENTS[], MATCH(CABLES[[#Headers],[SEG38]],SEGMENTS[SEG_ID],0),4),0)</f>
        <v>0</v>
      </c>
      <c r="CY14" s="9">
        <f xml:space="preserve"> IF(CABLES[[#This Row],[SEG39]] &gt;0,INDEX(SEGMENTS[], MATCH(CABLES[[#Headers],[SEG39]],SEGMENTS[SEG_ID],0),4),0)</f>
        <v>0</v>
      </c>
      <c r="CZ14" s="9">
        <f xml:space="preserve"> IF(CABLES[[#This Row],[SEG40]] &gt;0,INDEX(SEGMENTS[], MATCH(CABLES[[#Headers],[SEG40]],SEGMENTS[SEG_ID],0),4),0)</f>
        <v>0</v>
      </c>
      <c r="DA14" s="9">
        <f xml:space="preserve"> IF(CABLES[[#This Row],[SEG41]] &gt;0,INDEX(SEGMENTS[], MATCH(CABLES[[#Headers],[SEG41]],SEGMENTS[SEG_ID],0),4),0)</f>
        <v>0</v>
      </c>
      <c r="DB14" s="9">
        <f xml:space="preserve"> IF(CABLES[[#This Row],[SEG42]] &gt;0,INDEX(SEGMENTS[], MATCH(CABLES[[#Headers],[SEG42]],SEGMENTS[SEG_ID],0),4),0)</f>
        <v>0</v>
      </c>
      <c r="DC14" s="9">
        <f xml:space="preserve"> IF(CABLES[[#This Row],[SEG43]] &gt;0,INDEX(SEGMENTS[], MATCH(CABLES[[#Headers],[SEG43]],SEGMENTS[SEG_ID],0),4),0)</f>
        <v>0</v>
      </c>
      <c r="DD14" s="9">
        <f xml:space="preserve"> IF(CABLES[[#This Row],[SEG44]] &gt;0,INDEX(SEGMENTS[], MATCH(CABLES[[#Headers],[SEG44]],SEGMENTS[SEG_ID],0),4),0)</f>
        <v>0</v>
      </c>
      <c r="DE14" s="9">
        <f xml:space="preserve"> IF(CABLES[[#This Row],[SEG45]] &gt;0,INDEX(SEGMENTS[], MATCH(CABLES[[#Headers],[SEG45]],SEGMENTS[SEG_ID],0),4),0)</f>
        <v>0</v>
      </c>
      <c r="DF14" s="9">
        <f xml:space="preserve"> IF(CABLES[[#This Row],[SEG46]] &gt;0,INDEX(SEGMENTS[], MATCH(CABLES[[#Headers],[SEG46]],SEGMENTS[SEG_ID],0),4),0)</f>
        <v>0</v>
      </c>
      <c r="DG14" s="9">
        <f xml:space="preserve"> IF(CABLES[[#This Row],[SEG47]] &gt;0,INDEX(SEGMENTS[], MATCH(CABLES[[#Headers],[SEG47]],SEGMENTS[SEG_ID],0),4),0)</f>
        <v>0</v>
      </c>
      <c r="DH14" s="9">
        <f xml:space="preserve"> IF(CABLES[[#This Row],[SEG48]] &gt;0,INDEX(SEGMENTS[], MATCH(CABLES[[#Headers],[SEG48]],SEGMENTS[SEG_ID],0),4),0)</f>
        <v>0</v>
      </c>
      <c r="DI14" s="9">
        <f xml:space="preserve"> IF(CABLES[[#This Row],[SEG49]] &gt;0,INDEX(SEGMENTS[], MATCH(CABLES[[#Headers],[SEG49]],SEGMENTS[SEG_ID],0),4),0)</f>
        <v>0</v>
      </c>
      <c r="DJ14" s="9">
        <f xml:space="preserve"> IF(CABLES[[#This Row],[SEG50]] &gt;0,INDEX(SEGMENTS[], MATCH(CABLES[[#Headers],[SEG50]],SEGMENTS[SEG_ID],0),4),0)</f>
        <v>0</v>
      </c>
      <c r="DK14" s="9">
        <f xml:space="preserve"> IF(CABLES[[#This Row],[SEG51]] &gt;0,INDEX(SEGMENTS[], MATCH(CABLES[[#Headers],[SEG51]],SEGMENTS[SEG_ID],0),4),0)</f>
        <v>0</v>
      </c>
      <c r="DL14" s="9">
        <f xml:space="preserve"> IF(CABLES[[#This Row],[SEG52]] &gt;0,INDEX(SEGMENTS[], MATCH(CABLES[[#Headers],[SEG52]],SEGMENTS[SEG_ID],0),4),0)</f>
        <v>0</v>
      </c>
      <c r="DM14" s="9">
        <f xml:space="preserve"> IF(CABLES[[#This Row],[SEG53]] &gt;0,INDEX(SEGMENTS[], MATCH(CABLES[[#Headers],[SEG53]],SEGMENTS[SEG_ID],0),4),0)</f>
        <v>0</v>
      </c>
      <c r="DN14" s="9">
        <f xml:space="preserve"> IF(CABLES[[#This Row],[SEG54]] &gt;0,INDEX(SEGMENTS[], MATCH(CABLES[[#Headers],[SEG54]],SEGMENTS[SEG_ID],0),4),0)</f>
        <v>0</v>
      </c>
      <c r="DO14" s="9">
        <f xml:space="preserve"> IF(CABLES[[#This Row],[SEG55]] &gt;0,INDEX(SEGMENTS[], MATCH(CABLES[[#Headers],[SEG55]],SEGMENTS[SEG_ID],0),4),0)</f>
        <v>0</v>
      </c>
      <c r="DP14" s="9">
        <f xml:space="preserve"> IF(CABLES[[#This Row],[SEG56]] &gt;0,INDEX(SEGMENTS[], MATCH(CABLES[[#Headers],[SEG56]],SEGMENTS[SEG_ID],0),4),0)</f>
        <v>0</v>
      </c>
      <c r="DQ14" s="9">
        <f xml:space="preserve"> IF(CABLES[[#This Row],[SEG57]] &gt;0,INDEX(SEGMENTS[], MATCH(CABLES[[#Headers],[SEG57]],SEGMENTS[SEG_ID],0),4),0)</f>
        <v>0</v>
      </c>
      <c r="DR14" s="9">
        <f xml:space="preserve"> IF(CABLES[[#This Row],[SEG58]] &gt;0,INDEX(SEGMENTS[], MATCH(CABLES[[#Headers],[SEG58]],SEGMENTS[SEG_ID],0),4),0)</f>
        <v>0</v>
      </c>
      <c r="DS14" s="9">
        <f xml:space="preserve"> IF(CABLES[[#This Row],[SEG59]] &gt;0,INDEX(SEGMENTS[], MATCH(CABLES[[#Headers],[SEG59]],SEGMENTS[SEG_ID],0),4),0)</f>
        <v>0</v>
      </c>
      <c r="DT14" s="9">
        <f xml:space="preserve"> IF(CABLES[[#This Row],[SEG60]] &gt;0,INDEX(SEGMENTS[], MATCH(CABLES[[#Headers],[SEG60]],SEGMENTS[SEG_ID],0),4),0)</f>
        <v>0</v>
      </c>
      <c r="DU14" s="10">
        <f>SUM(CABLES[[#This Row],[SEGL1]:[SEGL60]])</f>
        <v>35</v>
      </c>
      <c r="DV14" s="10">
        <v>5</v>
      </c>
      <c r="DW14" s="10">
        <v>1.2</v>
      </c>
      <c r="DX14" s="10">
        <f xml:space="preserve"> IF(CABLES[[#This Row],[SEGL_TOTAL]]&gt;0, (CABLES[[#This Row],[SEGL_TOTAL]] + CABLES[[#This Row],[FITOFF]]) *CABLES[[#This Row],[XCAPACITY]],0)</f>
        <v>48</v>
      </c>
      <c r="DY14" s="10">
        <f>IF(CABLES[[#This Row],[SEG1]]&gt;0,CABLES[[#This Row],[CABLE_DIAMETER]],0)</f>
        <v>12</v>
      </c>
      <c r="DZ14" s="10">
        <f>IF(CABLES[[#This Row],[SEG2]]&gt;0,CABLES[[#This Row],[CABLE_DIAMETER]],0)</f>
        <v>12</v>
      </c>
      <c r="EA14" s="10">
        <f>IF(CABLES[[#This Row],[SEG3]]&gt;0,CABLES[[#This Row],[CABLE_DIAMETER]],0)</f>
        <v>0</v>
      </c>
      <c r="EB14" s="10">
        <f>IF(CABLES[[#This Row],[SEG4]]&gt;0,CABLES[[#This Row],[CABLE_DIAMETER]],0)</f>
        <v>0</v>
      </c>
      <c r="EC14" s="10">
        <f>IF(CABLES[[#This Row],[SEG5]]&gt;0,CABLES[[#This Row],[CABLE_DIAMETER]],0)</f>
        <v>0</v>
      </c>
      <c r="ED14" s="10">
        <f>IF(CABLES[[#This Row],[SEG6]]&gt;0,CABLES[[#This Row],[CABLE_DIAMETER]],0)</f>
        <v>0</v>
      </c>
      <c r="EE14" s="10">
        <f>IF(CABLES[[#This Row],[SEG7]]&gt;0,CABLES[[#This Row],[CABLE_DIAMETER]],0)</f>
        <v>0</v>
      </c>
      <c r="EF14" s="10">
        <f>IF(CABLES[[#This Row],[SEG9]]&gt;0,CABLES[[#This Row],[CABLE_DIAMETER]],0)</f>
        <v>0</v>
      </c>
      <c r="EG14" s="10">
        <f>IF(CABLES[[#This Row],[SEG9]]&gt;0,CABLES[[#This Row],[CABLE_DIAMETER]],0)</f>
        <v>0</v>
      </c>
      <c r="EH14" s="10">
        <f>IF(CABLES[[#This Row],[SEG10]]&gt;0,CABLES[[#This Row],[CABLE_DIAMETER]],0)</f>
        <v>0</v>
      </c>
      <c r="EI14" s="10">
        <f>IF(CABLES[[#This Row],[SEG11]]&gt;0,CABLES[[#This Row],[CABLE_DIAMETER]],0)</f>
        <v>0</v>
      </c>
      <c r="EJ14" s="10">
        <f>IF(CABLES[[#This Row],[SEG12]]&gt;0,CABLES[[#This Row],[CABLE_DIAMETER]],0)</f>
        <v>0</v>
      </c>
      <c r="EK14" s="10">
        <f>IF(CABLES[[#This Row],[SEG13]]&gt;0,CABLES[[#This Row],[CABLE_DIAMETER]],0)</f>
        <v>0</v>
      </c>
      <c r="EL14" s="10">
        <f>IF(CABLES[[#This Row],[SEG14]]&gt;0,CABLES[[#This Row],[CABLE_DIAMETER]],0)</f>
        <v>0</v>
      </c>
      <c r="EM14" s="10">
        <f>IF(CABLES[[#This Row],[SEG15]]&gt;0,CABLES[[#This Row],[CABLE_DIAMETER]],0)</f>
        <v>0</v>
      </c>
      <c r="EN14" s="10">
        <f>IF(CABLES[[#This Row],[SEG16]]&gt;0,CABLES[[#This Row],[CABLE_DIAMETER]],0)</f>
        <v>0</v>
      </c>
      <c r="EO14" s="10">
        <f>IF(CABLES[[#This Row],[SEG17]]&gt;0,CABLES[[#This Row],[CABLE_DIAMETER]],0)</f>
        <v>0</v>
      </c>
      <c r="EP14" s="10">
        <f>IF(CABLES[[#This Row],[SEG18]]&gt;0,CABLES[[#This Row],[CABLE_DIAMETER]],0)</f>
        <v>0</v>
      </c>
      <c r="EQ14" s="10">
        <f>IF(CABLES[[#This Row],[SEG19]]&gt;0,CABLES[[#This Row],[CABLE_DIAMETER]],0)</f>
        <v>0</v>
      </c>
      <c r="ER14" s="10">
        <f>IF(CABLES[[#This Row],[SEG20]]&gt;0,CABLES[[#This Row],[CABLE_DIAMETER]],0)</f>
        <v>0</v>
      </c>
      <c r="ES14" s="10">
        <f>IF(CABLES[[#This Row],[SEG21]]&gt;0,CABLES[[#This Row],[CABLE_DIAMETER]],0)</f>
        <v>12</v>
      </c>
      <c r="ET14" s="10">
        <f>IF(CABLES[[#This Row],[SEG22]]&gt;0,CABLES[[#This Row],[CABLE_DIAMETER]],0)</f>
        <v>12</v>
      </c>
      <c r="EU14" s="10">
        <f>IF(CABLES[[#This Row],[SEG23]]&gt;0,CABLES[[#This Row],[CABLE_DIAMETER]],0)</f>
        <v>0</v>
      </c>
      <c r="EV14" s="10">
        <f>IF(CABLES[[#This Row],[SEG24]]&gt;0,CABLES[[#This Row],[CABLE_DIAMETER]],0)</f>
        <v>0</v>
      </c>
      <c r="EW14" s="10">
        <f>IF(CABLES[[#This Row],[SEG25]]&gt;0,CABLES[[#This Row],[CABLE_DIAMETER]],0)</f>
        <v>0</v>
      </c>
      <c r="EX14" s="10">
        <f>IF(CABLES[[#This Row],[SEG26]]&gt;0,CABLES[[#This Row],[CABLE_DIAMETER]],0)</f>
        <v>0</v>
      </c>
      <c r="EY14" s="10">
        <f>IF(CABLES[[#This Row],[SEG27]]&gt;0,CABLES[[#This Row],[CABLE_DIAMETER]],0)</f>
        <v>0</v>
      </c>
      <c r="EZ14" s="10">
        <f>IF(CABLES[[#This Row],[SEG28]]&gt;0,CABLES[[#This Row],[CABLE_DIAMETER]],0)</f>
        <v>0</v>
      </c>
      <c r="FA14" s="10">
        <f>IF(CABLES[[#This Row],[SEG29]]&gt;0,CABLES[[#This Row],[CABLE_DIAMETER]],0)</f>
        <v>0</v>
      </c>
      <c r="FB14" s="10">
        <f>IF(CABLES[[#This Row],[SEG30]]&gt;0,CABLES[[#This Row],[CABLE_DIAMETER]],0)</f>
        <v>0</v>
      </c>
      <c r="FC14" s="10">
        <f>IF(CABLES[[#This Row],[SEG31]]&gt;0,CABLES[[#This Row],[CABLE_DIAMETER]],0)</f>
        <v>0</v>
      </c>
      <c r="FD14" s="10">
        <f>IF(CABLES[[#This Row],[SEG32]]&gt;0,CABLES[[#This Row],[CABLE_DIAMETER]],0)</f>
        <v>0</v>
      </c>
      <c r="FE14" s="10">
        <f>IF(CABLES[[#This Row],[SEG33]]&gt;0,CABLES[[#This Row],[CABLE_DIAMETER]],0)</f>
        <v>0</v>
      </c>
      <c r="FF14" s="10">
        <f>IF(CABLES[[#This Row],[SEG34]]&gt;0,CABLES[[#This Row],[CABLE_DIAMETER]],0)</f>
        <v>0</v>
      </c>
      <c r="FG14" s="10">
        <f>IF(CABLES[[#This Row],[SEG35]]&gt;0,CABLES[[#This Row],[CABLE_DIAMETER]],0)</f>
        <v>0</v>
      </c>
      <c r="FH14" s="10">
        <f>IF(CABLES[[#This Row],[SEG36]]&gt;0,CABLES[[#This Row],[CABLE_DIAMETER]],0)</f>
        <v>0</v>
      </c>
      <c r="FI14" s="10">
        <f>IF(CABLES[[#This Row],[SEG37]]&gt;0,CABLES[[#This Row],[CABLE_DIAMETER]],0)</f>
        <v>0</v>
      </c>
      <c r="FJ14" s="10">
        <f>IF(CABLES[[#This Row],[SEG38]]&gt;0,CABLES[[#This Row],[CABLE_DIAMETER]],0)</f>
        <v>0</v>
      </c>
      <c r="FK14" s="10">
        <f>IF(CABLES[[#This Row],[SEG39]]&gt;0,CABLES[[#This Row],[CABLE_DIAMETER]],0)</f>
        <v>0</v>
      </c>
      <c r="FL14" s="10">
        <f>IF(CABLES[[#This Row],[SEG40]]&gt;0,CABLES[[#This Row],[CABLE_DIAMETER]],0)</f>
        <v>0</v>
      </c>
      <c r="FM14" s="10">
        <f>IF(CABLES[[#This Row],[SEG41]]&gt;0,CABLES[[#This Row],[CABLE_DIAMETER]],0)</f>
        <v>0</v>
      </c>
      <c r="FN14" s="10">
        <f>IF(CABLES[[#This Row],[SEG42]]&gt;0,CABLES[[#This Row],[CABLE_DIAMETER]],0)</f>
        <v>0</v>
      </c>
      <c r="FO14" s="10">
        <f>IF(CABLES[[#This Row],[SEG43]]&gt;0,CABLES[[#This Row],[CABLE_DIAMETER]],0)</f>
        <v>0</v>
      </c>
      <c r="FP14" s="10">
        <f>IF(CABLES[[#This Row],[SEG44]]&gt;0,CABLES[[#This Row],[CABLE_DIAMETER]],0)</f>
        <v>0</v>
      </c>
      <c r="FQ14" s="10">
        <f>IF(CABLES[[#This Row],[SEG45]]&gt;0,CABLES[[#This Row],[CABLE_DIAMETER]],0)</f>
        <v>0</v>
      </c>
      <c r="FR14" s="10">
        <f>IF(CABLES[[#This Row],[SEG46]]&gt;0,CABLES[[#This Row],[CABLE_DIAMETER]],0)</f>
        <v>0</v>
      </c>
      <c r="FS14" s="10">
        <f>IF(CABLES[[#This Row],[SEG47]]&gt;0,CABLES[[#This Row],[CABLE_DIAMETER]],0)</f>
        <v>0</v>
      </c>
      <c r="FT14" s="10">
        <f>IF(CABLES[[#This Row],[SEG48]]&gt;0,CABLES[[#This Row],[CABLE_DIAMETER]],0)</f>
        <v>0</v>
      </c>
      <c r="FU14" s="10">
        <f>IF(CABLES[[#This Row],[SEG49]]&gt;0,CABLES[[#This Row],[CABLE_DIAMETER]],0)</f>
        <v>0</v>
      </c>
      <c r="FV14" s="10">
        <f>IF(CABLES[[#This Row],[SEG50]]&gt;0,CABLES[[#This Row],[CABLE_DIAMETER]],0)</f>
        <v>0</v>
      </c>
      <c r="FW14" s="10">
        <f>IF(CABLES[[#This Row],[SEG51]]&gt;0,CABLES[[#This Row],[CABLE_DIAMETER]],0)</f>
        <v>0</v>
      </c>
      <c r="FX14" s="10">
        <f>IF(CABLES[[#This Row],[SEG52]]&gt;0,CABLES[[#This Row],[CABLE_DIAMETER]],0)</f>
        <v>0</v>
      </c>
      <c r="FY14" s="10">
        <f>IF(CABLES[[#This Row],[SEG53]]&gt;0,CABLES[[#This Row],[CABLE_DIAMETER]],0)</f>
        <v>0</v>
      </c>
      <c r="FZ14" s="10">
        <f>IF(CABLES[[#This Row],[SEG54]]&gt;0,CABLES[[#This Row],[CABLE_DIAMETER]],0)</f>
        <v>0</v>
      </c>
      <c r="GA14" s="10">
        <f>IF(CABLES[[#This Row],[SEG55]]&gt;0,CABLES[[#This Row],[CABLE_DIAMETER]],0)</f>
        <v>0</v>
      </c>
      <c r="GB14" s="10">
        <f>IF(CABLES[[#This Row],[SEG56]]&gt;0,CABLES[[#This Row],[CABLE_DIAMETER]],0)</f>
        <v>0</v>
      </c>
      <c r="GC14" s="10">
        <f>IF(CABLES[[#This Row],[SEG57]]&gt;0,CABLES[[#This Row],[CABLE_DIAMETER]],0)</f>
        <v>0</v>
      </c>
      <c r="GD14" s="10">
        <f>IF(CABLES[[#This Row],[SEG58]]&gt;0,CABLES[[#This Row],[CABLE_DIAMETER]],0)</f>
        <v>0</v>
      </c>
      <c r="GE14" s="10">
        <f>IF(CABLES[[#This Row],[SEG59]]&gt;0,CABLES[[#This Row],[CABLE_DIAMETER]],0)</f>
        <v>0</v>
      </c>
      <c r="GF14" s="10">
        <f>IF(CABLES[[#This Row],[SEG60]]&gt;0,CABLES[[#This Row],[CABLE_DIAMETER]],0)</f>
        <v>0</v>
      </c>
      <c r="GG14" s="10">
        <f>IF(CABLES[[#This Row],[SEG1]]&gt;0,CABLES[[#This Row],[CABLE_MASS]],0)</f>
        <v>0.21</v>
      </c>
      <c r="GH14" s="10">
        <f>IF(CABLES[[#This Row],[SEG2]]&gt;0,CABLES[[#This Row],[CABLE_MASS]],0)</f>
        <v>0.21</v>
      </c>
      <c r="GI14" s="10">
        <f>IF(CABLES[[#This Row],[SEG3]]&gt;0,CABLES[[#This Row],[CABLE_MASS]],0)</f>
        <v>0</v>
      </c>
      <c r="GJ14" s="10">
        <f>IF(CABLES[[#This Row],[SEG4]]&gt;0,CABLES[[#This Row],[CABLE_MASS]],0)</f>
        <v>0</v>
      </c>
      <c r="GK14" s="10">
        <f>IF(CABLES[[#This Row],[SEG5]]&gt;0,CABLES[[#This Row],[CABLE_MASS]],0)</f>
        <v>0</v>
      </c>
      <c r="GL14" s="10">
        <f>IF(CABLES[[#This Row],[SEG6]]&gt;0,CABLES[[#This Row],[CABLE_MASS]],0)</f>
        <v>0</v>
      </c>
      <c r="GM14" s="10">
        <f>IF(CABLES[[#This Row],[SEG7]]&gt;0,CABLES[[#This Row],[CABLE_MASS]],0)</f>
        <v>0</v>
      </c>
      <c r="GN14" s="10">
        <f>IF(CABLES[[#This Row],[SEG8]]&gt;0,CABLES[[#This Row],[CABLE_MASS]],0)</f>
        <v>0</v>
      </c>
      <c r="GO14" s="10">
        <f>IF(CABLES[[#This Row],[SEG9]]&gt;0,CABLES[[#This Row],[CABLE_MASS]],0)</f>
        <v>0</v>
      </c>
      <c r="GP14" s="10">
        <f>IF(CABLES[[#This Row],[SEG10]]&gt;0,CABLES[[#This Row],[CABLE_MASS]],0)</f>
        <v>0</v>
      </c>
      <c r="GQ14" s="10">
        <f>IF(CABLES[[#This Row],[SEG11]]&gt;0,CABLES[[#This Row],[CABLE_MASS]],0)</f>
        <v>0</v>
      </c>
      <c r="GR14" s="10">
        <f>IF(CABLES[[#This Row],[SEG12]]&gt;0,CABLES[[#This Row],[CABLE_MASS]],0)</f>
        <v>0</v>
      </c>
      <c r="GS14" s="10">
        <f>IF(CABLES[[#This Row],[SEG13]]&gt;0,CABLES[[#This Row],[CABLE_MASS]],0)</f>
        <v>0</v>
      </c>
      <c r="GT14" s="10">
        <f>IF(CABLES[[#This Row],[SEG14]]&gt;0,CABLES[[#This Row],[CABLE_MASS]],0)</f>
        <v>0</v>
      </c>
      <c r="GU14" s="10">
        <f>IF(CABLES[[#This Row],[SEG15]]&gt;0,CABLES[[#This Row],[CABLE_MASS]],0)</f>
        <v>0</v>
      </c>
      <c r="GV14" s="10">
        <f>IF(CABLES[[#This Row],[SEG16]]&gt;0,CABLES[[#This Row],[CABLE_MASS]],0)</f>
        <v>0</v>
      </c>
      <c r="GW14" s="10">
        <f>IF(CABLES[[#This Row],[SEG17]]&gt;0,CABLES[[#This Row],[CABLE_MASS]],0)</f>
        <v>0</v>
      </c>
      <c r="GX14" s="10">
        <f>IF(CABLES[[#This Row],[SEG18]]&gt;0,CABLES[[#This Row],[CABLE_MASS]],0)</f>
        <v>0</v>
      </c>
      <c r="GY14" s="10">
        <f>IF(CABLES[[#This Row],[SEG19]]&gt;0,CABLES[[#This Row],[CABLE_MASS]],0)</f>
        <v>0</v>
      </c>
      <c r="GZ14" s="10">
        <f>IF(CABLES[[#This Row],[SEG20]]&gt;0,CABLES[[#This Row],[CABLE_MASS]],0)</f>
        <v>0</v>
      </c>
      <c r="HA14" s="10">
        <f>IF(CABLES[[#This Row],[SEG21]]&gt;0,CABLES[[#This Row],[CABLE_MASS]],0)</f>
        <v>0.21</v>
      </c>
      <c r="HB14" s="10">
        <f>IF(CABLES[[#This Row],[SEG22]]&gt;0,CABLES[[#This Row],[CABLE_MASS]],0)</f>
        <v>0.21</v>
      </c>
      <c r="HC14" s="10">
        <f>IF(CABLES[[#This Row],[SEG23]]&gt;0,CABLES[[#This Row],[CABLE_MASS]],0)</f>
        <v>0</v>
      </c>
      <c r="HD14" s="10">
        <f>IF(CABLES[[#This Row],[SEG24]]&gt;0,CABLES[[#This Row],[CABLE_MASS]],0)</f>
        <v>0</v>
      </c>
      <c r="HE14" s="10">
        <f>IF(CABLES[[#This Row],[SEG25]]&gt;0,CABLES[[#This Row],[CABLE_MASS]],0)</f>
        <v>0</v>
      </c>
      <c r="HF14" s="10">
        <f>IF(CABLES[[#This Row],[SEG26]]&gt;0,CABLES[[#This Row],[CABLE_MASS]],0)</f>
        <v>0</v>
      </c>
      <c r="HG14" s="10">
        <f>IF(CABLES[[#This Row],[SEG27]]&gt;0,CABLES[[#This Row],[CABLE_MASS]],0)</f>
        <v>0</v>
      </c>
      <c r="HH14" s="10">
        <f>IF(CABLES[[#This Row],[SEG28]]&gt;0,CABLES[[#This Row],[CABLE_MASS]],0)</f>
        <v>0</v>
      </c>
      <c r="HI14" s="10">
        <f>IF(CABLES[[#This Row],[SEG29]]&gt;0,CABLES[[#This Row],[CABLE_MASS]],0)</f>
        <v>0</v>
      </c>
      <c r="HJ14" s="10">
        <f>IF(CABLES[[#This Row],[SEG30]]&gt;0,CABLES[[#This Row],[CABLE_MASS]],0)</f>
        <v>0</v>
      </c>
      <c r="HK14" s="10">
        <f>IF(CABLES[[#This Row],[SEG31]]&gt;0,CABLES[[#This Row],[CABLE_MASS]],0)</f>
        <v>0</v>
      </c>
      <c r="HL14" s="10">
        <f>IF(CABLES[[#This Row],[SEG32]]&gt;0,CABLES[[#This Row],[CABLE_MASS]],0)</f>
        <v>0</v>
      </c>
      <c r="HM14" s="10">
        <f>IF(CABLES[[#This Row],[SEG33]]&gt;0,CABLES[[#This Row],[CABLE_MASS]],0)</f>
        <v>0</v>
      </c>
      <c r="HN14" s="10">
        <f>IF(CABLES[[#This Row],[SEG34]]&gt;0,CABLES[[#This Row],[CABLE_MASS]],0)</f>
        <v>0</v>
      </c>
      <c r="HO14" s="10">
        <f>IF(CABLES[[#This Row],[SEG35]]&gt;0,CABLES[[#This Row],[CABLE_MASS]],0)</f>
        <v>0</v>
      </c>
      <c r="HP14" s="10">
        <f>IF(CABLES[[#This Row],[SEG36]]&gt;0,CABLES[[#This Row],[CABLE_MASS]],0)</f>
        <v>0</v>
      </c>
      <c r="HQ14" s="10">
        <f>IF(CABLES[[#This Row],[SEG37]]&gt;0,CABLES[[#This Row],[CABLE_MASS]],0)</f>
        <v>0</v>
      </c>
      <c r="HR14" s="10">
        <f>IF(CABLES[[#This Row],[SEG38]]&gt;0,CABLES[[#This Row],[CABLE_MASS]],0)</f>
        <v>0</v>
      </c>
      <c r="HS14" s="10">
        <f>IF(CABLES[[#This Row],[SEG39]]&gt;0,CABLES[[#This Row],[CABLE_MASS]],0)</f>
        <v>0</v>
      </c>
      <c r="HT14" s="10">
        <f>IF(CABLES[[#This Row],[SEG40]]&gt;0,CABLES[[#This Row],[CABLE_MASS]],0)</f>
        <v>0</v>
      </c>
      <c r="HU14" s="10">
        <f>IF(CABLES[[#This Row],[SEG41]]&gt;0,CABLES[[#This Row],[CABLE_MASS]],0)</f>
        <v>0</v>
      </c>
      <c r="HV14" s="10">
        <f>IF(CABLES[[#This Row],[SEG42]]&gt;0,CABLES[[#This Row],[CABLE_MASS]],0)</f>
        <v>0</v>
      </c>
      <c r="HW14" s="10">
        <f>IF(CABLES[[#This Row],[SEG43]]&gt;0,CABLES[[#This Row],[CABLE_MASS]],0)</f>
        <v>0</v>
      </c>
      <c r="HX14" s="10">
        <f>IF(CABLES[[#This Row],[SEG44]]&gt;0,CABLES[[#This Row],[CABLE_MASS]],0)</f>
        <v>0</v>
      </c>
      <c r="HY14" s="10">
        <f>IF(CABLES[[#This Row],[SEG45]]&gt;0,CABLES[[#This Row],[CABLE_MASS]],0)</f>
        <v>0</v>
      </c>
      <c r="HZ14" s="10">
        <f>IF(CABLES[[#This Row],[SEG46]]&gt;0,CABLES[[#This Row],[CABLE_MASS]],0)</f>
        <v>0</v>
      </c>
      <c r="IA14" s="10">
        <f>IF(CABLES[[#This Row],[SEG47]]&gt;0,CABLES[[#This Row],[CABLE_MASS]],0)</f>
        <v>0</v>
      </c>
      <c r="IB14" s="10">
        <f>IF(CABLES[[#This Row],[SEG48]]&gt;0,CABLES[[#This Row],[CABLE_MASS]],0)</f>
        <v>0</v>
      </c>
      <c r="IC14" s="10">
        <f>IF(CABLES[[#This Row],[SEG49]]&gt;0,CABLES[[#This Row],[CABLE_MASS]],0)</f>
        <v>0</v>
      </c>
      <c r="ID14" s="10">
        <f>IF(CABLES[[#This Row],[SEG50]]&gt;0,CABLES[[#This Row],[CABLE_MASS]],0)</f>
        <v>0</v>
      </c>
      <c r="IE14" s="10">
        <f>IF(CABLES[[#This Row],[SEG51]]&gt;0,CABLES[[#This Row],[CABLE_MASS]],0)</f>
        <v>0</v>
      </c>
      <c r="IF14" s="10">
        <f>IF(CABLES[[#This Row],[SEG52]]&gt;0,CABLES[[#This Row],[CABLE_MASS]],0)</f>
        <v>0</v>
      </c>
      <c r="IG14" s="10">
        <f>IF(CABLES[[#This Row],[SEG53]]&gt;0,CABLES[[#This Row],[CABLE_MASS]],0)</f>
        <v>0</v>
      </c>
      <c r="IH14" s="10">
        <f>IF(CABLES[[#This Row],[SEG54]]&gt;0,CABLES[[#This Row],[CABLE_MASS]],0)</f>
        <v>0</v>
      </c>
      <c r="II14" s="10">
        <f>IF(CABLES[[#This Row],[SEG55]]&gt;0,CABLES[[#This Row],[CABLE_MASS]],0)</f>
        <v>0</v>
      </c>
      <c r="IJ14" s="10">
        <f>IF(CABLES[[#This Row],[SEG56]]&gt;0,CABLES[[#This Row],[CABLE_MASS]],0)</f>
        <v>0</v>
      </c>
      <c r="IK14" s="10">
        <f>IF(CABLES[[#This Row],[SEG57]]&gt;0,CABLES[[#This Row],[CABLE_MASS]],0)</f>
        <v>0</v>
      </c>
      <c r="IL14" s="10">
        <f>IF(CABLES[[#This Row],[SEG58]]&gt;0,CABLES[[#This Row],[CABLE_MASS]],0)</f>
        <v>0</v>
      </c>
      <c r="IM14" s="10">
        <f>IF(CABLES[[#This Row],[SEG59]]&gt;0,CABLES[[#This Row],[CABLE_MASS]],0)</f>
        <v>0</v>
      </c>
      <c r="IN14" s="10">
        <f>IF(CABLES[[#This Row],[SEG60]]&gt;0,CABLES[[#This Row],[CABLE_MASS]],0)</f>
        <v>0</v>
      </c>
      <c r="IO14" s="10">
        <f xml:space="preserve">  (CABLES[[#This Row],[LOAD_KW]]/(SQRT(3)*SYSTEM_VOLTAGE*POWER_FACTOR))*1000</f>
        <v>17.641258225238563</v>
      </c>
      <c r="IP14" s="10">
        <v>45</v>
      </c>
      <c r="IQ14" s="10">
        <f xml:space="preserve"> INDEX(AS3000_AMBIENTDERATE[], MATCH(CABLES[[#This Row],[AMBIENT]],AS3000_AMBIENTDERATE[AMBIENT],0), 2)</f>
        <v>0.94</v>
      </c>
      <c r="IR14" s="10">
        <f xml:space="preserve"> ROUNDUP( CABLES[[#This Row],[CALCULATED_AMPS]]/CABLES[[#This Row],[AMBIENT_DERATING]],1)</f>
        <v>18.8</v>
      </c>
      <c r="IS14" s="10" t="s">
        <v>531</v>
      </c>
      <c r="IT1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14" s="10">
        <f t="shared" si="0"/>
        <v>28.000000000000004</v>
      </c>
      <c r="IV14" s="10">
        <f>(1000*CABLES[[#This Row],[MAX_VDROP]])/(CABLES[[#This Row],[ESTIMATED_CABLE_LENGTH]]*CABLES[[#This Row],[AMP_RATING]])</f>
        <v>31.028368794326241</v>
      </c>
      <c r="IW14" s="10">
        <f xml:space="preserve"> INDEX(AS3000_VDROP[], MATCH(CABLES[[#This Row],[VC_CALC]],AS3000_VDROP[Vc],1),1)</f>
        <v>2.5</v>
      </c>
      <c r="IX14" s="10">
        <f>MAX(CABLES[[#This Row],[CABLESIZE_METHOD1]],CABLES[[#This Row],[CABLESIZE_METHOD2]])</f>
        <v>2.5</v>
      </c>
      <c r="IY14" s="10"/>
      <c r="IZ14" s="10">
        <f>IF(LEN(CABLES[[#This Row],[OVERRIDE_CABLESIZE]])&gt;0,CABLES[[#This Row],[OVERRIDE_CABLESIZE]],CABLES[[#This Row],[INITIAL_CABLESIZE]])</f>
        <v>2.5</v>
      </c>
      <c r="JA14" s="10">
        <f>INDEX(PROTECTIVE_DEVICE[DEVICE], MATCH(CABLES[[#This Row],[CALCULATED_AMPS]],PROTECTIVE_DEVICE[DEVICE],-1),1)</f>
        <v>20</v>
      </c>
      <c r="JB14" s="10"/>
      <c r="JC14" s="10">
        <f>IF(LEN(CABLES[[#This Row],[OVERRIDE_PDEVICE]])&gt;0, CABLES[[#This Row],[OVERRIDE_PDEVICE]],CABLES[[#This Row],[RECOMMEND_PDEVICE]])</f>
        <v>20</v>
      </c>
      <c r="JD14" s="10" t="s">
        <v>450</v>
      </c>
      <c r="JE14" s="10">
        <f xml:space="preserve"> CABLES[[#This Row],[SELECTED_PDEVICE]] * INDEX(DEVICE_CURVE[], MATCH(CABLES[[#This Row],[PDEVICE_CURVE]], DEVICE_CURVE[DEVICE_CURVE],0),2)</f>
        <v>130</v>
      </c>
      <c r="JF14" s="10" t="s">
        <v>458</v>
      </c>
      <c r="JG14" s="10">
        <f xml:space="preserve"> INDEX(CONDUCTOR_MATERIAL[], MATCH(CABLES[[#This Row],[CONDUCTOR_MATERIAL]],CONDUCTOR_MATERIAL[CONDUCTOR_MATERIAL],0),2)</f>
        <v>2.2499999999999999E-2</v>
      </c>
      <c r="JH14" s="10">
        <f>CABLES[[#This Row],[SELECTED_CABLESIZE]]</f>
        <v>2.5</v>
      </c>
      <c r="JI14" s="10">
        <f xml:space="preserve"> INDEX( EARTH_CONDUCTOR_SIZE[], MATCH(CABLES[[#This Row],[SPH]],EARTH_CONDUCTOR_SIZE[MM^2],-1), 2)</f>
        <v>2.5</v>
      </c>
      <c r="JJ14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14" s="10" t="str">
        <f>IF(CABLES[[#This Row],[LMAX]]&gt;CABLES[[#This Row],[ESTIMATED_CABLE_LENGTH]], "PASS", "ERROR")</f>
        <v>PASS</v>
      </c>
      <c r="JL1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1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14" s="6">
        <f xml:space="preserve"> ROUNDUP( CABLES[[#This Row],[CALCULATED_AMPS]],1)</f>
        <v>17.700000000000003</v>
      </c>
      <c r="JO14" s="6">
        <f>CABLES[[#This Row],[SELECTED_CABLESIZE]]</f>
        <v>2.5</v>
      </c>
      <c r="JP14" s="10">
        <f>CABLES[[#This Row],[ESTIMATED_CABLE_LENGTH]]</f>
        <v>48</v>
      </c>
      <c r="JQ14" s="6">
        <f>CABLES[[#This Row],[SELECTED_PDEVICE]]</f>
        <v>20</v>
      </c>
    </row>
    <row r="15" spans="1:277" x14ac:dyDescent="0.35">
      <c r="A15" s="5" t="s">
        <v>14</v>
      </c>
      <c r="B15" s="5" t="s">
        <v>484</v>
      </c>
      <c r="C15" s="10" t="s">
        <v>262</v>
      </c>
      <c r="D15" s="9">
        <v>2.2000000000000002</v>
      </c>
      <c r="E15" s="9">
        <v>1</v>
      </c>
      <c r="F15" s="9">
        <v>1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f xml:space="preserve"> IF(CABLES[[#This Row],[SEG1]] &gt;0, INDEX(SEGMENTS[], MATCH(CABLES[[#Headers],[SEG1]],SEGMENTS[SEG_ID],0),4),0)</f>
        <v>13</v>
      </c>
      <c r="BN15" s="9">
        <f xml:space="preserve"> IF(CABLES[[#This Row],[SEG2]] &gt;0, INDEX(SEGMENTS[], MATCH(CABLES[[#Headers],[SEG2]],SEGMENTS[SEG_ID],0),4),0)</f>
        <v>2</v>
      </c>
      <c r="BO15" s="9">
        <f xml:space="preserve"> IF(CABLES[[#This Row],[SEG3]] &gt;0, INDEX(SEGMENTS[], MATCH(CABLES[[#Headers],[SEG3]],SEGMENTS[SEG_ID],0),4),0)</f>
        <v>16</v>
      </c>
      <c r="BP15" s="9">
        <f xml:space="preserve"> IF(CABLES[[#This Row],[SEG4]] &gt;0, INDEX(SEGMENTS[], MATCH(CABLES[[#Headers],[SEG4]],SEGMENTS[SEG_ID],0),4),0)</f>
        <v>0</v>
      </c>
      <c r="BQ15" s="9">
        <f xml:space="preserve"> IF(CABLES[[#This Row],[SEG5]] &gt;0,INDEX(SEGMENTS[], MATCH(CABLES[[#Headers],[SEG5]],SEGMENTS[SEG_ID],0),4),0)</f>
        <v>0</v>
      </c>
      <c r="BR15" s="9">
        <f xml:space="preserve"> IF(CABLES[[#This Row],[SEG6]] &gt;0,INDEX(SEGMENTS[], MATCH(CABLES[[#Headers],[SEG6]],SEGMENTS[SEG_ID],0),4),0)</f>
        <v>0</v>
      </c>
      <c r="BS15" s="9">
        <f xml:space="preserve"> IF(CABLES[[#This Row],[SEG7]] &gt;0,INDEX(SEGMENTS[], MATCH(CABLES[[#Headers],[SEG7]],SEGMENTS[SEG_ID],0),4),0)</f>
        <v>0</v>
      </c>
      <c r="BT15" s="9">
        <f xml:space="preserve"> IF(CABLES[[#This Row],[SEG8]] &gt;0,INDEX(SEGMENTS[], MATCH(CABLES[[#Headers],[SEG8]],SEGMENTS[SEG_ID],0),4),0)</f>
        <v>0</v>
      </c>
      <c r="BU15" s="9">
        <f xml:space="preserve"> IF(CABLES[[#This Row],[SEG9]] &gt;0,INDEX(SEGMENTS[], MATCH(CABLES[[#Headers],[SEG9]],SEGMENTS[SEG_ID],0),4),0)</f>
        <v>0</v>
      </c>
      <c r="BV15" s="9">
        <f xml:space="preserve"> IF(CABLES[[#This Row],[SEG10]] &gt;0,INDEX(SEGMENTS[], MATCH(CABLES[[#Headers],[SEG10]],SEGMENTS[SEG_ID],0),4),0)</f>
        <v>0</v>
      </c>
      <c r="BW15" s="9">
        <f xml:space="preserve"> IF(CABLES[[#This Row],[SEG11]] &gt;0,INDEX(SEGMENTS[], MATCH(CABLES[[#Headers],[SEG11]],SEGMENTS[SEG_ID],0),4),0)</f>
        <v>0</v>
      </c>
      <c r="BX15" s="9">
        <f>IF(CABLES[[#This Row],[SEG12]] &gt;0, INDEX(SEGMENTS[], MATCH(CABLES[[#Headers],[SEG12]],SEGMENTS[SEG_ID],0),4),0)</f>
        <v>0</v>
      </c>
      <c r="BY15" s="9">
        <f xml:space="preserve"> IF(CABLES[[#This Row],[SEG13]] &gt;0,INDEX(SEGMENTS[], MATCH(CABLES[[#Headers],[SEG13]],SEGMENTS[SEG_ID],0),4),0)</f>
        <v>0</v>
      </c>
      <c r="BZ15" s="9">
        <f xml:space="preserve"> IF(CABLES[[#This Row],[SEG14]] &gt;0,INDEX(SEGMENTS[], MATCH(CABLES[[#Headers],[SEG14]],SEGMENTS[SEG_ID],0),4),0)</f>
        <v>0</v>
      </c>
      <c r="CA15" s="9">
        <f xml:space="preserve"> IF(CABLES[[#This Row],[SEG15]] &gt;0,INDEX(SEGMENTS[], MATCH(CABLES[[#Headers],[SEG15]],SEGMENTS[SEG_ID],0),4),0)</f>
        <v>0</v>
      </c>
      <c r="CB15" s="9">
        <f xml:space="preserve"> IF(CABLES[[#This Row],[SEG16]] &gt;0,INDEX(SEGMENTS[], MATCH(CABLES[[#Headers],[SEG16]],SEGMENTS[SEG_ID],0),4),0)</f>
        <v>0</v>
      </c>
      <c r="CC15" s="9">
        <f xml:space="preserve"> IF(CABLES[[#This Row],[SEG17]] &gt;0,INDEX(SEGMENTS[], MATCH(CABLES[[#Headers],[SEG17]],SEGMENTS[SEG_ID],0),4),0)</f>
        <v>0</v>
      </c>
      <c r="CD15" s="9">
        <f xml:space="preserve"> IF(CABLES[[#This Row],[SEG18]] &gt;0,INDEX(SEGMENTS[], MATCH(CABLES[[#Headers],[SEG18]],SEGMENTS[SEG_ID],0),4),0)</f>
        <v>0</v>
      </c>
      <c r="CE15" s="9">
        <f>IF(CABLES[[#This Row],[SEG19]] &gt;0, INDEX(SEGMENTS[], MATCH(CABLES[[#Headers],[SEG19]],SEGMENTS[SEG_ID],0),4),0)</f>
        <v>0</v>
      </c>
      <c r="CF15" s="9">
        <f>IF(CABLES[[#This Row],[SEG20]] &gt;0, INDEX(SEGMENTS[], MATCH(CABLES[[#Headers],[SEG20]],SEGMENTS[SEG_ID],0),4),0)</f>
        <v>0</v>
      </c>
      <c r="CG15" s="9">
        <f xml:space="preserve"> IF(CABLES[[#This Row],[SEG21]] &gt;0,INDEX(SEGMENTS[], MATCH(CABLES[[#Headers],[SEG21]],SEGMENTS[SEG_ID],0),4),0)</f>
        <v>0</v>
      </c>
      <c r="CH15" s="9">
        <f xml:space="preserve"> IF(CABLES[[#This Row],[SEG22]] &gt;0,INDEX(SEGMENTS[], MATCH(CABLES[[#Headers],[SEG22]],SEGMENTS[SEG_ID],0),4),0)</f>
        <v>0</v>
      </c>
      <c r="CI15" s="9">
        <f>IF(CABLES[[#This Row],[SEG23]] &gt;0, INDEX(SEGMENTS[], MATCH(CABLES[[#Headers],[SEG23]],SEGMENTS[SEG_ID],0),4),0)</f>
        <v>0</v>
      </c>
      <c r="CJ15" s="9">
        <f xml:space="preserve"> IF(CABLES[[#This Row],[SEG24]] &gt;0,INDEX(SEGMENTS[], MATCH(CABLES[[#Headers],[SEG24]],SEGMENTS[SEG_ID],0),4),0)</f>
        <v>0</v>
      </c>
      <c r="CK15" s="9">
        <f>IF(CABLES[[#This Row],[SEG25]] &gt;0, INDEX(SEGMENTS[], MATCH(CABLES[[#Headers],[SEG25]],SEGMENTS[SEG_ID],0),4),0)</f>
        <v>0</v>
      </c>
      <c r="CL15" s="9">
        <f>IF(CABLES[[#This Row],[SEG26]] &gt;0, INDEX(SEGMENTS[], MATCH(CABLES[[#Headers],[SEG26]],SEGMENTS[SEG_ID],0),4),0)</f>
        <v>0</v>
      </c>
      <c r="CM15" s="9">
        <f xml:space="preserve"> IF(CABLES[[#This Row],[SEG27]] &gt;0,INDEX(SEGMENTS[], MATCH(CABLES[[#Headers],[SEG27]],SEGMENTS[SEG_ID],0),4),0)</f>
        <v>0</v>
      </c>
      <c r="CN15" s="9">
        <f xml:space="preserve"> IF(CABLES[[#This Row],[SEG28]] &gt;0,INDEX(SEGMENTS[], MATCH(CABLES[[#Headers],[SEG28]],SEGMENTS[SEG_ID],0),4),0)</f>
        <v>0</v>
      </c>
      <c r="CO15" s="9">
        <f xml:space="preserve"> IF(CABLES[[#This Row],[SEG29]] &gt;0,INDEX(SEGMENTS[], MATCH(CABLES[[#Headers],[SEG29]],SEGMENTS[SEG_ID],0),4),0)</f>
        <v>0</v>
      </c>
      <c r="CP15" s="9">
        <f xml:space="preserve"> IF(CABLES[[#This Row],[SEG30]] &gt;0,INDEX(SEGMENTS[], MATCH(CABLES[[#Headers],[SEG30]],SEGMENTS[SEG_ID],0),4),0)</f>
        <v>0</v>
      </c>
      <c r="CQ15" s="9">
        <f>IF(CABLES[[#This Row],[SEG31]] &gt;0, INDEX(SEGMENTS[], MATCH(CABLES[[#Headers],[SEG31]],SEGMENTS[SEG_ID],0),4),0)</f>
        <v>0</v>
      </c>
      <c r="CR15" s="9">
        <f xml:space="preserve"> IF(CABLES[[#This Row],[SEG32]] &gt;0,INDEX(SEGMENTS[], MATCH(CABLES[[#Headers],[SEG32]],SEGMENTS[SEG_ID],0),4),0)</f>
        <v>0</v>
      </c>
      <c r="CS15" s="9">
        <f xml:space="preserve"> IF(CABLES[[#This Row],[SEG33]] &gt;0,INDEX(SEGMENTS[], MATCH(CABLES[[#Headers],[SEG33]],SEGMENTS[SEG_ID],0),4),0)</f>
        <v>0</v>
      </c>
      <c r="CT15" s="9">
        <f>IF(CABLES[[#This Row],[SEG34]] &gt;0, INDEX(SEGMENTS[], MATCH(CABLES[[#Headers],[SEG34]],SEGMENTS[SEG_ID],0),4),0)</f>
        <v>0</v>
      </c>
      <c r="CU15" s="9">
        <f xml:space="preserve"> IF(CABLES[[#This Row],[SEG35]] &gt;0,INDEX(SEGMENTS[], MATCH(CABLES[[#Headers],[SEG35]],SEGMENTS[SEG_ID],0),4),0)</f>
        <v>0</v>
      </c>
      <c r="CV15" s="9">
        <f xml:space="preserve"> IF(CABLES[[#This Row],[SEG36]] &gt;0,INDEX(SEGMENTS[], MATCH(CABLES[[#Headers],[SEG36]],SEGMENTS[SEG_ID],0),4),0)</f>
        <v>0</v>
      </c>
      <c r="CW15" s="9">
        <f xml:space="preserve"> IF(CABLES[[#This Row],[SEG37]] &gt;0,INDEX(SEGMENTS[], MATCH(CABLES[[#Headers],[SEG37]],SEGMENTS[SEG_ID],0),4),0)</f>
        <v>0</v>
      </c>
      <c r="CX15" s="9">
        <f xml:space="preserve"> IF(CABLES[[#This Row],[SEG38]] &gt;0,INDEX(SEGMENTS[], MATCH(CABLES[[#Headers],[SEG38]],SEGMENTS[SEG_ID],0),4),0)</f>
        <v>0</v>
      </c>
      <c r="CY15" s="9">
        <f xml:space="preserve"> IF(CABLES[[#This Row],[SEG39]] &gt;0,INDEX(SEGMENTS[], MATCH(CABLES[[#Headers],[SEG39]],SEGMENTS[SEG_ID],0),4),0)</f>
        <v>0</v>
      </c>
      <c r="CZ15" s="9">
        <f xml:space="preserve"> IF(CABLES[[#This Row],[SEG40]] &gt;0,INDEX(SEGMENTS[], MATCH(CABLES[[#Headers],[SEG40]],SEGMENTS[SEG_ID],0),4),0)</f>
        <v>0</v>
      </c>
      <c r="DA15" s="9">
        <f xml:space="preserve"> IF(CABLES[[#This Row],[SEG41]] &gt;0,INDEX(SEGMENTS[], MATCH(CABLES[[#Headers],[SEG41]],SEGMENTS[SEG_ID],0),4),0)</f>
        <v>0</v>
      </c>
      <c r="DB15" s="9">
        <f xml:space="preserve"> IF(CABLES[[#This Row],[SEG42]] &gt;0,INDEX(SEGMENTS[], MATCH(CABLES[[#Headers],[SEG42]],SEGMENTS[SEG_ID],0),4),0)</f>
        <v>0</v>
      </c>
      <c r="DC15" s="9">
        <f xml:space="preserve"> IF(CABLES[[#This Row],[SEG43]] &gt;0,INDEX(SEGMENTS[], MATCH(CABLES[[#Headers],[SEG43]],SEGMENTS[SEG_ID],0),4),0)</f>
        <v>0</v>
      </c>
      <c r="DD15" s="9">
        <f xml:space="preserve"> IF(CABLES[[#This Row],[SEG44]] &gt;0,INDEX(SEGMENTS[], MATCH(CABLES[[#Headers],[SEG44]],SEGMENTS[SEG_ID],0),4),0)</f>
        <v>0</v>
      </c>
      <c r="DE15" s="9">
        <f xml:space="preserve"> IF(CABLES[[#This Row],[SEG45]] &gt;0,INDEX(SEGMENTS[], MATCH(CABLES[[#Headers],[SEG45]],SEGMENTS[SEG_ID],0),4),0)</f>
        <v>0</v>
      </c>
      <c r="DF15" s="9">
        <f xml:space="preserve"> IF(CABLES[[#This Row],[SEG46]] &gt;0,INDEX(SEGMENTS[], MATCH(CABLES[[#Headers],[SEG46]],SEGMENTS[SEG_ID],0),4),0)</f>
        <v>0</v>
      </c>
      <c r="DG15" s="9">
        <f xml:space="preserve"> IF(CABLES[[#This Row],[SEG47]] &gt;0,INDEX(SEGMENTS[], MATCH(CABLES[[#Headers],[SEG47]],SEGMENTS[SEG_ID],0),4),0)</f>
        <v>0</v>
      </c>
      <c r="DH15" s="9">
        <f xml:space="preserve"> IF(CABLES[[#This Row],[SEG48]] &gt;0,INDEX(SEGMENTS[], MATCH(CABLES[[#Headers],[SEG48]],SEGMENTS[SEG_ID],0),4),0)</f>
        <v>0</v>
      </c>
      <c r="DI15" s="9">
        <f xml:space="preserve"> IF(CABLES[[#This Row],[SEG49]] &gt;0,INDEX(SEGMENTS[], MATCH(CABLES[[#Headers],[SEG49]],SEGMENTS[SEG_ID],0),4),0)</f>
        <v>0</v>
      </c>
      <c r="DJ15" s="9">
        <f xml:space="preserve"> IF(CABLES[[#This Row],[SEG50]] &gt;0,INDEX(SEGMENTS[], MATCH(CABLES[[#Headers],[SEG50]],SEGMENTS[SEG_ID],0),4),0)</f>
        <v>0</v>
      </c>
      <c r="DK15" s="9">
        <f xml:space="preserve"> IF(CABLES[[#This Row],[SEG51]] &gt;0,INDEX(SEGMENTS[], MATCH(CABLES[[#Headers],[SEG51]],SEGMENTS[SEG_ID],0),4),0)</f>
        <v>0</v>
      </c>
      <c r="DL15" s="9">
        <f xml:space="preserve"> IF(CABLES[[#This Row],[SEG52]] &gt;0,INDEX(SEGMENTS[], MATCH(CABLES[[#Headers],[SEG52]],SEGMENTS[SEG_ID],0),4),0)</f>
        <v>0</v>
      </c>
      <c r="DM15" s="9">
        <f xml:space="preserve"> IF(CABLES[[#This Row],[SEG53]] &gt;0,INDEX(SEGMENTS[], MATCH(CABLES[[#Headers],[SEG53]],SEGMENTS[SEG_ID],0),4),0)</f>
        <v>0</v>
      </c>
      <c r="DN15" s="9">
        <f xml:space="preserve"> IF(CABLES[[#This Row],[SEG54]] &gt;0,INDEX(SEGMENTS[], MATCH(CABLES[[#Headers],[SEG54]],SEGMENTS[SEG_ID],0),4),0)</f>
        <v>0</v>
      </c>
      <c r="DO15" s="9">
        <f xml:space="preserve"> IF(CABLES[[#This Row],[SEG55]] &gt;0,INDEX(SEGMENTS[], MATCH(CABLES[[#Headers],[SEG55]],SEGMENTS[SEG_ID],0),4),0)</f>
        <v>0</v>
      </c>
      <c r="DP15" s="9">
        <f xml:space="preserve"> IF(CABLES[[#This Row],[SEG56]] &gt;0,INDEX(SEGMENTS[], MATCH(CABLES[[#Headers],[SEG56]],SEGMENTS[SEG_ID],0),4),0)</f>
        <v>0</v>
      </c>
      <c r="DQ15" s="9">
        <f xml:space="preserve"> IF(CABLES[[#This Row],[SEG57]] &gt;0,INDEX(SEGMENTS[], MATCH(CABLES[[#Headers],[SEG57]],SEGMENTS[SEG_ID],0),4),0)</f>
        <v>0</v>
      </c>
      <c r="DR15" s="9">
        <f xml:space="preserve"> IF(CABLES[[#This Row],[SEG58]] &gt;0,INDEX(SEGMENTS[], MATCH(CABLES[[#Headers],[SEG58]],SEGMENTS[SEG_ID],0),4),0)</f>
        <v>0</v>
      </c>
      <c r="DS15" s="9">
        <f xml:space="preserve"> IF(CABLES[[#This Row],[SEG59]] &gt;0,INDEX(SEGMENTS[], MATCH(CABLES[[#Headers],[SEG59]],SEGMENTS[SEG_ID],0),4),0)</f>
        <v>0</v>
      </c>
      <c r="DT15" s="9">
        <f xml:space="preserve"> IF(CABLES[[#This Row],[SEG60]] &gt;0,INDEX(SEGMENTS[], MATCH(CABLES[[#Headers],[SEG60]],SEGMENTS[SEG_ID],0),4),0)</f>
        <v>0</v>
      </c>
      <c r="DU15" s="10">
        <f>SUM(CABLES[[#This Row],[SEGL1]:[SEGL60]])</f>
        <v>31</v>
      </c>
      <c r="DV15" s="10">
        <v>5</v>
      </c>
      <c r="DW15" s="10">
        <v>1.2</v>
      </c>
      <c r="DX15" s="10">
        <f xml:space="preserve"> IF(CABLES[[#This Row],[SEGL_TOTAL]]&gt;0, (CABLES[[#This Row],[SEGL_TOTAL]] + CABLES[[#This Row],[FITOFF]]) *CABLES[[#This Row],[XCAPACITY]],0)</f>
        <v>43.199999999999996</v>
      </c>
      <c r="DY15" s="10">
        <f>IF(CABLES[[#This Row],[SEG1]]&gt;0,CABLES[[#This Row],[CABLE_DIAMETER]],0)</f>
        <v>12</v>
      </c>
      <c r="DZ15" s="10">
        <f>IF(CABLES[[#This Row],[SEG2]]&gt;0,CABLES[[#This Row],[CABLE_DIAMETER]],0)</f>
        <v>12</v>
      </c>
      <c r="EA15" s="10">
        <f>IF(CABLES[[#This Row],[SEG3]]&gt;0,CABLES[[#This Row],[CABLE_DIAMETER]],0)</f>
        <v>12</v>
      </c>
      <c r="EB15" s="10">
        <f>IF(CABLES[[#This Row],[SEG4]]&gt;0,CABLES[[#This Row],[CABLE_DIAMETER]],0)</f>
        <v>0</v>
      </c>
      <c r="EC15" s="10">
        <f>IF(CABLES[[#This Row],[SEG5]]&gt;0,CABLES[[#This Row],[CABLE_DIAMETER]],0)</f>
        <v>0</v>
      </c>
      <c r="ED15" s="10">
        <f>IF(CABLES[[#This Row],[SEG6]]&gt;0,CABLES[[#This Row],[CABLE_DIAMETER]],0)</f>
        <v>0</v>
      </c>
      <c r="EE15" s="10">
        <f>IF(CABLES[[#This Row],[SEG7]]&gt;0,CABLES[[#This Row],[CABLE_DIAMETER]],0)</f>
        <v>0</v>
      </c>
      <c r="EF15" s="10">
        <f>IF(CABLES[[#This Row],[SEG9]]&gt;0,CABLES[[#This Row],[CABLE_DIAMETER]],0)</f>
        <v>0</v>
      </c>
      <c r="EG15" s="10">
        <f>IF(CABLES[[#This Row],[SEG9]]&gt;0,CABLES[[#This Row],[CABLE_DIAMETER]],0)</f>
        <v>0</v>
      </c>
      <c r="EH15" s="10">
        <f>IF(CABLES[[#This Row],[SEG10]]&gt;0,CABLES[[#This Row],[CABLE_DIAMETER]],0)</f>
        <v>0</v>
      </c>
      <c r="EI15" s="10">
        <f>IF(CABLES[[#This Row],[SEG11]]&gt;0,CABLES[[#This Row],[CABLE_DIAMETER]],0)</f>
        <v>0</v>
      </c>
      <c r="EJ15" s="10">
        <f>IF(CABLES[[#This Row],[SEG12]]&gt;0,CABLES[[#This Row],[CABLE_DIAMETER]],0)</f>
        <v>0</v>
      </c>
      <c r="EK15" s="10">
        <f>IF(CABLES[[#This Row],[SEG13]]&gt;0,CABLES[[#This Row],[CABLE_DIAMETER]],0)</f>
        <v>0</v>
      </c>
      <c r="EL15" s="10">
        <f>IF(CABLES[[#This Row],[SEG14]]&gt;0,CABLES[[#This Row],[CABLE_DIAMETER]],0)</f>
        <v>0</v>
      </c>
      <c r="EM15" s="10">
        <f>IF(CABLES[[#This Row],[SEG15]]&gt;0,CABLES[[#This Row],[CABLE_DIAMETER]],0)</f>
        <v>0</v>
      </c>
      <c r="EN15" s="10">
        <f>IF(CABLES[[#This Row],[SEG16]]&gt;0,CABLES[[#This Row],[CABLE_DIAMETER]],0)</f>
        <v>0</v>
      </c>
      <c r="EO15" s="10">
        <f>IF(CABLES[[#This Row],[SEG17]]&gt;0,CABLES[[#This Row],[CABLE_DIAMETER]],0)</f>
        <v>0</v>
      </c>
      <c r="EP15" s="10">
        <f>IF(CABLES[[#This Row],[SEG18]]&gt;0,CABLES[[#This Row],[CABLE_DIAMETER]],0)</f>
        <v>0</v>
      </c>
      <c r="EQ15" s="10">
        <f>IF(CABLES[[#This Row],[SEG19]]&gt;0,CABLES[[#This Row],[CABLE_DIAMETER]],0)</f>
        <v>0</v>
      </c>
      <c r="ER15" s="10">
        <f>IF(CABLES[[#This Row],[SEG20]]&gt;0,CABLES[[#This Row],[CABLE_DIAMETER]],0)</f>
        <v>0</v>
      </c>
      <c r="ES15" s="10">
        <f>IF(CABLES[[#This Row],[SEG21]]&gt;0,CABLES[[#This Row],[CABLE_DIAMETER]],0)</f>
        <v>0</v>
      </c>
      <c r="ET15" s="10">
        <f>IF(CABLES[[#This Row],[SEG22]]&gt;0,CABLES[[#This Row],[CABLE_DIAMETER]],0)</f>
        <v>0</v>
      </c>
      <c r="EU15" s="10">
        <f>IF(CABLES[[#This Row],[SEG23]]&gt;0,CABLES[[#This Row],[CABLE_DIAMETER]],0)</f>
        <v>0</v>
      </c>
      <c r="EV15" s="10">
        <f>IF(CABLES[[#This Row],[SEG24]]&gt;0,CABLES[[#This Row],[CABLE_DIAMETER]],0)</f>
        <v>0</v>
      </c>
      <c r="EW15" s="10">
        <f>IF(CABLES[[#This Row],[SEG25]]&gt;0,CABLES[[#This Row],[CABLE_DIAMETER]],0)</f>
        <v>0</v>
      </c>
      <c r="EX15" s="10">
        <f>IF(CABLES[[#This Row],[SEG26]]&gt;0,CABLES[[#This Row],[CABLE_DIAMETER]],0)</f>
        <v>0</v>
      </c>
      <c r="EY15" s="10">
        <f>IF(CABLES[[#This Row],[SEG27]]&gt;0,CABLES[[#This Row],[CABLE_DIAMETER]],0)</f>
        <v>0</v>
      </c>
      <c r="EZ15" s="10">
        <f>IF(CABLES[[#This Row],[SEG28]]&gt;0,CABLES[[#This Row],[CABLE_DIAMETER]],0)</f>
        <v>0</v>
      </c>
      <c r="FA15" s="10">
        <f>IF(CABLES[[#This Row],[SEG29]]&gt;0,CABLES[[#This Row],[CABLE_DIAMETER]],0)</f>
        <v>0</v>
      </c>
      <c r="FB15" s="10">
        <f>IF(CABLES[[#This Row],[SEG30]]&gt;0,CABLES[[#This Row],[CABLE_DIAMETER]],0)</f>
        <v>0</v>
      </c>
      <c r="FC15" s="10">
        <f>IF(CABLES[[#This Row],[SEG31]]&gt;0,CABLES[[#This Row],[CABLE_DIAMETER]],0)</f>
        <v>0</v>
      </c>
      <c r="FD15" s="10">
        <f>IF(CABLES[[#This Row],[SEG32]]&gt;0,CABLES[[#This Row],[CABLE_DIAMETER]],0)</f>
        <v>0</v>
      </c>
      <c r="FE15" s="10">
        <f>IF(CABLES[[#This Row],[SEG33]]&gt;0,CABLES[[#This Row],[CABLE_DIAMETER]],0)</f>
        <v>0</v>
      </c>
      <c r="FF15" s="10">
        <f>IF(CABLES[[#This Row],[SEG34]]&gt;0,CABLES[[#This Row],[CABLE_DIAMETER]],0)</f>
        <v>0</v>
      </c>
      <c r="FG15" s="10">
        <f>IF(CABLES[[#This Row],[SEG35]]&gt;0,CABLES[[#This Row],[CABLE_DIAMETER]],0)</f>
        <v>0</v>
      </c>
      <c r="FH15" s="10">
        <f>IF(CABLES[[#This Row],[SEG36]]&gt;0,CABLES[[#This Row],[CABLE_DIAMETER]],0)</f>
        <v>0</v>
      </c>
      <c r="FI15" s="10">
        <f>IF(CABLES[[#This Row],[SEG37]]&gt;0,CABLES[[#This Row],[CABLE_DIAMETER]],0)</f>
        <v>0</v>
      </c>
      <c r="FJ15" s="10">
        <f>IF(CABLES[[#This Row],[SEG38]]&gt;0,CABLES[[#This Row],[CABLE_DIAMETER]],0)</f>
        <v>0</v>
      </c>
      <c r="FK15" s="10">
        <f>IF(CABLES[[#This Row],[SEG39]]&gt;0,CABLES[[#This Row],[CABLE_DIAMETER]],0)</f>
        <v>0</v>
      </c>
      <c r="FL15" s="10">
        <f>IF(CABLES[[#This Row],[SEG40]]&gt;0,CABLES[[#This Row],[CABLE_DIAMETER]],0)</f>
        <v>0</v>
      </c>
      <c r="FM15" s="10">
        <f>IF(CABLES[[#This Row],[SEG41]]&gt;0,CABLES[[#This Row],[CABLE_DIAMETER]],0)</f>
        <v>0</v>
      </c>
      <c r="FN15" s="10">
        <f>IF(CABLES[[#This Row],[SEG42]]&gt;0,CABLES[[#This Row],[CABLE_DIAMETER]],0)</f>
        <v>0</v>
      </c>
      <c r="FO15" s="10">
        <f>IF(CABLES[[#This Row],[SEG43]]&gt;0,CABLES[[#This Row],[CABLE_DIAMETER]],0)</f>
        <v>0</v>
      </c>
      <c r="FP15" s="10">
        <f>IF(CABLES[[#This Row],[SEG44]]&gt;0,CABLES[[#This Row],[CABLE_DIAMETER]],0)</f>
        <v>0</v>
      </c>
      <c r="FQ15" s="10">
        <f>IF(CABLES[[#This Row],[SEG45]]&gt;0,CABLES[[#This Row],[CABLE_DIAMETER]],0)</f>
        <v>0</v>
      </c>
      <c r="FR15" s="10">
        <f>IF(CABLES[[#This Row],[SEG46]]&gt;0,CABLES[[#This Row],[CABLE_DIAMETER]],0)</f>
        <v>0</v>
      </c>
      <c r="FS15" s="10">
        <f>IF(CABLES[[#This Row],[SEG47]]&gt;0,CABLES[[#This Row],[CABLE_DIAMETER]],0)</f>
        <v>0</v>
      </c>
      <c r="FT15" s="10">
        <f>IF(CABLES[[#This Row],[SEG48]]&gt;0,CABLES[[#This Row],[CABLE_DIAMETER]],0)</f>
        <v>0</v>
      </c>
      <c r="FU15" s="10">
        <f>IF(CABLES[[#This Row],[SEG49]]&gt;0,CABLES[[#This Row],[CABLE_DIAMETER]],0)</f>
        <v>0</v>
      </c>
      <c r="FV15" s="10">
        <f>IF(CABLES[[#This Row],[SEG50]]&gt;0,CABLES[[#This Row],[CABLE_DIAMETER]],0)</f>
        <v>0</v>
      </c>
      <c r="FW15" s="10">
        <f>IF(CABLES[[#This Row],[SEG51]]&gt;0,CABLES[[#This Row],[CABLE_DIAMETER]],0)</f>
        <v>0</v>
      </c>
      <c r="FX15" s="10">
        <f>IF(CABLES[[#This Row],[SEG52]]&gt;0,CABLES[[#This Row],[CABLE_DIAMETER]],0)</f>
        <v>0</v>
      </c>
      <c r="FY15" s="10">
        <f>IF(CABLES[[#This Row],[SEG53]]&gt;0,CABLES[[#This Row],[CABLE_DIAMETER]],0)</f>
        <v>0</v>
      </c>
      <c r="FZ15" s="10">
        <f>IF(CABLES[[#This Row],[SEG54]]&gt;0,CABLES[[#This Row],[CABLE_DIAMETER]],0)</f>
        <v>0</v>
      </c>
      <c r="GA15" s="10">
        <f>IF(CABLES[[#This Row],[SEG55]]&gt;0,CABLES[[#This Row],[CABLE_DIAMETER]],0)</f>
        <v>0</v>
      </c>
      <c r="GB15" s="10">
        <f>IF(CABLES[[#This Row],[SEG56]]&gt;0,CABLES[[#This Row],[CABLE_DIAMETER]],0)</f>
        <v>0</v>
      </c>
      <c r="GC15" s="10">
        <f>IF(CABLES[[#This Row],[SEG57]]&gt;0,CABLES[[#This Row],[CABLE_DIAMETER]],0)</f>
        <v>0</v>
      </c>
      <c r="GD15" s="10">
        <f>IF(CABLES[[#This Row],[SEG58]]&gt;0,CABLES[[#This Row],[CABLE_DIAMETER]],0)</f>
        <v>0</v>
      </c>
      <c r="GE15" s="10">
        <f>IF(CABLES[[#This Row],[SEG59]]&gt;0,CABLES[[#This Row],[CABLE_DIAMETER]],0)</f>
        <v>0</v>
      </c>
      <c r="GF15" s="10">
        <f>IF(CABLES[[#This Row],[SEG60]]&gt;0,CABLES[[#This Row],[CABLE_DIAMETER]],0)</f>
        <v>0</v>
      </c>
      <c r="GG15" s="10">
        <f>IF(CABLES[[#This Row],[SEG1]]&gt;0,CABLES[[#This Row],[CABLE_MASS]],0)</f>
        <v>0.21</v>
      </c>
      <c r="GH15" s="10">
        <f>IF(CABLES[[#This Row],[SEG2]]&gt;0,CABLES[[#This Row],[CABLE_MASS]],0)</f>
        <v>0.21</v>
      </c>
      <c r="GI15" s="10">
        <f>IF(CABLES[[#This Row],[SEG3]]&gt;0,CABLES[[#This Row],[CABLE_MASS]],0)</f>
        <v>0.21</v>
      </c>
      <c r="GJ15" s="10">
        <f>IF(CABLES[[#This Row],[SEG4]]&gt;0,CABLES[[#This Row],[CABLE_MASS]],0)</f>
        <v>0</v>
      </c>
      <c r="GK15" s="10">
        <f>IF(CABLES[[#This Row],[SEG5]]&gt;0,CABLES[[#This Row],[CABLE_MASS]],0)</f>
        <v>0</v>
      </c>
      <c r="GL15" s="10">
        <f>IF(CABLES[[#This Row],[SEG6]]&gt;0,CABLES[[#This Row],[CABLE_MASS]],0)</f>
        <v>0</v>
      </c>
      <c r="GM15" s="10">
        <f>IF(CABLES[[#This Row],[SEG7]]&gt;0,CABLES[[#This Row],[CABLE_MASS]],0)</f>
        <v>0</v>
      </c>
      <c r="GN15" s="10">
        <f>IF(CABLES[[#This Row],[SEG8]]&gt;0,CABLES[[#This Row],[CABLE_MASS]],0)</f>
        <v>0</v>
      </c>
      <c r="GO15" s="10">
        <f>IF(CABLES[[#This Row],[SEG9]]&gt;0,CABLES[[#This Row],[CABLE_MASS]],0)</f>
        <v>0</v>
      </c>
      <c r="GP15" s="10">
        <f>IF(CABLES[[#This Row],[SEG10]]&gt;0,CABLES[[#This Row],[CABLE_MASS]],0)</f>
        <v>0</v>
      </c>
      <c r="GQ15" s="10">
        <f>IF(CABLES[[#This Row],[SEG11]]&gt;0,CABLES[[#This Row],[CABLE_MASS]],0)</f>
        <v>0</v>
      </c>
      <c r="GR15" s="10">
        <f>IF(CABLES[[#This Row],[SEG12]]&gt;0,CABLES[[#This Row],[CABLE_MASS]],0)</f>
        <v>0</v>
      </c>
      <c r="GS15" s="10">
        <f>IF(CABLES[[#This Row],[SEG13]]&gt;0,CABLES[[#This Row],[CABLE_MASS]],0)</f>
        <v>0</v>
      </c>
      <c r="GT15" s="10">
        <f>IF(CABLES[[#This Row],[SEG14]]&gt;0,CABLES[[#This Row],[CABLE_MASS]],0)</f>
        <v>0</v>
      </c>
      <c r="GU15" s="10">
        <f>IF(CABLES[[#This Row],[SEG15]]&gt;0,CABLES[[#This Row],[CABLE_MASS]],0)</f>
        <v>0</v>
      </c>
      <c r="GV15" s="10">
        <f>IF(CABLES[[#This Row],[SEG16]]&gt;0,CABLES[[#This Row],[CABLE_MASS]],0)</f>
        <v>0</v>
      </c>
      <c r="GW15" s="10">
        <f>IF(CABLES[[#This Row],[SEG17]]&gt;0,CABLES[[#This Row],[CABLE_MASS]],0)</f>
        <v>0</v>
      </c>
      <c r="GX15" s="10">
        <f>IF(CABLES[[#This Row],[SEG18]]&gt;0,CABLES[[#This Row],[CABLE_MASS]],0)</f>
        <v>0</v>
      </c>
      <c r="GY15" s="10">
        <f>IF(CABLES[[#This Row],[SEG19]]&gt;0,CABLES[[#This Row],[CABLE_MASS]],0)</f>
        <v>0</v>
      </c>
      <c r="GZ15" s="10">
        <f>IF(CABLES[[#This Row],[SEG20]]&gt;0,CABLES[[#This Row],[CABLE_MASS]],0)</f>
        <v>0</v>
      </c>
      <c r="HA15" s="10">
        <f>IF(CABLES[[#This Row],[SEG21]]&gt;0,CABLES[[#This Row],[CABLE_MASS]],0)</f>
        <v>0</v>
      </c>
      <c r="HB15" s="10">
        <f>IF(CABLES[[#This Row],[SEG22]]&gt;0,CABLES[[#This Row],[CABLE_MASS]],0)</f>
        <v>0</v>
      </c>
      <c r="HC15" s="10">
        <f>IF(CABLES[[#This Row],[SEG23]]&gt;0,CABLES[[#This Row],[CABLE_MASS]],0)</f>
        <v>0</v>
      </c>
      <c r="HD15" s="10">
        <f>IF(CABLES[[#This Row],[SEG24]]&gt;0,CABLES[[#This Row],[CABLE_MASS]],0)</f>
        <v>0</v>
      </c>
      <c r="HE15" s="10">
        <f>IF(CABLES[[#This Row],[SEG25]]&gt;0,CABLES[[#This Row],[CABLE_MASS]],0)</f>
        <v>0</v>
      </c>
      <c r="HF15" s="10">
        <f>IF(CABLES[[#This Row],[SEG26]]&gt;0,CABLES[[#This Row],[CABLE_MASS]],0)</f>
        <v>0</v>
      </c>
      <c r="HG15" s="10">
        <f>IF(CABLES[[#This Row],[SEG27]]&gt;0,CABLES[[#This Row],[CABLE_MASS]],0)</f>
        <v>0</v>
      </c>
      <c r="HH15" s="10">
        <f>IF(CABLES[[#This Row],[SEG28]]&gt;0,CABLES[[#This Row],[CABLE_MASS]],0)</f>
        <v>0</v>
      </c>
      <c r="HI15" s="10">
        <f>IF(CABLES[[#This Row],[SEG29]]&gt;0,CABLES[[#This Row],[CABLE_MASS]],0)</f>
        <v>0</v>
      </c>
      <c r="HJ15" s="10">
        <f>IF(CABLES[[#This Row],[SEG30]]&gt;0,CABLES[[#This Row],[CABLE_MASS]],0)</f>
        <v>0</v>
      </c>
      <c r="HK15" s="10">
        <f>IF(CABLES[[#This Row],[SEG31]]&gt;0,CABLES[[#This Row],[CABLE_MASS]],0)</f>
        <v>0</v>
      </c>
      <c r="HL15" s="10">
        <f>IF(CABLES[[#This Row],[SEG32]]&gt;0,CABLES[[#This Row],[CABLE_MASS]],0)</f>
        <v>0</v>
      </c>
      <c r="HM15" s="10">
        <f>IF(CABLES[[#This Row],[SEG33]]&gt;0,CABLES[[#This Row],[CABLE_MASS]],0)</f>
        <v>0</v>
      </c>
      <c r="HN15" s="10">
        <f>IF(CABLES[[#This Row],[SEG34]]&gt;0,CABLES[[#This Row],[CABLE_MASS]],0)</f>
        <v>0</v>
      </c>
      <c r="HO15" s="10">
        <f>IF(CABLES[[#This Row],[SEG35]]&gt;0,CABLES[[#This Row],[CABLE_MASS]],0)</f>
        <v>0</v>
      </c>
      <c r="HP15" s="10">
        <f>IF(CABLES[[#This Row],[SEG36]]&gt;0,CABLES[[#This Row],[CABLE_MASS]],0)</f>
        <v>0</v>
      </c>
      <c r="HQ15" s="10">
        <f>IF(CABLES[[#This Row],[SEG37]]&gt;0,CABLES[[#This Row],[CABLE_MASS]],0)</f>
        <v>0</v>
      </c>
      <c r="HR15" s="10">
        <f>IF(CABLES[[#This Row],[SEG38]]&gt;0,CABLES[[#This Row],[CABLE_MASS]],0)</f>
        <v>0</v>
      </c>
      <c r="HS15" s="10">
        <f>IF(CABLES[[#This Row],[SEG39]]&gt;0,CABLES[[#This Row],[CABLE_MASS]],0)</f>
        <v>0</v>
      </c>
      <c r="HT15" s="10">
        <f>IF(CABLES[[#This Row],[SEG40]]&gt;0,CABLES[[#This Row],[CABLE_MASS]],0)</f>
        <v>0</v>
      </c>
      <c r="HU15" s="10">
        <f>IF(CABLES[[#This Row],[SEG41]]&gt;0,CABLES[[#This Row],[CABLE_MASS]],0)</f>
        <v>0</v>
      </c>
      <c r="HV15" s="10">
        <f>IF(CABLES[[#This Row],[SEG42]]&gt;0,CABLES[[#This Row],[CABLE_MASS]],0)</f>
        <v>0</v>
      </c>
      <c r="HW15" s="10">
        <f>IF(CABLES[[#This Row],[SEG43]]&gt;0,CABLES[[#This Row],[CABLE_MASS]],0)</f>
        <v>0</v>
      </c>
      <c r="HX15" s="10">
        <f>IF(CABLES[[#This Row],[SEG44]]&gt;0,CABLES[[#This Row],[CABLE_MASS]],0)</f>
        <v>0</v>
      </c>
      <c r="HY15" s="10">
        <f>IF(CABLES[[#This Row],[SEG45]]&gt;0,CABLES[[#This Row],[CABLE_MASS]],0)</f>
        <v>0</v>
      </c>
      <c r="HZ15" s="10">
        <f>IF(CABLES[[#This Row],[SEG46]]&gt;0,CABLES[[#This Row],[CABLE_MASS]],0)</f>
        <v>0</v>
      </c>
      <c r="IA15" s="10">
        <f>IF(CABLES[[#This Row],[SEG47]]&gt;0,CABLES[[#This Row],[CABLE_MASS]],0)</f>
        <v>0</v>
      </c>
      <c r="IB15" s="10">
        <f>IF(CABLES[[#This Row],[SEG48]]&gt;0,CABLES[[#This Row],[CABLE_MASS]],0)</f>
        <v>0</v>
      </c>
      <c r="IC15" s="10">
        <f>IF(CABLES[[#This Row],[SEG49]]&gt;0,CABLES[[#This Row],[CABLE_MASS]],0)</f>
        <v>0</v>
      </c>
      <c r="ID15" s="10">
        <f>IF(CABLES[[#This Row],[SEG50]]&gt;0,CABLES[[#This Row],[CABLE_MASS]],0)</f>
        <v>0</v>
      </c>
      <c r="IE15" s="10">
        <f>IF(CABLES[[#This Row],[SEG51]]&gt;0,CABLES[[#This Row],[CABLE_MASS]],0)</f>
        <v>0</v>
      </c>
      <c r="IF15" s="10">
        <f>IF(CABLES[[#This Row],[SEG52]]&gt;0,CABLES[[#This Row],[CABLE_MASS]],0)</f>
        <v>0</v>
      </c>
      <c r="IG15" s="10">
        <f>IF(CABLES[[#This Row],[SEG53]]&gt;0,CABLES[[#This Row],[CABLE_MASS]],0)</f>
        <v>0</v>
      </c>
      <c r="IH15" s="10">
        <f>IF(CABLES[[#This Row],[SEG54]]&gt;0,CABLES[[#This Row],[CABLE_MASS]],0)</f>
        <v>0</v>
      </c>
      <c r="II15" s="10">
        <f>IF(CABLES[[#This Row],[SEG55]]&gt;0,CABLES[[#This Row],[CABLE_MASS]],0)</f>
        <v>0</v>
      </c>
      <c r="IJ15" s="10">
        <f>IF(CABLES[[#This Row],[SEG56]]&gt;0,CABLES[[#This Row],[CABLE_MASS]],0)</f>
        <v>0</v>
      </c>
      <c r="IK15" s="10">
        <f>IF(CABLES[[#This Row],[SEG57]]&gt;0,CABLES[[#This Row],[CABLE_MASS]],0)</f>
        <v>0</v>
      </c>
      <c r="IL15" s="10">
        <f>IF(CABLES[[#This Row],[SEG58]]&gt;0,CABLES[[#This Row],[CABLE_MASS]],0)</f>
        <v>0</v>
      </c>
      <c r="IM15" s="10">
        <f>IF(CABLES[[#This Row],[SEG59]]&gt;0,CABLES[[#This Row],[CABLE_MASS]],0)</f>
        <v>0</v>
      </c>
      <c r="IN15" s="10">
        <f>IF(CABLES[[#This Row],[SEG60]]&gt;0,CABLES[[#This Row],[CABLE_MASS]],0)</f>
        <v>0</v>
      </c>
      <c r="IO15" s="10">
        <f xml:space="preserve">  (CABLES[[#This Row],[LOAD_KW]]/(SQRT(3)*SYSTEM_VOLTAGE*POWER_FACTOR))*1000</f>
        <v>3.528251645047713</v>
      </c>
      <c r="IP15" s="10">
        <v>45</v>
      </c>
      <c r="IQ15" s="10">
        <f xml:space="preserve"> INDEX(AS3000_AMBIENTDERATE[], MATCH(CABLES[[#This Row],[AMBIENT]],AS3000_AMBIENTDERATE[AMBIENT],0), 2)</f>
        <v>0.94</v>
      </c>
      <c r="IR15" s="10">
        <f xml:space="preserve"> ROUNDUP( CABLES[[#This Row],[CALCULATED_AMPS]]/CABLES[[#This Row],[AMBIENT_DERATING]],1)</f>
        <v>3.8000000000000003</v>
      </c>
      <c r="IS15" s="10" t="s">
        <v>531</v>
      </c>
      <c r="IT1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15" s="10">
        <f t="shared" si="0"/>
        <v>28.000000000000004</v>
      </c>
      <c r="IV15" s="10">
        <f>(1000*CABLES[[#This Row],[MAX_VDROP]])/(CABLES[[#This Row],[ESTIMATED_CABLE_LENGTH]]*CABLES[[#This Row],[AMP_RATING]])</f>
        <v>170.56530214424953</v>
      </c>
      <c r="IW15" s="10">
        <f xml:space="preserve"> INDEX(AS3000_VDROP[], MATCH(CABLES[[#This Row],[VC_CALC]],AS3000_VDROP[Vc],1),1)</f>
        <v>2.5</v>
      </c>
      <c r="IX15" s="10">
        <f>MAX(CABLES[[#This Row],[CABLESIZE_METHOD1]],CABLES[[#This Row],[CABLESIZE_METHOD2]])</f>
        <v>2.5</v>
      </c>
      <c r="IY15" s="10"/>
      <c r="IZ15" s="10">
        <f>IF(LEN(CABLES[[#This Row],[OVERRIDE_CABLESIZE]])&gt;0,CABLES[[#This Row],[OVERRIDE_CABLESIZE]],CABLES[[#This Row],[INITIAL_CABLESIZE]])</f>
        <v>2.5</v>
      </c>
      <c r="JA15" s="10">
        <f>INDEX(PROTECTIVE_DEVICE[DEVICE], MATCH(CABLES[[#This Row],[CALCULATED_AMPS]],PROTECTIVE_DEVICE[DEVICE],-1),1)</f>
        <v>6</v>
      </c>
      <c r="JB15" s="10"/>
      <c r="JC15" s="10">
        <f>IF(LEN(CABLES[[#This Row],[OVERRIDE_PDEVICE]])&gt;0, CABLES[[#This Row],[OVERRIDE_PDEVICE]],CABLES[[#This Row],[RECOMMEND_PDEVICE]])</f>
        <v>6</v>
      </c>
      <c r="JD15" s="10" t="s">
        <v>450</v>
      </c>
      <c r="JE15" s="10">
        <f xml:space="preserve"> CABLES[[#This Row],[SELECTED_PDEVICE]] * INDEX(DEVICE_CURVE[], MATCH(CABLES[[#This Row],[PDEVICE_CURVE]], DEVICE_CURVE[DEVICE_CURVE],0),2)</f>
        <v>39</v>
      </c>
      <c r="JF15" s="10" t="s">
        <v>458</v>
      </c>
      <c r="JG15" s="10">
        <f xml:space="preserve"> INDEX(CONDUCTOR_MATERIAL[], MATCH(CABLES[[#This Row],[CONDUCTOR_MATERIAL]],CONDUCTOR_MATERIAL[CONDUCTOR_MATERIAL],0),2)</f>
        <v>2.2499999999999999E-2</v>
      </c>
      <c r="JH15" s="10">
        <f>CABLES[[#This Row],[SELECTED_CABLESIZE]]</f>
        <v>2.5</v>
      </c>
      <c r="JI15" s="10">
        <f xml:space="preserve"> INDEX( EARTH_CONDUCTOR_SIZE[], MATCH(CABLES[[#This Row],[SPH]],EARTH_CONDUCTOR_SIZE[MM^2],-1), 2)</f>
        <v>2.5</v>
      </c>
      <c r="JJ15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15" s="10" t="str">
        <f>IF(CABLES[[#This Row],[LMAX]]&gt;CABLES[[#This Row],[ESTIMATED_CABLE_LENGTH]], "PASS", "ERROR")</f>
        <v>PASS</v>
      </c>
      <c r="JL1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1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15" s="6">
        <f xml:space="preserve"> ROUNDUP( CABLES[[#This Row],[CALCULATED_AMPS]],1)</f>
        <v>3.6</v>
      </c>
      <c r="JO15" s="6">
        <f>CABLES[[#This Row],[SELECTED_CABLESIZE]]</f>
        <v>2.5</v>
      </c>
      <c r="JP15" s="10">
        <f>CABLES[[#This Row],[ESTIMATED_CABLE_LENGTH]]</f>
        <v>43.199999999999996</v>
      </c>
      <c r="JQ15" s="6">
        <f>CABLES[[#This Row],[SELECTED_PDEVICE]]</f>
        <v>6</v>
      </c>
    </row>
    <row r="16" spans="1:277" x14ac:dyDescent="0.35">
      <c r="A16" s="5" t="s">
        <v>15</v>
      </c>
      <c r="B16" s="5" t="s">
        <v>485</v>
      </c>
      <c r="C16" s="10" t="s">
        <v>262</v>
      </c>
      <c r="D16" s="9">
        <v>4</v>
      </c>
      <c r="E16" s="9">
        <v>1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f xml:space="preserve"> IF(CABLES[[#This Row],[SEG1]] &gt;0, INDEX(SEGMENTS[], MATCH(CABLES[[#Headers],[SEG1]],SEGMENTS[SEG_ID],0),4),0)</f>
        <v>13</v>
      </c>
      <c r="BN16" s="9">
        <f xml:space="preserve"> IF(CABLES[[#This Row],[SEG2]] &gt;0, INDEX(SEGMENTS[], MATCH(CABLES[[#Headers],[SEG2]],SEGMENTS[SEG_ID],0),4),0)</f>
        <v>2</v>
      </c>
      <c r="BO16" s="9">
        <f xml:space="preserve"> IF(CABLES[[#This Row],[SEG3]] &gt;0, INDEX(SEGMENTS[], MATCH(CABLES[[#Headers],[SEG3]],SEGMENTS[SEG_ID],0),4),0)</f>
        <v>16</v>
      </c>
      <c r="BP16" s="9">
        <f xml:space="preserve"> IF(CABLES[[#This Row],[SEG4]] &gt;0, INDEX(SEGMENTS[], MATCH(CABLES[[#Headers],[SEG4]],SEGMENTS[SEG_ID],0),4),0)</f>
        <v>0</v>
      </c>
      <c r="BQ16" s="9">
        <f xml:space="preserve"> IF(CABLES[[#This Row],[SEG5]] &gt;0,INDEX(SEGMENTS[], MATCH(CABLES[[#Headers],[SEG5]],SEGMENTS[SEG_ID],0),4),0)</f>
        <v>0</v>
      </c>
      <c r="BR16" s="9">
        <f xml:space="preserve"> IF(CABLES[[#This Row],[SEG6]] &gt;0,INDEX(SEGMENTS[], MATCH(CABLES[[#Headers],[SEG6]],SEGMENTS[SEG_ID],0),4),0)</f>
        <v>0</v>
      </c>
      <c r="BS16" s="9">
        <f xml:space="preserve"> IF(CABLES[[#This Row],[SEG7]] &gt;0,INDEX(SEGMENTS[], MATCH(CABLES[[#Headers],[SEG7]],SEGMENTS[SEG_ID],0),4),0)</f>
        <v>0</v>
      </c>
      <c r="BT16" s="9">
        <f xml:space="preserve"> IF(CABLES[[#This Row],[SEG8]] &gt;0,INDEX(SEGMENTS[], MATCH(CABLES[[#Headers],[SEG8]],SEGMENTS[SEG_ID],0),4),0)</f>
        <v>0</v>
      </c>
      <c r="BU16" s="9">
        <f xml:space="preserve"> IF(CABLES[[#This Row],[SEG9]] &gt;0,INDEX(SEGMENTS[], MATCH(CABLES[[#Headers],[SEG9]],SEGMENTS[SEG_ID],0),4),0)</f>
        <v>0</v>
      </c>
      <c r="BV16" s="9">
        <f xml:space="preserve"> IF(CABLES[[#This Row],[SEG10]] &gt;0,INDEX(SEGMENTS[], MATCH(CABLES[[#Headers],[SEG10]],SEGMENTS[SEG_ID],0),4),0)</f>
        <v>0</v>
      </c>
      <c r="BW16" s="9">
        <f xml:space="preserve"> IF(CABLES[[#This Row],[SEG11]] &gt;0,INDEX(SEGMENTS[], MATCH(CABLES[[#Headers],[SEG11]],SEGMENTS[SEG_ID],0),4),0)</f>
        <v>0</v>
      </c>
      <c r="BX16" s="9">
        <f>IF(CABLES[[#This Row],[SEG12]] &gt;0, INDEX(SEGMENTS[], MATCH(CABLES[[#Headers],[SEG12]],SEGMENTS[SEG_ID],0),4),0)</f>
        <v>0</v>
      </c>
      <c r="BY16" s="9">
        <f xml:space="preserve"> IF(CABLES[[#This Row],[SEG13]] &gt;0,INDEX(SEGMENTS[], MATCH(CABLES[[#Headers],[SEG13]],SEGMENTS[SEG_ID],0),4),0)</f>
        <v>0</v>
      </c>
      <c r="BZ16" s="9">
        <f xml:space="preserve"> IF(CABLES[[#This Row],[SEG14]] &gt;0,INDEX(SEGMENTS[], MATCH(CABLES[[#Headers],[SEG14]],SEGMENTS[SEG_ID],0),4),0)</f>
        <v>0</v>
      </c>
      <c r="CA16" s="9">
        <f xml:space="preserve"> IF(CABLES[[#This Row],[SEG15]] &gt;0,INDEX(SEGMENTS[], MATCH(CABLES[[#Headers],[SEG15]],SEGMENTS[SEG_ID],0),4),0)</f>
        <v>0</v>
      </c>
      <c r="CB16" s="9">
        <f xml:space="preserve"> IF(CABLES[[#This Row],[SEG16]] &gt;0,INDEX(SEGMENTS[], MATCH(CABLES[[#Headers],[SEG16]],SEGMENTS[SEG_ID],0),4),0)</f>
        <v>0</v>
      </c>
      <c r="CC16" s="9">
        <f xml:space="preserve"> IF(CABLES[[#This Row],[SEG17]] &gt;0,INDEX(SEGMENTS[], MATCH(CABLES[[#Headers],[SEG17]],SEGMENTS[SEG_ID],0),4),0)</f>
        <v>0</v>
      </c>
      <c r="CD16" s="9">
        <f xml:space="preserve"> IF(CABLES[[#This Row],[SEG18]] &gt;0,INDEX(SEGMENTS[], MATCH(CABLES[[#Headers],[SEG18]],SEGMENTS[SEG_ID],0),4),0)</f>
        <v>0</v>
      </c>
      <c r="CE16" s="9">
        <f>IF(CABLES[[#This Row],[SEG19]] &gt;0, INDEX(SEGMENTS[], MATCH(CABLES[[#Headers],[SEG19]],SEGMENTS[SEG_ID],0),4),0)</f>
        <v>0</v>
      </c>
      <c r="CF16" s="9">
        <f>IF(CABLES[[#This Row],[SEG20]] &gt;0, INDEX(SEGMENTS[], MATCH(CABLES[[#Headers],[SEG20]],SEGMENTS[SEG_ID],0),4),0)</f>
        <v>0</v>
      </c>
      <c r="CG16" s="9">
        <f xml:space="preserve"> IF(CABLES[[#This Row],[SEG21]] &gt;0,INDEX(SEGMENTS[], MATCH(CABLES[[#Headers],[SEG21]],SEGMENTS[SEG_ID],0),4),0)</f>
        <v>0</v>
      </c>
      <c r="CH16" s="9">
        <f xml:space="preserve"> IF(CABLES[[#This Row],[SEG22]] &gt;0,INDEX(SEGMENTS[], MATCH(CABLES[[#Headers],[SEG22]],SEGMENTS[SEG_ID],0),4),0)</f>
        <v>0</v>
      </c>
      <c r="CI16" s="9">
        <f>IF(CABLES[[#This Row],[SEG23]] &gt;0, INDEX(SEGMENTS[], MATCH(CABLES[[#Headers],[SEG23]],SEGMENTS[SEG_ID],0),4),0)</f>
        <v>0</v>
      </c>
      <c r="CJ16" s="9">
        <f xml:space="preserve"> IF(CABLES[[#This Row],[SEG24]] &gt;0,INDEX(SEGMENTS[], MATCH(CABLES[[#Headers],[SEG24]],SEGMENTS[SEG_ID],0),4),0)</f>
        <v>0</v>
      </c>
      <c r="CK16" s="9">
        <f>IF(CABLES[[#This Row],[SEG25]] &gt;0, INDEX(SEGMENTS[], MATCH(CABLES[[#Headers],[SEG25]],SEGMENTS[SEG_ID],0),4),0)</f>
        <v>0</v>
      </c>
      <c r="CL16" s="9">
        <f>IF(CABLES[[#This Row],[SEG26]] &gt;0, INDEX(SEGMENTS[], MATCH(CABLES[[#Headers],[SEG26]],SEGMENTS[SEG_ID],0),4),0)</f>
        <v>0</v>
      </c>
      <c r="CM16" s="9">
        <f xml:space="preserve"> IF(CABLES[[#This Row],[SEG27]] &gt;0,INDEX(SEGMENTS[], MATCH(CABLES[[#Headers],[SEG27]],SEGMENTS[SEG_ID],0),4),0)</f>
        <v>0</v>
      </c>
      <c r="CN16" s="9">
        <f xml:space="preserve"> IF(CABLES[[#This Row],[SEG28]] &gt;0,INDEX(SEGMENTS[], MATCH(CABLES[[#Headers],[SEG28]],SEGMENTS[SEG_ID],0),4),0)</f>
        <v>0</v>
      </c>
      <c r="CO16" s="9">
        <f xml:space="preserve"> IF(CABLES[[#This Row],[SEG29]] &gt;0,INDEX(SEGMENTS[], MATCH(CABLES[[#Headers],[SEG29]],SEGMENTS[SEG_ID],0),4),0)</f>
        <v>0</v>
      </c>
      <c r="CP16" s="9">
        <f xml:space="preserve"> IF(CABLES[[#This Row],[SEG30]] &gt;0,INDEX(SEGMENTS[], MATCH(CABLES[[#Headers],[SEG30]],SEGMENTS[SEG_ID],0),4),0)</f>
        <v>0</v>
      </c>
      <c r="CQ16" s="9">
        <f>IF(CABLES[[#This Row],[SEG31]] &gt;0, INDEX(SEGMENTS[], MATCH(CABLES[[#Headers],[SEG31]],SEGMENTS[SEG_ID],0),4),0)</f>
        <v>0</v>
      </c>
      <c r="CR16" s="9">
        <f xml:space="preserve"> IF(CABLES[[#This Row],[SEG32]] &gt;0,INDEX(SEGMENTS[], MATCH(CABLES[[#Headers],[SEG32]],SEGMENTS[SEG_ID],0),4),0)</f>
        <v>0</v>
      </c>
      <c r="CS16" s="9">
        <f xml:space="preserve"> IF(CABLES[[#This Row],[SEG33]] &gt;0,INDEX(SEGMENTS[], MATCH(CABLES[[#Headers],[SEG33]],SEGMENTS[SEG_ID],0),4),0)</f>
        <v>0</v>
      </c>
      <c r="CT16" s="9">
        <f>IF(CABLES[[#This Row],[SEG34]] &gt;0, INDEX(SEGMENTS[], MATCH(CABLES[[#Headers],[SEG34]],SEGMENTS[SEG_ID],0),4),0)</f>
        <v>0</v>
      </c>
      <c r="CU16" s="9">
        <f xml:space="preserve"> IF(CABLES[[#This Row],[SEG35]] &gt;0,INDEX(SEGMENTS[], MATCH(CABLES[[#Headers],[SEG35]],SEGMENTS[SEG_ID],0),4),0)</f>
        <v>0</v>
      </c>
      <c r="CV16" s="9">
        <f xml:space="preserve"> IF(CABLES[[#This Row],[SEG36]] &gt;0,INDEX(SEGMENTS[], MATCH(CABLES[[#Headers],[SEG36]],SEGMENTS[SEG_ID],0),4),0)</f>
        <v>0</v>
      </c>
      <c r="CW16" s="9">
        <f xml:space="preserve"> IF(CABLES[[#This Row],[SEG37]] &gt;0,INDEX(SEGMENTS[], MATCH(CABLES[[#Headers],[SEG37]],SEGMENTS[SEG_ID],0),4),0)</f>
        <v>0</v>
      </c>
      <c r="CX16" s="9">
        <f xml:space="preserve"> IF(CABLES[[#This Row],[SEG38]] &gt;0,INDEX(SEGMENTS[], MATCH(CABLES[[#Headers],[SEG38]],SEGMENTS[SEG_ID],0),4),0)</f>
        <v>0</v>
      </c>
      <c r="CY16" s="9">
        <f xml:space="preserve"> IF(CABLES[[#This Row],[SEG39]] &gt;0,INDEX(SEGMENTS[], MATCH(CABLES[[#Headers],[SEG39]],SEGMENTS[SEG_ID],0),4),0)</f>
        <v>0</v>
      </c>
      <c r="CZ16" s="9">
        <f xml:space="preserve"> IF(CABLES[[#This Row],[SEG40]] &gt;0,INDEX(SEGMENTS[], MATCH(CABLES[[#Headers],[SEG40]],SEGMENTS[SEG_ID],0),4),0)</f>
        <v>0</v>
      </c>
      <c r="DA16" s="9">
        <f xml:space="preserve"> IF(CABLES[[#This Row],[SEG41]] &gt;0,INDEX(SEGMENTS[], MATCH(CABLES[[#Headers],[SEG41]],SEGMENTS[SEG_ID],0),4),0)</f>
        <v>0</v>
      </c>
      <c r="DB16" s="9">
        <f xml:space="preserve"> IF(CABLES[[#This Row],[SEG42]] &gt;0,INDEX(SEGMENTS[], MATCH(CABLES[[#Headers],[SEG42]],SEGMENTS[SEG_ID],0),4),0)</f>
        <v>0</v>
      </c>
      <c r="DC16" s="9">
        <f xml:space="preserve"> IF(CABLES[[#This Row],[SEG43]] &gt;0,INDEX(SEGMENTS[], MATCH(CABLES[[#Headers],[SEG43]],SEGMENTS[SEG_ID],0),4),0)</f>
        <v>0</v>
      </c>
      <c r="DD16" s="9">
        <f xml:space="preserve"> IF(CABLES[[#This Row],[SEG44]] &gt;0,INDEX(SEGMENTS[], MATCH(CABLES[[#Headers],[SEG44]],SEGMENTS[SEG_ID],0),4),0)</f>
        <v>0</v>
      </c>
      <c r="DE16" s="9">
        <f xml:space="preserve"> IF(CABLES[[#This Row],[SEG45]] &gt;0,INDEX(SEGMENTS[], MATCH(CABLES[[#Headers],[SEG45]],SEGMENTS[SEG_ID],0),4),0)</f>
        <v>0</v>
      </c>
      <c r="DF16" s="9">
        <f xml:space="preserve"> IF(CABLES[[#This Row],[SEG46]] &gt;0,INDEX(SEGMENTS[], MATCH(CABLES[[#Headers],[SEG46]],SEGMENTS[SEG_ID],0),4),0)</f>
        <v>0</v>
      </c>
      <c r="DG16" s="9">
        <f xml:space="preserve"> IF(CABLES[[#This Row],[SEG47]] &gt;0,INDEX(SEGMENTS[], MATCH(CABLES[[#Headers],[SEG47]],SEGMENTS[SEG_ID],0),4),0)</f>
        <v>0</v>
      </c>
      <c r="DH16" s="9">
        <f xml:space="preserve"> IF(CABLES[[#This Row],[SEG48]] &gt;0,INDEX(SEGMENTS[], MATCH(CABLES[[#Headers],[SEG48]],SEGMENTS[SEG_ID],0),4),0)</f>
        <v>0</v>
      </c>
      <c r="DI16" s="9">
        <f xml:space="preserve"> IF(CABLES[[#This Row],[SEG49]] &gt;0,INDEX(SEGMENTS[], MATCH(CABLES[[#Headers],[SEG49]],SEGMENTS[SEG_ID],0),4),0)</f>
        <v>0</v>
      </c>
      <c r="DJ16" s="9">
        <f xml:space="preserve"> IF(CABLES[[#This Row],[SEG50]] &gt;0,INDEX(SEGMENTS[], MATCH(CABLES[[#Headers],[SEG50]],SEGMENTS[SEG_ID],0),4),0)</f>
        <v>0</v>
      </c>
      <c r="DK16" s="9">
        <f xml:space="preserve"> IF(CABLES[[#This Row],[SEG51]] &gt;0,INDEX(SEGMENTS[], MATCH(CABLES[[#Headers],[SEG51]],SEGMENTS[SEG_ID],0),4),0)</f>
        <v>0</v>
      </c>
      <c r="DL16" s="9">
        <f xml:space="preserve"> IF(CABLES[[#This Row],[SEG52]] &gt;0,INDEX(SEGMENTS[], MATCH(CABLES[[#Headers],[SEG52]],SEGMENTS[SEG_ID],0),4),0)</f>
        <v>0</v>
      </c>
      <c r="DM16" s="9">
        <f xml:space="preserve"> IF(CABLES[[#This Row],[SEG53]] &gt;0,INDEX(SEGMENTS[], MATCH(CABLES[[#Headers],[SEG53]],SEGMENTS[SEG_ID],0),4),0)</f>
        <v>0</v>
      </c>
      <c r="DN16" s="9">
        <f xml:space="preserve"> IF(CABLES[[#This Row],[SEG54]] &gt;0,INDEX(SEGMENTS[], MATCH(CABLES[[#Headers],[SEG54]],SEGMENTS[SEG_ID],0),4),0)</f>
        <v>0</v>
      </c>
      <c r="DO16" s="9">
        <f xml:space="preserve"> IF(CABLES[[#This Row],[SEG55]] &gt;0,INDEX(SEGMENTS[], MATCH(CABLES[[#Headers],[SEG55]],SEGMENTS[SEG_ID],0),4),0)</f>
        <v>0</v>
      </c>
      <c r="DP16" s="9">
        <f xml:space="preserve"> IF(CABLES[[#This Row],[SEG56]] &gt;0,INDEX(SEGMENTS[], MATCH(CABLES[[#Headers],[SEG56]],SEGMENTS[SEG_ID],0),4),0)</f>
        <v>0</v>
      </c>
      <c r="DQ16" s="9">
        <f xml:space="preserve"> IF(CABLES[[#This Row],[SEG57]] &gt;0,INDEX(SEGMENTS[], MATCH(CABLES[[#Headers],[SEG57]],SEGMENTS[SEG_ID],0),4),0)</f>
        <v>0</v>
      </c>
      <c r="DR16" s="9">
        <f xml:space="preserve"> IF(CABLES[[#This Row],[SEG58]] &gt;0,INDEX(SEGMENTS[], MATCH(CABLES[[#Headers],[SEG58]],SEGMENTS[SEG_ID],0),4),0)</f>
        <v>0</v>
      </c>
      <c r="DS16" s="9">
        <f xml:space="preserve"> IF(CABLES[[#This Row],[SEG59]] &gt;0,INDEX(SEGMENTS[], MATCH(CABLES[[#Headers],[SEG59]],SEGMENTS[SEG_ID],0),4),0)</f>
        <v>0</v>
      </c>
      <c r="DT16" s="9">
        <f xml:space="preserve"> IF(CABLES[[#This Row],[SEG60]] &gt;0,INDEX(SEGMENTS[], MATCH(CABLES[[#Headers],[SEG60]],SEGMENTS[SEG_ID],0),4),0)</f>
        <v>0</v>
      </c>
      <c r="DU16" s="10">
        <f>SUM(CABLES[[#This Row],[SEGL1]:[SEGL60]])</f>
        <v>31</v>
      </c>
      <c r="DV16" s="10">
        <v>5</v>
      </c>
      <c r="DW16" s="10">
        <v>1.2</v>
      </c>
      <c r="DX16" s="10">
        <f xml:space="preserve"> IF(CABLES[[#This Row],[SEGL_TOTAL]]&gt;0, (CABLES[[#This Row],[SEGL_TOTAL]] + CABLES[[#This Row],[FITOFF]]) *CABLES[[#This Row],[XCAPACITY]],0)</f>
        <v>43.199999999999996</v>
      </c>
      <c r="DY16" s="10">
        <f>IF(CABLES[[#This Row],[SEG1]]&gt;0,CABLES[[#This Row],[CABLE_DIAMETER]],0)</f>
        <v>12</v>
      </c>
      <c r="DZ16" s="10">
        <f>IF(CABLES[[#This Row],[SEG2]]&gt;0,CABLES[[#This Row],[CABLE_DIAMETER]],0)</f>
        <v>12</v>
      </c>
      <c r="EA16" s="10">
        <f>IF(CABLES[[#This Row],[SEG3]]&gt;0,CABLES[[#This Row],[CABLE_DIAMETER]],0)</f>
        <v>12</v>
      </c>
      <c r="EB16" s="10">
        <f>IF(CABLES[[#This Row],[SEG4]]&gt;0,CABLES[[#This Row],[CABLE_DIAMETER]],0)</f>
        <v>0</v>
      </c>
      <c r="EC16" s="10">
        <f>IF(CABLES[[#This Row],[SEG5]]&gt;0,CABLES[[#This Row],[CABLE_DIAMETER]],0)</f>
        <v>0</v>
      </c>
      <c r="ED16" s="10">
        <f>IF(CABLES[[#This Row],[SEG6]]&gt;0,CABLES[[#This Row],[CABLE_DIAMETER]],0)</f>
        <v>0</v>
      </c>
      <c r="EE16" s="10">
        <f>IF(CABLES[[#This Row],[SEG7]]&gt;0,CABLES[[#This Row],[CABLE_DIAMETER]],0)</f>
        <v>0</v>
      </c>
      <c r="EF16" s="10">
        <f>IF(CABLES[[#This Row],[SEG9]]&gt;0,CABLES[[#This Row],[CABLE_DIAMETER]],0)</f>
        <v>0</v>
      </c>
      <c r="EG16" s="10">
        <f>IF(CABLES[[#This Row],[SEG9]]&gt;0,CABLES[[#This Row],[CABLE_DIAMETER]],0)</f>
        <v>0</v>
      </c>
      <c r="EH16" s="10">
        <f>IF(CABLES[[#This Row],[SEG10]]&gt;0,CABLES[[#This Row],[CABLE_DIAMETER]],0)</f>
        <v>0</v>
      </c>
      <c r="EI16" s="10">
        <f>IF(CABLES[[#This Row],[SEG11]]&gt;0,CABLES[[#This Row],[CABLE_DIAMETER]],0)</f>
        <v>0</v>
      </c>
      <c r="EJ16" s="10">
        <f>IF(CABLES[[#This Row],[SEG12]]&gt;0,CABLES[[#This Row],[CABLE_DIAMETER]],0)</f>
        <v>0</v>
      </c>
      <c r="EK16" s="10">
        <f>IF(CABLES[[#This Row],[SEG13]]&gt;0,CABLES[[#This Row],[CABLE_DIAMETER]],0)</f>
        <v>0</v>
      </c>
      <c r="EL16" s="10">
        <f>IF(CABLES[[#This Row],[SEG14]]&gt;0,CABLES[[#This Row],[CABLE_DIAMETER]],0)</f>
        <v>0</v>
      </c>
      <c r="EM16" s="10">
        <f>IF(CABLES[[#This Row],[SEG15]]&gt;0,CABLES[[#This Row],[CABLE_DIAMETER]],0)</f>
        <v>0</v>
      </c>
      <c r="EN16" s="10">
        <f>IF(CABLES[[#This Row],[SEG16]]&gt;0,CABLES[[#This Row],[CABLE_DIAMETER]],0)</f>
        <v>0</v>
      </c>
      <c r="EO16" s="10">
        <f>IF(CABLES[[#This Row],[SEG17]]&gt;0,CABLES[[#This Row],[CABLE_DIAMETER]],0)</f>
        <v>0</v>
      </c>
      <c r="EP16" s="10">
        <f>IF(CABLES[[#This Row],[SEG18]]&gt;0,CABLES[[#This Row],[CABLE_DIAMETER]],0)</f>
        <v>0</v>
      </c>
      <c r="EQ16" s="10">
        <f>IF(CABLES[[#This Row],[SEG19]]&gt;0,CABLES[[#This Row],[CABLE_DIAMETER]],0)</f>
        <v>0</v>
      </c>
      <c r="ER16" s="10">
        <f>IF(CABLES[[#This Row],[SEG20]]&gt;0,CABLES[[#This Row],[CABLE_DIAMETER]],0)</f>
        <v>0</v>
      </c>
      <c r="ES16" s="10">
        <f>IF(CABLES[[#This Row],[SEG21]]&gt;0,CABLES[[#This Row],[CABLE_DIAMETER]],0)</f>
        <v>0</v>
      </c>
      <c r="ET16" s="10">
        <f>IF(CABLES[[#This Row],[SEG22]]&gt;0,CABLES[[#This Row],[CABLE_DIAMETER]],0)</f>
        <v>0</v>
      </c>
      <c r="EU16" s="10">
        <f>IF(CABLES[[#This Row],[SEG23]]&gt;0,CABLES[[#This Row],[CABLE_DIAMETER]],0)</f>
        <v>0</v>
      </c>
      <c r="EV16" s="10">
        <f>IF(CABLES[[#This Row],[SEG24]]&gt;0,CABLES[[#This Row],[CABLE_DIAMETER]],0)</f>
        <v>0</v>
      </c>
      <c r="EW16" s="10">
        <f>IF(CABLES[[#This Row],[SEG25]]&gt;0,CABLES[[#This Row],[CABLE_DIAMETER]],0)</f>
        <v>0</v>
      </c>
      <c r="EX16" s="10">
        <f>IF(CABLES[[#This Row],[SEG26]]&gt;0,CABLES[[#This Row],[CABLE_DIAMETER]],0)</f>
        <v>0</v>
      </c>
      <c r="EY16" s="10">
        <f>IF(CABLES[[#This Row],[SEG27]]&gt;0,CABLES[[#This Row],[CABLE_DIAMETER]],0)</f>
        <v>0</v>
      </c>
      <c r="EZ16" s="10">
        <f>IF(CABLES[[#This Row],[SEG28]]&gt;0,CABLES[[#This Row],[CABLE_DIAMETER]],0)</f>
        <v>0</v>
      </c>
      <c r="FA16" s="10">
        <f>IF(CABLES[[#This Row],[SEG29]]&gt;0,CABLES[[#This Row],[CABLE_DIAMETER]],0)</f>
        <v>0</v>
      </c>
      <c r="FB16" s="10">
        <f>IF(CABLES[[#This Row],[SEG30]]&gt;0,CABLES[[#This Row],[CABLE_DIAMETER]],0)</f>
        <v>0</v>
      </c>
      <c r="FC16" s="10">
        <f>IF(CABLES[[#This Row],[SEG31]]&gt;0,CABLES[[#This Row],[CABLE_DIAMETER]],0)</f>
        <v>0</v>
      </c>
      <c r="FD16" s="10">
        <f>IF(CABLES[[#This Row],[SEG32]]&gt;0,CABLES[[#This Row],[CABLE_DIAMETER]],0)</f>
        <v>0</v>
      </c>
      <c r="FE16" s="10">
        <f>IF(CABLES[[#This Row],[SEG33]]&gt;0,CABLES[[#This Row],[CABLE_DIAMETER]],0)</f>
        <v>0</v>
      </c>
      <c r="FF16" s="10">
        <f>IF(CABLES[[#This Row],[SEG34]]&gt;0,CABLES[[#This Row],[CABLE_DIAMETER]],0)</f>
        <v>0</v>
      </c>
      <c r="FG16" s="10">
        <f>IF(CABLES[[#This Row],[SEG35]]&gt;0,CABLES[[#This Row],[CABLE_DIAMETER]],0)</f>
        <v>0</v>
      </c>
      <c r="FH16" s="10">
        <f>IF(CABLES[[#This Row],[SEG36]]&gt;0,CABLES[[#This Row],[CABLE_DIAMETER]],0)</f>
        <v>0</v>
      </c>
      <c r="FI16" s="10">
        <f>IF(CABLES[[#This Row],[SEG37]]&gt;0,CABLES[[#This Row],[CABLE_DIAMETER]],0)</f>
        <v>0</v>
      </c>
      <c r="FJ16" s="10">
        <f>IF(CABLES[[#This Row],[SEG38]]&gt;0,CABLES[[#This Row],[CABLE_DIAMETER]],0)</f>
        <v>0</v>
      </c>
      <c r="FK16" s="10">
        <f>IF(CABLES[[#This Row],[SEG39]]&gt;0,CABLES[[#This Row],[CABLE_DIAMETER]],0)</f>
        <v>0</v>
      </c>
      <c r="FL16" s="10">
        <f>IF(CABLES[[#This Row],[SEG40]]&gt;0,CABLES[[#This Row],[CABLE_DIAMETER]],0)</f>
        <v>0</v>
      </c>
      <c r="FM16" s="10">
        <f>IF(CABLES[[#This Row],[SEG41]]&gt;0,CABLES[[#This Row],[CABLE_DIAMETER]],0)</f>
        <v>0</v>
      </c>
      <c r="FN16" s="10">
        <f>IF(CABLES[[#This Row],[SEG42]]&gt;0,CABLES[[#This Row],[CABLE_DIAMETER]],0)</f>
        <v>0</v>
      </c>
      <c r="FO16" s="10">
        <f>IF(CABLES[[#This Row],[SEG43]]&gt;0,CABLES[[#This Row],[CABLE_DIAMETER]],0)</f>
        <v>0</v>
      </c>
      <c r="FP16" s="10">
        <f>IF(CABLES[[#This Row],[SEG44]]&gt;0,CABLES[[#This Row],[CABLE_DIAMETER]],0)</f>
        <v>0</v>
      </c>
      <c r="FQ16" s="10">
        <f>IF(CABLES[[#This Row],[SEG45]]&gt;0,CABLES[[#This Row],[CABLE_DIAMETER]],0)</f>
        <v>0</v>
      </c>
      <c r="FR16" s="10">
        <f>IF(CABLES[[#This Row],[SEG46]]&gt;0,CABLES[[#This Row],[CABLE_DIAMETER]],0)</f>
        <v>0</v>
      </c>
      <c r="FS16" s="10">
        <f>IF(CABLES[[#This Row],[SEG47]]&gt;0,CABLES[[#This Row],[CABLE_DIAMETER]],0)</f>
        <v>0</v>
      </c>
      <c r="FT16" s="10">
        <f>IF(CABLES[[#This Row],[SEG48]]&gt;0,CABLES[[#This Row],[CABLE_DIAMETER]],0)</f>
        <v>0</v>
      </c>
      <c r="FU16" s="10">
        <f>IF(CABLES[[#This Row],[SEG49]]&gt;0,CABLES[[#This Row],[CABLE_DIAMETER]],0)</f>
        <v>0</v>
      </c>
      <c r="FV16" s="10">
        <f>IF(CABLES[[#This Row],[SEG50]]&gt;0,CABLES[[#This Row],[CABLE_DIAMETER]],0)</f>
        <v>0</v>
      </c>
      <c r="FW16" s="10">
        <f>IF(CABLES[[#This Row],[SEG51]]&gt;0,CABLES[[#This Row],[CABLE_DIAMETER]],0)</f>
        <v>0</v>
      </c>
      <c r="FX16" s="10">
        <f>IF(CABLES[[#This Row],[SEG52]]&gt;0,CABLES[[#This Row],[CABLE_DIAMETER]],0)</f>
        <v>0</v>
      </c>
      <c r="FY16" s="10">
        <f>IF(CABLES[[#This Row],[SEG53]]&gt;0,CABLES[[#This Row],[CABLE_DIAMETER]],0)</f>
        <v>0</v>
      </c>
      <c r="FZ16" s="10">
        <f>IF(CABLES[[#This Row],[SEG54]]&gt;0,CABLES[[#This Row],[CABLE_DIAMETER]],0)</f>
        <v>0</v>
      </c>
      <c r="GA16" s="10">
        <f>IF(CABLES[[#This Row],[SEG55]]&gt;0,CABLES[[#This Row],[CABLE_DIAMETER]],0)</f>
        <v>0</v>
      </c>
      <c r="GB16" s="10">
        <f>IF(CABLES[[#This Row],[SEG56]]&gt;0,CABLES[[#This Row],[CABLE_DIAMETER]],0)</f>
        <v>0</v>
      </c>
      <c r="GC16" s="10">
        <f>IF(CABLES[[#This Row],[SEG57]]&gt;0,CABLES[[#This Row],[CABLE_DIAMETER]],0)</f>
        <v>0</v>
      </c>
      <c r="GD16" s="10">
        <f>IF(CABLES[[#This Row],[SEG58]]&gt;0,CABLES[[#This Row],[CABLE_DIAMETER]],0)</f>
        <v>0</v>
      </c>
      <c r="GE16" s="10">
        <f>IF(CABLES[[#This Row],[SEG59]]&gt;0,CABLES[[#This Row],[CABLE_DIAMETER]],0)</f>
        <v>0</v>
      </c>
      <c r="GF16" s="10">
        <f>IF(CABLES[[#This Row],[SEG60]]&gt;0,CABLES[[#This Row],[CABLE_DIAMETER]],0)</f>
        <v>0</v>
      </c>
      <c r="GG16" s="10">
        <f>IF(CABLES[[#This Row],[SEG1]]&gt;0,CABLES[[#This Row],[CABLE_MASS]],0)</f>
        <v>0.21</v>
      </c>
      <c r="GH16" s="10">
        <f>IF(CABLES[[#This Row],[SEG2]]&gt;0,CABLES[[#This Row],[CABLE_MASS]],0)</f>
        <v>0.21</v>
      </c>
      <c r="GI16" s="10">
        <f>IF(CABLES[[#This Row],[SEG3]]&gt;0,CABLES[[#This Row],[CABLE_MASS]],0)</f>
        <v>0.21</v>
      </c>
      <c r="GJ16" s="10">
        <f>IF(CABLES[[#This Row],[SEG4]]&gt;0,CABLES[[#This Row],[CABLE_MASS]],0)</f>
        <v>0</v>
      </c>
      <c r="GK16" s="10">
        <f>IF(CABLES[[#This Row],[SEG5]]&gt;0,CABLES[[#This Row],[CABLE_MASS]],0)</f>
        <v>0</v>
      </c>
      <c r="GL16" s="10">
        <f>IF(CABLES[[#This Row],[SEG6]]&gt;0,CABLES[[#This Row],[CABLE_MASS]],0)</f>
        <v>0</v>
      </c>
      <c r="GM16" s="10">
        <f>IF(CABLES[[#This Row],[SEG7]]&gt;0,CABLES[[#This Row],[CABLE_MASS]],0)</f>
        <v>0</v>
      </c>
      <c r="GN16" s="10">
        <f>IF(CABLES[[#This Row],[SEG8]]&gt;0,CABLES[[#This Row],[CABLE_MASS]],0)</f>
        <v>0</v>
      </c>
      <c r="GO16" s="10">
        <f>IF(CABLES[[#This Row],[SEG9]]&gt;0,CABLES[[#This Row],[CABLE_MASS]],0)</f>
        <v>0</v>
      </c>
      <c r="GP16" s="10">
        <f>IF(CABLES[[#This Row],[SEG10]]&gt;0,CABLES[[#This Row],[CABLE_MASS]],0)</f>
        <v>0</v>
      </c>
      <c r="GQ16" s="10">
        <f>IF(CABLES[[#This Row],[SEG11]]&gt;0,CABLES[[#This Row],[CABLE_MASS]],0)</f>
        <v>0</v>
      </c>
      <c r="GR16" s="10">
        <f>IF(CABLES[[#This Row],[SEG12]]&gt;0,CABLES[[#This Row],[CABLE_MASS]],0)</f>
        <v>0</v>
      </c>
      <c r="GS16" s="10">
        <f>IF(CABLES[[#This Row],[SEG13]]&gt;0,CABLES[[#This Row],[CABLE_MASS]],0)</f>
        <v>0</v>
      </c>
      <c r="GT16" s="10">
        <f>IF(CABLES[[#This Row],[SEG14]]&gt;0,CABLES[[#This Row],[CABLE_MASS]],0)</f>
        <v>0</v>
      </c>
      <c r="GU16" s="10">
        <f>IF(CABLES[[#This Row],[SEG15]]&gt;0,CABLES[[#This Row],[CABLE_MASS]],0)</f>
        <v>0</v>
      </c>
      <c r="GV16" s="10">
        <f>IF(CABLES[[#This Row],[SEG16]]&gt;0,CABLES[[#This Row],[CABLE_MASS]],0)</f>
        <v>0</v>
      </c>
      <c r="GW16" s="10">
        <f>IF(CABLES[[#This Row],[SEG17]]&gt;0,CABLES[[#This Row],[CABLE_MASS]],0)</f>
        <v>0</v>
      </c>
      <c r="GX16" s="10">
        <f>IF(CABLES[[#This Row],[SEG18]]&gt;0,CABLES[[#This Row],[CABLE_MASS]],0)</f>
        <v>0</v>
      </c>
      <c r="GY16" s="10">
        <f>IF(CABLES[[#This Row],[SEG19]]&gt;0,CABLES[[#This Row],[CABLE_MASS]],0)</f>
        <v>0</v>
      </c>
      <c r="GZ16" s="10">
        <f>IF(CABLES[[#This Row],[SEG20]]&gt;0,CABLES[[#This Row],[CABLE_MASS]],0)</f>
        <v>0</v>
      </c>
      <c r="HA16" s="10">
        <f>IF(CABLES[[#This Row],[SEG21]]&gt;0,CABLES[[#This Row],[CABLE_MASS]],0)</f>
        <v>0</v>
      </c>
      <c r="HB16" s="10">
        <f>IF(CABLES[[#This Row],[SEG22]]&gt;0,CABLES[[#This Row],[CABLE_MASS]],0)</f>
        <v>0</v>
      </c>
      <c r="HC16" s="10">
        <f>IF(CABLES[[#This Row],[SEG23]]&gt;0,CABLES[[#This Row],[CABLE_MASS]],0)</f>
        <v>0</v>
      </c>
      <c r="HD16" s="10">
        <f>IF(CABLES[[#This Row],[SEG24]]&gt;0,CABLES[[#This Row],[CABLE_MASS]],0)</f>
        <v>0</v>
      </c>
      <c r="HE16" s="10">
        <f>IF(CABLES[[#This Row],[SEG25]]&gt;0,CABLES[[#This Row],[CABLE_MASS]],0)</f>
        <v>0</v>
      </c>
      <c r="HF16" s="10">
        <f>IF(CABLES[[#This Row],[SEG26]]&gt;0,CABLES[[#This Row],[CABLE_MASS]],0)</f>
        <v>0</v>
      </c>
      <c r="HG16" s="10">
        <f>IF(CABLES[[#This Row],[SEG27]]&gt;0,CABLES[[#This Row],[CABLE_MASS]],0)</f>
        <v>0</v>
      </c>
      <c r="HH16" s="10">
        <f>IF(CABLES[[#This Row],[SEG28]]&gt;0,CABLES[[#This Row],[CABLE_MASS]],0)</f>
        <v>0</v>
      </c>
      <c r="HI16" s="10">
        <f>IF(CABLES[[#This Row],[SEG29]]&gt;0,CABLES[[#This Row],[CABLE_MASS]],0)</f>
        <v>0</v>
      </c>
      <c r="HJ16" s="10">
        <f>IF(CABLES[[#This Row],[SEG30]]&gt;0,CABLES[[#This Row],[CABLE_MASS]],0)</f>
        <v>0</v>
      </c>
      <c r="HK16" s="10">
        <f>IF(CABLES[[#This Row],[SEG31]]&gt;0,CABLES[[#This Row],[CABLE_MASS]],0)</f>
        <v>0</v>
      </c>
      <c r="HL16" s="10">
        <f>IF(CABLES[[#This Row],[SEG32]]&gt;0,CABLES[[#This Row],[CABLE_MASS]],0)</f>
        <v>0</v>
      </c>
      <c r="HM16" s="10">
        <f>IF(CABLES[[#This Row],[SEG33]]&gt;0,CABLES[[#This Row],[CABLE_MASS]],0)</f>
        <v>0</v>
      </c>
      <c r="HN16" s="10">
        <f>IF(CABLES[[#This Row],[SEG34]]&gt;0,CABLES[[#This Row],[CABLE_MASS]],0)</f>
        <v>0</v>
      </c>
      <c r="HO16" s="10">
        <f>IF(CABLES[[#This Row],[SEG35]]&gt;0,CABLES[[#This Row],[CABLE_MASS]],0)</f>
        <v>0</v>
      </c>
      <c r="HP16" s="10">
        <f>IF(CABLES[[#This Row],[SEG36]]&gt;0,CABLES[[#This Row],[CABLE_MASS]],0)</f>
        <v>0</v>
      </c>
      <c r="HQ16" s="10">
        <f>IF(CABLES[[#This Row],[SEG37]]&gt;0,CABLES[[#This Row],[CABLE_MASS]],0)</f>
        <v>0</v>
      </c>
      <c r="HR16" s="10">
        <f>IF(CABLES[[#This Row],[SEG38]]&gt;0,CABLES[[#This Row],[CABLE_MASS]],0)</f>
        <v>0</v>
      </c>
      <c r="HS16" s="10">
        <f>IF(CABLES[[#This Row],[SEG39]]&gt;0,CABLES[[#This Row],[CABLE_MASS]],0)</f>
        <v>0</v>
      </c>
      <c r="HT16" s="10">
        <f>IF(CABLES[[#This Row],[SEG40]]&gt;0,CABLES[[#This Row],[CABLE_MASS]],0)</f>
        <v>0</v>
      </c>
      <c r="HU16" s="10">
        <f>IF(CABLES[[#This Row],[SEG41]]&gt;0,CABLES[[#This Row],[CABLE_MASS]],0)</f>
        <v>0</v>
      </c>
      <c r="HV16" s="10">
        <f>IF(CABLES[[#This Row],[SEG42]]&gt;0,CABLES[[#This Row],[CABLE_MASS]],0)</f>
        <v>0</v>
      </c>
      <c r="HW16" s="10">
        <f>IF(CABLES[[#This Row],[SEG43]]&gt;0,CABLES[[#This Row],[CABLE_MASS]],0)</f>
        <v>0</v>
      </c>
      <c r="HX16" s="10">
        <f>IF(CABLES[[#This Row],[SEG44]]&gt;0,CABLES[[#This Row],[CABLE_MASS]],0)</f>
        <v>0</v>
      </c>
      <c r="HY16" s="10">
        <f>IF(CABLES[[#This Row],[SEG45]]&gt;0,CABLES[[#This Row],[CABLE_MASS]],0)</f>
        <v>0</v>
      </c>
      <c r="HZ16" s="10">
        <f>IF(CABLES[[#This Row],[SEG46]]&gt;0,CABLES[[#This Row],[CABLE_MASS]],0)</f>
        <v>0</v>
      </c>
      <c r="IA16" s="10">
        <f>IF(CABLES[[#This Row],[SEG47]]&gt;0,CABLES[[#This Row],[CABLE_MASS]],0)</f>
        <v>0</v>
      </c>
      <c r="IB16" s="10">
        <f>IF(CABLES[[#This Row],[SEG48]]&gt;0,CABLES[[#This Row],[CABLE_MASS]],0)</f>
        <v>0</v>
      </c>
      <c r="IC16" s="10">
        <f>IF(CABLES[[#This Row],[SEG49]]&gt;0,CABLES[[#This Row],[CABLE_MASS]],0)</f>
        <v>0</v>
      </c>
      <c r="ID16" s="10">
        <f>IF(CABLES[[#This Row],[SEG50]]&gt;0,CABLES[[#This Row],[CABLE_MASS]],0)</f>
        <v>0</v>
      </c>
      <c r="IE16" s="10">
        <f>IF(CABLES[[#This Row],[SEG51]]&gt;0,CABLES[[#This Row],[CABLE_MASS]],0)</f>
        <v>0</v>
      </c>
      <c r="IF16" s="10">
        <f>IF(CABLES[[#This Row],[SEG52]]&gt;0,CABLES[[#This Row],[CABLE_MASS]],0)</f>
        <v>0</v>
      </c>
      <c r="IG16" s="10">
        <f>IF(CABLES[[#This Row],[SEG53]]&gt;0,CABLES[[#This Row],[CABLE_MASS]],0)</f>
        <v>0</v>
      </c>
      <c r="IH16" s="10">
        <f>IF(CABLES[[#This Row],[SEG54]]&gt;0,CABLES[[#This Row],[CABLE_MASS]],0)</f>
        <v>0</v>
      </c>
      <c r="II16" s="10">
        <f>IF(CABLES[[#This Row],[SEG55]]&gt;0,CABLES[[#This Row],[CABLE_MASS]],0)</f>
        <v>0</v>
      </c>
      <c r="IJ16" s="10">
        <f>IF(CABLES[[#This Row],[SEG56]]&gt;0,CABLES[[#This Row],[CABLE_MASS]],0)</f>
        <v>0</v>
      </c>
      <c r="IK16" s="10">
        <f>IF(CABLES[[#This Row],[SEG57]]&gt;0,CABLES[[#This Row],[CABLE_MASS]],0)</f>
        <v>0</v>
      </c>
      <c r="IL16" s="10">
        <f>IF(CABLES[[#This Row],[SEG58]]&gt;0,CABLES[[#This Row],[CABLE_MASS]],0)</f>
        <v>0</v>
      </c>
      <c r="IM16" s="10">
        <f>IF(CABLES[[#This Row],[SEG59]]&gt;0,CABLES[[#This Row],[CABLE_MASS]],0)</f>
        <v>0</v>
      </c>
      <c r="IN16" s="10">
        <f>IF(CABLES[[#This Row],[SEG60]]&gt;0,CABLES[[#This Row],[CABLE_MASS]],0)</f>
        <v>0</v>
      </c>
      <c r="IO16" s="10">
        <f xml:space="preserve">  (CABLES[[#This Row],[LOAD_KW]]/(SQRT(3)*SYSTEM_VOLTAGE*POWER_FACTOR))*1000</f>
        <v>6.4150029909958413</v>
      </c>
      <c r="IP16" s="10">
        <v>45</v>
      </c>
      <c r="IQ16" s="10">
        <f xml:space="preserve"> INDEX(AS3000_AMBIENTDERATE[], MATCH(CABLES[[#This Row],[AMBIENT]],AS3000_AMBIENTDERATE[AMBIENT],0), 2)</f>
        <v>0.94</v>
      </c>
      <c r="IR16" s="10">
        <f xml:space="preserve"> ROUNDUP( CABLES[[#This Row],[CALCULATED_AMPS]]/CABLES[[#This Row],[AMBIENT_DERATING]],1)</f>
        <v>6.8999999999999995</v>
      </c>
      <c r="IS16" s="10" t="s">
        <v>531</v>
      </c>
      <c r="IT1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16" s="10">
        <f t="shared" si="0"/>
        <v>28.000000000000004</v>
      </c>
      <c r="IV16" s="10">
        <f>(1000*CABLES[[#This Row],[MAX_VDROP]])/(CABLES[[#This Row],[ESTIMATED_CABLE_LENGTH]]*CABLES[[#This Row],[AMP_RATING]])</f>
        <v>93.934514224369337</v>
      </c>
      <c r="IW16" s="10">
        <f xml:space="preserve"> INDEX(AS3000_VDROP[], MATCH(CABLES[[#This Row],[VC_CALC]],AS3000_VDROP[Vc],1),1)</f>
        <v>2.5</v>
      </c>
      <c r="IX16" s="10">
        <f>MAX(CABLES[[#This Row],[CABLESIZE_METHOD1]],CABLES[[#This Row],[CABLESIZE_METHOD2]])</f>
        <v>2.5</v>
      </c>
      <c r="IY16" s="10"/>
      <c r="IZ16" s="10">
        <f>IF(LEN(CABLES[[#This Row],[OVERRIDE_CABLESIZE]])&gt;0,CABLES[[#This Row],[OVERRIDE_CABLESIZE]],CABLES[[#This Row],[INITIAL_CABLESIZE]])</f>
        <v>2.5</v>
      </c>
      <c r="JA16" s="10">
        <f>INDEX(PROTECTIVE_DEVICE[DEVICE], MATCH(CABLES[[#This Row],[CALCULATED_AMPS]],PROTECTIVE_DEVICE[DEVICE],-1),1)</f>
        <v>10</v>
      </c>
      <c r="JB16" s="10"/>
      <c r="JC16" s="10">
        <f>IF(LEN(CABLES[[#This Row],[OVERRIDE_PDEVICE]])&gt;0, CABLES[[#This Row],[OVERRIDE_PDEVICE]],CABLES[[#This Row],[RECOMMEND_PDEVICE]])</f>
        <v>10</v>
      </c>
      <c r="JD16" s="10" t="s">
        <v>450</v>
      </c>
      <c r="JE16" s="10">
        <f xml:space="preserve"> CABLES[[#This Row],[SELECTED_PDEVICE]] * INDEX(DEVICE_CURVE[], MATCH(CABLES[[#This Row],[PDEVICE_CURVE]], DEVICE_CURVE[DEVICE_CURVE],0),2)</f>
        <v>65</v>
      </c>
      <c r="JF16" s="10" t="s">
        <v>458</v>
      </c>
      <c r="JG16" s="10">
        <f xml:space="preserve"> INDEX(CONDUCTOR_MATERIAL[], MATCH(CABLES[[#This Row],[CONDUCTOR_MATERIAL]],CONDUCTOR_MATERIAL[CONDUCTOR_MATERIAL],0),2)</f>
        <v>2.2499999999999999E-2</v>
      </c>
      <c r="JH16" s="10">
        <f>CABLES[[#This Row],[SELECTED_CABLESIZE]]</f>
        <v>2.5</v>
      </c>
      <c r="JI16" s="10">
        <f xml:space="preserve"> INDEX( EARTH_CONDUCTOR_SIZE[], MATCH(CABLES[[#This Row],[SPH]],EARTH_CONDUCTOR_SIZE[MM^2],-1), 2)</f>
        <v>2.5</v>
      </c>
      <c r="JJ16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16" s="10" t="str">
        <f>IF(CABLES[[#This Row],[LMAX]]&gt;CABLES[[#This Row],[ESTIMATED_CABLE_LENGTH]], "PASS", "ERROR")</f>
        <v>PASS</v>
      </c>
      <c r="JL1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1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16" s="6">
        <f xml:space="preserve"> ROUNDUP( CABLES[[#This Row],[CALCULATED_AMPS]],1)</f>
        <v>6.5</v>
      </c>
      <c r="JO16" s="6">
        <f>CABLES[[#This Row],[SELECTED_CABLESIZE]]</f>
        <v>2.5</v>
      </c>
      <c r="JP16" s="10">
        <f>CABLES[[#This Row],[ESTIMATED_CABLE_LENGTH]]</f>
        <v>43.199999999999996</v>
      </c>
      <c r="JQ16" s="6">
        <f>CABLES[[#This Row],[SELECTED_PDEVICE]]</f>
        <v>10</v>
      </c>
    </row>
    <row r="17" spans="1:277" x14ac:dyDescent="0.35">
      <c r="A17" s="5" t="s">
        <v>16</v>
      </c>
      <c r="B17" s="5" t="s">
        <v>486</v>
      </c>
      <c r="C17" s="10" t="s">
        <v>261</v>
      </c>
      <c r="D17" s="9">
        <v>7.5</v>
      </c>
      <c r="E17" s="9">
        <v>1</v>
      </c>
      <c r="F17" s="9">
        <v>1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f xml:space="preserve"> IF(CABLES[[#This Row],[SEG1]] &gt;0, INDEX(SEGMENTS[], MATCH(CABLES[[#Headers],[SEG1]],SEGMENTS[SEG_ID],0),4),0)</f>
        <v>13</v>
      </c>
      <c r="BN17" s="9">
        <f xml:space="preserve"> IF(CABLES[[#This Row],[SEG2]] &gt;0, INDEX(SEGMENTS[], MATCH(CABLES[[#Headers],[SEG2]],SEGMENTS[SEG_ID],0),4),0)</f>
        <v>2</v>
      </c>
      <c r="BO17" s="9">
        <f xml:space="preserve"> IF(CABLES[[#This Row],[SEG3]] &gt;0, INDEX(SEGMENTS[], MATCH(CABLES[[#Headers],[SEG3]],SEGMENTS[SEG_ID],0),4),0)</f>
        <v>16</v>
      </c>
      <c r="BP17" s="9">
        <f xml:space="preserve"> IF(CABLES[[#This Row],[SEG4]] &gt;0, INDEX(SEGMENTS[], MATCH(CABLES[[#Headers],[SEG4]],SEGMENTS[SEG_ID],0),4),0)</f>
        <v>0</v>
      </c>
      <c r="BQ17" s="9">
        <f xml:space="preserve"> IF(CABLES[[#This Row],[SEG5]] &gt;0,INDEX(SEGMENTS[], MATCH(CABLES[[#Headers],[SEG5]],SEGMENTS[SEG_ID],0),4),0)</f>
        <v>0</v>
      </c>
      <c r="BR17" s="9">
        <f xml:space="preserve"> IF(CABLES[[#This Row],[SEG6]] &gt;0,INDEX(SEGMENTS[], MATCH(CABLES[[#Headers],[SEG6]],SEGMENTS[SEG_ID],0),4),0)</f>
        <v>0</v>
      </c>
      <c r="BS17" s="9">
        <f xml:space="preserve"> IF(CABLES[[#This Row],[SEG7]] &gt;0,INDEX(SEGMENTS[], MATCH(CABLES[[#Headers],[SEG7]],SEGMENTS[SEG_ID],0),4),0)</f>
        <v>0</v>
      </c>
      <c r="BT17" s="9">
        <f xml:space="preserve"> IF(CABLES[[#This Row],[SEG8]] &gt;0,INDEX(SEGMENTS[], MATCH(CABLES[[#Headers],[SEG8]],SEGMENTS[SEG_ID],0),4),0)</f>
        <v>0</v>
      </c>
      <c r="BU17" s="9">
        <f xml:space="preserve"> IF(CABLES[[#This Row],[SEG9]] &gt;0,INDEX(SEGMENTS[], MATCH(CABLES[[#Headers],[SEG9]],SEGMENTS[SEG_ID],0),4),0)</f>
        <v>0</v>
      </c>
      <c r="BV17" s="9">
        <f xml:space="preserve"> IF(CABLES[[#This Row],[SEG10]] &gt;0,INDEX(SEGMENTS[], MATCH(CABLES[[#Headers],[SEG10]],SEGMENTS[SEG_ID],0),4),0)</f>
        <v>0</v>
      </c>
      <c r="BW17" s="9">
        <f xml:space="preserve"> IF(CABLES[[#This Row],[SEG11]] &gt;0,INDEX(SEGMENTS[], MATCH(CABLES[[#Headers],[SEG11]],SEGMENTS[SEG_ID],0),4),0)</f>
        <v>0</v>
      </c>
      <c r="BX17" s="9">
        <f>IF(CABLES[[#This Row],[SEG12]] &gt;0, INDEX(SEGMENTS[], MATCH(CABLES[[#Headers],[SEG12]],SEGMENTS[SEG_ID],0),4),0)</f>
        <v>0</v>
      </c>
      <c r="BY17" s="9">
        <f xml:space="preserve"> IF(CABLES[[#This Row],[SEG13]] &gt;0,INDEX(SEGMENTS[], MATCH(CABLES[[#Headers],[SEG13]],SEGMENTS[SEG_ID],0),4),0)</f>
        <v>0</v>
      </c>
      <c r="BZ17" s="9">
        <f xml:space="preserve"> IF(CABLES[[#This Row],[SEG14]] &gt;0,INDEX(SEGMENTS[], MATCH(CABLES[[#Headers],[SEG14]],SEGMENTS[SEG_ID],0),4),0)</f>
        <v>0</v>
      </c>
      <c r="CA17" s="9">
        <f xml:space="preserve"> IF(CABLES[[#This Row],[SEG15]] &gt;0,INDEX(SEGMENTS[], MATCH(CABLES[[#Headers],[SEG15]],SEGMENTS[SEG_ID],0),4),0)</f>
        <v>0</v>
      </c>
      <c r="CB17" s="9">
        <f xml:space="preserve"> IF(CABLES[[#This Row],[SEG16]] &gt;0,INDEX(SEGMENTS[], MATCH(CABLES[[#Headers],[SEG16]],SEGMENTS[SEG_ID],0),4),0)</f>
        <v>0</v>
      </c>
      <c r="CC17" s="9">
        <f xml:space="preserve"> IF(CABLES[[#This Row],[SEG17]] &gt;0,INDEX(SEGMENTS[], MATCH(CABLES[[#Headers],[SEG17]],SEGMENTS[SEG_ID],0),4),0)</f>
        <v>0</v>
      </c>
      <c r="CD17" s="9">
        <f xml:space="preserve"> IF(CABLES[[#This Row],[SEG18]] &gt;0,INDEX(SEGMENTS[], MATCH(CABLES[[#Headers],[SEG18]],SEGMENTS[SEG_ID],0),4),0)</f>
        <v>0</v>
      </c>
      <c r="CE17" s="9">
        <f>IF(CABLES[[#This Row],[SEG19]] &gt;0, INDEX(SEGMENTS[], MATCH(CABLES[[#Headers],[SEG19]],SEGMENTS[SEG_ID],0),4),0)</f>
        <v>0</v>
      </c>
      <c r="CF17" s="9">
        <f>IF(CABLES[[#This Row],[SEG20]] &gt;0, INDEX(SEGMENTS[], MATCH(CABLES[[#Headers],[SEG20]],SEGMENTS[SEG_ID],0),4),0)</f>
        <v>0</v>
      </c>
      <c r="CG17" s="9">
        <f xml:space="preserve"> IF(CABLES[[#This Row],[SEG21]] &gt;0,INDEX(SEGMENTS[], MATCH(CABLES[[#Headers],[SEG21]],SEGMENTS[SEG_ID],0),4),0)</f>
        <v>0</v>
      </c>
      <c r="CH17" s="9">
        <f xml:space="preserve"> IF(CABLES[[#This Row],[SEG22]] &gt;0,INDEX(SEGMENTS[], MATCH(CABLES[[#Headers],[SEG22]],SEGMENTS[SEG_ID],0),4),0)</f>
        <v>0</v>
      </c>
      <c r="CI17" s="9">
        <f>IF(CABLES[[#This Row],[SEG23]] &gt;0, INDEX(SEGMENTS[], MATCH(CABLES[[#Headers],[SEG23]],SEGMENTS[SEG_ID],0),4),0)</f>
        <v>0</v>
      </c>
      <c r="CJ17" s="9">
        <f xml:space="preserve"> IF(CABLES[[#This Row],[SEG24]] &gt;0,INDEX(SEGMENTS[], MATCH(CABLES[[#Headers],[SEG24]],SEGMENTS[SEG_ID],0),4),0)</f>
        <v>0</v>
      </c>
      <c r="CK17" s="9">
        <f>IF(CABLES[[#This Row],[SEG25]] &gt;0, INDEX(SEGMENTS[], MATCH(CABLES[[#Headers],[SEG25]],SEGMENTS[SEG_ID],0),4),0)</f>
        <v>0</v>
      </c>
      <c r="CL17" s="9">
        <f>IF(CABLES[[#This Row],[SEG26]] &gt;0, INDEX(SEGMENTS[], MATCH(CABLES[[#Headers],[SEG26]],SEGMENTS[SEG_ID],0),4),0)</f>
        <v>0</v>
      </c>
      <c r="CM17" s="9">
        <f xml:space="preserve"> IF(CABLES[[#This Row],[SEG27]] &gt;0,INDEX(SEGMENTS[], MATCH(CABLES[[#Headers],[SEG27]],SEGMENTS[SEG_ID],0),4),0)</f>
        <v>0</v>
      </c>
      <c r="CN17" s="9">
        <f xml:space="preserve"> IF(CABLES[[#This Row],[SEG28]] &gt;0,INDEX(SEGMENTS[], MATCH(CABLES[[#Headers],[SEG28]],SEGMENTS[SEG_ID],0),4),0)</f>
        <v>0</v>
      </c>
      <c r="CO17" s="9">
        <f xml:space="preserve"> IF(CABLES[[#This Row],[SEG29]] &gt;0,INDEX(SEGMENTS[], MATCH(CABLES[[#Headers],[SEG29]],SEGMENTS[SEG_ID],0),4),0)</f>
        <v>0</v>
      </c>
      <c r="CP17" s="9">
        <f xml:space="preserve"> IF(CABLES[[#This Row],[SEG30]] &gt;0,INDEX(SEGMENTS[], MATCH(CABLES[[#Headers],[SEG30]],SEGMENTS[SEG_ID],0),4),0)</f>
        <v>0</v>
      </c>
      <c r="CQ17" s="9">
        <f>IF(CABLES[[#This Row],[SEG31]] &gt;0, INDEX(SEGMENTS[], MATCH(CABLES[[#Headers],[SEG31]],SEGMENTS[SEG_ID],0),4),0)</f>
        <v>0</v>
      </c>
      <c r="CR17" s="9">
        <f xml:space="preserve"> IF(CABLES[[#This Row],[SEG32]] &gt;0,INDEX(SEGMENTS[], MATCH(CABLES[[#Headers],[SEG32]],SEGMENTS[SEG_ID],0),4),0)</f>
        <v>0</v>
      </c>
      <c r="CS17" s="9">
        <f xml:space="preserve"> IF(CABLES[[#This Row],[SEG33]] &gt;0,INDEX(SEGMENTS[], MATCH(CABLES[[#Headers],[SEG33]],SEGMENTS[SEG_ID],0),4),0)</f>
        <v>0</v>
      </c>
      <c r="CT17" s="9">
        <f>IF(CABLES[[#This Row],[SEG34]] &gt;0, INDEX(SEGMENTS[], MATCH(CABLES[[#Headers],[SEG34]],SEGMENTS[SEG_ID],0),4),0)</f>
        <v>0</v>
      </c>
      <c r="CU17" s="9">
        <f xml:space="preserve"> IF(CABLES[[#This Row],[SEG35]] &gt;0,INDEX(SEGMENTS[], MATCH(CABLES[[#Headers],[SEG35]],SEGMENTS[SEG_ID],0),4),0)</f>
        <v>0</v>
      </c>
      <c r="CV17" s="9">
        <f xml:space="preserve"> IF(CABLES[[#This Row],[SEG36]] &gt;0,INDEX(SEGMENTS[], MATCH(CABLES[[#Headers],[SEG36]],SEGMENTS[SEG_ID],0),4),0)</f>
        <v>0</v>
      </c>
      <c r="CW17" s="9">
        <f xml:space="preserve"> IF(CABLES[[#This Row],[SEG37]] &gt;0,INDEX(SEGMENTS[], MATCH(CABLES[[#Headers],[SEG37]],SEGMENTS[SEG_ID],0),4),0)</f>
        <v>0</v>
      </c>
      <c r="CX17" s="9">
        <f xml:space="preserve"> IF(CABLES[[#This Row],[SEG38]] &gt;0,INDEX(SEGMENTS[], MATCH(CABLES[[#Headers],[SEG38]],SEGMENTS[SEG_ID],0),4),0)</f>
        <v>0</v>
      </c>
      <c r="CY17" s="9">
        <f xml:space="preserve"> IF(CABLES[[#This Row],[SEG39]] &gt;0,INDEX(SEGMENTS[], MATCH(CABLES[[#Headers],[SEG39]],SEGMENTS[SEG_ID],0),4),0)</f>
        <v>0</v>
      </c>
      <c r="CZ17" s="9">
        <f xml:space="preserve"> IF(CABLES[[#This Row],[SEG40]] &gt;0,INDEX(SEGMENTS[], MATCH(CABLES[[#Headers],[SEG40]],SEGMENTS[SEG_ID],0),4),0)</f>
        <v>0</v>
      </c>
      <c r="DA17" s="9">
        <f xml:space="preserve"> IF(CABLES[[#This Row],[SEG41]] &gt;0,INDEX(SEGMENTS[], MATCH(CABLES[[#Headers],[SEG41]],SEGMENTS[SEG_ID],0),4),0)</f>
        <v>0</v>
      </c>
      <c r="DB17" s="9">
        <f xml:space="preserve"> IF(CABLES[[#This Row],[SEG42]] &gt;0,INDEX(SEGMENTS[], MATCH(CABLES[[#Headers],[SEG42]],SEGMENTS[SEG_ID],0),4),0)</f>
        <v>0</v>
      </c>
      <c r="DC17" s="9">
        <f xml:space="preserve"> IF(CABLES[[#This Row],[SEG43]] &gt;0,INDEX(SEGMENTS[], MATCH(CABLES[[#Headers],[SEG43]],SEGMENTS[SEG_ID],0),4),0)</f>
        <v>0</v>
      </c>
      <c r="DD17" s="9">
        <f xml:space="preserve"> IF(CABLES[[#This Row],[SEG44]] &gt;0,INDEX(SEGMENTS[], MATCH(CABLES[[#Headers],[SEG44]],SEGMENTS[SEG_ID],0),4),0)</f>
        <v>0</v>
      </c>
      <c r="DE17" s="9">
        <f xml:space="preserve"> IF(CABLES[[#This Row],[SEG45]] &gt;0,INDEX(SEGMENTS[], MATCH(CABLES[[#Headers],[SEG45]],SEGMENTS[SEG_ID],0),4),0)</f>
        <v>0</v>
      </c>
      <c r="DF17" s="9">
        <f xml:space="preserve"> IF(CABLES[[#This Row],[SEG46]] &gt;0,INDEX(SEGMENTS[], MATCH(CABLES[[#Headers],[SEG46]],SEGMENTS[SEG_ID],0),4),0)</f>
        <v>0</v>
      </c>
      <c r="DG17" s="9">
        <f xml:space="preserve"> IF(CABLES[[#This Row],[SEG47]] &gt;0,INDEX(SEGMENTS[], MATCH(CABLES[[#Headers],[SEG47]],SEGMENTS[SEG_ID],0),4),0)</f>
        <v>0</v>
      </c>
      <c r="DH17" s="9">
        <f xml:space="preserve"> IF(CABLES[[#This Row],[SEG48]] &gt;0,INDEX(SEGMENTS[], MATCH(CABLES[[#Headers],[SEG48]],SEGMENTS[SEG_ID],0),4),0)</f>
        <v>0</v>
      </c>
      <c r="DI17" s="9">
        <f xml:space="preserve"> IF(CABLES[[#This Row],[SEG49]] &gt;0,INDEX(SEGMENTS[], MATCH(CABLES[[#Headers],[SEG49]],SEGMENTS[SEG_ID],0),4),0)</f>
        <v>0</v>
      </c>
      <c r="DJ17" s="9">
        <f xml:space="preserve"> IF(CABLES[[#This Row],[SEG50]] &gt;0,INDEX(SEGMENTS[], MATCH(CABLES[[#Headers],[SEG50]],SEGMENTS[SEG_ID],0),4),0)</f>
        <v>0</v>
      </c>
      <c r="DK17" s="9">
        <f xml:space="preserve"> IF(CABLES[[#This Row],[SEG51]] &gt;0,INDEX(SEGMENTS[], MATCH(CABLES[[#Headers],[SEG51]],SEGMENTS[SEG_ID],0),4),0)</f>
        <v>0</v>
      </c>
      <c r="DL17" s="9">
        <f xml:space="preserve"> IF(CABLES[[#This Row],[SEG52]] &gt;0,INDEX(SEGMENTS[], MATCH(CABLES[[#Headers],[SEG52]],SEGMENTS[SEG_ID],0),4),0)</f>
        <v>0</v>
      </c>
      <c r="DM17" s="9">
        <f xml:space="preserve"> IF(CABLES[[#This Row],[SEG53]] &gt;0,INDEX(SEGMENTS[], MATCH(CABLES[[#Headers],[SEG53]],SEGMENTS[SEG_ID],0),4),0)</f>
        <v>0</v>
      </c>
      <c r="DN17" s="9">
        <f xml:space="preserve"> IF(CABLES[[#This Row],[SEG54]] &gt;0,INDEX(SEGMENTS[], MATCH(CABLES[[#Headers],[SEG54]],SEGMENTS[SEG_ID],0),4),0)</f>
        <v>0</v>
      </c>
      <c r="DO17" s="9">
        <f xml:space="preserve"> IF(CABLES[[#This Row],[SEG55]] &gt;0,INDEX(SEGMENTS[], MATCH(CABLES[[#Headers],[SEG55]],SEGMENTS[SEG_ID],0),4),0)</f>
        <v>0</v>
      </c>
      <c r="DP17" s="9">
        <f xml:space="preserve"> IF(CABLES[[#This Row],[SEG56]] &gt;0,INDEX(SEGMENTS[], MATCH(CABLES[[#Headers],[SEG56]],SEGMENTS[SEG_ID],0),4),0)</f>
        <v>0</v>
      </c>
      <c r="DQ17" s="9">
        <f xml:space="preserve"> IF(CABLES[[#This Row],[SEG57]] &gt;0,INDEX(SEGMENTS[], MATCH(CABLES[[#Headers],[SEG57]],SEGMENTS[SEG_ID],0),4),0)</f>
        <v>0</v>
      </c>
      <c r="DR17" s="9">
        <f xml:space="preserve"> IF(CABLES[[#This Row],[SEG58]] &gt;0,INDEX(SEGMENTS[], MATCH(CABLES[[#Headers],[SEG58]],SEGMENTS[SEG_ID],0),4),0)</f>
        <v>0</v>
      </c>
      <c r="DS17" s="9">
        <f xml:space="preserve"> IF(CABLES[[#This Row],[SEG59]] &gt;0,INDEX(SEGMENTS[], MATCH(CABLES[[#Headers],[SEG59]],SEGMENTS[SEG_ID],0),4),0)</f>
        <v>0</v>
      </c>
      <c r="DT17" s="9">
        <f xml:space="preserve"> IF(CABLES[[#This Row],[SEG60]] &gt;0,INDEX(SEGMENTS[], MATCH(CABLES[[#Headers],[SEG60]],SEGMENTS[SEG_ID],0),4),0)</f>
        <v>0</v>
      </c>
      <c r="DU17" s="10">
        <f>SUM(CABLES[[#This Row],[SEGL1]:[SEGL60]])</f>
        <v>31</v>
      </c>
      <c r="DV17" s="10">
        <v>5</v>
      </c>
      <c r="DW17" s="10">
        <v>1.2</v>
      </c>
      <c r="DX17" s="10">
        <f xml:space="preserve"> IF(CABLES[[#This Row],[SEGL_TOTAL]]&gt;0, (CABLES[[#This Row],[SEGL_TOTAL]] + CABLES[[#This Row],[FITOFF]]) *CABLES[[#This Row],[XCAPACITY]],0)</f>
        <v>43.199999999999996</v>
      </c>
      <c r="DY17" s="10">
        <f>IF(CABLES[[#This Row],[SEG1]]&gt;0,CABLES[[#This Row],[CABLE_DIAMETER]],0)</f>
        <v>14.5</v>
      </c>
      <c r="DZ17" s="10">
        <f>IF(CABLES[[#This Row],[SEG2]]&gt;0,CABLES[[#This Row],[CABLE_DIAMETER]],0)</f>
        <v>14.5</v>
      </c>
      <c r="EA17" s="10">
        <f>IF(CABLES[[#This Row],[SEG3]]&gt;0,CABLES[[#This Row],[CABLE_DIAMETER]],0)</f>
        <v>14.5</v>
      </c>
      <c r="EB17" s="10">
        <f>IF(CABLES[[#This Row],[SEG4]]&gt;0,CABLES[[#This Row],[CABLE_DIAMETER]],0)</f>
        <v>0</v>
      </c>
      <c r="EC17" s="10">
        <f>IF(CABLES[[#This Row],[SEG5]]&gt;0,CABLES[[#This Row],[CABLE_DIAMETER]],0)</f>
        <v>0</v>
      </c>
      <c r="ED17" s="10">
        <f>IF(CABLES[[#This Row],[SEG6]]&gt;0,CABLES[[#This Row],[CABLE_DIAMETER]],0)</f>
        <v>0</v>
      </c>
      <c r="EE17" s="10">
        <f>IF(CABLES[[#This Row],[SEG7]]&gt;0,CABLES[[#This Row],[CABLE_DIAMETER]],0)</f>
        <v>0</v>
      </c>
      <c r="EF17" s="10">
        <f>IF(CABLES[[#This Row],[SEG9]]&gt;0,CABLES[[#This Row],[CABLE_DIAMETER]],0)</f>
        <v>0</v>
      </c>
      <c r="EG17" s="10">
        <f>IF(CABLES[[#This Row],[SEG9]]&gt;0,CABLES[[#This Row],[CABLE_DIAMETER]],0)</f>
        <v>0</v>
      </c>
      <c r="EH17" s="10">
        <f>IF(CABLES[[#This Row],[SEG10]]&gt;0,CABLES[[#This Row],[CABLE_DIAMETER]],0)</f>
        <v>0</v>
      </c>
      <c r="EI17" s="10">
        <f>IF(CABLES[[#This Row],[SEG11]]&gt;0,CABLES[[#This Row],[CABLE_DIAMETER]],0)</f>
        <v>0</v>
      </c>
      <c r="EJ17" s="10">
        <f>IF(CABLES[[#This Row],[SEG12]]&gt;0,CABLES[[#This Row],[CABLE_DIAMETER]],0)</f>
        <v>0</v>
      </c>
      <c r="EK17" s="10">
        <f>IF(CABLES[[#This Row],[SEG13]]&gt;0,CABLES[[#This Row],[CABLE_DIAMETER]],0)</f>
        <v>0</v>
      </c>
      <c r="EL17" s="10">
        <f>IF(CABLES[[#This Row],[SEG14]]&gt;0,CABLES[[#This Row],[CABLE_DIAMETER]],0)</f>
        <v>0</v>
      </c>
      <c r="EM17" s="10">
        <f>IF(CABLES[[#This Row],[SEG15]]&gt;0,CABLES[[#This Row],[CABLE_DIAMETER]],0)</f>
        <v>0</v>
      </c>
      <c r="EN17" s="10">
        <f>IF(CABLES[[#This Row],[SEG16]]&gt;0,CABLES[[#This Row],[CABLE_DIAMETER]],0)</f>
        <v>0</v>
      </c>
      <c r="EO17" s="10">
        <f>IF(CABLES[[#This Row],[SEG17]]&gt;0,CABLES[[#This Row],[CABLE_DIAMETER]],0)</f>
        <v>0</v>
      </c>
      <c r="EP17" s="10">
        <f>IF(CABLES[[#This Row],[SEG18]]&gt;0,CABLES[[#This Row],[CABLE_DIAMETER]],0)</f>
        <v>0</v>
      </c>
      <c r="EQ17" s="10">
        <f>IF(CABLES[[#This Row],[SEG19]]&gt;0,CABLES[[#This Row],[CABLE_DIAMETER]],0)</f>
        <v>0</v>
      </c>
      <c r="ER17" s="10">
        <f>IF(CABLES[[#This Row],[SEG20]]&gt;0,CABLES[[#This Row],[CABLE_DIAMETER]],0)</f>
        <v>0</v>
      </c>
      <c r="ES17" s="10">
        <f>IF(CABLES[[#This Row],[SEG21]]&gt;0,CABLES[[#This Row],[CABLE_DIAMETER]],0)</f>
        <v>0</v>
      </c>
      <c r="ET17" s="10">
        <f>IF(CABLES[[#This Row],[SEG22]]&gt;0,CABLES[[#This Row],[CABLE_DIAMETER]],0)</f>
        <v>0</v>
      </c>
      <c r="EU17" s="10">
        <f>IF(CABLES[[#This Row],[SEG23]]&gt;0,CABLES[[#This Row],[CABLE_DIAMETER]],0)</f>
        <v>0</v>
      </c>
      <c r="EV17" s="10">
        <f>IF(CABLES[[#This Row],[SEG24]]&gt;0,CABLES[[#This Row],[CABLE_DIAMETER]],0)</f>
        <v>0</v>
      </c>
      <c r="EW17" s="10">
        <f>IF(CABLES[[#This Row],[SEG25]]&gt;0,CABLES[[#This Row],[CABLE_DIAMETER]],0)</f>
        <v>0</v>
      </c>
      <c r="EX17" s="10">
        <f>IF(CABLES[[#This Row],[SEG26]]&gt;0,CABLES[[#This Row],[CABLE_DIAMETER]],0)</f>
        <v>0</v>
      </c>
      <c r="EY17" s="10">
        <f>IF(CABLES[[#This Row],[SEG27]]&gt;0,CABLES[[#This Row],[CABLE_DIAMETER]],0)</f>
        <v>0</v>
      </c>
      <c r="EZ17" s="10">
        <f>IF(CABLES[[#This Row],[SEG28]]&gt;0,CABLES[[#This Row],[CABLE_DIAMETER]],0)</f>
        <v>0</v>
      </c>
      <c r="FA17" s="10">
        <f>IF(CABLES[[#This Row],[SEG29]]&gt;0,CABLES[[#This Row],[CABLE_DIAMETER]],0)</f>
        <v>0</v>
      </c>
      <c r="FB17" s="10">
        <f>IF(CABLES[[#This Row],[SEG30]]&gt;0,CABLES[[#This Row],[CABLE_DIAMETER]],0)</f>
        <v>0</v>
      </c>
      <c r="FC17" s="10">
        <f>IF(CABLES[[#This Row],[SEG31]]&gt;0,CABLES[[#This Row],[CABLE_DIAMETER]],0)</f>
        <v>0</v>
      </c>
      <c r="FD17" s="10">
        <f>IF(CABLES[[#This Row],[SEG32]]&gt;0,CABLES[[#This Row],[CABLE_DIAMETER]],0)</f>
        <v>0</v>
      </c>
      <c r="FE17" s="10">
        <f>IF(CABLES[[#This Row],[SEG33]]&gt;0,CABLES[[#This Row],[CABLE_DIAMETER]],0)</f>
        <v>0</v>
      </c>
      <c r="FF17" s="10">
        <f>IF(CABLES[[#This Row],[SEG34]]&gt;0,CABLES[[#This Row],[CABLE_DIAMETER]],0)</f>
        <v>0</v>
      </c>
      <c r="FG17" s="10">
        <f>IF(CABLES[[#This Row],[SEG35]]&gt;0,CABLES[[#This Row],[CABLE_DIAMETER]],0)</f>
        <v>0</v>
      </c>
      <c r="FH17" s="10">
        <f>IF(CABLES[[#This Row],[SEG36]]&gt;0,CABLES[[#This Row],[CABLE_DIAMETER]],0)</f>
        <v>0</v>
      </c>
      <c r="FI17" s="10">
        <f>IF(CABLES[[#This Row],[SEG37]]&gt;0,CABLES[[#This Row],[CABLE_DIAMETER]],0)</f>
        <v>0</v>
      </c>
      <c r="FJ17" s="10">
        <f>IF(CABLES[[#This Row],[SEG38]]&gt;0,CABLES[[#This Row],[CABLE_DIAMETER]],0)</f>
        <v>0</v>
      </c>
      <c r="FK17" s="10">
        <f>IF(CABLES[[#This Row],[SEG39]]&gt;0,CABLES[[#This Row],[CABLE_DIAMETER]],0)</f>
        <v>0</v>
      </c>
      <c r="FL17" s="10">
        <f>IF(CABLES[[#This Row],[SEG40]]&gt;0,CABLES[[#This Row],[CABLE_DIAMETER]],0)</f>
        <v>0</v>
      </c>
      <c r="FM17" s="10">
        <f>IF(CABLES[[#This Row],[SEG41]]&gt;0,CABLES[[#This Row],[CABLE_DIAMETER]],0)</f>
        <v>0</v>
      </c>
      <c r="FN17" s="10">
        <f>IF(CABLES[[#This Row],[SEG42]]&gt;0,CABLES[[#This Row],[CABLE_DIAMETER]],0)</f>
        <v>0</v>
      </c>
      <c r="FO17" s="10">
        <f>IF(CABLES[[#This Row],[SEG43]]&gt;0,CABLES[[#This Row],[CABLE_DIAMETER]],0)</f>
        <v>0</v>
      </c>
      <c r="FP17" s="10">
        <f>IF(CABLES[[#This Row],[SEG44]]&gt;0,CABLES[[#This Row],[CABLE_DIAMETER]],0)</f>
        <v>0</v>
      </c>
      <c r="FQ17" s="10">
        <f>IF(CABLES[[#This Row],[SEG45]]&gt;0,CABLES[[#This Row],[CABLE_DIAMETER]],0)</f>
        <v>0</v>
      </c>
      <c r="FR17" s="10">
        <f>IF(CABLES[[#This Row],[SEG46]]&gt;0,CABLES[[#This Row],[CABLE_DIAMETER]],0)</f>
        <v>0</v>
      </c>
      <c r="FS17" s="10">
        <f>IF(CABLES[[#This Row],[SEG47]]&gt;0,CABLES[[#This Row],[CABLE_DIAMETER]],0)</f>
        <v>0</v>
      </c>
      <c r="FT17" s="10">
        <f>IF(CABLES[[#This Row],[SEG48]]&gt;0,CABLES[[#This Row],[CABLE_DIAMETER]],0)</f>
        <v>0</v>
      </c>
      <c r="FU17" s="10">
        <f>IF(CABLES[[#This Row],[SEG49]]&gt;0,CABLES[[#This Row],[CABLE_DIAMETER]],0)</f>
        <v>0</v>
      </c>
      <c r="FV17" s="10">
        <f>IF(CABLES[[#This Row],[SEG50]]&gt;0,CABLES[[#This Row],[CABLE_DIAMETER]],0)</f>
        <v>0</v>
      </c>
      <c r="FW17" s="10">
        <f>IF(CABLES[[#This Row],[SEG51]]&gt;0,CABLES[[#This Row],[CABLE_DIAMETER]],0)</f>
        <v>0</v>
      </c>
      <c r="FX17" s="10">
        <f>IF(CABLES[[#This Row],[SEG52]]&gt;0,CABLES[[#This Row],[CABLE_DIAMETER]],0)</f>
        <v>0</v>
      </c>
      <c r="FY17" s="10">
        <f>IF(CABLES[[#This Row],[SEG53]]&gt;0,CABLES[[#This Row],[CABLE_DIAMETER]],0)</f>
        <v>0</v>
      </c>
      <c r="FZ17" s="10">
        <f>IF(CABLES[[#This Row],[SEG54]]&gt;0,CABLES[[#This Row],[CABLE_DIAMETER]],0)</f>
        <v>0</v>
      </c>
      <c r="GA17" s="10">
        <f>IF(CABLES[[#This Row],[SEG55]]&gt;0,CABLES[[#This Row],[CABLE_DIAMETER]],0)</f>
        <v>0</v>
      </c>
      <c r="GB17" s="10">
        <f>IF(CABLES[[#This Row],[SEG56]]&gt;0,CABLES[[#This Row],[CABLE_DIAMETER]],0)</f>
        <v>0</v>
      </c>
      <c r="GC17" s="10">
        <f>IF(CABLES[[#This Row],[SEG57]]&gt;0,CABLES[[#This Row],[CABLE_DIAMETER]],0)</f>
        <v>0</v>
      </c>
      <c r="GD17" s="10">
        <f>IF(CABLES[[#This Row],[SEG58]]&gt;0,CABLES[[#This Row],[CABLE_DIAMETER]],0)</f>
        <v>0</v>
      </c>
      <c r="GE17" s="10">
        <f>IF(CABLES[[#This Row],[SEG59]]&gt;0,CABLES[[#This Row],[CABLE_DIAMETER]],0)</f>
        <v>0</v>
      </c>
      <c r="GF17" s="10">
        <f>IF(CABLES[[#This Row],[SEG60]]&gt;0,CABLES[[#This Row],[CABLE_DIAMETER]],0)</f>
        <v>0</v>
      </c>
      <c r="GG17" s="10">
        <f>IF(CABLES[[#This Row],[SEG1]]&gt;0,CABLES[[#This Row],[CABLE_MASS]],0)</f>
        <v>0.33</v>
      </c>
      <c r="GH17" s="10">
        <f>IF(CABLES[[#This Row],[SEG2]]&gt;0,CABLES[[#This Row],[CABLE_MASS]],0)</f>
        <v>0.33</v>
      </c>
      <c r="GI17" s="10">
        <f>IF(CABLES[[#This Row],[SEG3]]&gt;0,CABLES[[#This Row],[CABLE_MASS]],0)</f>
        <v>0.33</v>
      </c>
      <c r="GJ17" s="10">
        <f>IF(CABLES[[#This Row],[SEG4]]&gt;0,CABLES[[#This Row],[CABLE_MASS]],0)</f>
        <v>0</v>
      </c>
      <c r="GK17" s="10">
        <f>IF(CABLES[[#This Row],[SEG5]]&gt;0,CABLES[[#This Row],[CABLE_MASS]],0)</f>
        <v>0</v>
      </c>
      <c r="GL17" s="10">
        <f>IF(CABLES[[#This Row],[SEG6]]&gt;0,CABLES[[#This Row],[CABLE_MASS]],0)</f>
        <v>0</v>
      </c>
      <c r="GM17" s="10">
        <f>IF(CABLES[[#This Row],[SEG7]]&gt;0,CABLES[[#This Row],[CABLE_MASS]],0)</f>
        <v>0</v>
      </c>
      <c r="GN17" s="10">
        <f>IF(CABLES[[#This Row],[SEG8]]&gt;0,CABLES[[#This Row],[CABLE_MASS]],0)</f>
        <v>0</v>
      </c>
      <c r="GO17" s="10">
        <f>IF(CABLES[[#This Row],[SEG9]]&gt;0,CABLES[[#This Row],[CABLE_MASS]],0)</f>
        <v>0</v>
      </c>
      <c r="GP17" s="10">
        <f>IF(CABLES[[#This Row],[SEG10]]&gt;0,CABLES[[#This Row],[CABLE_MASS]],0)</f>
        <v>0</v>
      </c>
      <c r="GQ17" s="10">
        <f>IF(CABLES[[#This Row],[SEG11]]&gt;0,CABLES[[#This Row],[CABLE_MASS]],0)</f>
        <v>0</v>
      </c>
      <c r="GR17" s="10">
        <f>IF(CABLES[[#This Row],[SEG12]]&gt;0,CABLES[[#This Row],[CABLE_MASS]],0)</f>
        <v>0</v>
      </c>
      <c r="GS17" s="10">
        <f>IF(CABLES[[#This Row],[SEG13]]&gt;0,CABLES[[#This Row],[CABLE_MASS]],0)</f>
        <v>0</v>
      </c>
      <c r="GT17" s="10">
        <f>IF(CABLES[[#This Row],[SEG14]]&gt;0,CABLES[[#This Row],[CABLE_MASS]],0)</f>
        <v>0</v>
      </c>
      <c r="GU17" s="10">
        <f>IF(CABLES[[#This Row],[SEG15]]&gt;0,CABLES[[#This Row],[CABLE_MASS]],0)</f>
        <v>0</v>
      </c>
      <c r="GV17" s="10">
        <f>IF(CABLES[[#This Row],[SEG16]]&gt;0,CABLES[[#This Row],[CABLE_MASS]],0)</f>
        <v>0</v>
      </c>
      <c r="GW17" s="10">
        <f>IF(CABLES[[#This Row],[SEG17]]&gt;0,CABLES[[#This Row],[CABLE_MASS]],0)</f>
        <v>0</v>
      </c>
      <c r="GX17" s="10">
        <f>IF(CABLES[[#This Row],[SEG18]]&gt;0,CABLES[[#This Row],[CABLE_MASS]],0)</f>
        <v>0</v>
      </c>
      <c r="GY17" s="10">
        <f>IF(CABLES[[#This Row],[SEG19]]&gt;0,CABLES[[#This Row],[CABLE_MASS]],0)</f>
        <v>0</v>
      </c>
      <c r="GZ17" s="10">
        <f>IF(CABLES[[#This Row],[SEG20]]&gt;0,CABLES[[#This Row],[CABLE_MASS]],0)</f>
        <v>0</v>
      </c>
      <c r="HA17" s="10">
        <f>IF(CABLES[[#This Row],[SEG21]]&gt;0,CABLES[[#This Row],[CABLE_MASS]],0)</f>
        <v>0</v>
      </c>
      <c r="HB17" s="10">
        <f>IF(CABLES[[#This Row],[SEG22]]&gt;0,CABLES[[#This Row],[CABLE_MASS]],0)</f>
        <v>0</v>
      </c>
      <c r="HC17" s="10">
        <f>IF(CABLES[[#This Row],[SEG23]]&gt;0,CABLES[[#This Row],[CABLE_MASS]],0)</f>
        <v>0</v>
      </c>
      <c r="HD17" s="10">
        <f>IF(CABLES[[#This Row],[SEG24]]&gt;0,CABLES[[#This Row],[CABLE_MASS]],0)</f>
        <v>0</v>
      </c>
      <c r="HE17" s="10">
        <f>IF(CABLES[[#This Row],[SEG25]]&gt;0,CABLES[[#This Row],[CABLE_MASS]],0)</f>
        <v>0</v>
      </c>
      <c r="HF17" s="10">
        <f>IF(CABLES[[#This Row],[SEG26]]&gt;0,CABLES[[#This Row],[CABLE_MASS]],0)</f>
        <v>0</v>
      </c>
      <c r="HG17" s="10">
        <f>IF(CABLES[[#This Row],[SEG27]]&gt;0,CABLES[[#This Row],[CABLE_MASS]],0)</f>
        <v>0</v>
      </c>
      <c r="HH17" s="10">
        <f>IF(CABLES[[#This Row],[SEG28]]&gt;0,CABLES[[#This Row],[CABLE_MASS]],0)</f>
        <v>0</v>
      </c>
      <c r="HI17" s="10">
        <f>IF(CABLES[[#This Row],[SEG29]]&gt;0,CABLES[[#This Row],[CABLE_MASS]],0)</f>
        <v>0</v>
      </c>
      <c r="HJ17" s="10">
        <f>IF(CABLES[[#This Row],[SEG30]]&gt;0,CABLES[[#This Row],[CABLE_MASS]],0)</f>
        <v>0</v>
      </c>
      <c r="HK17" s="10">
        <f>IF(CABLES[[#This Row],[SEG31]]&gt;0,CABLES[[#This Row],[CABLE_MASS]],0)</f>
        <v>0</v>
      </c>
      <c r="HL17" s="10">
        <f>IF(CABLES[[#This Row],[SEG32]]&gt;0,CABLES[[#This Row],[CABLE_MASS]],0)</f>
        <v>0</v>
      </c>
      <c r="HM17" s="10">
        <f>IF(CABLES[[#This Row],[SEG33]]&gt;0,CABLES[[#This Row],[CABLE_MASS]],0)</f>
        <v>0</v>
      </c>
      <c r="HN17" s="10">
        <f>IF(CABLES[[#This Row],[SEG34]]&gt;0,CABLES[[#This Row],[CABLE_MASS]],0)</f>
        <v>0</v>
      </c>
      <c r="HO17" s="10">
        <f>IF(CABLES[[#This Row],[SEG35]]&gt;0,CABLES[[#This Row],[CABLE_MASS]],0)</f>
        <v>0</v>
      </c>
      <c r="HP17" s="10">
        <f>IF(CABLES[[#This Row],[SEG36]]&gt;0,CABLES[[#This Row],[CABLE_MASS]],0)</f>
        <v>0</v>
      </c>
      <c r="HQ17" s="10">
        <f>IF(CABLES[[#This Row],[SEG37]]&gt;0,CABLES[[#This Row],[CABLE_MASS]],0)</f>
        <v>0</v>
      </c>
      <c r="HR17" s="10">
        <f>IF(CABLES[[#This Row],[SEG38]]&gt;0,CABLES[[#This Row],[CABLE_MASS]],0)</f>
        <v>0</v>
      </c>
      <c r="HS17" s="10">
        <f>IF(CABLES[[#This Row],[SEG39]]&gt;0,CABLES[[#This Row],[CABLE_MASS]],0)</f>
        <v>0</v>
      </c>
      <c r="HT17" s="10">
        <f>IF(CABLES[[#This Row],[SEG40]]&gt;0,CABLES[[#This Row],[CABLE_MASS]],0)</f>
        <v>0</v>
      </c>
      <c r="HU17" s="10">
        <f>IF(CABLES[[#This Row],[SEG41]]&gt;0,CABLES[[#This Row],[CABLE_MASS]],0)</f>
        <v>0</v>
      </c>
      <c r="HV17" s="10">
        <f>IF(CABLES[[#This Row],[SEG42]]&gt;0,CABLES[[#This Row],[CABLE_MASS]],0)</f>
        <v>0</v>
      </c>
      <c r="HW17" s="10">
        <f>IF(CABLES[[#This Row],[SEG43]]&gt;0,CABLES[[#This Row],[CABLE_MASS]],0)</f>
        <v>0</v>
      </c>
      <c r="HX17" s="10">
        <f>IF(CABLES[[#This Row],[SEG44]]&gt;0,CABLES[[#This Row],[CABLE_MASS]],0)</f>
        <v>0</v>
      </c>
      <c r="HY17" s="10">
        <f>IF(CABLES[[#This Row],[SEG45]]&gt;0,CABLES[[#This Row],[CABLE_MASS]],0)</f>
        <v>0</v>
      </c>
      <c r="HZ17" s="10">
        <f>IF(CABLES[[#This Row],[SEG46]]&gt;0,CABLES[[#This Row],[CABLE_MASS]],0)</f>
        <v>0</v>
      </c>
      <c r="IA17" s="10">
        <f>IF(CABLES[[#This Row],[SEG47]]&gt;0,CABLES[[#This Row],[CABLE_MASS]],0)</f>
        <v>0</v>
      </c>
      <c r="IB17" s="10">
        <f>IF(CABLES[[#This Row],[SEG48]]&gt;0,CABLES[[#This Row],[CABLE_MASS]],0)</f>
        <v>0</v>
      </c>
      <c r="IC17" s="10">
        <f>IF(CABLES[[#This Row],[SEG49]]&gt;0,CABLES[[#This Row],[CABLE_MASS]],0)</f>
        <v>0</v>
      </c>
      <c r="ID17" s="10">
        <f>IF(CABLES[[#This Row],[SEG50]]&gt;0,CABLES[[#This Row],[CABLE_MASS]],0)</f>
        <v>0</v>
      </c>
      <c r="IE17" s="10">
        <f>IF(CABLES[[#This Row],[SEG51]]&gt;0,CABLES[[#This Row],[CABLE_MASS]],0)</f>
        <v>0</v>
      </c>
      <c r="IF17" s="10">
        <f>IF(CABLES[[#This Row],[SEG52]]&gt;0,CABLES[[#This Row],[CABLE_MASS]],0)</f>
        <v>0</v>
      </c>
      <c r="IG17" s="10">
        <f>IF(CABLES[[#This Row],[SEG53]]&gt;0,CABLES[[#This Row],[CABLE_MASS]],0)</f>
        <v>0</v>
      </c>
      <c r="IH17" s="10">
        <f>IF(CABLES[[#This Row],[SEG54]]&gt;0,CABLES[[#This Row],[CABLE_MASS]],0)</f>
        <v>0</v>
      </c>
      <c r="II17" s="10">
        <f>IF(CABLES[[#This Row],[SEG55]]&gt;0,CABLES[[#This Row],[CABLE_MASS]],0)</f>
        <v>0</v>
      </c>
      <c r="IJ17" s="10">
        <f>IF(CABLES[[#This Row],[SEG56]]&gt;0,CABLES[[#This Row],[CABLE_MASS]],0)</f>
        <v>0</v>
      </c>
      <c r="IK17" s="10">
        <f>IF(CABLES[[#This Row],[SEG57]]&gt;0,CABLES[[#This Row],[CABLE_MASS]],0)</f>
        <v>0</v>
      </c>
      <c r="IL17" s="10">
        <f>IF(CABLES[[#This Row],[SEG58]]&gt;0,CABLES[[#This Row],[CABLE_MASS]],0)</f>
        <v>0</v>
      </c>
      <c r="IM17" s="10">
        <f>IF(CABLES[[#This Row],[SEG59]]&gt;0,CABLES[[#This Row],[CABLE_MASS]],0)</f>
        <v>0</v>
      </c>
      <c r="IN17" s="10">
        <f>IF(CABLES[[#This Row],[SEG60]]&gt;0,CABLES[[#This Row],[CABLE_MASS]],0)</f>
        <v>0</v>
      </c>
      <c r="IO17" s="10">
        <f xml:space="preserve">  (CABLES[[#This Row],[LOAD_KW]]/(SQRT(3)*SYSTEM_VOLTAGE*POWER_FACTOR))*1000</f>
        <v>12.028130608117204</v>
      </c>
      <c r="IP17" s="10">
        <v>45</v>
      </c>
      <c r="IQ17" s="10">
        <f xml:space="preserve"> INDEX(AS3000_AMBIENTDERATE[], MATCH(CABLES[[#This Row],[AMBIENT]],AS3000_AMBIENTDERATE[AMBIENT],0), 2)</f>
        <v>0.94</v>
      </c>
      <c r="IR17" s="10">
        <f xml:space="preserve"> ROUNDUP( CABLES[[#This Row],[CALCULATED_AMPS]]/CABLES[[#This Row],[AMBIENT_DERATING]],1)</f>
        <v>12.799999999999999</v>
      </c>
      <c r="IS17" s="10" t="s">
        <v>531</v>
      </c>
      <c r="IT1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17" s="10">
        <f t="shared" si="0"/>
        <v>28.000000000000004</v>
      </c>
      <c r="IV17" s="10">
        <f>(1000*CABLES[[#This Row],[MAX_VDROP]])/(CABLES[[#This Row],[ESTIMATED_CABLE_LENGTH]]*CABLES[[#This Row],[AMP_RATING]])</f>
        <v>50.63657407407409</v>
      </c>
      <c r="IW17" s="10">
        <f xml:space="preserve"> INDEX(AS3000_VDROP[], MATCH(CABLES[[#This Row],[VC_CALC]],AS3000_VDROP[Vc],1),1)</f>
        <v>2.5</v>
      </c>
      <c r="IX17" s="10">
        <f>MAX(CABLES[[#This Row],[CABLESIZE_METHOD1]],CABLES[[#This Row],[CABLESIZE_METHOD2]])</f>
        <v>2.5</v>
      </c>
      <c r="IY17" s="10"/>
      <c r="IZ17" s="10">
        <f>IF(LEN(CABLES[[#This Row],[OVERRIDE_CABLESIZE]])&gt;0,CABLES[[#This Row],[OVERRIDE_CABLESIZE]],CABLES[[#This Row],[INITIAL_CABLESIZE]])</f>
        <v>2.5</v>
      </c>
      <c r="JA17" s="10">
        <f>INDEX(PROTECTIVE_DEVICE[DEVICE], MATCH(CABLES[[#This Row],[CALCULATED_AMPS]],PROTECTIVE_DEVICE[DEVICE],-1),1)</f>
        <v>16</v>
      </c>
      <c r="JB17" s="10"/>
      <c r="JC17" s="10">
        <f>IF(LEN(CABLES[[#This Row],[OVERRIDE_PDEVICE]])&gt;0, CABLES[[#This Row],[OVERRIDE_PDEVICE]],CABLES[[#This Row],[RECOMMEND_PDEVICE]])</f>
        <v>16</v>
      </c>
      <c r="JD17" s="10" t="s">
        <v>450</v>
      </c>
      <c r="JE17" s="10">
        <f xml:space="preserve"> CABLES[[#This Row],[SELECTED_PDEVICE]] * INDEX(DEVICE_CURVE[], MATCH(CABLES[[#This Row],[PDEVICE_CURVE]], DEVICE_CURVE[DEVICE_CURVE],0),2)</f>
        <v>104</v>
      </c>
      <c r="JF17" s="10" t="s">
        <v>458</v>
      </c>
      <c r="JG17" s="10">
        <f xml:space="preserve"> INDEX(CONDUCTOR_MATERIAL[], MATCH(CABLES[[#This Row],[CONDUCTOR_MATERIAL]],CONDUCTOR_MATERIAL[CONDUCTOR_MATERIAL],0),2)</f>
        <v>2.2499999999999999E-2</v>
      </c>
      <c r="JH17" s="10">
        <f>CABLES[[#This Row],[SELECTED_CABLESIZE]]</f>
        <v>2.5</v>
      </c>
      <c r="JI17" s="10">
        <f xml:space="preserve"> INDEX( EARTH_CONDUCTOR_SIZE[], MATCH(CABLES[[#This Row],[SPH]],EARTH_CONDUCTOR_SIZE[MM^2],-1), 2)</f>
        <v>2.5</v>
      </c>
      <c r="JJ17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17" s="10" t="str">
        <f>IF(CABLES[[#This Row],[LMAX]]&gt;CABLES[[#This Row],[ESTIMATED_CABLE_LENGTH]], "PASS", "ERROR")</f>
        <v>PASS</v>
      </c>
      <c r="JL1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1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17" s="6">
        <f xml:space="preserve"> ROUNDUP( CABLES[[#This Row],[CALCULATED_AMPS]],1)</f>
        <v>12.1</v>
      </c>
      <c r="JO17" s="6">
        <f>CABLES[[#This Row],[SELECTED_CABLESIZE]]</f>
        <v>2.5</v>
      </c>
      <c r="JP17" s="10">
        <f>CABLES[[#This Row],[ESTIMATED_CABLE_LENGTH]]</f>
        <v>43.199999999999996</v>
      </c>
      <c r="JQ17" s="6">
        <f>CABLES[[#This Row],[SELECTED_PDEVICE]]</f>
        <v>16</v>
      </c>
    </row>
    <row r="18" spans="1:277" x14ac:dyDescent="0.35">
      <c r="A18" s="5" t="s">
        <v>17</v>
      </c>
      <c r="B18" s="5" t="s">
        <v>487</v>
      </c>
      <c r="C18" s="10" t="s">
        <v>261</v>
      </c>
      <c r="D18" s="9">
        <v>45</v>
      </c>
      <c r="E18" s="9">
        <v>1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1</v>
      </c>
      <c r="Z18" s="9">
        <v>1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f xml:space="preserve"> IF(CABLES[[#This Row],[SEG1]] &gt;0, INDEX(SEGMENTS[], MATCH(CABLES[[#Headers],[SEG1]],SEGMENTS[SEG_ID],0),4),0)</f>
        <v>13</v>
      </c>
      <c r="BN18" s="9">
        <f xml:space="preserve"> IF(CABLES[[#This Row],[SEG2]] &gt;0, INDEX(SEGMENTS[], MATCH(CABLES[[#Headers],[SEG2]],SEGMENTS[SEG_ID],0),4),0)</f>
        <v>2</v>
      </c>
      <c r="BO18" s="9">
        <f xml:space="preserve"> IF(CABLES[[#This Row],[SEG3]] &gt;0, INDEX(SEGMENTS[], MATCH(CABLES[[#Headers],[SEG3]],SEGMENTS[SEG_ID],0),4),0)</f>
        <v>0</v>
      </c>
      <c r="BP18" s="9">
        <f xml:space="preserve"> IF(CABLES[[#This Row],[SEG4]] &gt;0, INDEX(SEGMENTS[], MATCH(CABLES[[#Headers],[SEG4]],SEGMENTS[SEG_ID],0),4),0)</f>
        <v>0</v>
      </c>
      <c r="BQ18" s="9">
        <f xml:space="preserve"> IF(CABLES[[#This Row],[SEG5]] &gt;0,INDEX(SEGMENTS[], MATCH(CABLES[[#Headers],[SEG5]],SEGMENTS[SEG_ID],0),4),0)</f>
        <v>0</v>
      </c>
      <c r="BR18" s="9">
        <f xml:space="preserve"> IF(CABLES[[#This Row],[SEG6]] &gt;0,INDEX(SEGMENTS[], MATCH(CABLES[[#Headers],[SEG6]],SEGMENTS[SEG_ID],0),4),0)</f>
        <v>0</v>
      </c>
      <c r="BS18" s="9">
        <f xml:space="preserve"> IF(CABLES[[#This Row],[SEG7]] &gt;0,INDEX(SEGMENTS[], MATCH(CABLES[[#Headers],[SEG7]],SEGMENTS[SEG_ID],0),4),0)</f>
        <v>0</v>
      </c>
      <c r="BT18" s="9">
        <f xml:space="preserve"> IF(CABLES[[#This Row],[SEG8]] &gt;0,INDEX(SEGMENTS[], MATCH(CABLES[[#Headers],[SEG8]],SEGMENTS[SEG_ID],0),4),0)</f>
        <v>0</v>
      </c>
      <c r="BU18" s="9">
        <f xml:space="preserve"> IF(CABLES[[#This Row],[SEG9]] &gt;0,INDEX(SEGMENTS[], MATCH(CABLES[[#Headers],[SEG9]],SEGMENTS[SEG_ID],0),4),0)</f>
        <v>0</v>
      </c>
      <c r="BV18" s="9">
        <f xml:space="preserve"> IF(CABLES[[#This Row],[SEG10]] &gt;0,INDEX(SEGMENTS[], MATCH(CABLES[[#Headers],[SEG10]],SEGMENTS[SEG_ID],0),4),0)</f>
        <v>0</v>
      </c>
      <c r="BW18" s="9">
        <f xml:space="preserve"> IF(CABLES[[#This Row],[SEG11]] &gt;0,INDEX(SEGMENTS[], MATCH(CABLES[[#Headers],[SEG11]],SEGMENTS[SEG_ID],0),4),0)</f>
        <v>0</v>
      </c>
      <c r="BX18" s="9">
        <f>IF(CABLES[[#This Row],[SEG12]] &gt;0, INDEX(SEGMENTS[], MATCH(CABLES[[#Headers],[SEG12]],SEGMENTS[SEG_ID],0),4),0)</f>
        <v>0</v>
      </c>
      <c r="BY18" s="9">
        <f xml:space="preserve"> IF(CABLES[[#This Row],[SEG13]] &gt;0,INDEX(SEGMENTS[], MATCH(CABLES[[#Headers],[SEG13]],SEGMENTS[SEG_ID],0),4),0)</f>
        <v>0</v>
      </c>
      <c r="BZ18" s="9">
        <f xml:space="preserve"> IF(CABLES[[#This Row],[SEG14]] &gt;0,INDEX(SEGMENTS[], MATCH(CABLES[[#Headers],[SEG14]],SEGMENTS[SEG_ID],0),4),0)</f>
        <v>0</v>
      </c>
      <c r="CA18" s="9">
        <f xml:space="preserve"> IF(CABLES[[#This Row],[SEG15]] &gt;0,INDEX(SEGMENTS[], MATCH(CABLES[[#Headers],[SEG15]],SEGMENTS[SEG_ID],0),4),0)</f>
        <v>0</v>
      </c>
      <c r="CB18" s="9">
        <f xml:space="preserve"> IF(CABLES[[#This Row],[SEG16]] &gt;0,INDEX(SEGMENTS[], MATCH(CABLES[[#Headers],[SEG16]],SEGMENTS[SEG_ID],0),4),0)</f>
        <v>0</v>
      </c>
      <c r="CC18" s="9">
        <f xml:space="preserve"> IF(CABLES[[#This Row],[SEG17]] &gt;0,INDEX(SEGMENTS[], MATCH(CABLES[[#Headers],[SEG17]],SEGMENTS[SEG_ID],0),4),0)</f>
        <v>0</v>
      </c>
      <c r="CD18" s="9">
        <f xml:space="preserve"> IF(CABLES[[#This Row],[SEG18]] &gt;0,INDEX(SEGMENTS[], MATCH(CABLES[[#Headers],[SEG18]],SEGMENTS[SEG_ID],0),4),0)</f>
        <v>0</v>
      </c>
      <c r="CE18" s="9">
        <f>IF(CABLES[[#This Row],[SEG19]] &gt;0, INDEX(SEGMENTS[], MATCH(CABLES[[#Headers],[SEG19]],SEGMENTS[SEG_ID],0),4),0)</f>
        <v>0</v>
      </c>
      <c r="CF18" s="9">
        <f>IF(CABLES[[#This Row],[SEG20]] &gt;0, INDEX(SEGMENTS[], MATCH(CABLES[[#Headers],[SEG20]],SEGMENTS[SEG_ID],0),4),0)</f>
        <v>0</v>
      </c>
      <c r="CG18" s="9">
        <f xml:space="preserve"> IF(CABLES[[#This Row],[SEG21]] &gt;0,INDEX(SEGMENTS[], MATCH(CABLES[[#Headers],[SEG21]],SEGMENTS[SEG_ID],0),4),0)</f>
        <v>4</v>
      </c>
      <c r="CH18" s="9">
        <f xml:space="preserve"> IF(CABLES[[#This Row],[SEG22]] &gt;0,INDEX(SEGMENTS[], MATCH(CABLES[[#Headers],[SEG22]],SEGMENTS[SEG_ID],0),4),0)</f>
        <v>16</v>
      </c>
      <c r="CI18" s="9">
        <f>IF(CABLES[[#This Row],[SEG23]] &gt;0, INDEX(SEGMENTS[], MATCH(CABLES[[#Headers],[SEG23]],SEGMENTS[SEG_ID],0),4),0)</f>
        <v>0</v>
      </c>
      <c r="CJ18" s="9">
        <f xml:space="preserve"> IF(CABLES[[#This Row],[SEG24]] &gt;0,INDEX(SEGMENTS[], MATCH(CABLES[[#Headers],[SEG24]],SEGMENTS[SEG_ID],0),4),0)</f>
        <v>0</v>
      </c>
      <c r="CK18" s="9">
        <f>IF(CABLES[[#This Row],[SEG25]] &gt;0, INDEX(SEGMENTS[], MATCH(CABLES[[#Headers],[SEG25]],SEGMENTS[SEG_ID],0),4),0)</f>
        <v>0</v>
      </c>
      <c r="CL18" s="9">
        <f>IF(CABLES[[#This Row],[SEG26]] &gt;0, INDEX(SEGMENTS[], MATCH(CABLES[[#Headers],[SEG26]],SEGMENTS[SEG_ID],0),4),0)</f>
        <v>0</v>
      </c>
      <c r="CM18" s="9">
        <f xml:space="preserve"> IF(CABLES[[#This Row],[SEG27]] &gt;0,INDEX(SEGMENTS[], MATCH(CABLES[[#Headers],[SEG27]],SEGMENTS[SEG_ID],0),4),0)</f>
        <v>0</v>
      </c>
      <c r="CN18" s="9">
        <f xml:space="preserve"> IF(CABLES[[#This Row],[SEG28]] &gt;0,INDEX(SEGMENTS[], MATCH(CABLES[[#Headers],[SEG28]],SEGMENTS[SEG_ID],0),4),0)</f>
        <v>0</v>
      </c>
      <c r="CO18" s="9">
        <f xml:space="preserve"> IF(CABLES[[#This Row],[SEG29]] &gt;0,INDEX(SEGMENTS[], MATCH(CABLES[[#Headers],[SEG29]],SEGMENTS[SEG_ID],0),4),0)</f>
        <v>0</v>
      </c>
      <c r="CP18" s="9">
        <f xml:space="preserve"> IF(CABLES[[#This Row],[SEG30]] &gt;0,INDEX(SEGMENTS[], MATCH(CABLES[[#Headers],[SEG30]],SEGMENTS[SEG_ID],0),4),0)</f>
        <v>0</v>
      </c>
      <c r="CQ18" s="9">
        <f>IF(CABLES[[#This Row],[SEG31]] &gt;0, INDEX(SEGMENTS[], MATCH(CABLES[[#Headers],[SEG31]],SEGMENTS[SEG_ID],0),4),0)</f>
        <v>0</v>
      </c>
      <c r="CR18" s="9">
        <f xml:space="preserve"> IF(CABLES[[#This Row],[SEG32]] &gt;0,INDEX(SEGMENTS[], MATCH(CABLES[[#Headers],[SEG32]],SEGMENTS[SEG_ID],0),4),0)</f>
        <v>0</v>
      </c>
      <c r="CS18" s="9">
        <f xml:space="preserve"> IF(CABLES[[#This Row],[SEG33]] &gt;0,INDEX(SEGMENTS[], MATCH(CABLES[[#Headers],[SEG33]],SEGMENTS[SEG_ID],0),4),0)</f>
        <v>0</v>
      </c>
      <c r="CT18" s="9">
        <f>IF(CABLES[[#This Row],[SEG34]] &gt;0, INDEX(SEGMENTS[], MATCH(CABLES[[#Headers],[SEG34]],SEGMENTS[SEG_ID],0),4),0)</f>
        <v>0</v>
      </c>
      <c r="CU18" s="9">
        <f xml:space="preserve"> IF(CABLES[[#This Row],[SEG35]] &gt;0,INDEX(SEGMENTS[], MATCH(CABLES[[#Headers],[SEG35]],SEGMENTS[SEG_ID],0),4),0)</f>
        <v>0</v>
      </c>
      <c r="CV18" s="9">
        <f xml:space="preserve"> IF(CABLES[[#This Row],[SEG36]] &gt;0,INDEX(SEGMENTS[], MATCH(CABLES[[#Headers],[SEG36]],SEGMENTS[SEG_ID],0),4),0)</f>
        <v>0</v>
      </c>
      <c r="CW18" s="9">
        <f xml:space="preserve"> IF(CABLES[[#This Row],[SEG37]] &gt;0,INDEX(SEGMENTS[], MATCH(CABLES[[#Headers],[SEG37]],SEGMENTS[SEG_ID],0),4),0)</f>
        <v>0</v>
      </c>
      <c r="CX18" s="9">
        <f xml:space="preserve"> IF(CABLES[[#This Row],[SEG38]] &gt;0,INDEX(SEGMENTS[], MATCH(CABLES[[#Headers],[SEG38]],SEGMENTS[SEG_ID],0),4),0)</f>
        <v>0</v>
      </c>
      <c r="CY18" s="9">
        <f xml:space="preserve"> IF(CABLES[[#This Row],[SEG39]] &gt;0,INDEX(SEGMENTS[], MATCH(CABLES[[#Headers],[SEG39]],SEGMENTS[SEG_ID],0),4),0)</f>
        <v>0</v>
      </c>
      <c r="CZ18" s="9">
        <f xml:space="preserve"> IF(CABLES[[#This Row],[SEG40]] &gt;0,INDEX(SEGMENTS[], MATCH(CABLES[[#Headers],[SEG40]],SEGMENTS[SEG_ID],0),4),0)</f>
        <v>0</v>
      </c>
      <c r="DA18" s="9">
        <f xml:space="preserve"> IF(CABLES[[#This Row],[SEG41]] &gt;0,INDEX(SEGMENTS[], MATCH(CABLES[[#Headers],[SEG41]],SEGMENTS[SEG_ID],0),4),0)</f>
        <v>0</v>
      </c>
      <c r="DB18" s="9">
        <f xml:space="preserve"> IF(CABLES[[#This Row],[SEG42]] &gt;0,INDEX(SEGMENTS[], MATCH(CABLES[[#Headers],[SEG42]],SEGMENTS[SEG_ID],0),4),0)</f>
        <v>0</v>
      </c>
      <c r="DC18" s="9">
        <f xml:space="preserve"> IF(CABLES[[#This Row],[SEG43]] &gt;0,INDEX(SEGMENTS[], MATCH(CABLES[[#Headers],[SEG43]],SEGMENTS[SEG_ID],0),4),0)</f>
        <v>0</v>
      </c>
      <c r="DD18" s="9">
        <f xml:space="preserve"> IF(CABLES[[#This Row],[SEG44]] &gt;0,INDEX(SEGMENTS[], MATCH(CABLES[[#Headers],[SEG44]],SEGMENTS[SEG_ID],0),4),0)</f>
        <v>0</v>
      </c>
      <c r="DE18" s="9">
        <f xml:space="preserve"> IF(CABLES[[#This Row],[SEG45]] &gt;0,INDEX(SEGMENTS[], MATCH(CABLES[[#Headers],[SEG45]],SEGMENTS[SEG_ID],0),4),0)</f>
        <v>0</v>
      </c>
      <c r="DF18" s="9">
        <f xml:space="preserve"> IF(CABLES[[#This Row],[SEG46]] &gt;0,INDEX(SEGMENTS[], MATCH(CABLES[[#Headers],[SEG46]],SEGMENTS[SEG_ID],0),4),0)</f>
        <v>0</v>
      </c>
      <c r="DG18" s="9">
        <f xml:space="preserve"> IF(CABLES[[#This Row],[SEG47]] &gt;0,INDEX(SEGMENTS[], MATCH(CABLES[[#Headers],[SEG47]],SEGMENTS[SEG_ID],0),4),0)</f>
        <v>0</v>
      </c>
      <c r="DH18" s="9">
        <f xml:space="preserve"> IF(CABLES[[#This Row],[SEG48]] &gt;0,INDEX(SEGMENTS[], MATCH(CABLES[[#Headers],[SEG48]],SEGMENTS[SEG_ID],0),4),0)</f>
        <v>0</v>
      </c>
      <c r="DI18" s="9">
        <f xml:space="preserve"> IF(CABLES[[#This Row],[SEG49]] &gt;0,INDEX(SEGMENTS[], MATCH(CABLES[[#Headers],[SEG49]],SEGMENTS[SEG_ID],0),4),0)</f>
        <v>0</v>
      </c>
      <c r="DJ18" s="9">
        <f xml:space="preserve"> IF(CABLES[[#This Row],[SEG50]] &gt;0,INDEX(SEGMENTS[], MATCH(CABLES[[#Headers],[SEG50]],SEGMENTS[SEG_ID],0),4),0)</f>
        <v>0</v>
      </c>
      <c r="DK18" s="9">
        <f xml:space="preserve"> IF(CABLES[[#This Row],[SEG51]] &gt;0,INDEX(SEGMENTS[], MATCH(CABLES[[#Headers],[SEG51]],SEGMENTS[SEG_ID],0),4),0)</f>
        <v>0</v>
      </c>
      <c r="DL18" s="9">
        <f xml:space="preserve"> IF(CABLES[[#This Row],[SEG52]] &gt;0,INDEX(SEGMENTS[], MATCH(CABLES[[#Headers],[SEG52]],SEGMENTS[SEG_ID],0),4),0)</f>
        <v>0</v>
      </c>
      <c r="DM18" s="9">
        <f xml:space="preserve"> IF(CABLES[[#This Row],[SEG53]] &gt;0,INDEX(SEGMENTS[], MATCH(CABLES[[#Headers],[SEG53]],SEGMENTS[SEG_ID],0),4),0)</f>
        <v>0</v>
      </c>
      <c r="DN18" s="9">
        <f xml:space="preserve"> IF(CABLES[[#This Row],[SEG54]] &gt;0,INDEX(SEGMENTS[], MATCH(CABLES[[#Headers],[SEG54]],SEGMENTS[SEG_ID],0),4),0)</f>
        <v>0</v>
      </c>
      <c r="DO18" s="9">
        <f xml:space="preserve"> IF(CABLES[[#This Row],[SEG55]] &gt;0,INDEX(SEGMENTS[], MATCH(CABLES[[#Headers],[SEG55]],SEGMENTS[SEG_ID],0),4),0)</f>
        <v>0</v>
      </c>
      <c r="DP18" s="9">
        <f xml:space="preserve"> IF(CABLES[[#This Row],[SEG56]] &gt;0,INDEX(SEGMENTS[], MATCH(CABLES[[#Headers],[SEG56]],SEGMENTS[SEG_ID],0),4),0)</f>
        <v>0</v>
      </c>
      <c r="DQ18" s="9">
        <f xml:space="preserve"> IF(CABLES[[#This Row],[SEG57]] &gt;0,INDEX(SEGMENTS[], MATCH(CABLES[[#Headers],[SEG57]],SEGMENTS[SEG_ID],0),4),0)</f>
        <v>0</v>
      </c>
      <c r="DR18" s="9">
        <f xml:space="preserve"> IF(CABLES[[#This Row],[SEG58]] &gt;0,INDEX(SEGMENTS[], MATCH(CABLES[[#Headers],[SEG58]],SEGMENTS[SEG_ID],0),4),0)</f>
        <v>0</v>
      </c>
      <c r="DS18" s="9">
        <f xml:space="preserve"> IF(CABLES[[#This Row],[SEG59]] &gt;0,INDEX(SEGMENTS[], MATCH(CABLES[[#Headers],[SEG59]],SEGMENTS[SEG_ID],0),4),0)</f>
        <v>0</v>
      </c>
      <c r="DT18" s="9">
        <f xml:space="preserve"> IF(CABLES[[#This Row],[SEG60]] &gt;0,INDEX(SEGMENTS[], MATCH(CABLES[[#Headers],[SEG60]],SEGMENTS[SEG_ID],0),4),0)</f>
        <v>0</v>
      </c>
      <c r="DU18" s="10">
        <f>SUM(CABLES[[#This Row],[SEGL1]:[SEGL60]])</f>
        <v>35</v>
      </c>
      <c r="DV18" s="10">
        <v>5</v>
      </c>
      <c r="DW18" s="10">
        <v>1.2</v>
      </c>
      <c r="DX18" s="10">
        <f xml:space="preserve"> IF(CABLES[[#This Row],[SEGL_TOTAL]]&gt;0, (CABLES[[#This Row],[SEGL_TOTAL]] + CABLES[[#This Row],[FITOFF]]) *CABLES[[#This Row],[XCAPACITY]],0)</f>
        <v>48</v>
      </c>
      <c r="DY18" s="10">
        <f>IF(CABLES[[#This Row],[SEG1]]&gt;0,CABLES[[#This Row],[CABLE_DIAMETER]],0)</f>
        <v>22.8</v>
      </c>
      <c r="DZ18" s="10">
        <f>IF(CABLES[[#This Row],[SEG2]]&gt;0,CABLES[[#This Row],[CABLE_DIAMETER]],0)</f>
        <v>22.8</v>
      </c>
      <c r="EA18" s="10">
        <f>IF(CABLES[[#This Row],[SEG3]]&gt;0,CABLES[[#This Row],[CABLE_DIAMETER]],0)</f>
        <v>0</v>
      </c>
      <c r="EB18" s="10">
        <f>IF(CABLES[[#This Row],[SEG4]]&gt;0,CABLES[[#This Row],[CABLE_DIAMETER]],0)</f>
        <v>0</v>
      </c>
      <c r="EC18" s="10">
        <f>IF(CABLES[[#This Row],[SEG5]]&gt;0,CABLES[[#This Row],[CABLE_DIAMETER]],0)</f>
        <v>0</v>
      </c>
      <c r="ED18" s="10">
        <f>IF(CABLES[[#This Row],[SEG6]]&gt;0,CABLES[[#This Row],[CABLE_DIAMETER]],0)</f>
        <v>0</v>
      </c>
      <c r="EE18" s="10">
        <f>IF(CABLES[[#This Row],[SEG7]]&gt;0,CABLES[[#This Row],[CABLE_DIAMETER]],0)</f>
        <v>0</v>
      </c>
      <c r="EF18" s="10">
        <f>IF(CABLES[[#This Row],[SEG9]]&gt;0,CABLES[[#This Row],[CABLE_DIAMETER]],0)</f>
        <v>0</v>
      </c>
      <c r="EG18" s="10">
        <f>IF(CABLES[[#This Row],[SEG9]]&gt;0,CABLES[[#This Row],[CABLE_DIAMETER]],0)</f>
        <v>0</v>
      </c>
      <c r="EH18" s="10">
        <f>IF(CABLES[[#This Row],[SEG10]]&gt;0,CABLES[[#This Row],[CABLE_DIAMETER]],0)</f>
        <v>0</v>
      </c>
      <c r="EI18" s="10">
        <f>IF(CABLES[[#This Row],[SEG11]]&gt;0,CABLES[[#This Row],[CABLE_DIAMETER]],0)</f>
        <v>0</v>
      </c>
      <c r="EJ18" s="10">
        <f>IF(CABLES[[#This Row],[SEG12]]&gt;0,CABLES[[#This Row],[CABLE_DIAMETER]],0)</f>
        <v>0</v>
      </c>
      <c r="EK18" s="10">
        <f>IF(CABLES[[#This Row],[SEG13]]&gt;0,CABLES[[#This Row],[CABLE_DIAMETER]],0)</f>
        <v>0</v>
      </c>
      <c r="EL18" s="10">
        <f>IF(CABLES[[#This Row],[SEG14]]&gt;0,CABLES[[#This Row],[CABLE_DIAMETER]],0)</f>
        <v>0</v>
      </c>
      <c r="EM18" s="10">
        <f>IF(CABLES[[#This Row],[SEG15]]&gt;0,CABLES[[#This Row],[CABLE_DIAMETER]],0)</f>
        <v>0</v>
      </c>
      <c r="EN18" s="10">
        <f>IF(CABLES[[#This Row],[SEG16]]&gt;0,CABLES[[#This Row],[CABLE_DIAMETER]],0)</f>
        <v>0</v>
      </c>
      <c r="EO18" s="10">
        <f>IF(CABLES[[#This Row],[SEG17]]&gt;0,CABLES[[#This Row],[CABLE_DIAMETER]],0)</f>
        <v>0</v>
      </c>
      <c r="EP18" s="10">
        <f>IF(CABLES[[#This Row],[SEG18]]&gt;0,CABLES[[#This Row],[CABLE_DIAMETER]],0)</f>
        <v>0</v>
      </c>
      <c r="EQ18" s="10">
        <f>IF(CABLES[[#This Row],[SEG19]]&gt;0,CABLES[[#This Row],[CABLE_DIAMETER]],0)</f>
        <v>0</v>
      </c>
      <c r="ER18" s="10">
        <f>IF(CABLES[[#This Row],[SEG20]]&gt;0,CABLES[[#This Row],[CABLE_DIAMETER]],0)</f>
        <v>0</v>
      </c>
      <c r="ES18" s="10">
        <f>IF(CABLES[[#This Row],[SEG21]]&gt;0,CABLES[[#This Row],[CABLE_DIAMETER]],0)</f>
        <v>22.8</v>
      </c>
      <c r="ET18" s="10">
        <f>IF(CABLES[[#This Row],[SEG22]]&gt;0,CABLES[[#This Row],[CABLE_DIAMETER]],0)</f>
        <v>22.8</v>
      </c>
      <c r="EU18" s="10">
        <f>IF(CABLES[[#This Row],[SEG23]]&gt;0,CABLES[[#This Row],[CABLE_DIAMETER]],0)</f>
        <v>0</v>
      </c>
      <c r="EV18" s="10">
        <f>IF(CABLES[[#This Row],[SEG24]]&gt;0,CABLES[[#This Row],[CABLE_DIAMETER]],0)</f>
        <v>0</v>
      </c>
      <c r="EW18" s="10">
        <f>IF(CABLES[[#This Row],[SEG25]]&gt;0,CABLES[[#This Row],[CABLE_DIAMETER]],0)</f>
        <v>0</v>
      </c>
      <c r="EX18" s="10">
        <f>IF(CABLES[[#This Row],[SEG26]]&gt;0,CABLES[[#This Row],[CABLE_DIAMETER]],0)</f>
        <v>0</v>
      </c>
      <c r="EY18" s="10">
        <f>IF(CABLES[[#This Row],[SEG27]]&gt;0,CABLES[[#This Row],[CABLE_DIAMETER]],0)</f>
        <v>0</v>
      </c>
      <c r="EZ18" s="10">
        <f>IF(CABLES[[#This Row],[SEG28]]&gt;0,CABLES[[#This Row],[CABLE_DIAMETER]],0)</f>
        <v>0</v>
      </c>
      <c r="FA18" s="10">
        <f>IF(CABLES[[#This Row],[SEG29]]&gt;0,CABLES[[#This Row],[CABLE_DIAMETER]],0)</f>
        <v>0</v>
      </c>
      <c r="FB18" s="10">
        <f>IF(CABLES[[#This Row],[SEG30]]&gt;0,CABLES[[#This Row],[CABLE_DIAMETER]],0)</f>
        <v>0</v>
      </c>
      <c r="FC18" s="10">
        <f>IF(CABLES[[#This Row],[SEG31]]&gt;0,CABLES[[#This Row],[CABLE_DIAMETER]],0)</f>
        <v>0</v>
      </c>
      <c r="FD18" s="10">
        <f>IF(CABLES[[#This Row],[SEG32]]&gt;0,CABLES[[#This Row],[CABLE_DIAMETER]],0)</f>
        <v>0</v>
      </c>
      <c r="FE18" s="10">
        <f>IF(CABLES[[#This Row],[SEG33]]&gt;0,CABLES[[#This Row],[CABLE_DIAMETER]],0)</f>
        <v>0</v>
      </c>
      <c r="FF18" s="10">
        <f>IF(CABLES[[#This Row],[SEG34]]&gt;0,CABLES[[#This Row],[CABLE_DIAMETER]],0)</f>
        <v>0</v>
      </c>
      <c r="FG18" s="10">
        <f>IF(CABLES[[#This Row],[SEG35]]&gt;0,CABLES[[#This Row],[CABLE_DIAMETER]],0)</f>
        <v>0</v>
      </c>
      <c r="FH18" s="10">
        <f>IF(CABLES[[#This Row],[SEG36]]&gt;0,CABLES[[#This Row],[CABLE_DIAMETER]],0)</f>
        <v>0</v>
      </c>
      <c r="FI18" s="10">
        <f>IF(CABLES[[#This Row],[SEG37]]&gt;0,CABLES[[#This Row],[CABLE_DIAMETER]],0)</f>
        <v>0</v>
      </c>
      <c r="FJ18" s="10">
        <f>IF(CABLES[[#This Row],[SEG38]]&gt;0,CABLES[[#This Row],[CABLE_DIAMETER]],0)</f>
        <v>0</v>
      </c>
      <c r="FK18" s="10">
        <f>IF(CABLES[[#This Row],[SEG39]]&gt;0,CABLES[[#This Row],[CABLE_DIAMETER]],0)</f>
        <v>0</v>
      </c>
      <c r="FL18" s="10">
        <f>IF(CABLES[[#This Row],[SEG40]]&gt;0,CABLES[[#This Row],[CABLE_DIAMETER]],0)</f>
        <v>0</v>
      </c>
      <c r="FM18" s="10">
        <f>IF(CABLES[[#This Row],[SEG41]]&gt;0,CABLES[[#This Row],[CABLE_DIAMETER]],0)</f>
        <v>0</v>
      </c>
      <c r="FN18" s="10">
        <f>IF(CABLES[[#This Row],[SEG42]]&gt;0,CABLES[[#This Row],[CABLE_DIAMETER]],0)</f>
        <v>0</v>
      </c>
      <c r="FO18" s="10">
        <f>IF(CABLES[[#This Row],[SEG43]]&gt;0,CABLES[[#This Row],[CABLE_DIAMETER]],0)</f>
        <v>0</v>
      </c>
      <c r="FP18" s="10">
        <f>IF(CABLES[[#This Row],[SEG44]]&gt;0,CABLES[[#This Row],[CABLE_DIAMETER]],0)</f>
        <v>0</v>
      </c>
      <c r="FQ18" s="10">
        <f>IF(CABLES[[#This Row],[SEG45]]&gt;0,CABLES[[#This Row],[CABLE_DIAMETER]],0)</f>
        <v>0</v>
      </c>
      <c r="FR18" s="10">
        <f>IF(CABLES[[#This Row],[SEG46]]&gt;0,CABLES[[#This Row],[CABLE_DIAMETER]],0)</f>
        <v>0</v>
      </c>
      <c r="FS18" s="10">
        <f>IF(CABLES[[#This Row],[SEG47]]&gt;0,CABLES[[#This Row],[CABLE_DIAMETER]],0)</f>
        <v>0</v>
      </c>
      <c r="FT18" s="10">
        <f>IF(CABLES[[#This Row],[SEG48]]&gt;0,CABLES[[#This Row],[CABLE_DIAMETER]],0)</f>
        <v>0</v>
      </c>
      <c r="FU18" s="10">
        <f>IF(CABLES[[#This Row],[SEG49]]&gt;0,CABLES[[#This Row],[CABLE_DIAMETER]],0)</f>
        <v>0</v>
      </c>
      <c r="FV18" s="10">
        <f>IF(CABLES[[#This Row],[SEG50]]&gt;0,CABLES[[#This Row],[CABLE_DIAMETER]],0)</f>
        <v>0</v>
      </c>
      <c r="FW18" s="10">
        <f>IF(CABLES[[#This Row],[SEG51]]&gt;0,CABLES[[#This Row],[CABLE_DIAMETER]],0)</f>
        <v>0</v>
      </c>
      <c r="FX18" s="10">
        <f>IF(CABLES[[#This Row],[SEG52]]&gt;0,CABLES[[#This Row],[CABLE_DIAMETER]],0)</f>
        <v>0</v>
      </c>
      <c r="FY18" s="10">
        <f>IF(CABLES[[#This Row],[SEG53]]&gt;0,CABLES[[#This Row],[CABLE_DIAMETER]],0)</f>
        <v>0</v>
      </c>
      <c r="FZ18" s="10">
        <f>IF(CABLES[[#This Row],[SEG54]]&gt;0,CABLES[[#This Row],[CABLE_DIAMETER]],0)</f>
        <v>0</v>
      </c>
      <c r="GA18" s="10">
        <f>IF(CABLES[[#This Row],[SEG55]]&gt;0,CABLES[[#This Row],[CABLE_DIAMETER]],0)</f>
        <v>0</v>
      </c>
      <c r="GB18" s="10">
        <f>IF(CABLES[[#This Row],[SEG56]]&gt;0,CABLES[[#This Row],[CABLE_DIAMETER]],0)</f>
        <v>0</v>
      </c>
      <c r="GC18" s="10">
        <f>IF(CABLES[[#This Row],[SEG57]]&gt;0,CABLES[[#This Row],[CABLE_DIAMETER]],0)</f>
        <v>0</v>
      </c>
      <c r="GD18" s="10">
        <f>IF(CABLES[[#This Row],[SEG58]]&gt;0,CABLES[[#This Row],[CABLE_DIAMETER]],0)</f>
        <v>0</v>
      </c>
      <c r="GE18" s="10">
        <f>IF(CABLES[[#This Row],[SEG59]]&gt;0,CABLES[[#This Row],[CABLE_DIAMETER]],0)</f>
        <v>0</v>
      </c>
      <c r="GF18" s="10">
        <f>IF(CABLES[[#This Row],[SEG60]]&gt;0,CABLES[[#This Row],[CABLE_DIAMETER]],0)</f>
        <v>0</v>
      </c>
      <c r="GG18" s="10">
        <f>IF(CABLES[[#This Row],[SEG1]]&gt;0,CABLES[[#This Row],[CABLE_MASS]],0)</f>
        <v>1.22</v>
      </c>
      <c r="GH18" s="10">
        <f>IF(CABLES[[#This Row],[SEG2]]&gt;0,CABLES[[#This Row],[CABLE_MASS]],0)</f>
        <v>1.22</v>
      </c>
      <c r="GI18" s="10">
        <f>IF(CABLES[[#This Row],[SEG3]]&gt;0,CABLES[[#This Row],[CABLE_MASS]],0)</f>
        <v>0</v>
      </c>
      <c r="GJ18" s="10">
        <f>IF(CABLES[[#This Row],[SEG4]]&gt;0,CABLES[[#This Row],[CABLE_MASS]],0)</f>
        <v>0</v>
      </c>
      <c r="GK18" s="10">
        <f>IF(CABLES[[#This Row],[SEG5]]&gt;0,CABLES[[#This Row],[CABLE_MASS]],0)</f>
        <v>0</v>
      </c>
      <c r="GL18" s="10">
        <f>IF(CABLES[[#This Row],[SEG6]]&gt;0,CABLES[[#This Row],[CABLE_MASS]],0)</f>
        <v>0</v>
      </c>
      <c r="GM18" s="10">
        <f>IF(CABLES[[#This Row],[SEG7]]&gt;0,CABLES[[#This Row],[CABLE_MASS]],0)</f>
        <v>0</v>
      </c>
      <c r="GN18" s="10">
        <f>IF(CABLES[[#This Row],[SEG8]]&gt;0,CABLES[[#This Row],[CABLE_MASS]],0)</f>
        <v>0</v>
      </c>
      <c r="GO18" s="10">
        <f>IF(CABLES[[#This Row],[SEG9]]&gt;0,CABLES[[#This Row],[CABLE_MASS]],0)</f>
        <v>0</v>
      </c>
      <c r="GP18" s="10">
        <f>IF(CABLES[[#This Row],[SEG10]]&gt;0,CABLES[[#This Row],[CABLE_MASS]],0)</f>
        <v>0</v>
      </c>
      <c r="GQ18" s="10">
        <f>IF(CABLES[[#This Row],[SEG11]]&gt;0,CABLES[[#This Row],[CABLE_MASS]],0)</f>
        <v>0</v>
      </c>
      <c r="GR18" s="10">
        <f>IF(CABLES[[#This Row],[SEG12]]&gt;0,CABLES[[#This Row],[CABLE_MASS]],0)</f>
        <v>0</v>
      </c>
      <c r="GS18" s="10">
        <f>IF(CABLES[[#This Row],[SEG13]]&gt;0,CABLES[[#This Row],[CABLE_MASS]],0)</f>
        <v>0</v>
      </c>
      <c r="GT18" s="10">
        <f>IF(CABLES[[#This Row],[SEG14]]&gt;0,CABLES[[#This Row],[CABLE_MASS]],0)</f>
        <v>0</v>
      </c>
      <c r="GU18" s="10">
        <f>IF(CABLES[[#This Row],[SEG15]]&gt;0,CABLES[[#This Row],[CABLE_MASS]],0)</f>
        <v>0</v>
      </c>
      <c r="GV18" s="10">
        <f>IF(CABLES[[#This Row],[SEG16]]&gt;0,CABLES[[#This Row],[CABLE_MASS]],0)</f>
        <v>0</v>
      </c>
      <c r="GW18" s="10">
        <f>IF(CABLES[[#This Row],[SEG17]]&gt;0,CABLES[[#This Row],[CABLE_MASS]],0)</f>
        <v>0</v>
      </c>
      <c r="GX18" s="10">
        <f>IF(CABLES[[#This Row],[SEG18]]&gt;0,CABLES[[#This Row],[CABLE_MASS]],0)</f>
        <v>0</v>
      </c>
      <c r="GY18" s="10">
        <f>IF(CABLES[[#This Row],[SEG19]]&gt;0,CABLES[[#This Row],[CABLE_MASS]],0)</f>
        <v>0</v>
      </c>
      <c r="GZ18" s="10">
        <f>IF(CABLES[[#This Row],[SEG20]]&gt;0,CABLES[[#This Row],[CABLE_MASS]],0)</f>
        <v>0</v>
      </c>
      <c r="HA18" s="10">
        <f>IF(CABLES[[#This Row],[SEG21]]&gt;0,CABLES[[#This Row],[CABLE_MASS]],0)</f>
        <v>1.22</v>
      </c>
      <c r="HB18" s="10">
        <f>IF(CABLES[[#This Row],[SEG22]]&gt;0,CABLES[[#This Row],[CABLE_MASS]],0)</f>
        <v>1.22</v>
      </c>
      <c r="HC18" s="10">
        <f>IF(CABLES[[#This Row],[SEG23]]&gt;0,CABLES[[#This Row],[CABLE_MASS]],0)</f>
        <v>0</v>
      </c>
      <c r="HD18" s="10">
        <f>IF(CABLES[[#This Row],[SEG24]]&gt;0,CABLES[[#This Row],[CABLE_MASS]],0)</f>
        <v>0</v>
      </c>
      <c r="HE18" s="10">
        <f>IF(CABLES[[#This Row],[SEG25]]&gt;0,CABLES[[#This Row],[CABLE_MASS]],0)</f>
        <v>0</v>
      </c>
      <c r="HF18" s="10">
        <f>IF(CABLES[[#This Row],[SEG26]]&gt;0,CABLES[[#This Row],[CABLE_MASS]],0)</f>
        <v>0</v>
      </c>
      <c r="HG18" s="10">
        <f>IF(CABLES[[#This Row],[SEG27]]&gt;0,CABLES[[#This Row],[CABLE_MASS]],0)</f>
        <v>0</v>
      </c>
      <c r="HH18" s="10">
        <f>IF(CABLES[[#This Row],[SEG28]]&gt;0,CABLES[[#This Row],[CABLE_MASS]],0)</f>
        <v>0</v>
      </c>
      <c r="HI18" s="10">
        <f>IF(CABLES[[#This Row],[SEG29]]&gt;0,CABLES[[#This Row],[CABLE_MASS]],0)</f>
        <v>0</v>
      </c>
      <c r="HJ18" s="10">
        <f>IF(CABLES[[#This Row],[SEG30]]&gt;0,CABLES[[#This Row],[CABLE_MASS]],0)</f>
        <v>0</v>
      </c>
      <c r="HK18" s="10">
        <f>IF(CABLES[[#This Row],[SEG31]]&gt;0,CABLES[[#This Row],[CABLE_MASS]],0)</f>
        <v>0</v>
      </c>
      <c r="HL18" s="10">
        <f>IF(CABLES[[#This Row],[SEG32]]&gt;0,CABLES[[#This Row],[CABLE_MASS]],0)</f>
        <v>0</v>
      </c>
      <c r="HM18" s="10">
        <f>IF(CABLES[[#This Row],[SEG33]]&gt;0,CABLES[[#This Row],[CABLE_MASS]],0)</f>
        <v>0</v>
      </c>
      <c r="HN18" s="10">
        <f>IF(CABLES[[#This Row],[SEG34]]&gt;0,CABLES[[#This Row],[CABLE_MASS]],0)</f>
        <v>0</v>
      </c>
      <c r="HO18" s="10">
        <f>IF(CABLES[[#This Row],[SEG35]]&gt;0,CABLES[[#This Row],[CABLE_MASS]],0)</f>
        <v>0</v>
      </c>
      <c r="HP18" s="10">
        <f>IF(CABLES[[#This Row],[SEG36]]&gt;0,CABLES[[#This Row],[CABLE_MASS]],0)</f>
        <v>0</v>
      </c>
      <c r="HQ18" s="10">
        <f>IF(CABLES[[#This Row],[SEG37]]&gt;0,CABLES[[#This Row],[CABLE_MASS]],0)</f>
        <v>0</v>
      </c>
      <c r="HR18" s="10">
        <f>IF(CABLES[[#This Row],[SEG38]]&gt;0,CABLES[[#This Row],[CABLE_MASS]],0)</f>
        <v>0</v>
      </c>
      <c r="HS18" s="10">
        <f>IF(CABLES[[#This Row],[SEG39]]&gt;0,CABLES[[#This Row],[CABLE_MASS]],0)</f>
        <v>0</v>
      </c>
      <c r="HT18" s="10">
        <f>IF(CABLES[[#This Row],[SEG40]]&gt;0,CABLES[[#This Row],[CABLE_MASS]],0)</f>
        <v>0</v>
      </c>
      <c r="HU18" s="10">
        <f>IF(CABLES[[#This Row],[SEG41]]&gt;0,CABLES[[#This Row],[CABLE_MASS]],0)</f>
        <v>0</v>
      </c>
      <c r="HV18" s="10">
        <f>IF(CABLES[[#This Row],[SEG42]]&gt;0,CABLES[[#This Row],[CABLE_MASS]],0)</f>
        <v>0</v>
      </c>
      <c r="HW18" s="10">
        <f>IF(CABLES[[#This Row],[SEG43]]&gt;0,CABLES[[#This Row],[CABLE_MASS]],0)</f>
        <v>0</v>
      </c>
      <c r="HX18" s="10">
        <f>IF(CABLES[[#This Row],[SEG44]]&gt;0,CABLES[[#This Row],[CABLE_MASS]],0)</f>
        <v>0</v>
      </c>
      <c r="HY18" s="10">
        <f>IF(CABLES[[#This Row],[SEG45]]&gt;0,CABLES[[#This Row],[CABLE_MASS]],0)</f>
        <v>0</v>
      </c>
      <c r="HZ18" s="10">
        <f>IF(CABLES[[#This Row],[SEG46]]&gt;0,CABLES[[#This Row],[CABLE_MASS]],0)</f>
        <v>0</v>
      </c>
      <c r="IA18" s="10">
        <f>IF(CABLES[[#This Row],[SEG47]]&gt;0,CABLES[[#This Row],[CABLE_MASS]],0)</f>
        <v>0</v>
      </c>
      <c r="IB18" s="10">
        <f>IF(CABLES[[#This Row],[SEG48]]&gt;0,CABLES[[#This Row],[CABLE_MASS]],0)</f>
        <v>0</v>
      </c>
      <c r="IC18" s="10">
        <f>IF(CABLES[[#This Row],[SEG49]]&gt;0,CABLES[[#This Row],[CABLE_MASS]],0)</f>
        <v>0</v>
      </c>
      <c r="ID18" s="10">
        <f>IF(CABLES[[#This Row],[SEG50]]&gt;0,CABLES[[#This Row],[CABLE_MASS]],0)</f>
        <v>0</v>
      </c>
      <c r="IE18" s="10">
        <f>IF(CABLES[[#This Row],[SEG51]]&gt;0,CABLES[[#This Row],[CABLE_MASS]],0)</f>
        <v>0</v>
      </c>
      <c r="IF18" s="10">
        <f>IF(CABLES[[#This Row],[SEG52]]&gt;0,CABLES[[#This Row],[CABLE_MASS]],0)</f>
        <v>0</v>
      </c>
      <c r="IG18" s="10">
        <f>IF(CABLES[[#This Row],[SEG53]]&gt;0,CABLES[[#This Row],[CABLE_MASS]],0)</f>
        <v>0</v>
      </c>
      <c r="IH18" s="10">
        <f>IF(CABLES[[#This Row],[SEG54]]&gt;0,CABLES[[#This Row],[CABLE_MASS]],0)</f>
        <v>0</v>
      </c>
      <c r="II18" s="10">
        <f>IF(CABLES[[#This Row],[SEG55]]&gt;0,CABLES[[#This Row],[CABLE_MASS]],0)</f>
        <v>0</v>
      </c>
      <c r="IJ18" s="10">
        <f>IF(CABLES[[#This Row],[SEG56]]&gt;0,CABLES[[#This Row],[CABLE_MASS]],0)</f>
        <v>0</v>
      </c>
      <c r="IK18" s="10">
        <f>IF(CABLES[[#This Row],[SEG57]]&gt;0,CABLES[[#This Row],[CABLE_MASS]],0)</f>
        <v>0</v>
      </c>
      <c r="IL18" s="10">
        <f>IF(CABLES[[#This Row],[SEG58]]&gt;0,CABLES[[#This Row],[CABLE_MASS]],0)</f>
        <v>0</v>
      </c>
      <c r="IM18" s="10">
        <f>IF(CABLES[[#This Row],[SEG59]]&gt;0,CABLES[[#This Row],[CABLE_MASS]],0)</f>
        <v>0</v>
      </c>
      <c r="IN18" s="10">
        <f>IF(CABLES[[#This Row],[SEG60]]&gt;0,CABLES[[#This Row],[CABLE_MASS]],0)</f>
        <v>0</v>
      </c>
      <c r="IO18" s="10">
        <f xml:space="preserve">  (CABLES[[#This Row],[LOAD_KW]]/(SQRT(3)*SYSTEM_VOLTAGE*POWER_FACTOR))*1000</f>
        <v>72.168783648703211</v>
      </c>
      <c r="IP18" s="10">
        <v>45</v>
      </c>
      <c r="IQ18" s="10">
        <f xml:space="preserve"> INDEX(AS3000_AMBIENTDERATE[], MATCH(CABLES[[#This Row],[AMBIENT]],AS3000_AMBIENTDERATE[AMBIENT],0), 2)</f>
        <v>0.94</v>
      </c>
      <c r="IR18" s="10">
        <f xml:space="preserve"> ROUNDUP( CABLES[[#This Row],[CALCULATED_AMPS]]/CABLES[[#This Row],[AMBIENT_DERATING]],1)</f>
        <v>76.8</v>
      </c>
      <c r="IS18" s="10" t="s">
        <v>531</v>
      </c>
      <c r="IT1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25</v>
      </c>
      <c r="IU18" s="10">
        <f t="shared" si="0"/>
        <v>28.000000000000004</v>
      </c>
      <c r="IV18" s="10">
        <f>(1000*CABLES[[#This Row],[MAX_VDROP]])/(CABLES[[#This Row],[ESTIMATED_CABLE_LENGTH]]*CABLES[[#This Row],[AMP_RATING]])</f>
        <v>7.5954861111111125</v>
      </c>
      <c r="IW18" s="10">
        <f xml:space="preserve"> INDEX(AS3000_VDROP[], MATCH(CABLES[[#This Row],[VC_CALC]],AS3000_VDROP[Vc],1),1)</f>
        <v>6</v>
      </c>
      <c r="IX18" s="10">
        <f>MAX(CABLES[[#This Row],[CABLESIZE_METHOD1]],CABLES[[#This Row],[CABLESIZE_METHOD2]])</f>
        <v>25</v>
      </c>
      <c r="IY18" s="10"/>
      <c r="IZ18" s="10">
        <f>IF(LEN(CABLES[[#This Row],[OVERRIDE_CABLESIZE]])&gt;0,CABLES[[#This Row],[OVERRIDE_CABLESIZE]],CABLES[[#This Row],[INITIAL_CABLESIZE]])</f>
        <v>25</v>
      </c>
      <c r="JA18" s="10">
        <f>INDEX(PROTECTIVE_DEVICE[DEVICE], MATCH(CABLES[[#This Row],[CALCULATED_AMPS]],PROTECTIVE_DEVICE[DEVICE],-1),1)</f>
        <v>80</v>
      </c>
      <c r="JB18" s="10"/>
      <c r="JC18" s="10">
        <f>IF(LEN(CABLES[[#This Row],[OVERRIDE_PDEVICE]])&gt;0, CABLES[[#This Row],[OVERRIDE_PDEVICE]],CABLES[[#This Row],[RECOMMEND_PDEVICE]])</f>
        <v>80</v>
      </c>
      <c r="JD18" s="10" t="s">
        <v>450</v>
      </c>
      <c r="JE18" s="10">
        <f xml:space="preserve"> CABLES[[#This Row],[SELECTED_PDEVICE]] * INDEX(DEVICE_CURVE[], MATCH(CABLES[[#This Row],[PDEVICE_CURVE]], DEVICE_CURVE[DEVICE_CURVE],0),2)</f>
        <v>520</v>
      </c>
      <c r="JF18" s="10" t="s">
        <v>458</v>
      </c>
      <c r="JG18" s="10">
        <f xml:space="preserve"> INDEX(CONDUCTOR_MATERIAL[], MATCH(CABLES[[#This Row],[CONDUCTOR_MATERIAL]],CONDUCTOR_MATERIAL[CONDUCTOR_MATERIAL],0),2)</f>
        <v>2.2499999999999999E-2</v>
      </c>
      <c r="JH18" s="10">
        <f>CABLES[[#This Row],[SELECTED_CABLESIZE]]</f>
        <v>25</v>
      </c>
      <c r="JI18" s="10">
        <f xml:space="preserve"> INDEX( EARTH_CONDUCTOR_SIZE[], MATCH(CABLES[[#This Row],[SPH]],EARTH_CONDUCTOR_SIZE[MM^2],-1), 2)</f>
        <v>6</v>
      </c>
      <c r="JJ18" s="10">
        <f>(0.8*PHASE_VOLTAGE*CABLES[[#This Row],[SPH]]*CABLES[[#This Row],[SPE]])/(CABLES[[#This Row],[PDEVICE_IA]]*CABLES[[#This Row],[MATERIAL_CONSTANT]]*(CABLES[[#This Row],[SPH]]+CABLES[[#This Row],[SPE]]))</f>
        <v>76.095947063688996</v>
      </c>
      <c r="JK18" s="10" t="str">
        <f>IF(CABLES[[#This Row],[LMAX]]&gt;CABLES[[#This Row],[ESTIMATED_CABLE_LENGTH]], "PASS", "ERROR")</f>
        <v>PASS</v>
      </c>
      <c r="JL1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22.8</v>
      </c>
      <c r="JM1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1.22</v>
      </c>
      <c r="JN18" s="6">
        <f xml:space="preserve"> ROUNDUP( CABLES[[#This Row],[CALCULATED_AMPS]],1)</f>
        <v>72.199999999999989</v>
      </c>
      <c r="JO18" s="6">
        <f>CABLES[[#This Row],[SELECTED_CABLESIZE]]</f>
        <v>25</v>
      </c>
      <c r="JP18" s="10">
        <f>CABLES[[#This Row],[ESTIMATED_CABLE_LENGTH]]</f>
        <v>48</v>
      </c>
      <c r="JQ18" s="6">
        <f>CABLES[[#This Row],[SELECTED_PDEVICE]]</f>
        <v>80</v>
      </c>
    </row>
    <row r="19" spans="1:277" x14ac:dyDescent="0.35">
      <c r="A19" s="5" t="s">
        <v>18</v>
      </c>
      <c r="B19" s="5" t="s">
        <v>488</v>
      </c>
      <c r="C19" s="10" t="s">
        <v>261</v>
      </c>
      <c r="D19" s="9">
        <v>1.5</v>
      </c>
      <c r="E19" s="9">
        <v>1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f xml:space="preserve"> IF(CABLES[[#This Row],[SEG1]] &gt;0, INDEX(SEGMENTS[], MATCH(CABLES[[#Headers],[SEG1]],SEGMENTS[SEG_ID],0),4),0)</f>
        <v>13</v>
      </c>
      <c r="BN19" s="9">
        <f xml:space="preserve"> IF(CABLES[[#This Row],[SEG2]] &gt;0, INDEX(SEGMENTS[], MATCH(CABLES[[#Headers],[SEG2]],SEGMENTS[SEG_ID],0),4),0)</f>
        <v>2</v>
      </c>
      <c r="BO19" s="9">
        <f xml:space="preserve"> IF(CABLES[[#This Row],[SEG3]] &gt;0, INDEX(SEGMENTS[], MATCH(CABLES[[#Headers],[SEG3]],SEGMENTS[SEG_ID],0),4),0)</f>
        <v>16</v>
      </c>
      <c r="BP19" s="9">
        <f xml:space="preserve"> IF(CABLES[[#This Row],[SEG4]] &gt;0, INDEX(SEGMENTS[], MATCH(CABLES[[#Headers],[SEG4]],SEGMENTS[SEG_ID],0),4),0)</f>
        <v>0</v>
      </c>
      <c r="BQ19" s="9">
        <f xml:space="preserve"> IF(CABLES[[#This Row],[SEG5]] &gt;0,INDEX(SEGMENTS[], MATCH(CABLES[[#Headers],[SEG5]],SEGMENTS[SEG_ID],0),4),0)</f>
        <v>0</v>
      </c>
      <c r="BR19" s="9">
        <f xml:space="preserve"> IF(CABLES[[#This Row],[SEG6]] &gt;0,INDEX(SEGMENTS[], MATCH(CABLES[[#Headers],[SEG6]],SEGMENTS[SEG_ID],0),4),0)</f>
        <v>0</v>
      </c>
      <c r="BS19" s="9">
        <f xml:space="preserve"> IF(CABLES[[#This Row],[SEG7]] &gt;0,INDEX(SEGMENTS[], MATCH(CABLES[[#Headers],[SEG7]],SEGMENTS[SEG_ID],0),4),0)</f>
        <v>0</v>
      </c>
      <c r="BT19" s="9">
        <f xml:space="preserve"> IF(CABLES[[#This Row],[SEG8]] &gt;0,INDEX(SEGMENTS[], MATCH(CABLES[[#Headers],[SEG8]],SEGMENTS[SEG_ID],0),4),0)</f>
        <v>0</v>
      </c>
      <c r="BU19" s="9">
        <f xml:space="preserve"> IF(CABLES[[#This Row],[SEG9]] &gt;0,INDEX(SEGMENTS[], MATCH(CABLES[[#Headers],[SEG9]],SEGMENTS[SEG_ID],0),4),0)</f>
        <v>0</v>
      </c>
      <c r="BV19" s="9">
        <f xml:space="preserve"> IF(CABLES[[#This Row],[SEG10]] &gt;0,INDEX(SEGMENTS[], MATCH(CABLES[[#Headers],[SEG10]],SEGMENTS[SEG_ID],0),4),0)</f>
        <v>0</v>
      </c>
      <c r="BW19" s="9">
        <f xml:space="preserve"> IF(CABLES[[#This Row],[SEG11]] &gt;0,INDEX(SEGMENTS[], MATCH(CABLES[[#Headers],[SEG11]],SEGMENTS[SEG_ID],0),4),0)</f>
        <v>0</v>
      </c>
      <c r="BX19" s="9">
        <f>IF(CABLES[[#This Row],[SEG12]] &gt;0, INDEX(SEGMENTS[], MATCH(CABLES[[#Headers],[SEG12]],SEGMENTS[SEG_ID],0),4),0)</f>
        <v>0</v>
      </c>
      <c r="BY19" s="9">
        <f xml:space="preserve"> IF(CABLES[[#This Row],[SEG13]] &gt;0,INDEX(SEGMENTS[], MATCH(CABLES[[#Headers],[SEG13]],SEGMENTS[SEG_ID],0),4),0)</f>
        <v>0</v>
      </c>
      <c r="BZ19" s="9">
        <f xml:space="preserve"> IF(CABLES[[#This Row],[SEG14]] &gt;0,INDEX(SEGMENTS[], MATCH(CABLES[[#Headers],[SEG14]],SEGMENTS[SEG_ID],0),4),0)</f>
        <v>0</v>
      </c>
      <c r="CA19" s="9">
        <f xml:space="preserve"> IF(CABLES[[#This Row],[SEG15]] &gt;0,INDEX(SEGMENTS[], MATCH(CABLES[[#Headers],[SEG15]],SEGMENTS[SEG_ID],0),4),0)</f>
        <v>0</v>
      </c>
      <c r="CB19" s="9">
        <f xml:space="preserve"> IF(CABLES[[#This Row],[SEG16]] &gt;0,INDEX(SEGMENTS[], MATCH(CABLES[[#Headers],[SEG16]],SEGMENTS[SEG_ID],0),4),0)</f>
        <v>0</v>
      </c>
      <c r="CC19" s="9">
        <f xml:space="preserve"> IF(CABLES[[#This Row],[SEG17]] &gt;0,INDEX(SEGMENTS[], MATCH(CABLES[[#Headers],[SEG17]],SEGMENTS[SEG_ID],0),4),0)</f>
        <v>0</v>
      </c>
      <c r="CD19" s="9">
        <f xml:space="preserve"> IF(CABLES[[#This Row],[SEG18]] &gt;0,INDEX(SEGMENTS[], MATCH(CABLES[[#Headers],[SEG18]],SEGMENTS[SEG_ID],0),4),0)</f>
        <v>0</v>
      </c>
      <c r="CE19" s="9">
        <f>IF(CABLES[[#This Row],[SEG19]] &gt;0, INDEX(SEGMENTS[], MATCH(CABLES[[#Headers],[SEG19]],SEGMENTS[SEG_ID],0),4),0)</f>
        <v>0</v>
      </c>
      <c r="CF19" s="9">
        <f>IF(CABLES[[#This Row],[SEG20]] &gt;0, INDEX(SEGMENTS[], MATCH(CABLES[[#Headers],[SEG20]],SEGMENTS[SEG_ID],0),4),0)</f>
        <v>0</v>
      </c>
      <c r="CG19" s="9">
        <f xml:space="preserve"> IF(CABLES[[#This Row],[SEG21]] &gt;0,INDEX(SEGMENTS[], MATCH(CABLES[[#Headers],[SEG21]],SEGMENTS[SEG_ID],0),4),0)</f>
        <v>0</v>
      </c>
      <c r="CH19" s="9">
        <f xml:space="preserve"> IF(CABLES[[#This Row],[SEG22]] &gt;0,INDEX(SEGMENTS[], MATCH(CABLES[[#Headers],[SEG22]],SEGMENTS[SEG_ID],0),4),0)</f>
        <v>0</v>
      </c>
      <c r="CI19" s="9">
        <f>IF(CABLES[[#This Row],[SEG23]] &gt;0, INDEX(SEGMENTS[], MATCH(CABLES[[#Headers],[SEG23]],SEGMENTS[SEG_ID],0),4),0)</f>
        <v>0</v>
      </c>
      <c r="CJ19" s="9">
        <f xml:space="preserve"> IF(CABLES[[#This Row],[SEG24]] &gt;0,INDEX(SEGMENTS[], MATCH(CABLES[[#Headers],[SEG24]],SEGMENTS[SEG_ID],0),4),0)</f>
        <v>0</v>
      </c>
      <c r="CK19" s="9">
        <f>IF(CABLES[[#This Row],[SEG25]] &gt;0, INDEX(SEGMENTS[], MATCH(CABLES[[#Headers],[SEG25]],SEGMENTS[SEG_ID],0),4),0)</f>
        <v>0</v>
      </c>
      <c r="CL19" s="9">
        <f>IF(CABLES[[#This Row],[SEG26]] &gt;0, INDEX(SEGMENTS[], MATCH(CABLES[[#Headers],[SEG26]],SEGMENTS[SEG_ID],0),4),0)</f>
        <v>0</v>
      </c>
      <c r="CM19" s="9">
        <f xml:space="preserve"> IF(CABLES[[#This Row],[SEG27]] &gt;0,INDEX(SEGMENTS[], MATCH(CABLES[[#Headers],[SEG27]],SEGMENTS[SEG_ID],0),4),0)</f>
        <v>0</v>
      </c>
      <c r="CN19" s="9">
        <f xml:space="preserve"> IF(CABLES[[#This Row],[SEG28]] &gt;0,INDEX(SEGMENTS[], MATCH(CABLES[[#Headers],[SEG28]],SEGMENTS[SEG_ID],0),4),0)</f>
        <v>0</v>
      </c>
      <c r="CO19" s="9">
        <f xml:space="preserve"> IF(CABLES[[#This Row],[SEG29]] &gt;0,INDEX(SEGMENTS[], MATCH(CABLES[[#Headers],[SEG29]],SEGMENTS[SEG_ID],0),4),0)</f>
        <v>0</v>
      </c>
      <c r="CP19" s="9">
        <f xml:space="preserve"> IF(CABLES[[#This Row],[SEG30]] &gt;0,INDEX(SEGMENTS[], MATCH(CABLES[[#Headers],[SEG30]],SEGMENTS[SEG_ID],0),4),0)</f>
        <v>0</v>
      </c>
      <c r="CQ19" s="9">
        <f>IF(CABLES[[#This Row],[SEG31]] &gt;0, INDEX(SEGMENTS[], MATCH(CABLES[[#Headers],[SEG31]],SEGMENTS[SEG_ID],0),4),0)</f>
        <v>0</v>
      </c>
      <c r="CR19" s="9">
        <f xml:space="preserve"> IF(CABLES[[#This Row],[SEG32]] &gt;0,INDEX(SEGMENTS[], MATCH(CABLES[[#Headers],[SEG32]],SEGMENTS[SEG_ID],0),4),0)</f>
        <v>0</v>
      </c>
      <c r="CS19" s="9">
        <f xml:space="preserve"> IF(CABLES[[#This Row],[SEG33]] &gt;0,INDEX(SEGMENTS[], MATCH(CABLES[[#Headers],[SEG33]],SEGMENTS[SEG_ID],0),4),0)</f>
        <v>0</v>
      </c>
      <c r="CT19" s="9">
        <f>IF(CABLES[[#This Row],[SEG34]] &gt;0, INDEX(SEGMENTS[], MATCH(CABLES[[#Headers],[SEG34]],SEGMENTS[SEG_ID],0),4),0)</f>
        <v>0</v>
      </c>
      <c r="CU19" s="9">
        <f xml:space="preserve"> IF(CABLES[[#This Row],[SEG35]] &gt;0,INDEX(SEGMENTS[], MATCH(CABLES[[#Headers],[SEG35]],SEGMENTS[SEG_ID],0),4),0)</f>
        <v>0</v>
      </c>
      <c r="CV19" s="9">
        <f xml:space="preserve"> IF(CABLES[[#This Row],[SEG36]] &gt;0,INDEX(SEGMENTS[], MATCH(CABLES[[#Headers],[SEG36]],SEGMENTS[SEG_ID],0),4),0)</f>
        <v>0</v>
      </c>
      <c r="CW19" s="9">
        <f xml:space="preserve"> IF(CABLES[[#This Row],[SEG37]] &gt;0,INDEX(SEGMENTS[], MATCH(CABLES[[#Headers],[SEG37]],SEGMENTS[SEG_ID],0),4),0)</f>
        <v>0</v>
      </c>
      <c r="CX19" s="9">
        <f xml:space="preserve"> IF(CABLES[[#This Row],[SEG38]] &gt;0,INDEX(SEGMENTS[], MATCH(CABLES[[#Headers],[SEG38]],SEGMENTS[SEG_ID],0),4),0)</f>
        <v>0</v>
      </c>
      <c r="CY19" s="9">
        <f xml:space="preserve"> IF(CABLES[[#This Row],[SEG39]] &gt;0,INDEX(SEGMENTS[], MATCH(CABLES[[#Headers],[SEG39]],SEGMENTS[SEG_ID],0),4),0)</f>
        <v>0</v>
      </c>
      <c r="CZ19" s="9">
        <f xml:space="preserve"> IF(CABLES[[#This Row],[SEG40]] &gt;0,INDEX(SEGMENTS[], MATCH(CABLES[[#Headers],[SEG40]],SEGMENTS[SEG_ID],0),4),0)</f>
        <v>0</v>
      </c>
      <c r="DA19" s="9">
        <f xml:space="preserve"> IF(CABLES[[#This Row],[SEG41]] &gt;0,INDEX(SEGMENTS[], MATCH(CABLES[[#Headers],[SEG41]],SEGMENTS[SEG_ID],0),4),0)</f>
        <v>0</v>
      </c>
      <c r="DB19" s="9">
        <f xml:space="preserve"> IF(CABLES[[#This Row],[SEG42]] &gt;0,INDEX(SEGMENTS[], MATCH(CABLES[[#Headers],[SEG42]],SEGMENTS[SEG_ID],0),4),0)</f>
        <v>0</v>
      </c>
      <c r="DC19" s="9">
        <f xml:space="preserve"> IF(CABLES[[#This Row],[SEG43]] &gt;0,INDEX(SEGMENTS[], MATCH(CABLES[[#Headers],[SEG43]],SEGMENTS[SEG_ID],0),4),0)</f>
        <v>0</v>
      </c>
      <c r="DD19" s="9">
        <f xml:space="preserve"> IF(CABLES[[#This Row],[SEG44]] &gt;0,INDEX(SEGMENTS[], MATCH(CABLES[[#Headers],[SEG44]],SEGMENTS[SEG_ID],0),4),0)</f>
        <v>0</v>
      </c>
      <c r="DE19" s="9">
        <f xml:space="preserve"> IF(CABLES[[#This Row],[SEG45]] &gt;0,INDEX(SEGMENTS[], MATCH(CABLES[[#Headers],[SEG45]],SEGMENTS[SEG_ID],0),4),0)</f>
        <v>0</v>
      </c>
      <c r="DF19" s="9">
        <f xml:space="preserve"> IF(CABLES[[#This Row],[SEG46]] &gt;0,INDEX(SEGMENTS[], MATCH(CABLES[[#Headers],[SEG46]],SEGMENTS[SEG_ID],0),4),0)</f>
        <v>0</v>
      </c>
      <c r="DG19" s="9">
        <f xml:space="preserve"> IF(CABLES[[#This Row],[SEG47]] &gt;0,INDEX(SEGMENTS[], MATCH(CABLES[[#Headers],[SEG47]],SEGMENTS[SEG_ID],0),4),0)</f>
        <v>0</v>
      </c>
      <c r="DH19" s="9">
        <f xml:space="preserve"> IF(CABLES[[#This Row],[SEG48]] &gt;0,INDEX(SEGMENTS[], MATCH(CABLES[[#Headers],[SEG48]],SEGMENTS[SEG_ID],0),4),0)</f>
        <v>0</v>
      </c>
      <c r="DI19" s="9">
        <f xml:space="preserve"> IF(CABLES[[#This Row],[SEG49]] &gt;0,INDEX(SEGMENTS[], MATCH(CABLES[[#Headers],[SEG49]],SEGMENTS[SEG_ID],0),4),0)</f>
        <v>0</v>
      </c>
      <c r="DJ19" s="9">
        <f xml:space="preserve"> IF(CABLES[[#This Row],[SEG50]] &gt;0,INDEX(SEGMENTS[], MATCH(CABLES[[#Headers],[SEG50]],SEGMENTS[SEG_ID],0),4),0)</f>
        <v>0</v>
      </c>
      <c r="DK19" s="9">
        <f xml:space="preserve"> IF(CABLES[[#This Row],[SEG51]] &gt;0,INDEX(SEGMENTS[], MATCH(CABLES[[#Headers],[SEG51]],SEGMENTS[SEG_ID],0),4),0)</f>
        <v>0</v>
      </c>
      <c r="DL19" s="9">
        <f xml:space="preserve"> IF(CABLES[[#This Row],[SEG52]] &gt;0,INDEX(SEGMENTS[], MATCH(CABLES[[#Headers],[SEG52]],SEGMENTS[SEG_ID],0),4),0)</f>
        <v>0</v>
      </c>
      <c r="DM19" s="9">
        <f xml:space="preserve"> IF(CABLES[[#This Row],[SEG53]] &gt;0,INDEX(SEGMENTS[], MATCH(CABLES[[#Headers],[SEG53]],SEGMENTS[SEG_ID],0),4),0)</f>
        <v>0</v>
      </c>
      <c r="DN19" s="9">
        <f xml:space="preserve"> IF(CABLES[[#This Row],[SEG54]] &gt;0,INDEX(SEGMENTS[], MATCH(CABLES[[#Headers],[SEG54]],SEGMENTS[SEG_ID],0),4),0)</f>
        <v>0</v>
      </c>
      <c r="DO19" s="9">
        <f xml:space="preserve"> IF(CABLES[[#This Row],[SEG55]] &gt;0,INDEX(SEGMENTS[], MATCH(CABLES[[#Headers],[SEG55]],SEGMENTS[SEG_ID],0),4),0)</f>
        <v>0</v>
      </c>
      <c r="DP19" s="9">
        <f xml:space="preserve"> IF(CABLES[[#This Row],[SEG56]] &gt;0,INDEX(SEGMENTS[], MATCH(CABLES[[#Headers],[SEG56]],SEGMENTS[SEG_ID],0),4),0)</f>
        <v>0</v>
      </c>
      <c r="DQ19" s="9">
        <f xml:space="preserve"> IF(CABLES[[#This Row],[SEG57]] &gt;0,INDEX(SEGMENTS[], MATCH(CABLES[[#Headers],[SEG57]],SEGMENTS[SEG_ID],0),4),0)</f>
        <v>0</v>
      </c>
      <c r="DR19" s="9">
        <f xml:space="preserve"> IF(CABLES[[#This Row],[SEG58]] &gt;0,INDEX(SEGMENTS[], MATCH(CABLES[[#Headers],[SEG58]],SEGMENTS[SEG_ID],0),4),0)</f>
        <v>0</v>
      </c>
      <c r="DS19" s="9">
        <f xml:space="preserve"> IF(CABLES[[#This Row],[SEG59]] &gt;0,INDEX(SEGMENTS[], MATCH(CABLES[[#Headers],[SEG59]],SEGMENTS[SEG_ID],0),4),0)</f>
        <v>0</v>
      </c>
      <c r="DT19" s="9">
        <f xml:space="preserve"> IF(CABLES[[#This Row],[SEG60]] &gt;0,INDEX(SEGMENTS[], MATCH(CABLES[[#Headers],[SEG60]],SEGMENTS[SEG_ID],0),4),0)</f>
        <v>0</v>
      </c>
      <c r="DU19" s="10">
        <f>SUM(CABLES[[#This Row],[SEGL1]:[SEGL60]])</f>
        <v>31</v>
      </c>
      <c r="DV19" s="10">
        <v>5</v>
      </c>
      <c r="DW19" s="10">
        <v>1.2</v>
      </c>
      <c r="DX19" s="10">
        <f xml:space="preserve"> IF(CABLES[[#This Row],[SEGL_TOTAL]]&gt;0, (CABLES[[#This Row],[SEGL_TOTAL]] + CABLES[[#This Row],[FITOFF]]) *CABLES[[#This Row],[XCAPACITY]],0)</f>
        <v>43.199999999999996</v>
      </c>
      <c r="DY19" s="10">
        <f>IF(CABLES[[#This Row],[SEG1]]&gt;0,CABLES[[#This Row],[CABLE_DIAMETER]],0)</f>
        <v>14.5</v>
      </c>
      <c r="DZ19" s="10">
        <f>IF(CABLES[[#This Row],[SEG2]]&gt;0,CABLES[[#This Row],[CABLE_DIAMETER]],0)</f>
        <v>14.5</v>
      </c>
      <c r="EA19" s="10">
        <f>IF(CABLES[[#This Row],[SEG3]]&gt;0,CABLES[[#This Row],[CABLE_DIAMETER]],0)</f>
        <v>14.5</v>
      </c>
      <c r="EB19" s="10">
        <f>IF(CABLES[[#This Row],[SEG4]]&gt;0,CABLES[[#This Row],[CABLE_DIAMETER]],0)</f>
        <v>0</v>
      </c>
      <c r="EC19" s="10">
        <f>IF(CABLES[[#This Row],[SEG5]]&gt;0,CABLES[[#This Row],[CABLE_DIAMETER]],0)</f>
        <v>0</v>
      </c>
      <c r="ED19" s="10">
        <f>IF(CABLES[[#This Row],[SEG6]]&gt;0,CABLES[[#This Row],[CABLE_DIAMETER]],0)</f>
        <v>0</v>
      </c>
      <c r="EE19" s="10">
        <f>IF(CABLES[[#This Row],[SEG7]]&gt;0,CABLES[[#This Row],[CABLE_DIAMETER]],0)</f>
        <v>0</v>
      </c>
      <c r="EF19" s="10">
        <f>IF(CABLES[[#This Row],[SEG9]]&gt;0,CABLES[[#This Row],[CABLE_DIAMETER]],0)</f>
        <v>0</v>
      </c>
      <c r="EG19" s="10">
        <f>IF(CABLES[[#This Row],[SEG9]]&gt;0,CABLES[[#This Row],[CABLE_DIAMETER]],0)</f>
        <v>0</v>
      </c>
      <c r="EH19" s="10">
        <f>IF(CABLES[[#This Row],[SEG10]]&gt;0,CABLES[[#This Row],[CABLE_DIAMETER]],0)</f>
        <v>0</v>
      </c>
      <c r="EI19" s="10">
        <f>IF(CABLES[[#This Row],[SEG11]]&gt;0,CABLES[[#This Row],[CABLE_DIAMETER]],0)</f>
        <v>0</v>
      </c>
      <c r="EJ19" s="10">
        <f>IF(CABLES[[#This Row],[SEG12]]&gt;0,CABLES[[#This Row],[CABLE_DIAMETER]],0)</f>
        <v>0</v>
      </c>
      <c r="EK19" s="10">
        <f>IF(CABLES[[#This Row],[SEG13]]&gt;0,CABLES[[#This Row],[CABLE_DIAMETER]],0)</f>
        <v>0</v>
      </c>
      <c r="EL19" s="10">
        <f>IF(CABLES[[#This Row],[SEG14]]&gt;0,CABLES[[#This Row],[CABLE_DIAMETER]],0)</f>
        <v>0</v>
      </c>
      <c r="EM19" s="10">
        <f>IF(CABLES[[#This Row],[SEG15]]&gt;0,CABLES[[#This Row],[CABLE_DIAMETER]],0)</f>
        <v>0</v>
      </c>
      <c r="EN19" s="10">
        <f>IF(CABLES[[#This Row],[SEG16]]&gt;0,CABLES[[#This Row],[CABLE_DIAMETER]],0)</f>
        <v>0</v>
      </c>
      <c r="EO19" s="10">
        <f>IF(CABLES[[#This Row],[SEG17]]&gt;0,CABLES[[#This Row],[CABLE_DIAMETER]],0)</f>
        <v>0</v>
      </c>
      <c r="EP19" s="10">
        <f>IF(CABLES[[#This Row],[SEG18]]&gt;0,CABLES[[#This Row],[CABLE_DIAMETER]],0)</f>
        <v>0</v>
      </c>
      <c r="EQ19" s="10">
        <f>IF(CABLES[[#This Row],[SEG19]]&gt;0,CABLES[[#This Row],[CABLE_DIAMETER]],0)</f>
        <v>0</v>
      </c>
      <c r="ER19" s="10">
        <f>IF(CABLES[[#This Row],[SEG20]]&gt;0,CABLES[[#This Row],[CABLE_DIAMETER]],0)</f>
        <v>0</v>
      </c>
      <c r="ES19" s="10">
        <f>IF(CABLES[[#This Row],[SEG21]]&gt;0,CABLES[[#This Row],[CABLE_DIAMETER]],0)</f>
        <v>0</v>
      </c>
      <c r="ET19" s="10">
        <f>IF(CABLES[[#This Row],[SEG22]]&gt;0,CABLES[[#This Row],[CABLE_DIAMETER]],0)</f>
        <v>0</v>
      </c>
      <c r="EU19" s="10">
        <f>IF(CABLES[[#This Row],[SEG23]]&gt;0,CABLES[[#This Row],[CABLE_DIAMETER]],0)</f>
        <v>0</v>
      </c>
      <c r="EV19" s="10">
        <f>IF(CABLES[[#This Row],[SEG24]]&gt;0,CABLES[[#This Row],[CABLE_DIAMETER]],0)</f>
        <v>0</v>
      </c>
      <c r="EW19" s="10">
        <f>IF(CABLES[[#This Row],[SEG25]]&gt;0,CABLES[[#This Row],[CABLE_DIAMETER]],0)</f>
        <v>0</v>
      </c>
      <c r="EX19" s="10">
        <f>IF(CABLES[[#This Row],[SEG26]]&gt;0,CABLES[[#This Row],[CABLE_DIAMETER]],0)</f>
        <v>0</v>
      </c>
      <c r="EY19" s="10">
        <f>IF(CABLES[[#This Row],[SEG27]]&gt;0,CABLES[[#This Row],[CABLE_DIAMETER]],0)</f>
        <v>0</v>
      </c>
      <c r="EZ19" s="10">
        <f>IF(CABLES[[#This Row],[SEG28]]&gt;0,CABLES[[#This Row],[CABLE_DIAMETER]],0)</f>
        <v>0</v>
      </c>
      <c r="FA19" s="10">
        <f>IF(CABLES[[#This Row],[SEG29]]&gt;0,CABLES[[#This Row],[CABLE_DIAMETER]],0)</f>
        <v>0</v>
      </c>
      <c r="FB19" s="10">
        <f>IF(CABLES[[#This Row],[SEG30]]&gt;0,CABLES[[#This Row],[CABLE_DIAMETER]],0)</f>
        <v>0</v>
      </c>
      <c r="FC19" s="10">
        <f>IF(CABLES[[#This Row],[SEG31]]&gt;0,CABLES[[#This Row],[CABLE_DIAMETER]],0)</f>
        <v>0</v>
      </c>
      <c r="FD19" s="10">
        <f>IF(CABLES[[#This Row],[SEG32]]&gt;0,CABLES[[#This Row],[CABLE_DIAMETER]],0)</f>
        <v>0</v>
      </c>
      <c r="FE19" s="10">
        <f>IF(CABLES[[#This Row],[SEG33]]&gt;0,CABLES[[#This Row],[CABLE_DIAMETER]],0)</f>
        <v>0</v>
      </c>
      <c r="FF19" s="10">
        <f>IF(CABLES[[#This Row],[SEG34]]&gt;0,CABLES[[#This Row],[CABLE_DIAMETER]],0)</f>
        <v>0</v>
      </c>
      <c r="FG19" s="10">
        <f>IF(CABLES[[#This Row],[SEG35]]&gt;0,CABLES[[#This Row],[CABLE_DIAMETER]],0)</f>
        <v>0</v>
      </c>
      <c r="FH19" s="10">
        <f>IF(CABLES[[#This Row],[SEG36]]&gt;0,CABLES[[#This Row],[CABLE_DIAMETER]],0)</f>
        <v>0</v>
      </c>
      <c r="FI19" s="10">
        <f>IF(CABLES[[#This Row],[SEG37]]&gt;0,CABLES[[#This Row],[CABLE_DIAMETER]],0)</f>
        <v>0</v>
      </c>
      <c r="FJ19" s="10">
        <f>IF(CABLES[[#This Row],[SEG38]]&gt;0,CABLES[[#This Row],[CABLE_DIAMETER]],0)</f>
        <v>0</v>
      </c>
      <c r="FK19" s="10">
        <f>IF(CABLES[[#This Row],[SEG39]]&gt;0,CABLES[[#This Row],[CABLE_DIAMETER]],0)</f>
        <v>0</v>
      </c>
      <c r="FL19" s="10">
        <f>IF(CABLES[[#This Row],[SEG40]]&gt;0,CABLES[[#This Row],[CABLE_DIAMETER]],0)</f>
        <v>0</v>
      </c>
      <c r="FM19" s="10">
        <f>IF(CABLES[[#This Row],[SEG41]]&gt;0,CABLES[[#This Row],[CABLE_DIAMETER]],0)</f>
        <v>0</v>
      </c>
      <c r="FN19" s="10">
        <f>IF(CABLES[[#This Row],[SEG42]]&gt;0,CABLES[[#This Row],[CABLE_DIAMETER]],0)</f>
        <v>0</v>
      </c>
      <c r="FO19" s="10">
        <f>IF(CABLES[[#This Row],[SEG43]]&gt;0,CABLES[[#This Row],[CABLE_DIAMETER]],0)</f>
        <v>0</v>
      </c>
      <c r="FP19" s="10">
        <f>IF(CABLES[[#This Row],[SEG44]]&gt;0,CABLES[[#This Row],[CABLE_DIAMETER]],0)</f>
        <v>0</v>
      </c>
      <c r="FQ19" s="10">
        <f>IF(CABLES[[#This Row],[SEG45]]&gt;0,CABLES[[#This Row],[CABLE_DIAMETER]],0)</f>
        <v>0</v>
      </c>
      <c r="FR19" s="10">
        <f>IF(CABLES[[#This Row],[SEG46]]&gt;0,CABLES[[#This Row],[CABLE_DIAMETER]],0)</f>
        <v>0</v>
      </c>
      <c r="FS19" s="10">
        <f>IF(CABLES[[#This Row],[SEG47]]&gt;0,CABLES[[#This Row],[CABLE_DIAMETER]],0)</f>
        <v>0</v>
      </c>
      <c r="FT19" s="10">
        <f>IF(CABLES[[#This Row],[SEG48]]&gt;0,CABLES[[#This Row],[CABLE_DIAMETER]],0)</f>
        <v>0</v>
      </c>
      <c r="FU19" s="10">
        <f>IF(CABLES[[#This Row],[SEG49]]&gt;0,CABLES[[#This Row],[CABLE_DIAMETER]],0)</f>
        <v>0</v>
      </c>
      <c r="FV19" s="10">
        <f>IF(CABLES[[#This Row],[SEG50]]&gt;0,CABLES[[#This Row],[CABLE_DIAMETER]],0)</f>
        <v>0</v>
      </c>
      <c r="FW19" s="10">
        <f>IF(CABLES[[#This Row],[SEG51]]&gt;0,CABLES[[#This Row],[CABLE_DIAMETER]],0)</f>
        <v>0</v>
      </c>
      <c r="FX19" s="10">
        <f>IF(CABLES[[#This Row],[SEG52]]&gt;0,CABLES[[#This Row],[CABLE_DIAMETER]],0)</f>
        <v>0</v>
      </c>
      <c r="FY19" s="10">
        <f>IF(CABLES[[#This Row],[SEG53]]&gt;0,CABLES[[#This Row],[CABLE_DIAMETER]],0)</f>
        <v>0</v>
      </c>
      <c r="FZ19" s="10">
        <f>IF(CABLES[[#This Row],[SEG54]]&gt;0,CABLES[[#This Row],[CABLE_DIAMETER]],0)</f>
        <v>0</v>
      </c>
      <c r="GA19" s="10">
        <f>IF(CABLES[[#This Row],[SEG55]]&gt;0,CABLES[[#This Row],[CABLE_DIAMETER]],0)</f>
        <v>0</v>
      </c>
      <c r="GB19" s="10">
        <f>IF(CABLES[[#This Row],[SEG56]]&gt;0,CABLES[[#This Row],[CABLE_DIAMETER]],0)</f>
        <v>0</v>
      </c>
      <c r="GC19" s="10">
        <f>IF(CABLES[[#This Row],[SEG57]]&gt;0,CABLES[[#This Row],[CABLE_DIAMETER]],0)</f>
        <v>0</v>
      </c>
      <c r="GD19" s="10">
        <f>IF(CABLES[[#This Row],[SEG58]]&gt;0,CABLES[[#This Row],[CABLE_DIAMETER]],0)</f>
        <v>0</v>
      </c>
      <c r="GE19" s="10">
        <f>IF(CABLES[[#This Row],[SEG59]]&gt;0,CABLES[[#This Row],[CABLE_DIAMETER]],0)</f>
        <v>0</v>
      </c>
      <c r="GF19" s="10">
        <f>IF(CABLES[[#This Row],[SEG60]]&gt;0,CABLES[[#This Row],[CABLE_DIAMETER]],0)</f>
        <v>0</v>
      </c>
      <c r="GG19" s="10">
        <f>IF(CABLES[[#This Row],[SEG1]]&gt;0,CABLES[[#This Row],[CABLE_MASS]],0)</f>
        <v>0.33</v>
      </c>
      <c r="GH19" s="10">
        <f>IF(CABLES[[#This Row],[SEG2]]&gt;0,CABLES[[#This Row],[CABLE_MASS]],0)</f>
        <v>0.33</v>
      </c>
      <c r="GI19" s="10">
        <f>IF(CABLES[[#This Row],[SEG3]]&gt;0,CABLES[[#This Row],[CABLE_MASS]],0)</f>
        <v>0.33</v>
      </c>
      <c r="GJ19" s="10">
        <f>IF(CABLES[[#This Row],[SEG4]]&gt;0,CABLES[[#This Row],[CABLE_MASS]],0)</f>
        <v>0</v>
      </c>
      <c r="GK19" s="10">
        <f>IF(CABLES[[#This Row],[SEG5]]&gt;0,CABLES[[#This Row],[CABLE_MASS]],0)</f>
        <v>0</v>
      </c>
      <c r="GL19" s="10">
        <f>IF(CABLES[[#This Row],[SEG6]]&gt;0,CABLES[[#This Row],[CABLE_MASS]],0)</f>
        <v>0</v>
      </c>
      <c r="GM19" s="10">
        <f>IF(CABLES[[#This Row],[SEG7]]&gt;0,CABLES[[#This Row],[CABLE_MASS]],0)</f>
        <v>0</v>
      </c>
      <c r="GN19" s="10">
        <f>IF(CABLES[[#This Row],[SEG8]]&gt;0,CABLES[[#This Row],[CABLE_MASS]],0)</f>
        <v>0</v>
      </c>
      <c r="GO19" s="10">
        <f>IF(CABLES[[#This Row],[SEG9]]&gt;0,CABLES[[#This Row],[CABLE_MASS]],0)</f>
        <v>0</v>
      </c>
      <c r="GP19" s="10">
        <f>IF(CABLES[[#This Row],[SEG10]]&gt;0,CABLES[[#This Row],[CABLE_MASS]],0)</f>
        <v>0</v>
      </c>
      <c r="GQ19" s="10">
        <f>IF(CABLES[[#This Row],[SEG11]]&gt;0,CABLES[[#This Row],[CABLE_MASS]],0)</f>
        <v>0</v>
      </c>
      <c r="GR19" s="10">
        <f>IF(CABLES[[#This Row],[SEG12]]&gt;0,CABLES[[#This Row],[CABLE_MASS]],0)</f>
        <v>0</v>
      </c>
      <c r="GS19" s="10">
        <f>IF(CABLES[[#This Row],[SEG13]]&gt;0,CABLES[[#This Row],[CABLE_MASS]],0)</f>
        <v>0</v>
      </c>
      <c r="GT19" s="10">
        <f>IF(CABLES[[#This Row],[SEG14]]&gt;0,CABLES[[#This Row],[CABLE_MASS]],0)</f>
        <v>0</v>
      </c>
      <c r="GU19" s="10">
        <f>IF(CABLES[[#This Row],[SEG15]]&gt;0,CABLES[[#This Row],[CABLE_MASS]],0)</f>
        <v>0</v>
      </c>
      <c r="GV19" s="10">
        <f>IF(CABLES[[#This Row],[SEG16]]&gt;0,CABLES[[#This Row],[CABLE_MASS]],0)</f>
        <v>0</v>
      </c>
      <c r="GW19" s="10">
        <f>IF(CABLES[[#This Row],[SEG17]]&gt;0,CABLES[[#This Row],[CABLE_MASS]],0)</f>
        <v>0</v>
      </c>
      <c r="GX19" s="10">
        <f>IF(CABLES[[#This Row],[SEG18]]&gt;0,CABLES[[#This Row],[CABLE_MASS]],0)</f>
        <v>0</v>
      </c>
      <c r="GY19" s="10">
        <f>IF(CABLES[[#This Row],[SEG19]]&gt;0,CABLES[[#This Row],[CABLE_MASS]],0)</f>
        <v>0</v>
      </c>
      <c r="GZ19" s="10">
        <f>IF(CABLES[[#This Row],[SEG20]]&gt;0,CABLES[[#This Row],[CABLE_MASS]],0)</f>
        <v>0</v>
      </c>
      <c r="HA19" s="10">
        <f>IF(CABLES[[#This Row],[SEG21]]&gt;0,CABLES[[#This Row],[CABLE_MASS]],0)</f>
        <v>0</v>
      </c>
      <c r="HB19" s="10">
        <f>IF(CABLES[[#This Row],[SEG22]]&gt;0,CABLES[[#This Row],[CABLE_MASS]],0)</f>
        <v>0</v>
      </c>
      <c r="HC19" s="10">
        <f>IF(CABLES[[#This Row],[SEG23]]&gt;0,CABLES[[#This Row],[CABLE_MASS]],0)</f>
        <v>0</v>
      </c>
      <c r="HD19" s="10">
        <f>IF(CABLES[[#This Row],[SEG24]]&gt;0,CABLES[[#This Row],[CABLE_MASS]],0)</f>
        <v>0</v>
      </c>
      <c r="HE19" s="10">
        <f>IF(CABLES[[#This Row],[SEG25]]&gt;0,CABLES[[#This Row],[CABLE_MASS]],0)</f>
        <v>0</v>
      </c>
      <c r="HF19" s="10">
        <f>IF(CABLES[[#This Row],[SEG26]]&gt;0,CABLES[[#This Row],[CABLE_MASS]],0)</f>
        <v>0</v>
      </c>
      <c r="HG19" s="10">
        <f>IF(CABLES[[#This Row],[SEG27]]&gt;0,CABLES[[#This Row],[CABLE_MASS]],0)</f>
        <v>0</v>
      </c>
      <c r="HH19" s="10">
        <f>IF(CABLES[[#This Row],[SEG28]]&gt;0,CABLES[[#This Row],[CABLE_MASS]],0)</f>
        <v>0</v>
      </c>
      <c r="HI19" s="10">
        <f>IF(CABLES[[#This Row],[SEG29]]&gt;0,CABLES[[#This Row],[CABLE_MASS]],0)</f>
        <v>0</v>
      </c>
      <c r="HJ19" s="10">
        <f>IF(CABLES[[#This Row],[SEG30]]&gt;0,CABLES[[#This Row],[CABLE_MASS]],0)</f>
        <v>0</v>
      </c>
      <c r="HK19" s="10">
        <f>IF(CABLES[[#This Row],[SEG31]]&gt;0,CABLES[[#This Row],[CABLE_MASS]],0)</f>
        <v>0</v>
      </c>
      <c r="HL19" s="10">
        <f>IF(CABLES[[#This Row],[SEG32]]&gt;0,CABLES[[#This Row],[CABLE_MASS]],0)</f>
        <v>0</v>
      </c>
      <c r="HM19" s="10">
        <f>IF(CABLES[[#This Row],[SEG33]]&gt;0,CABLES[[#This Row],[CABLE_MASS]],0)</f>
        <v>0</v>
      </c>
      <c r="HN19" s="10">
        <f>IF(CABLES[[#This Row],[SEG34]]&gt;0,CABLES[[#This Row],[CABLE_MASS]],0)</f>
        <v>0</v>
      </c>
      <c r="HO19" s="10">
        <f>IF(CABLES[[#This Row],[SEG35]]&gt;0,CABLES[[#This Row],[CABLE_MASS]],0)</f>
        <v>0</v>
      </c>
      <c r="HP19" s="10">
        <f>IF(CABLES[[#This Row],[SEG36]]&gt;0,CABLES[[#This Row],[CABLE_MASS]],0)</f>
        <v>0</v>
      </c>
      <c r="HQ19" s="10">
        <f>IF(CABLES[[#This Row],[SEG37]]&gt;0,CABLES[[#This Row],[CABLE_MASS]],0)</f>
        <v>0</v>
      </c>
      <c r="HR19" s="10">
        <f>IF(CABLES[[#This Row],[SEG38]]&gt;0,CABLES[[#This Row],[CABLE_MASS]],0)</f>
        <v>0</v>
      </c>
      <c r="HS19" s="10">
        <f>IF(CABLES[[#This Row],[SEG39]]&gt;0,CABLES[[#This Row],[CABLE_MASS]],0)</f>
        <v>0</v>
      </c>
      <c r="HT19" s="10">
        <f>IF(CABLES[[#This Row],[SEG40]]&gt;0,CABLES[[#This Row],[CABLE_MASS]],0)</f>
        <v>0</v>
      </c>
      <c r="HU19" s="10">
        <f>IF(CABLES[[#This Row],[SEG41]]&gt;0,CABLES[[#This Row],[CABLE_MASS]],0)</f>
        <v>0</v>
      </c>
      <c r="HV19" s="10">
        <f>IF(CABLES[[#This Row],[SEG42]]&gt;0,CABLES[[#This Row],[CABLE_MASS]],0)</f>
        <v>0</v>
      </c>
      <c r="HW19" s="10">
        <f>IF(CABLES[[#This Row],[SEG43]]&gt;0,CABLES[[#This Row],[CABLE_MASS]],0)</f>
        <v>0</v>
      </c>
      <c r="HX19" s="10">
        <f>IF(CABLES[[#This Row],[SEG44]]&gt;0,CABLES[[#This Row],[CABLE_MASS]],0)</f>
        <v>0</v>
      </c>
      <c r="HY19" s="10">
        <f>IF(CABLES[[#This Row],[SEG45]]&gt;0,CABLES[[#This Row],[CABLE_MASS]],0)</f>
        <v>0</v>
      </c>
      <c r="HZ19" s="10">
        <f>IF(CABLES[[#This Row],[SEG46]]&gt;0,CABLES[[#This Row],[CABLE_MASS]],0)</f>
        <v>0</v>
      </c>
      <c r="IA19" s="10">
        <f>IF(CABLES[[#This Row],[SEG47]]&gt;0,CABLES[[#This Row],[CABLE_MASS]],0)</f>
        <v>0</v>
      </c>
      <c r="IB19" s="10">
        <f>IF(CABLES[[#This Row],[SEG48]]&gt;0,CABLES[[#This Row],[CABLE_MASS]],0)</f>
        <v>0</v>
      </c>
      <c r="IC19" s="10">
        <f>IF(CABLES[[#This Row],[SEG49]]&gt;0,CABLES[[#This Row],[CABLE_MASS]],0)</f>
        <v>0</v>
      </c>
      <c r="ID19" s="10">
        <f>IF(CABLES[[#This Row],[SEG50]]&gt;0,CABLES[[#This Row],[CABLE_MASS]],0)</f>
        <v>0</v>
      </c>
      <c r="IE19" s="10">
        <f>IF(CABLES[[#This Row],[SEG51]]&gt;0,CABLES[[#This Row],[CABLE_MASS]],0)</f>
        <v>0</v>
      </c>
      <c r="IF19" s="10">
        <f>IF(CABLES[[#This Row],[SEG52]]&gt;0,CABLES[[#This Row],[CABLE_MASS]],0)</f>
        <v>0</v>
      </c>
      <c r="IG19" s="10">
        <f>IF(CABLES[[#This Row],[SEG53]]&gt;0,CABLES[[#This Row],[CABLE_MASS]],0)</f>
        <v>0</v>
      </c>
      <c r="IH19" s="10">
        <f>IF(CABLES[[#This Row],[SEG54]]&gt;0,CABLES[[#This Row],[CABLE_MASS]],0)</f>
        <v>0</v>
      </c>
      <c r="II19" s="10">
        <f>IF(CABLES[[#This Row],[SEG55]]&gt;0,CABLES[[#This Row],[CABLE_MASS]],0)</f>
        <v>0</v>
      </c>
      <c r="IJ19" s="10">
        <f>IF(CABLES[[#This Row],[SEG56]]&gt;0,CABLES[[#This Row],[CABLE_MASS]],0)</f>
        <v>0</v>
      </c>
      <c r="IK19" s="10">
        <f>IF(CABLES[[#This Row],[SEG57]]&gt;0,CABLES[[#This Row],[CABLE_MASS]],0)</f>
        <v>0</v>
      </c>
      <c r="IL19" s="10">
        <f>IF(CABLES[[#This Row],[SEG58]]&gt;0,CABLES[[#This Row],[CABLE_MASS]],0)</f>
        <v>0</v>
      </c>
      <c r="IM19" s="10">
        <f>IF(CABLES[[#This Row],[SEG59]]&gt;0,CABLES[[#This Row],[CABLE_MASS]],0)</f>
        <v>0</v>
      </c>
      <c r="IN19" s="10">
        <f>IF(CABLES[[#This Row],[SEG60]]&gt;0,CABLES[[#This Row],[CABLE_MASS]],0)</f>
        <v>0</v>
      </c>
      <c r="IO19" s="10">
        <f xml:space="preserve">  (CABLES[[#This Row],[LOAD_KW]]/(SQRT(3)*SYSTEM_VOLTAGE*POWER_FACTOR))*1000</f>
        <v>2.4056261216234405</v>
      </c>
      <c r="IP19" s="10">
        <v>45</v>
      </c>
      <c r="IQ19" s="10">
        <f xml:space="preserve"> INDEX(AS3000_AMBIENTDERATE[], MATCH(CABLES[[#This Row],[AMBIENT]],AS3000_AMBIENTDERATE[AMBIENT],0), 2)</f>
        <v>0.94</v>
      </c>
      <c r="IR19" s="10">
        <f xml:space="preserve"> ROUNDUP( CABLES[[#This Row],[CALCULATED_AMPS]]/CABLES[[#This Row],[AMBIENT_DERATING]],1)</f>
        <v>2.6</v>
      </c>
      <c r="IS19" s="10" t="s">
        <v>531</v>
      </c>
      <c r="IT1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19" s="10">
        <f t="shared" si="0"/>
        <v>28.000000000000004</v>
      </c>
      <c r="IV19" s="10">
        <f>(1000*CABLES[[#This Row],[MAX_VDROP]])/(CABLES[[#This Row],[ESTIMATED_CABLE_LENGTH]]*CABLES[[#This Row],[AMP_RATING]])</f>
        <v>249.28774928774934</v>
      </c>
      <c r="IW19" s="10">
        <f xml:space="preserve"> INDEX(AS3000_VDROP[], MATCH(CABLES[[#This Row],[VC_CALC]],AS3000_VDROP[Vc],1),1)</f>
        <v>2.5</v>
      </c>
      <c r="IX19" s="10">
        <f>MAX(CABLES[[#This Row],[CABLESIZE_METHOD1]],CABLES[[#This Row],[CABLESIZE_METHOD2]])</f>
        <v>2.5</v>
      </c>
      <c r="IY19" s="10"/>
      <c r="IZ19" s="10">
        <f>IF(LEN(CABLES[[#This Row],[OVERRIDE_CABLESIZE]])&gt;0,CABLES[[#This Row],[OVERRIDE_CABLESIZE]],CABLES[[#This Row],[INITIAL_CABLESIZE]])</f>
        <v>2.5</v>
      </c>
      <c r="JA19" s="10">
        <f>INDEX(PROTECTIVE_DEVICE[DEVICE], MATCH(CABLES[[#This Row],[CALCULATED_AMPS]],PROTECTIVE_DEVICE[DEVICE],-1),1)</f>
        <v>6</v>
      </c>
      <c r="JB19" s="10"/>
      <c r="JC19" s="10">
        <f>IF(LEN(CABLES[[#This Row],[OVERRIDE_PDEVICE]])&gt;0, CABLES[[#This Row],[OVERRIDE_PDEVICE]],CABLES[[#This Row],[RECOMMEND_PDEVICE]])</f>
        <v>6</v>
      </c>
      <c r="JD19" s="10" t="s">
        <v>450</v>
      </c>
      <c r="JE19" s="10">
        <f xml:space="preserve"> CABLES[[#This Row],[SELECTED_PDEVICE]] * INDEX(DEVICE_CURVE[], MATCH(CABLES[[#This Row],[PDEVICE_CURVE]], DEVICE_CURVE[DEVICE_CURVE],0),2)</f>
        <v>39</v>
      </c>
      <c r="JF19" s="10" t="s">
        <v>458</v>
      </c>
      <c r="JG19" s="10">
        <f xml:space="preserve"> INDEX(CONDUCTOR_MATERIAL[], MATCH(CABLES[[#This Row],[CONDUCTOR_MATERIAL]],CONDUCTOR_MATERIAL[CONDUCTOR_MATERIAL],0),2)</f>
        <v>2.2499999999999999E-2</v>
      </c>
      <c r="JH19" s="10">
        <f>CABLES[[#This Row],[SELECTED_CABLESIZE]]</f>
        <v>2.5</v>
      </c>
      <c r="JI19" s="10">
        <f xml:space="preserve"> INDEX( EARTH_CONDUCTOR_SIZE[], MATCH(CABLES[[#This Row],[SPH]],EARTH_CONDUCTOR_SIZE[MM^2],-1), 2)</f>
        <v>2.5</v>
      </c>
      <c r="JJ19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19" s="10" t="str">
        <f>IF(CABLES[[#This Row],[LMAX]]&gt;CABLES[[#This Row],[ESTIMATED_CABLE_LENGTH]], "PASS", "ERROR")</f>
        <v>PASS</v>
      </c>
      <c r="JL1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1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19" s="6">
        <f xml:space="preserve"> ROUNDUP( CABLES[[#This Row],[CALCULATED_AMPS]],1)</f>
        <v>2.5</v>
      </c>
      <c r="JO19" s="6">
        <f>CABLES[[#This Row],[SELECTED_CABLESIZE]]</f>
        <v>2.5</v>
      </c>
      <c r="JP19" s="10">
        <f>CABLES[[#This Row],[ESTIMATED_CABLE_LENGTH]]</f>
        <v>43.199999999999996</v>
      </c>
      <c r="JQ19" s="6">
        <f>CABLES[[#This Row],[SELECTED_PDEVICE]]</f>
        <v>6</v>
      </c>
    </row>
    <row r="20" spans="1:277" x14ac:dyDescent="0.35">
      <c r="A20" s="5" t="s">
        <v>19</v>
      </c>
      <c r="B20" s="5" t="s">
        <v>489</v>
      </c>
      <c r="C20" s="10" t="s">
        <v>262</v>
      </c>
      <c r="D20" s="9">
        <v>11</v>
      </c>
      <c r="E20" s="9">
        <v>1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1</v>
      </c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f xml:space="preserve"> IF(CABLES[[#This Row],[SEG1]] &gt;0, INDEX(SEGMENTS[], MATCH(CABLES[[#Headers],[SEG1]],SEGMENTS[SEG_ID],0),4),0)</f>
        <v>13</v>
      </c>
      <c r="BN20" s="9">
        <f xml:space="preserve"> IF(CABLES[[#This Row],[SEG2]] &gt;0, INDEX(SEGMENTS[], MATCH(CABLES[[#Headers],[SEG2]],SEGMENTS[SEG_ID],0),4),0)</f>
        <v>2</v>
      </c>
      <c r="BO20" s="9">
        <f xml:space="preserve"> IF(CABLES[[#This Row],[SEG3]] &gt;0, INDEX(SEGMENTS[], MATCH(CABLES[[#Headers],[SEG3]],SEGMENTS[SEG_ID],0),4),0)</f>
        <v>0</v>
      </c>
      <c r="BP20" s="9">
        <f xml:space="preserve"> IF(CABLES[[#This Row],[SEG4]] &gt;0, INDEX(SEGMENTS[], MATCH(CABLES[[#Headers],[SEG4]],SEGMENTS[SEG_ID],0),4),0)</f>
        <v>0</v>
      </c>
      <c r="BQ20" s="9">
        <f xml:space="preserve"> IF(CABLES[[#This Row],[SEG5]] &gt;0,INDEX(SEGMENTS[], MATCH(CABLES[[#Headers],[SEG5]],SEGMENTS[SEG_ID],0),4),0)</f>
        <v>0</v>
      </c>
      <c r="BR20" s="9">
        <f xml:space="preserve"> IF(CABLES[[#This Row],[SEG6]] &gt;0,INDEX(SEGMENTS[], MATCH(CABLES[[#Headers],[SEG6]],SEGMENTS[SEG_ID],0),4),0)</f>
        <v>0</v>
      </c>
      <c r="BS20" s="9">
        <f xml:space="preserve"> IF(CABLES[[#This Row],[SEG7]] &gt;0,INDEX(SEGMENTS[], MATCH(CABLES[[#Headers],[SEG7]],SEGMENTS[SEG_ID],0),4),0)</f>
        <v>0</v>
      </c>
      <c r="BT20" s="9">
        <f xml:space="preserve"> IF(CABLES[[#This Row],[SEG8]] &gt;0,INDEX(SEGMENTS[], MATCH(CABLES[[#Headers],[SEG8]],SEGMENTS[SEG_ID],0),4),0)</f>
        <v>0</v>
      </c>
      <c r="BU20" s="9">
        <f xml:space="preserve"> IF(CABLES[[#This Row],[SEG9]] &gt;0,INDEX(SEGMENTS[], MATCH(CABLES[[#Headers],[SEG9]],SEGMENTS[SEG_ID],0),4),0)</f>
        <v>0</v>
      </c>
      <c r="BV20" s="9">
        <f xml:space="preserve"> IF(CABLES[[#This Row],[SEG10]] &gt;0,INDEX(SEGMENTS[], MATCH(CABLES[[#Headers],[SEG10]],SEGMENTS[SEG_ID],0),4),0)</f>
        <v>0</v>
      </c>
      <c r="BW20" s="9">
        <f xml:space="preserve"> IF(CABLES[[#This Row],[SEG11]] &gt;0,INDEX(SEGMENTS[], MATCH(CABLES[[#Headers],[SEG11]],SEGMENTS[SEG_ID],0),4),0)</f>
        <v>0</v>
      </c>
      <c r="BX20" s="9">
        <f>IF(CABLES[[#This Row],[SEG12]] &gt;0, INDEX(SEGMENTS[], MATCH(CABLES[[#Headers],[SEG12]],SEGMENTS[SEG_ID],0),4),0)</f>
        <v>0</v>
      </c>
      <c r="BY20" s="9">
        <f xml:space="preserve"> IF(CABLES[[#This Row],[SEG13]] &gt;0,INDEX(SEGMENTS[], MATCH(CABLES[[#Headers],[SEG13]],SEGMENTS[SEG_ID],0),4),0)</f>
        <v>0</v>
      </c>
      <c r="BZ20" s="9">
        <f xml:space="preserve"> IF(CABLES[[#This Row],[SEG14]] &gt;0,INDEX(SEGMENTS[], MATCH(CABLES[[#Headers],[SEG14]],SEGMENTS[SEG_ID],0),4),0)</f>
        <v>0</v>
      </c>
      <c r="CA20" s="9">
        <f xml:space="preserve"> IF(CABLES[[#This Row],[SEG15]] &gt;0,INDEX(SEGMENTS[], MATCH(CABLES[[#Headers],[SEG15]],SEGMENTS[SEG_ID],0),4),0)</f>
        <v>0</v>
      </c>
      <c r="CB20" s="9">
        <f xml:space="preserve"> IF(CABLES[[#This Row],[SEG16]] &gt;0,INDEX(SEGMENTS[], MATCH(CABLES[[#Headers],[SEG16]],SEGMENTS[SEG_ID],0),4),0)</f>
        <v>0</v>
      </c>
      <c r="CC20" s="9">
        <f xml:space="preserve"> IF(CABLES[[#This Row],[SEG17]] &gt;0,INDEX(SEGMENTS[], MATCH(CABLES[[#Headers],[SEG17]],SEGMENTS[SEG_ID],0),4),0)</f>
        <v>0</v>
      </c>
      <c r="CD20" s="9">
        <f xml:space="preserve"> IF(CABLES[[#This Row],[SEG18]] &gt;0,INDEX(SEGMENTS[], MATCH(CABLES[[#Headers],[SEG18]],SEGMENTS[SEG_ID],0),4),0)</f>
        <v>0</v>
      </c>
      <c r="CE20" s="9">
        <f>IF(CABLES[[#This Row],[SEG19]] &gt;0, INDEX(SEGMENTS[], MATCH(CABLES[[#Headers],[SEG19]],SEGMENTS[SEG_ID],0),4),0)</f>
        <v>0</v>
      </c>
      <c r="CF20" s="9">
        <f>IF(CABLES[[#This Row],[SEG20]] &gt;0, INDEX(SEGMENTS[], MATCH(CABLES[[#Headers],[SEG20]],SEGMENTS[SEG_ID],0),4),0)</f>
        <v>0</v>
      </c>
      <c r="CG20" s="9">
        <f xml:space="preserve"> IF(CABLES[[#This Row],[SEG21]] &gt;0,INDEX(SEGMENTS[], MATCH(CABLES[[#Headers],[SEG21]],SEGMENTS[SEG_ID],0),4),0)</f>
        <v>4</v>
      </c>
      <c r="CH20" s="9">
        <f xml:space="preserve"> IF(CABLES[[#This Row],[SEG22]] &gt;0,INDEX(SEGMENTS[], MATCH(CABLES[[#Headers],[SEG22]],SEGMENTS[SEG_ID],0),4),0)</f>
        <v>16</v>
      </c>
      <c r="CI20" s="9">
        <f>IF(CABLES[[#This Row],[SEG23]] &gt;0, INDEX(SEGMENTS[], MATCH(CABLES[[#Headers],[SEG23]],SEGMENTS[SEG_ID],0),4),0)</f>
        <v>0</v>
      </c>
      <c r="CJ20" s="9">
        <f xml:space="preserve"> IF(CABLES[[#This Row],[SEG24]] &gt;0,INDEX(SEGMENTS[], MATCH(CABLES[[#Headers],[SEG24]],SEGMENTS[SEG_ID],0),4),0)</f>
        <v>0</v>
      </c>
      <c r="CK20" s="9">
        <f>IF(CABLES[[#This Row],[SEG25]] &gt;0, INDEX(SEGMENTS[], MATCH(CABLES[[#Headers],[SEG25]],SEGMENTS[SEG_ID],0),4),0)</f>
        <v>0</v>
      </c>
      <c r="CL20" s="9">
        <f>IF(CABLES[[#This Row],[SEG26]] &gt;0, INDEX(SEGMENTS[], MATCH(CABLES[[#Headers],[SEG26]],SEGMENTS[SEG_ID],0),4),0)</f>
        <v>0</v>
      </c>
      <c r="CM20" s="9">
        <f xml:space="preserve"> IF(CABLES[[#This Row],[SEG27]] &gt;0,INDEX(SEGMENTS[], MATCH(CABLES[[#Headers],[SEG27]],SEGMENTS[SEG_ID],0),4),0)</f>
        <v>0</v>
      </c>
      <c r="CN20" s="9">
        <f xml:space="preserve"> IF(CABLES[[#This Row],[SEG28]] &gt;0,INDEX(SEGMENTS[], MATCH(CABLES[[#Headers],[SEG28]],SEGMENTS[SEG_ID],0),4),0)</f>
        <v>0</v>
      </c>
      <c r="CO20" s="9">
        <f xml:space="preserve"> IF(CABLES[[#This Row],[SEG29]] &gt;0,INDEX(SEGMENTS[], MATCH(CABLES[[#Headers],[SEG29]],SEGMENTS[SEG_ID],0),4),0)</f>
        <v>0</v>
      </c>
      <c r="CP20" s="9">
        <f xml:space="preserve"> IF(CABLES[[#This Row],[SEG30]] &gt;0,INDEX(SEGMENTS[], MATCH(CABLES[[#Headers],[SEG30]],SEGMENTS[SEG_ID],0),4),0)</f>
        <v>0</v>
      </c>
      <c r="CQ20" s="9">
        <f>IF(CABLES[[#This Row],[SEG31]] &gt;0, INDEX(SEGMENTS[], MATCH(CABLES[[#Headers],[SEG31]],SEGMENTS[SEG_ID],0),4),0)</f>
        <v>0</v>
      </c>
      <c r="CR20" s="9">
        <f xml:space="preserve"> IF(CABLES[[#This Row],[SEG32]] &gt;0,INDEX(SEGMENTS[], MATCH(CABLES[[#Headers],[SEG32]],SEGMENTS[SEG_ID],0),4),0)</f>
        <v>0</v>
      </c>
      <c r="CS20" s="9">
        <f xml:space="preserve"> IF(CABLES[[#This Row],[SEG33]] &gt;0,INDEX(SEGMENTS[], MATCH(CABLES[[#Headers],[SEG33]],SEGMENTS[SEG_ID],0),4),0)</f>
        <v>0</v>
      </c>
      <c r="CT20" s="9">
        <f>IF(CABLES[[#This Row],[SEG34]] &gt;0, INDEX(SEGMENTS[], MATCH(CABLES[[#Headers],[SEG34]],SEGMENTS[SEG_ID],0),4),0)</f>
        <v>0</v>
      </c>
      <c r="CU20" s="9">
        <f xml:space="preserve"> IF(CABLES[[#This Row],[SEG35]] &gt;0,INDEX(SEGMENTS[], MATCH(CABLES[[#Headers],[SEG35]],SEGMENTS[SEG_ID],0),4),0)</f>
        <v>0</v>
      </c>
      <c r="CV20" s="9">
        <f xml:space="preserve"> IF(CABLES[[#This Row],[SEG36]] &gt;0,INDEX(SEGMENTS[], MATCH(CABLES[[#Headers],[SEG36]],SEGMENTS[SEG_ID],0),4),0)</f>
        <v>0</v>
      </c>
      <c r="CW20" s="9">
        <f xml:space="preserve"> IF(CABLES[[#This Row],[SEG37]] &gt;0,INDEX(SEGMENTS[], MATCH(CABLES[[#Headers],[SEG37]],SEGMENTS[SEG_ID],0),4),0)</f>
        <v>0</v>
      </c>
      <c r="CX20" s="9">
        <f xml:space="preserve"> IF(CABLES[[#This Row],[SEG38]] &gt;0,INDEX(SEGMENTS[], MATCH(CABLES[[#Headers],[SEG38]],SEGMENTS[SEG_ID],0),4),0)</f>
        <v>0</v>
      </c>
      <c r="CY20" s="9">
        <f xml:space="preserve"> IF(CABLES[[#This Row],[SEG39]] &gt;0,INDEX(SEGMENTS[], MATCH(CABLES[[#Headers],[SEG39]],SEGMENTS[SEG_ID],0),4),0)</f>
        <v>0</v>
      </c>
      <c r="CZ20" s="9">
        <f xml:space="preserve"> IF(CABLES[[#This Row],[SEG40]] &gt;0,INDEX(SEGMENTS[], MATCH(CABLES[[#Headers],[SEG40]],SEGMENTS[SEG_ID],0),4),0)</f>
        <v>0</v>
      </c>
      <c r="DA20" s="9">
        <f xml:space="preserve"> IF(CABLES[[#This Row],[SEG41]] &gt;0,INDEX(SEGMENTS[], MATCH(CABLES[[#Headers],[SEG41]],SEGMENTS[SEG_ID],0),4),0)</f>
        <v>0</v>
      </c>
      <c r="DB20" s="9">
        <f xml:space="preserve"> IF(CABLES[[#This Row],[SEG42]] &gt;0,INDEX(SEGMENTS[], MATCH(CABLES[[#Headers],[SEG42]],SEGMENTS[SEG_ID],0),4),0)</f>
        <v>0</v>
      </c>
      <c r="DC20" s="9">
        <f xml:space="preserve"> IF(CABLES[[#This Row],[SEG43]] &gt;0,INDEX(SEGMENTS[], MATCH(CABLES[[#Headers],[SEG43]],SEGMENTS[SEG_ID],0),4),0)</f>
        <v>0</v>
      </c>
      <c r="DD20" s="9">
        <f xml:space="preserve"> IF(CABLES[[#This Row],[SEG44]] &gt;0,INDEX(SEGMENTS[], MATCH(CABLES[[#Headers],[SEG44]],SEGMENTS[SEG_ID],0),4),0)</f>
        <v>0</v>
      </c>
      <c r="DE20" s="9">
        <f xml:space="preserve"> IF(CABLES[[#This Row],[SEG45]] &gt;0,INDEX(SEGMENTS[], MATCH(CABLES[[#Headers],[SEG45]],SEGMENTS[SEG_ID],0),4),0)</f>
        <v>0</v>
      </c>
      <c r="DF20" s="9">
        <f xml:space="preserve"> IF(CABLES[[#This Row],[SEG46]] &gt;0,INDEX(SEGMENTS[], MATCH(CABLES[[#Headers],[SEG46]],SEGMENTS[SEG_ID],0),4),0)</f>
        <v>0</v>
      </c>
      <c r="DG20" s="9">
        <f xml:space="preserve"> IF(CABLES[[#This Row],[SEG47]] &gt;0,INDEX(SEGMENTS[], MATCH(CABLES[[#Headers],[SEG47]],SEGMENTS[SEG_ID],0),4),0)</f>
        <v>0</v>
      </c>
      <c r="DH20" s="9">
        <f xml:space="preserve"> IF(CABLES[[#This Row],[SEG48]] &gt;0,INDEX(SEGMENTS[], MATCH(CABLES[[#Headers],[SEG48]],SEGMENTS[SEG_ID],0),4),0)</f>
        <v>0</v>
      </c>
      <c r="DI20" s="9">
        <f xml:space="preserve"> IF(CABLES[[#This Row],[SEG49]] &gt;0,INDEX(SEGMENTS[], MATCH(CABLES[[#Headers],[SEG49]],SEGMENTS[SEG_ID],0),4),0)</f>
        <v>0</v>
      </c>
      <c r="DJ20" s="9">
        <f xml:space="preserve"> IF(CABLES[[#This Row],[SEG50]] &gt;0,INDEX(SEGMENTS[], MATCH(CABLES[[#Headers],[SEG50]],SEGMENTS[SEG_ID],0),4),0)</f>
        <v>0</v>
      </c>
      <c r="DK20" s="9">
        <f xml:space="preserve"> IF(CABLES[[#This Row],[SEG51]] &gt;0,INDEX(SEGMENTS[], MATCH(CABLES[[#Headers],[SEG51]],SEGMENTS[SEG_ID],0),4),0)</f>
        <v>0</v>
      </c>
      <c r="DL20" s="9">
        <f xml:space="preserve"> IF(CABLES[[#This Row],[SEG52]] &gt;0,INDEX(SEGMENTS[], MATCH(CABLES[[#Headers],[SEG52]],SEGMENTS[SEG_ID],0),4),0)</f>
        <v>0</v>
      </c>
      <c r="DM20" s="9">
        <f xml:space="preserve"> IF(CABLES[[#This Row],[SEG53]] &gt;0,INDEX(SEGMENTS[], MATCH(CABLES[[#Headers],[SEG53]],SEGMENTS[SEG_ID],0),4),0)</f>
        <v>0</v>
      </c>
      <c r="DN20" s="9">
        <f xml:space="preserve"> IF(CABLES[[#This Row],[SEG54]] &gt;0,INDEX(SEGMENTS[], MATCH(CABLES[[#Headers],[SEG54]],SEGMENTS[SEG_ID],0),4),0)</f>
        <v>0</v>
      </c>
      <c r="DO20" s="9">
        <f xml:space="preserve"> IF(CABLES[[#This Row],[SEG55]] &gt;0,INDEX(SEGMENTS[], MATCH(CABLES[[#Headers],[SEG55]],SEGMENTS[SEG_ID],0),4),0)</f>
        <v>0</v>
      </c>
      <c r="DP20" s="9">
        <f xml:space="preserve"> IF(CABLES[[#This Row],[SEG56]] &gt;0,INDEX(SEGMENTS[], MATCH(CABLES[[#Headers],[SEG56]],SEGMENTS[SEG_ID],0),4),0)</f>
        <v>0</v>
      </c>
      <c r="DQ20" s="9">
        <f xml:space="preserve"> IF(CABLES[[#This Row],[SEG57]] &gt;0,INDEX(SEGMENTS[], MATCH(CABLES[[#Headers],[SEG57]],SEGMENTS[SEG_ID],0),4),0)</f>
        <v>0</v>
      </c>
      <c r="DR20" s="9">
        <f xml:space="preserve"> IF(CABLES[[#This Row],[SEG58]] &gt;0,INDEX(SEGMENTS[], MATCH(CABLES[[#Headers],[SEG58]],SEGMENTS[SEG_ID],0),4),0)</f>
        <v>0</v>
      </c>
      <c r="DS20" s="9">
        <f xml:space="preserve"> IF(CABLES[[#This Row],[SEG59]] &gt;0,INDEX(SEGMENTS[], MATCH(CABLES[[#Headers],[SEG59]],SEGMENTS[SEG_ID],0),4),0)</f>
        <v>0</v>
      </c>
      <c r="DT20" s="9">
        <f xml:space="preserve"> IF(CABLES[[#This Row],[SEG60]] &gt;0,INDEX(SEGMENTS[], MATCH(CABLES[[#Headers],[SEG60]],SEGMENTS[SEG_ID],0),4),0)</f>
        <v>0</v>
      </c>
      <c r="DU20" s="10">
        <f>SUM(CABLES[[#This Row],[SEGL1]:[SEGL60]])</f>
        <v>35</v>
      </c>
      <c r="DV20" s="10">
        <v>5</v>
      </c>
      <c r="DW20" s="10">
        <v>1.2</v>
      </c>
      <c r="DX20" s="10">
        <f xml:space="preserve"> IF(CABLES[[#This Row],[SEGL_TOTAL]]&gt;0, (CABLES[[#This Row],[SEGL_TOTAL]] + CABLES[[#This Row],[FITOFF]]) *CABLES[[#This Row],[XCAPACITY]],0)</f>
        <v>48</v>
      </c>
      <c r="DY20" s="10">
        <f>IF(CABLES[[#This Row],[SEG1]]&gt;0,CABLES[[#This Row],[CABLE_DIAMETER]],0)</f>
        <v>12</v>
      </c>
      <c r="DZ20" s="10">
        <f>IF(CABLES[[#This Row],[SEG2]]&gt;0,CABLES[[#This Row],[CABLE_DIAMETER]],0)</f>
        <v>12</v>
      </c>
      <c r="EA20" s="10">
        <f>IF(CABLES[[#This Row],[SEG3]]&gt;0,CABLES[[#This Row],[CABLE_DIAMETER]],0)</f>
        <v>0</v>
      </c>
      <c r="EB20" s="10">
        <f>IF(CABLES[[#This Row],[SEG4]]&gt;0,CABLES[[#This Row],[CABLE_DIAMETER]],0)</f>
        <v>0</v>
      </c>
      <c r="EC20" s="10">
        <f>IF(CABLES[[#This Row],[SEG5]]&gt;0,CABLES[[#This Row],[CABLE_DIAMETER]],0)</f>
        <v>0</v>
      </c>
      <c r="ED20" s="10">
        <f>IF(CABLES[[#This Row],[SEG6]]&gt;0,CABLES[[#This Row],[CABLE_DIAMETER]],0)</f>
        <v>0</v>
      </c>
      <c r="EE20" s="10">
        <f>IF(CABLES[[#This Row],[SEG7]]&gt;0,CABLES[[#This Row],[CABLE_DIAMETER]],0)</f>
        <v>0</v>
      </c>
      <c r="EF20" s="10">
        <f>IF(CABLES[[#This Row],[SEG9]]&gt;0,CABLES[[#This Row],[CABLE_DIAMETER]],0)</f>
        <v>0</v>
      </c>
      <c r="EG20" s="10">
        <f>IF(CABLES[[#This Row],[SEG9]]&gt;0,CABLES[[#This Row],[CABLE_DIAMETER]],0)</f>
        <v>0</v>
      </c>
      <c r="EH20" s="10">
        <f>IF(CABLES[[#This Row],[SEG10]]&gt;0,CABLES[[#This Row],[CABLE_DIAMETER]],0)</f>
        <v>0</v>
      </c>
      <c r="EI20" s="10">
        <f>IF(CABLES[[#This Row],[SEG11]]&gt;0,CABLES[[#This Row],[CABLE_DIAMETER]],0)</f>
        <v>0</v>
      </c>
      <c r="EJ20" s="10">
        <f>IF(CABLES[[#This Row],[SEG12]]&gt;0,CABLES[[#This Row],[CABLE_DIAMETER]],0)</f>
        <v>0</v>
      </c>
      <c r="EK20" s="10">
        <f>IF(CABLES[[#This Row],[SEG13]]&gt;0,CABLES[[#This Row],[CABLE_DIAMETER]],0)</f>
        <v>0</v>
      </c>
      <c r="EL20" s="10">
        <f>IF(CABLES[[#This Row],[SEG14]]&gt;0,CABLES[[#This Row],[CABLE_DIAMETER]],0)</f>
        <v>0</v>
      </c>
      <c r="EM20" s="10">
        <f>IF(CABLES[[#This Row],[SEG15]]&gt;0,CABLES[[#This Row],[CABLE_DIAMETER]],0)</f>
        <v>0</v>
      </c>
      <c r="EN20" s="10">
        <f>IF(CABLES[[#This Row],[SEG16]]&gt;0,CABLES[[#This Row],[CABLE_DIAMETER]],0)</f>
        <v>0</v>
      </c>
      <c r="EO20" s="10">
        <f>IF(CABLES[[#This Row],[SEG17]]&gt;0,CABLES[[#This Row],[CABLE_DIAMETER]],0)</f>
        <v>0</v>
      </c>
      <c r="EP20" s="10">
        <f>IF(CABLES[[#This Row],[SEG18]]&gt;0,CABLES[[#This Row],[CABLE_DIAMETER]],0)</f>
        <v>0</v>
      </c>
      <c r="EQ20" s="10">
        <f>IF(CABLES[[#This Row],[SEG19]]&gt;0,CABLES[[#This Row],[CABLE_DIAMETER]],0)</f>
        <v>0</v>
      </c>
      <c r="ER20" s="10">
        <f>IF(CABLES[[#This Row],[SEG20]]&gt;0,CABLES[[#This Row],[CABLE_DIAMETER]],0)</f>
        <v>0</v>
      </c>
      <c r="ES20" s="10">
        <f>IF(CABLES[[#This Row],[SEG21]]&gt;0,CABLES[[#This Row],[CABLE_DIAMETER]],0)</f>
        <v>12</v>
      </c>
      <c r="ET20" s="10">
        <f>IF(CABLES[[#This Row],[SEG22]]&gt;0,CABLES[[#This Row],[CABLE_DIAMETER]],0)</f>
        <v>12</v>
      </c>
      <c r="EU20" s="10">
        <f>IF(CABLES[[#This Row],[SEG23]]&gt;0,CABLES[[#This Row],[CABLE_DIAMETER]],0)</f>
        <v>0</v>
      </c>
      <c r="EV20" s="10">
        <f>IF(CABLES[[#This Row],[SEG24]]&gt;0,CABLES[[#This Row],[CABLE_DIAMETER]],0)</f>
        <v>0</v>
      </c>
      <c r="EW20" s="10">
        <f>IF(CABLES[[#This Row],[SEG25]]&gt;0,CABLES[[#This Row],[CABLE_DIAMETER]],0)</f>
        <v>0</v>
      </c>
      <c r="EX20" s="10">
        <f>IF(CABLES[[#This Row],[SEG26]]&gt;0,CABLES[[#This Row],[CABLE_DIAMETER]],0)</f>
        <v>0</v>
      </c>
      <c r="EY20" s="10">
        <f>IF(CABLES[[#This Row],[SEG27]]&gt;0,CABLES[[#This Row],[CABLE_DIAMETER]],0)</f>
        <v>0</v>
      </c>
      <c r="EZ20" s="10">
        <f>IF(CABLES[[#This Row],[SEG28]]&gt;0,CABLES[[#This Row],[CABLE_DIAMETER]],0)</f>
        <v>0</v>
      </c>
      <c r="FA20" s="10">
        <f>IF(CABLES[[#This Row],[SEG29]]&gt;0,CABLES[[#This Row],[CABLE_DIAMETER]],0)</f>
        <v>0</v>
      </c>
      <c r="FB20" s="10">
        <f>IF(CABLES[[#This Row],[SEG30]]&gt;0,CABLES[[#This Row],[CABLE_DIAMETER]],0)</f>
        <v>0</v>
      </c>
      <c r="FC20" s="10">
        <f>IF(CABLES[[#This Row],[SEG31]]&gt;0,CABLES[[#This Row],[CABLE_DIAMETER]],0)</f>
        <v>0</v>
      </c>
      <c r="FD20" s="10">
        <f>IF(CABLES[[#This Row],[SEG32]]&gt;0,CABLES[[#This Row],[CABLE_DIAMETER]],0)</f>
        <v>0</v>
      </c>
      <c r="FE20" s="10">
        <f>IF(CABLES[[#This Row],[SEG33]]&gt;0,CABLES[[#This Row],[CABLE_DIAMETER]],0)</f>
        <v>0</v>
      </c>
      <c r="FF20" s="10">
        <f>IF(CABLES[[#This Row],[SEG34]]&gt;0,CABLES[[#This Row],[CABLE_DIAMETER]],0)</f>
        <v>0</v>
      </c>
      <c r="FG20" s="10">
        <f>IF(CABLES[[#This Row],[SEG35]]&gt;0,CABLES[[#This Row],[CABLE_DIAMETER]],0)</f>
        <v>0</v>
      </c>
      <c r="FH20" s="10">
        <f>IF(CABLES[[#This Row],[SEG36]]&gt;0,CABLES[[#This Row],[CABLE_DIAMETER]],0)</f>
        <v>0</v>
      </c>
      <c r="FI20" s="10">
        <f>IF(CABLES[[#This Row],[SEG37]]&gt;0,CABLES[[#This Row],[CABLE_DIAMETER]],0)</f>
        <v>0</v>
      </c>
      <c r="FJ20" s="10">
        <f>IF(CABLES[[#This Row],[SEG38]]&gt;0,CABLES[[#This Row],[CABLE_DIAMETER]],0)</f>
        <v>0</v>
      </c>
      <c r="FK20" s="10">
        <f>IF(CABLES[[#This Row],[SEG39]]&gt;0,CABLES[[#This Row],[CABLE_DIAMETER]],0)</f>
        <v>0</v>
      </c>
      <c r="FL20" s="10">
        <f>IF(CABLES[[#This Row],[SEG40]]&gt;0,CABLES[[#This Row],[CABLE_DIAMETER]],0)</f>
        <v>0</v>
      </c>
      <c r="FM20" s="10">
        <f>IF(CABLES[[#This Row],[SEG41]]&gt;0,CABLES[[#This Row],[CABLE_DIAMETER]],0)</f>
        <v>0</v>
      </c>
      <c r="FN20" s="10">
        <f>IF(CABLES[[#This Row],[SEG42]]&gt;0,CABLES[[#This Row],[CABLE_DIAMETER]],0)</f>
        <v>0</v>
      </c>
      <c r="FO20" s="10">
        <f>IF(CABLES[[#This Row],[SEG43]]&gt;0,CABLES[[#This Row],[CABLE_DIAMETER]],0)</f>
        <v>0</v>
      </c>
      <c r="FP20" s="10">
        <f>IF(CABLES[[#This Row],[SEG44]]&gt;0,CABLES[[#This Row],[CABLE_DIAMETER]],0)</f>
        <v>0</v>
      </c>
      <c r="FQ20" s="10">
        <f>IF(CABLES[[#This Row],[SEG45]]&gt;0,CABLES[[#This Row],[CABLE_DIAMETER]],0)</f>
        <v>0</v>
      </c>
      <c r="FR20" s="10">
        <f>IF(CABLES[[#This Row],[SEG46]]&gt;0,CABLES[[#This Row],[CABLE_DIAMETER]],0)</f>
        <v>0</v>
      </c>
      <c r="FS20" s="10">
        <f>IF(CABLES[[#This Row],[SEG47]]&gt;0,CABLES[[#This Row],[CABLE_DIAMETER]],0)</f>
        <v>0</v>
      </c>
      <c r="FT20" s="10">
        <f>IF(CABLES[[#This Row],[SEG48]]&gt;0,CABLES[[#This Row],[CABLE_DIAMETER]],0)</f>
        <v>0</v>
      </c>
      <c r="FU20" s="10">
        <f>IF(CABLES[[#This Row],[SEG49]]&gt;0,CABLES[[#This Row],[CABLE_DIAMETER]],0)</f>
        <v>0</v>
      </c>
      <c r="FV20" s="10">
        <f>IF(CABLES[[#This Row],[SEG50]]&gt;0,CABLES[[#This Row],[CABLE_DIAMETER]],0)</f>
        <v>0</v>
      </c>
      <c r="FW20" s="10">
        <f>IF(CABLES[[#This Row],[SEG51]]&gt;0,CABLES[[#This Row],[CABLE_DIAMETER]],0)</f>
        <v>0</v>
      </c>
      <c r="FX20" s="10">
        <f>IF(CABLES[[#This Row],[SEG52]]&gt;0,CABLES[[#This Row],[CABLE_DIAMETER]],0)</f>
        <v>0</v>
      </c>
      <c r="FY20" s="10">
        <f>IF(CABLES[[#This Row],[SEG53]]&gt;0,CABLES[[#This Row],[CABLE_DIAMETER]],0)</f>
        <v>0</v>
      </c>
      <c r="FZ20" s="10">
        <f>IF(CABLES[[#This Row],[SEG54]]&gt;0,CABLES[[#This Row],[CABLE_DIAMETER]],0)</f>
        <v>0</v>
      </c>
      <c r="GA20" s="10">
        <f>IF(CABLES[[#This Row],[SEG55]]&gt;0,CABLES[[#This Row],[CABLE_DIAMETER]],0)</f>
        <v>0</v>
      </c>
      <c r="GB20" s="10">
        <f>IF(CABLES[[#This Row],[SEG56]]&gt;0,CABLES[[#This Row],[CABLE_DIAMETER]],0)</f>
        <v>0</v>
      </c>
      <c r="GC20" s="10">
        <f>IF(CABLES[[#This Row],[SEG57]]&gt;0,CABLES[[#This Row],[CABLE_DIAMETER]],0)</f>
        <v>0</v>
      </c>
      <c r="GD20" s="10">
        <f>IF(CABLES[[#This Row],[SEG58]]&gt;0,CABLES[[#This Row],[CABLE_DIAMETER]],0)</f>
        <v>0</v>
      </c>
      <c r="GE20" s="10">
        <f>IF(CABLES[[#This Row],[SEG59]]&gt;0,CABLES[[#This Row],[CABLE_DIAMETER]],0)</f>
        <v>0</v>
      </c>
      <c r="GF20" s="10">
        <f>IF(CABLES[[#This Row],[SEG60]]&gt;0,CABLES[[#This Row],[CABLE_DIAMETER]],0)</f>
        <v>0</v>
      </c>
      <c r="GG20" s="10">
        <f>IF(CABLES[[#This Row],[SEG1]]&gt;0,CABLES[[#This Row],[CABLE_MASS]],0)</f>
        <v>0.21</v>
      </c>
      <c r="GH20" s="10">
        <f>IF(CABLES[[#This Row],[SEG2]]&gt;0,CABLES[[#This Row],[CABLE_MASS]],0)</f>
        <v>0.21</v>
      </c>
      <c r="GI20" s="10">
        <f>IF(CABLES[[#This Row],[SEG3]]&gt;0,CABLES[[#This Row],[CABLE_MASS]],0)</f>
        <v>0</v>
      </c>
      <c r="GJ20" s="10">
        <f>IF(CABLES[[#This Row],[SEG4]]&gt;0,CABLES[[#This Row],[CABLE_MASS]],0)</f>
        <v>0</v>
      </c>
      <c r="GK20" s="10">
        <f>IF(CABLES[[#This Row],[SEG5]]&gt;0,CABLES[[#This Row],[CABLE_MASS]],0)</f>
        <v>0</v>
      </c>
      <c r="GL20" s="10">
        <f>IF(CABLES[[#This Row],[SEG6]]&gt;0,CABLES[[#This Row],[CABLE_MASS]],0)</f>
        <v>0</v>
      </c>
      <c r="GM20" s="10">
        <f>IF(CABLES[[#This Row],[SEG7]]&gt;0,CABLES[[#This Row],[CABLE_MASS]],0)</f>
        <v>0</v>
      </c>
      <c r="GN20" s="10">
        <f>IF(CABLES[[#This Row],[SEG8]]&gt;0,CABLES[[#This Row],[CABLE_MASS]],0)</f>
        <v>0</v>
      </c>
      <c r="GO20" s="10">
        <f>IF(CABLES[[#This Row],[SEG9]]&gt;0,CABLES[[#This Row],[CABLE_MASS]],0)</f>
        <v>0</v>
      </c>
      <c r="GP20" s="10">
        <f>IF(CABLES[[#This Row],[SEG10]]&gt;0,CABLES[[#This Row],[CABLE_MASS]],0)</f>
        <v>0</v>
      </c>
      <c r="GQ20" s="10">
        <f>IF(CABLES[[#This Row],[SEG11]]&gt;0,CABLES[[#This Row],[CABLE_MASS]],0)</f>
        <v>0</v>
      </c>
      <c r="GR20" s="10">
        <f>IF(CABLES[[#This Row],[SEG12]]&gt;0,CABLES[[#This Row],[CABLE_MASS]],0)</f>
        <v>0</v>
      </c>
      <c r="GS20" s="10">
        <f>IF(CABLES[[#This Row],[SEG13]]&gt;0,CABLES[[#This Row],[CABLE_MASS]],0)</f>
        <v>0</v>
      </c>
      <c r="GT20" s="10">
        <f>IF(CABLES[[#This Row],[SEG14]]&gt;0,CABLES[[#This Row],[CABLE_MASS]],0)</f>
        <v>0</v>
      </c>
      <c r="GU20" s="10">
        <f>IF(CABLES[[#This Row],[SEG15]]&gt;0,CABLES[[#This Row],[CABLE_MASS]],0)</f>
        <v>0</v>
      </c>
      <c r="GV20" s="10">
        <f>IF(CABLES[[#This Row],[SEG16]]&gt;0,CABLES[[#This Row],[CABLE_MASS]],0)</f>
        <v>0</v>
      </c>
      <c r="GW20" s="10">
        <f>IF(CABLES[[#This Row],[SEG17]]&gt;0,CABLES[[#This Row],[CABLE_MASS]],0)</f>
        <v>0</v>
      </c>
      <c r="GX20" s="10">
        <f>IF(CABLES[[#This Row],[SEG18]]&gt;0,CABLES[[#This Row],[CABLE_MASS]],0)</f>
        <v>0</v>
      </c>
      <c r="GY20" s="10">
        <f>IF(CABLES[[#This Row],[SEG19]]&gt;0,CABLES[[#This Row],[CABLE_MASS]],0)</f>
        <v>0</v>
      </c>
      <c r="GZ20" s="10">
        <f>IF(CABLES[[#This Row],[SEG20]]&gt;0,CABLES[[#This Row],[CABLE_MASS]],0)</f>
        <v>0</v>
      </c>
      <c r="HA20" s="10">
        <f>IF(CABLES[[#This Row],[SEG21]]&gt;0,CABLES[[#This Row],[CABLE_MASS]],0)</f>
        <v>0.21</v>
      </c>
      <c r="HB20" s="10">
        <f>IF(CABLES[[#This Row],[SEG22]]&gt;0,CABLES[[#This Row],[CABLE_MASS]],0)</f>
        <v>0.21</v>
      </c>
      <c r="HC20" s="10">
        <f>IF(CABLES[[#This Row],[SEG23]]&gt;0,CABLES[[#This Row],[CABLE_MASS]],0)</f>
        <v>0</v>
      </c>
      <c r="HD20" s="10">
        <f>IF(CABLES[[#This Row],[SEG24]]&gt;0,CABLES[[#This Row],[CABLE_MASS]],0)</f>
        <v>0</v>
      </c>
      <c r="HE20" s="10">
        <f>IF(CABLES[[#This Row],[SEG25]]&gt;0,CABLES[[#This Row],[CABLE_MASS]],0)</f>
        <v>0</v>
      </c>
      <c r="HF20" s="10">
        <f>IF(CABLES[[#This Row],[SEG26]]&gt;0,CABLES[[#This Row],[CABLE_MASS]],0)</f>
        <v>0</v>
      </c>
      <c r="HG20" s="10">
        <f>IF(CABLES[[#This Row],[SEG27]]&gt;0,CABLES[[#This Row],[CABLE_MASS]],0)</f>
        <v>0</v>
      </c>
      <c r="HH20" s="10">
        <f>IF(CABLES[[#This Row],[SEG28]]&gt;0,CABLES[[#This Row],[CABLE_MASS]],0)</f>
        <v>0</v>
      </c>
      <c r="HI20" s="10">
        <f>IF(CABLES[[#This Row],[SEG29]]&gt;0,CABLES[[#This Row],[CABLE_MASS]],0)</f>
        <v>0</v>
      </c>
      <c r="HJ20" s="10">
        <f>IF(CABLES[[#This Row],[SEG30]]&gt;0,CABLES[[#This Row],[CABLE_MASS]],0)</f>
        <v>0</v>
      </c>
      <c r="HK20" s="10">
        <f>IF(CABLES[[#This Row],[SEG31]]&gt;0,CABLES[[#This Row],[CABLE_MASS]],0)</f>
        <v>0</v>
      </c>
      <c r="HL20" s="10">
        <f>IF(CABLES[[#This Row],[SEG32]]&gt;0,CABLES[[#This Row],[CABLE_MASS]],0)</f>
        <v>0</v>
      </c>
      <c r="HM20" s="10">
        <f>IF(CABLES[[#This Row],[SEG33]]&gt;0,CABLES[[#This Row],[CABLE_MASS]],0)</f>
        <v>0</v>
      </c>
      <c r="HN20" s="10">
        <f>IF(CABLES[[#This Row],[SEG34]]&gt;0,CABLES[[#This Row],[CABLE_MASS]],0)</f>
        <v>0</v>
      </c>
      <c r="HO20" s="10">
        <f>IF(CABLES[[#This Row],[SEG35]]&gt;0,CABLES[[#This Row],[CABLE_MASS]],0)</f>
        <v>0</v>
      </c>
      <c r="HP20" s="10">
        <f>IF(CABLES[[#This Row],[SEG36]]&gt;0,CABLES[[#This Row],[CABLE_MASS]],0)</f>
        <v>0</v>
      </c>
      <c r="HQ20" s="10">
        <f>IF(CABLES[[#This Row],[SEG37]]&gt;0,CABLES[[#This Row],[CABLE_MASS]],0)</f>
        <v>0</v>
      </c>
      <c r="HR20" s="10">
        <f>IF(CABLES[[#This Row],[SEG38]]&gt;0,CABLES[[#This Row],[CABLE_MASS]],0)</f>
        <v>0</v>
      </c>
      <c r="HS20" s="10">
        <f>IF(CABLES[[#This Row],[SEG39]]&gt;0,CABLES[[#This Row],[CABLE_MASS]],0)</f>
        <v>0</v>
      </c>
      <c r="HT20" s="10">
        <f>IF(CABLES[[#This Row],[SEG40]]&gt;0,CABLES[[#This Row],[CABLE_MASS]],0)</f>
        <v>0</v>
      </c>
      <c r="HU20" s="10">
        <f>IF(CABLES[[#This Row],[SEG41]]&gt;0,CABLES[[#This Row],[CABLE_MASS]],0)</f>
        <v>0</v>
      </c>
      <c r="HV20" s="10">
        <f>IF(CABLES[[#This Row],[SEG42]]&gt;0,CABLES[[#This Row],[CABLE_MASS]],0)</f>
        <v>0</v>
      </c>
      <c r="HW20" s="10">
        <f>IF(CABLES[[#This Row],[SEG43]]&gt;0,CABLES[[#This Row],[CABLE_MASS]],0)</f>
        <v>0</v>
      </c>
      <c r="HX20" s="10">
        <f>IF(CABLES[[#This Row],[SEG44]]&gt;0,CABLES[[#This Row],[CABLE_MASS]],0)</f>
        <v>0</v>
      </c>
      <c r="HY20" s="10">
        <f>IF(CABLES[[#This Row],[SEG45]]&gt;0,CABLES[[#This Row],[CABLE_MASS]],0)</f>
        <v>0</v>
      </c>
      <c r="HZ20" s="10">
        <f>IF(CABLES[[#This Row],[SEG46]]&gt;0,CABLES[[#This Row],[CABLE_MASS]],0)</f>
        <v>0</v>
      </c>
      <c r="IA20" s="10">
        <f>IF(CABLES[[#This Row],[SEG47]]&gt;0,CABLES[[#This Row],[CABLE_MASS]],0)</f>
        <v>0</v>
      </c>
      <c r="IB20" s="10">
        <f>IF(CABLES[[#This Row],[SEG48]]&gt;0,CABLES[[#This Row],[CABLE_MASS]],0)</f>
        <v>0</v>
      </c>
      <c r="IC20" s="10">
        <f>IF(CABLES[[#This Row],[SEG49]]&gt;0,CABLES[[#This Row],[CABLE_MASS]],0)</f>
        <v>0</v>
      </c>
      <c r="ID20" s="10">
        <f>IF(CABLES[[#This Row],[SEG50]]&gt;0,CABLES[[#This Row],[CABLE_MASS]],0)</f>
        <v>0</v>
      </c>
      <c r="IE20" s="10">
        <f>IF(CABLES[[#This Row],[SEG51]]&gt;0,CABLES[[#This Row],[CABLE_MASS]],0)</f>
        <v>0</v>
      </c>
      <c r="IF20" s="10">
        <f>IF(CABLES[[#This Row],[SEG52]]&gt;0,CABLES[[#This Row],[CABLE_MASS]],0)</f>
        <v>0</v>
      </c>
      <c r="IG20" s="10">
        <f>IF(CABLES[[#This Row],[SEG53]]&gt;0,CABLES[[#This Row],[CABLE_MASS]],0)</f>
        <v>0</v>
      </c>
      <c r="IH20" s="10">
        <f>IF(CABLES[[#This Row],[SEG54]]&gt;0,CABLES[[#This Row],[CABLE_MASS]],0)</f>
        <v>0</v>
      </c>
      <c r="II20" s="10">
        <f>IF(CABLES[[#This Row],[SEG55]]&gt;0,CABLES[[#This Row],[CABLE_MASS]],0)</f>
        <v>0</v>
      </c>
      <c r="IJ20" s="10">
        <f>IF(CABLES[[#This Row],[SEG56]]&gt;0,CABLES[[#This Row],[CABLE_MASS]],0)</f>
        <v>0</v>
      </c>
      <c r="IK20" s="10">
        <f>IF(CABLES[[#This Row],[SEG57]]&gt;0,CABLES[[#This Row],[CABLE_MASS]],0)</f>
        <v>0</v>
      </c>
      <c r="IL20" s="10">
        <f>IF(CABLES[[#This Row],[SEG58]]&gt;0,CABLES[[#This Row],[CABLE_MASS]],0)</f>
        <v>0</v>
      </c>
      <c r="IM20" s="10">
        <f>IF(CABLES[[#This Row],[SEG59]]&gt;0,CABLES[[#This Row],[CABLE_MASS]],0)</f>
        <v>0</v>
      </c>
      <c r="IN20" s="10">
        <f>IF(CABLES[[#This Row],[SEG60]]&gt;0,CABLES[[#This Row],[CABLE_MASS]],0)</f>
        <v>0</v>
      </c>
      <c r="IO20" s="10">
        <f xml:space="preserve">  (CABLES[[#This Row],[LOAD_KW]]/(SQRT(3)*SYSTEM_VOLTAGE*POWER_FACTOR))*1000</f>
        <v>17.641258225238563</v>
      </c>
      <c r="IP20" s="10">
        <v>45</v>
      </c>
      <c r="IQ20" s="10">
        <f xml:space="preserve"> INDEX(AS3000_AMBIENTDERATE[], MATCH(CABLES[[#This Row],[AMBIENT]],AS3000_AMBIENTDERATE[AMBIENT],0), 2)</f>
        <v>0.94</v>
      </c>
      <c r="IR20" s="10">
        <f xml:space="preserve"> ROUNDUP( CABLES[[#This Row],[CALCULATED_AMPS]]/CABLES[[#This Row],[AMBIENT_DERATING]],1)</f>
        <v>18.8</v>
      </c>
      <c r="IS20" s="10" t="s">
        <v>531</v>
      </c>
      <c r="IT2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20" s="10">
        <f t="shared" si="0"/>
        <v>28.000000000000004</v>
      </c>
      <c r="IV20" s="10">
        <f>(1000*CABLES[[#This Row],[MAX_VDROP]])/(CABLES[[#This Row],[ESTIMATED_CABLE_LENGTH]]*CABLES[[#This Row],[AMP_RATING]])</f>
        <v>31.028368794326241</v>
      </c>
      <c r="IW20" s="10">
        <f xml:space="preserve"> INDEX(AS3000_VDROP[], MATCH(CABLES[[#This Row],[VC_CALC]],AS3000_VDROP[Vc],1),1)</f>
        <v>2.5</v>
      </c>
      <c r="IX20" s="10">
        <f>MAX(CABLES[[#This Row],[CABLESIZE_METHOD1]],CABLES[[#This Row],[CABLESIZE_METHOD2]])</f>
        <v>2.5</v>
      </c>
      <c r="IY20" s="10"/>
      <c r="IZ20" s="10">
        <f>IF(LEN(CABLES[[#This Row],[OVERRIDE_CABLESIZE]])&gt;0,CABLES[[#This Row],[OVERRIDE_CABLESIZE]],CABLES[[#This Row],[INITIAL_CABLESIZE]])</f>
        <v>2.5</v>
      </c>
      <c r="JA20" s="10">
        <f>INDEX(PROTECTIVE_DEVICE[DEVICE], MATCH(CABLES[[#This Row],[CALCULATED_AMPS]],PROTECTIVE_DEVICE[DEVICE],-1),1)</f>
        <v>20</v>
      </c>
      <c r="JB20" s="10"/>
      <c r="JC20" s="10">
        <f>IF(LEN(CABLES[[#This Row],[OVERRIDE_PDEVICE]])&gt;0, CABLES[[#This Row],[OVERRIDE_PDEVICE]],CABLES[[#This Row],[RECOMMEND_PDEVICE]])</f>
        <v>20</v>
      </c>
      <c r="JD20" s="10" t="s">
        <v>450</v>
      </c>
      <c r="JE20" s="10">
        <f xml:space="preserve"> CABLES[[#This Row],[SELECTED_PDEVICE]] * INDEX(DEVICE_CURVE[], MATCH(CABLES[[#This Row],[PDEVICE_CURVE]], DEVICE_CURVE[DEVICE_CURVE],0),2)</f>
        <v>130</v>
      </c>
      <c r="JF20" s="10" t="s">
        <v>458</v>
      </c>
      <c r="JG20" s="10">
        <f xml:space="preserve"> INDEX(CONDUCTOR_MATERIAL[], MATCH(CABLES[[#This Row],[CONDUCTOR_MATERIAL]],CONDUCTOR_MATERIAL[CONDUCTOR_MATERIAL],0),2)</f>
        <v>2.2499999999999999E-2</v>
      </c>
      <c r="JH20" s="10">
        <f>CABLES[[#This Row],[SELECTED_CABLESIZE]]</f>
        <v>2.5</v>
      </c>
      <c r="JI20" s="10">
        <f xml:space="preserve"> INDEX( EARTH_CONDUCTOR_SIZE[], MATCH(CABLES[[#This Row],[SPH]],EARTH_CONDUCTOR_SIZE[MM^2],-1), 2)</f>
        <v>2.5</v>
      </c>
      <c r="JJ20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20" s="10" t="str">
        <f>IF(CABLES[[#This Row],[LMAX]]&gt;CABLES[[#This Row],[ESTIMATED_CABLE_LENGTH]], "PASS", "ERROR")</f>
        <v>PASS</v>
      </c>
      <c r="JL2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2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20" s="6">
        <f xml:space="preserve"> ROUNDUP( CABLES[[#This Row],[CALCULATED_AMPS]],1)</f>
        <v>17.700000000000003</v>
      </c>
      <c r="JO20" s="6">
        <f>CABLES[[#This Row],[SELECTED_CABLESIZE]]</f>
        <v>2.5</v>
      </c>
      <c r="JP20" s="10">
        <f>CABLES[[#This Row],[ESTIMATED_CABLE_LENGTH]]</f>
        <v>48</v>
      </c>
      <c r="JQ20" s="6">
        <f>CABLES[[#This Row],[SELECTED_PDEVICE]]</f>
        <v>20</v>
      </c>
    </row>
    <row r="21" spans="1:277" x14ac:dyDescent="0.35">
      <c r="A21" s="5" t="s">
        <v>20</v>
      </c>
      <c r="B21" s="5" t="s">
        <v>490</v>
      </c>
      <c r="C21" s="10" t="s">
        <v>262</v>
      </c>
      <c r="D21" s="9">
        <v>2.2000000000000002</v>
      </c>
      <c r="E21" s="9">
        <v>1</v>
      </c>
      <c r="F21" s="9">
        <v>1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f xml:space="preserve"> IF(CABLES[[#This Row],[SEG1]] &gt;0, INDEX(SEGMENTS[], MATCH(CABLES[[#Headers],[SEG1]],SEGMENTS[SEG_ID],0),4),0)</f>
        <v>13</v>
      </c>
      <c r="BN21" s="9">
        <f xml:space="preserve"> IF(CABLES[[#This Row],[SEG2]] &gt;0, INDEX(SEGMENTS[], MATCH(CABLES[[#Headers],[SEG2]],SEGMENTS[SEG_ID],0),4),0)</f>
        <v>2</v>
      </c>
      <c r="BO21" s="9">
        <f xml:space="preserve"> IF(CABLES[[#This Row],[SEG3]] &gt;0, INDEX(SEGMENTS[], MATCH(CABLES[[#Headers],[SEG3]],SEGMENTS[SEG_ID],0),4),0)</f>
        <v>16</v>
      </c>
      <c r="BP21" s="9">
        <f xml:space="preserve"> IF(CABLES[[#This Row],[SEG4]] &gt;0, INDEX(SEGMENTS[], MATCH(CABLES[[#Headers],[SEG4]],SEGMENTS[SEG_ID],0),4),0)</f>
        <v>0</v>
      </c>
      <c r="BQ21" s="9">
        <f xml:space="preserve"> IF(CABLES[[#This Row],[SEG5]] &gt;0,INDEX(SEGMENTS[], MATCH(CABLES[[#Headers],[SEG5]],SEGMENTS[SEG_ID],0),4),0)</f>
        <v>0</v>
      </c>
      <c r="BR21" s="9">
        <f xml:space="preserve"> IF(CABLES[[#This Row],[SEG6]] &gt;0,INDEX(SEGMENTS[], MATCH(CABLES[[#Headers],[SEG6]],SEGMENTS[SEG_ID],0),4),0)</f>
        <v>0</v>
      </c>
      <c r="BS21" s="9">
        <f xml:space="preserve"> IF(CABLES[[#This Row],[SEG7]] &gt;0,INDEX(SEGMENTS[], MATCH(CABLES[[#Headers],[SEG7]],SEGMENTS[SEG_ID],0),4),0)</f>
        <v>0</v>
      </c>
      <c r="BT21" s="9">
        <f xml:space="preserve"> IF(CABLES[[#This Row],[SEG8]] &gt;0,INDEX(SEGMENTS[], MATCH(CABLES[[#Headers],[SEG8]],SEGMENTS[SEG_ID],0),4),0)</f>
        <v>0</v>
      </c>
      <c r="BU21" s="9">
        <f xml:space="preserve"> IF(CABLES[[#This Row],[SEG9]] &gt;0,INDEX(SEGMENTS[], MATCH(CABLES[[#Headers],[SEG9]],SEGMENTS[SEG_ID],0),4),0)</f>
        <v>0</v>
      </c>
      <c r="BV21" s="9">
        <f xml:space="preserve"> IF(CABLES[[#This Row],[SEG10]] &gt;0,INDEX(SEGMENTS[], MATCH(CABLES[[#Headers],[SEG10]],SEGMENTS[SEG_ID],0),4),0)</f>
        <v>0</v>
      </c>
      <c r="BW21" s="9">
        <f xml:space="preserve"> IF(CABLES[[#This Row],[SEG11]] &gt;0,INDEX(SEGMENTS[], MATCH(CABLES[[#Headers],[SEG11]],SEGMENTS[SEG_ID],0),4),0)</f>
        <v>0</v>
      </c>
      <c r="BX21" s="9">
        <f>IF(CABLES[[#This Row],[SEG12]] &gt;0, INDEX(SEGMENTS[], MATCH(CABLES[[#Headers],[SEG12]],SEGMENTS[SEG_ID],0),4),0)</f>
        <v>0</v>
      </c>
      <c r="BY21" s="9">
        <f xml:space="preserve"> IF(CABLES[[#This Row],[SEG13]] &gt;0,INDEX(SEGMENTS[], MATCH(CABLES[[#Headers],[SEG13]],SEGMENTS[SEG_ID],0),4),0)</f>
        <v>0</v>
      </c>
      <c r="BZ21" s="9">
        <f xml:space="preserve"> IF(CABLES[[#This Row],[SEG14]] &gt;0,INDEX(SEGMENTS[], MATCH(CABLES[[#Headers],[SEG14]],SEGMENTS[SEG_ID],0),4),0)</f>
        <v>0</v>
      </c>
      <c r="CA21" s="9">
        <f xml:space="preserve"> IF(CABLES[[#This Row],[SEG15]] &gt;0,INDEX(SEGMENTS[], MATCH(CABLES[[#Headers],[SEG15]],SEGMENTS[SEG_ID],0),4),0)</f>
        <v>0</v>
      </c>
      <c r="CB21" s="9">
        <f xml:space="preserve"> IF(CABLES[[#This Row],[SEG16]] &gt;0,INDEX(SEGMENTS[], MATCH(CABLES[[#Headers],[SEG16]],SEGMENTS[SEG_ID],0),4),0)</f>
        <v>0</v>
      </c>
      <c r="CC21" s="9">
        <f xml:space="preserve"> IF(CABLES[[#This Row],[SEG17]] &gt;0,INDEX(SEGMENTS[], MATCH(CABLES[[#Headers],[SEG17]],SEGMENTS[SEG_ID],0),4),0)</f>
        <v>0</v>
      </c>
      <c r="CD21" s="9">
        <f xml:space="preserve"> IF(CABLES[[#This Row],[SEG18]] &gt;0,INDEX(SEGMENTS[], MATCH(CABLES[[#Headers],[SEG18]],SEGMENTS[SEG_ID],0),4),0)</f>
        <v>0</v>
      </c>
      <c r="CE21" s="9">
        <f>IF(CABLES[[#This Row],[SEG19]] &gt;0, INDEX(SEGMENTS[], MATCH(CABLES[[#Headers],[SEG19]],SEGMENTS[SEG_ID],0),4),0)</f>
        <v>0</v>
      </c>
      <c r="CF21" s="9">
        <f>IF(CABLES[[#This Row],[SEG20]] &gt;0, INDEX(SEGMENTS[], MATCH(CABLES[[#Headers],[SEG20]],SEGMENTS[SEG_ID],0),4),0)</f>
        <v>0</v>
      </c>
      <c r="CG21" s="9">
        <f xml:space="preserve"> IF(CABLES[[#This Row],[SEG21]] &gt;0,INDEX(SEGMENTS[], MATCH(CABLES[[#Headers],[SEG21]],SEGMENTS[SEG_ID],0),4),0)</f>
        <v>0</v>
      </c>
      <c r="CH21" s="9">
        <f xml:space="preserve"> IF(CABLES[[#This Row],[SEG22]] &gt;0,INDEX(SEGMENTS[], MATCH(CABLES[[#Headers],[SEG22]],SEGMENTS[SEG_ID],0),4),0)</f>
        <v>0</v>
      </c>
      <c r="CI21" s="9">
        <f>IF(CABLES[[#This Row],[SEG23]] &gt;0, INDEX(SEGMENTS[], MATCH(CABLES[[#Headers],[SEG23]],SEGMENTS[SEG_ID],0),4),0)</f>
        <v>0</v>
      </c>
      <c r="CJ21" s="9">
        <f xml:space="preserve"> IF(CABLES[[#This Row],[SEG24]] &gt;0,INDEX(SEGMENTS[], MATCH(CABLES[[#Headers],[SEG24]],SEGMENTS[SEG_ID],0),4),0)</f>
        <v>0</v>
      </c>
      <c r="CK21" s="9">
        <f>IF(CABLES[[#This Row],[SEG25]] &gt;0, INDEX(SEGMENTS[], MATCH(CABLES[[#Headers],[SEG25]],SEGMENTS[SEG_ID],0),4),0)</f>
        <v>0</v>
      </c>
      <c r="CL21" s="9">
        <f>IF(CABLES[[#This Row],[SEG26]] &gt;0, INDEX(SEGMENTS[], MATCH(CABLES[[#Headers],[SEG26]],SEGMENTS[SEG_ID],0),4),0)</f>
        <v>0</v>
      </c>
      <c r="CM21" s="9">
        <f xml:space="preserve"> IF(CABLES[[#This Row],[SEG27]] &gt;0,INDEX(SEGMENTS[], MATCH(CABLES[[#Headers],[SEG27]],SEGMENTS[SEG_ID],0),4),0)</f>
        <v>0</v>
      </c>
      <c r="CN21" s="9">
        <f xml:space="preserve"> IF(CABLES[[#This Row],[SEG28]] &gt;0,INDEX(SEGMENTS[], MATCH(CABLES[[#Headers],[SEG28]],SEGMENTS[SEG_ID],0),4),0)</f>
        <v>0</v>
      </c>
      <c r="CO21" s="9">
        <f xml:space="preserve"> IF(CABLES[[#This Row],[SEG29]] &gt;0,INDEX(SEGMENTS[], MATCH(CABLES[[#Headers],[SEG29]],SEGMENTS[SEG_ID],0),4),0)</f>
        <v>0</v>
      </c>
      <c r="CP21" s="9">
        <f xml:space="preserve"> IF(CABLES[[#This Row],[SEG30]] &gt;0,INDEX(SEGMENTS[], MATCH(CABLES[[#Headers],[SEG30]],SEGMENTS[SEG_ID],0),4),0)</f>
        <v>0</v>
      </c>
      <c r="CQ21" s="9">
        <f>IF(CABLES[[#This Row],[SEG31]] &gt;0, INDEX(SEGMENTS[], MATCH(CABLES[[#Headers],[SEG31]],SEGMENTS[SEG_ID],0),4),0)</f>
        <v>0</v>
      </c>
      <c r="CR21" s="9">
        <f xml:space="preserve"> IF(CABLES[[#This Row],[SEG32]] &gt;0,INDEX(SEGMENTS[], MATCH(CABLES[[#Headers],[SEG32]],SEGMENTS[SEG_ID],0),4),0)</f>
        <v>0</v>
      </c>
      <c r="CS21" s="9">
        <f xml:space="preserve"> IF(CABLES[[#This Row],[SEG33]] &gt;0,INDEX(SEGMENTS[], MATCH(CABLES[[#Headers],[SEG33]],SEGMENTS[SEG_ID],0),4),0)</f>
        <v>0</v>
      </c>
      <c r="CT21" s="9">
        <f>IF(CABLES[[#This Row],[SEG34]] &gt;0, INDEX(SEGMENTS[], MATCH(CABLES[[#Headers],[SEG34]],SEGMENTS[SEG_ID],0),4),0)</f>
        <v>0</v>
      </c>
      <c r="CU21" s="9">
        <f xml:space="preserve"> IF(CABLES[[#This Row],[SEG35]] &gt;0,INDEX(SEGMENTS[], MATCH(CABLES[[#Headers],[SEG35]],SEGMENTS[SEG_ID],0),4),0)</f>
        <v>0</v>
      </c>
      <c r="CV21" s="9">
        <f xml:space="preserve"> IF(CABLES[[#This Row],[SEG36]] &gt;0,INDEX(SEGMENTS[], MATCH(CABLES[[#Headers],[SEG36]],SEGMENTS[SEG_ID],0),4),0)</f>
        <v>0</v>
      </c>
      <c r="CW21" s="9">
        <f xml:space="preserve"> IF(CABLES[[#This Row],[SEG37]] &gt;0,INDEX(SEGMENTS[], MATCH(CABLES[[#Headers],[SEG37]],SEGMENTS[SEG_ID],0),4),0)</f>
        <v>0</v>
      </c>
      <c r="CX21" s="9">
        <f xml:space="preserve"> IF(CABLES[[#This Row],[SEG38]] &gt;0,INDEX(SEGMENTS[], MATCH(CABLES[[#Headers],[SEG38]],SEGMENTS[SEG_ID],0),4),0)</f>
        <v>0</v>
      </c>
      <c r="CY21" s="9">
        <f xml:space="preserve"> IF(CABLES[[#This Row],[SEG39]] &gt;0,INDEX(SEGMENTS[], MATCH(CABLES[[#Headers],[SEG39]],SEGMENTS[SEG_ID],0),4),0)</f>
        <v>0</v>
      </c>
      <c r="CZ21" s="9">
        <f xml:space="preserve"> IF(CABLES[[#This Row],[SEG40]] &gt;0,INDEX(SEGMENTS[], MATCH(CABLES[[#Headers],[SEG40]],SEGMENTS[SEG_ID],0),4),0)</f>
        <v>0</v>
      </c>
      <c r="DA21" s="9">
        <f xml:space="preserve"> IF(CABLES[[#This Row],[SEG41]] &gt;0,INDEX(SEGMENTS[], MATCH(CABLES[[#Headers],[SEG41]],SEGMENTS[SEG_ID],0),4),0)</f>
        <v>0</v>
      </c>
      <c r="DB21" s="9">
        <f xml:space="preserve"> IF(CABLES[[#This Row],[SEG42]] &gt;0,INDEX(SEGMENTS[], MATCH(CABLES[[#Headers],[SEG42]],SEGMENTS[SEG_ID],0),4),0)</f>
        <v>0</v>
      </c>
      <c r="DC21" s="9">
        <f xml:space="preserve"> IF(CABLES[[#This Row],[SEG43]] &gt;0,INDEX(SEGMENTS[], MATCH(CABLES[[#Headers],[SEG43]],SEGMENTS[SEG_ID],0),4),0)</f>
        <v>0</v>
      </c>
      <c r="DD21" s="9">
        <f xml:space="preserve"> IF(CABLES[[#This Row],[SEG44]] &gt;0,INDEX(SEGMENTS[], MATCH(CABLES[[#Headers],[SEG44]],SEGMENTS[SEG_ID],0),4),0)</f>
        <v>0</v>
      </c>
      <c r="DE21" s="9">
        <f xml:space="preserve"> IF(CABLES[[#This Row],[SEG45]] &gt;0,INDEX(SEGMENTS[], MATCH(CABLES[[#Headers],[SEG45]],SEGMENTS[SEG_ID],0),4),0)</f>
        <v>0</v>
      </c>
      <c r="DF21" s="9">
        <f xml:space="preserve"> IF(CABLES[[#This Row],[SEG46]] &gt;0,INDEX(SEGMENTS[], MATCH(CABLES[[#Headers],[SEG46]],SEGMENTS[SEG_ID],0),4),0)</f>
        <v>0</v>
      </c>
      <c r="DG21" s="9">
        <f xml:space="preserve"> IF(CABLES[[#This Row],[SEG47]] &gt;0,INDEX(SEGMENTS[], MATCH(CABLES[[#Headers],[SEG47]],SEGMENTS[SEG_ID],0),4),0)</f>
        <v>0</v>
      </c>
      <c r="DH21" s="9">
        <f xml:space="preserve"> IF(CABLES[[#This Row],[SEG48]] &gt;0,INDEX(SEGMENTS[], MATCH(CABLES[[#Headers],[SEG48]],SEGMENTS[SEG_ID],0),4),0)</f>
        <v>0</v>
      </c>
      <c r="DI21" s="9">
        <f xml:space="preserve"> IF(CABLES[[#This Row],[SEG49]] &gt;0,INDEX(SEGMENTS[], MATCH(CABLES[[#Headers],[SEG49]],SEGMENTS[SEG_ID],0),4),0)</f>
        <v>0</v>
      </c>
      <c r="DJ21" s="9">
        <f xml:space="preserve"> IF(CABLES[[#This Row],[SEG50]] &gt;0,INDEX(SEGMENTS[], MATCH(CABLES[[#Headers],[SEG50]],SEGMENTS[SEG_ID],0),4),0)</f>
        <v>0</v>
      </c>
      <c r="DK21" s="9">
        <f xml:space="preserve"> IF(CABLES[[#This Row],[SEG51]] &gt;0,INDEX(SEGMENTS[], MATCH(CABLES[[#Headers],[SEG51]],SEGMENTS[SEG_ID],0),4),0)</f>
        <v>0</v>
      </c>
      <c r="DL21" s="9">
        <f xml:space="preserve"> IF(CABLES[[#This Row],[SEG52]] &gt;0,INDEX(SEGMENTS[], MATCH(CABLES[[#Headers],[SEG52]],SEGMENTS[SEG_ID],0),4),0)</f>
        <v>0</v>
      </c>
      <c r="DM21" s="9">
        <f xml:space="preserve"> IF(CABLES[[#This Row],[SEG53]] &gt;0,INDEX(SEGMENTS[], MATCH(CABLES[[#Headers],[SEG53]],SEGMENTS[SEG_ID],0),4),0)</f>
        <v>0</v>
      </c>
      <c r="DN21" s="9">
        <f xml:space="preserve"> IF(CABLES[[#This Row],[SEG54]] &gt;0,INDEX(SEGMENTS[], MATCH(CABLES[[#Headers],[SEG54]],SEGMENTS[SEG_ID],0),4),0)</f>
        <v>0</v>
      </c>
      <c r="DO21" s="9">
        <f xml:space="preserve"> IF(CABLES[[#This Row],[SEG55]] &gt;0,INDEX(SEGMENTS[], MATCH(CABLES[[#Headers],[SEG55]],SEGMENTS[SEG_ID],0),4),0)</f>
        <v>0</v>
      </c>
      <c r="DP21" s="9">
        <f xml:space="preserve"> IF(CABLES[[#This Row],[SEG56]] &gt;0,INDEX(SEGMENTS[], MATCH(CABLES[[#Headers],[SEG56]],SEGMENTS[SEG_ID],0),4),0)</f>
        <v>0</v>
      </c>
      <c r="DQ21" s="9">
        <f xml:space="preserve"> IF(CABLES[[#This Row],[SEG57]] &gt;0,INDEX(SEGMENTS[], MATCH(CABLES[[#Headers],[SEG57]],SEGMENTS[SEG_ID],0),4),0)</f>
        <v>0</v>
      </c>
      <c r="DR21" s="9">
        <f xml:space="preserve"> IF(CABLES[[#This Row],[SEG58]] &gt;0,INDEX(SEGMENTS[], MATCH(CABLES[[#Headers],[SEG58]],SEGMENTS[SEG_ID],0),4),0)</f>
        <v>0</v>
      </c>
      <c r="DS21" s="9">
        <f xml:space="preserve"> IF(CABLES[[#This Row],[SEG59]] &gt;0,INDEX(SEGMENTS[], MATCH(CABLES[[#Headers],[SEG59]],SEGMENTS[SEG_ID],0),4),0)</f>
        <v>0</v>
      </c>
      <c r="DT21" s="9">
        <f xml:space="preserve"> IF(CABLES[[#This Row],[SEG60]] &gt;0,INDEX(SEGMENTS[], MATCH(CABLES[[#Headers],[SEG60]],SEGMENTS[SEG_ID],0),4),0)</f>
        <v>0</v>
      </c>
      <c r="DU21" s="10">
        <f>SUM(CABLES[[#This Row],[SEGL1]:[SEGL60]])</f>
        <v>31</v>
      </c>
      <c r="DV21" s="10">
        <v>5</v>
      </c>
      <c r="DW21" s="10">
        <v>1.2</v>
      </c>
      <c r="DX21" s="10">
        <f xml:space="preserve"> IF(CABLES[[#This Row],[SEGL_TOTAL]]&gt;0, (CABLES[[#This Row],[SEGL_TOTAL]] + CABLES[[#This Row],[FITOFF]]) *CABLES[[#This Row],[XCAPACITY]],0)</f>
        <v>43.199999999999996</v>
      </c>
      <c r="DY21" s="10">
        <f>IF(CABLES[[#This Row],[SEG1]]&gt;0,CABLES[[#This Row],[CABLE_DIAMETER]],0)</f>
        <v>12</v>
      </c>
      <c r="DZ21" s="10">
        <f>IF(CABLES[[#This Row],[SEG2]]&gt;0,CABLES[[#This Row],[CABLE_DIAMETER]],0)</f>
        <v>12</v>
      </c>
      <c r="EA21" s="10">
        <f>IF(CABLES[[#This Row],[SEG3]]&gt;0,CABLES[[#This Row],[CABLE_DIAMETER]],0)</f>
        <v>12</v>
      </c>
      <c r="EB21" s="10">
        <f>IF(CABLES[[#This Row],[SEG4]]&gt;0,CABLES[[#This Row],[CABLE_DIAMETER]],0)</f>
        <v>0</v>
      </c>
      <c r="EC21" s="10">
        <f>IF(CABLES[[#This Row],[SEG5]]&gt;0,CABLES[[#This Row],[CABLE_DIAMETER]],0)</f>
        <v>0</v>
      </c>
      <c r="ED21" s="10">
        <f>IF(CABLES[[#This Row],[SEG6]]&gt;0,CABLES[[#This Row],[CABLE_DIAMETER]],0)</f>
        <v>0</v>
      </c>
      <c r="EE21" s="10">
        <f>IF(CABLES[[#This Row],[SEG7]]&gt;0,CABLES[[#This Row],[CABLE_DIAMETER]],0)</f>
        <v>0</v>
      </c>
      <c r="EF21" s="10">
        <f>IF(CABLES[[#This Row],[SEG9]]&gt;0,CABLES[[#This Row],[CABLE_DIAMETER]],0)</f>
        <v>0</v>
      </c>
      <c r="EG21" s="10">
        <f>IF(CABLES[[#This Row],[SEG9]]&gt;0,CABLES[[#This Row],[CABLE_DIAMETER]],0)</f>
        <v>0</v>
      </c>
      <c r="EH21" s="10">
        <f>IF(CABLES[[#This Row],[SEG10]]&gt;0,CABLES[[#This Row],[CABLE_DIAMETER]],0)</f>
        <v>0</v>
      </c>
      <c r="EI21" s="10">
        <f>IF(CABLES[[#This Row],[SEG11]]&gt;0,CABLES[[#This Row],[CABLE_DIAMETER]],0)</f>
        <v>0</v>
      </c>
      <c r="EJ21" s="10">
        <f>IF(CABLES[[#This Row],[SEG12]]&gt;0,CABLES[[#This Row],[CABLE_DIAMETER]],0)</f>
        <v>0</v>
      </c>
      <c r="EK21" s="10">
        <f>IF(CABLES[[#This Row],[SEG13]]&gt;0,CABLES[[#This Row],[CABLE_DIAMETER]],0)</f>
        <v>0</v>
      </c>
      <c r="EL21" s="10">
        <f>IF(CABLES[[#This Row],[SEG14]]&gt;0,CABLES[[#This Row],[CABLE_DIAMETER]],0)</f>
        <v>0</v>
      </c>
      <c r="EM21" s="10">
        <f>IF(CABLES[[#This Row],[SEG15]]&gt;0,CABLES[[#This Row],[CABLE_DIAMETER]],0)</f>
        <v>0</v>
      </c>
      <c r="EN21" s="10">
        <f>IF(CABLES[[#This Row],[SEG16]]&gt;0,CABLES[[#This Row],[CABLE_DIAMETER]],0)</f>
        <v>0</v>
      </c>
      <c r="EO21" s="10">
        <f>IF(CABLES[[#This Row],[SEG17]]&gt;0,CABLES[[#This Row],[CABLE_DIAMETER]],0)</f>
        <v>0</v>
      </c>
      <c r="EP21" s="10">
        <f>IF(CABLES[[#This Row],[SEG18]]&gt;0,CABLES[[#This Row],[CABLE_DIAMETER]],0)</f>
        <v>0</v>
      </c>
      <c r="EQ21" s="10">
        <f>IF(CABLES[[#This Row],[SEG19]]&gt;0,CABLES[[#This Row],[CABLE_DIAMETER]],0)</f>
        <v>0</v>
      </c>
      <c r="ER21" s="10">
        <f>IF(CABLES[[#This Row],[SEG20]]&gt;0,CABLES[[#This Row],[CABLE_DIAMETER]],0)</f>
        <v>0</v>
      </c>
      <c r="ES21" s="10">
        <f>IF(CABLES[[#This Row],[SEG21]]&gt;0,CABLES[[#This Row],[CABLE_DIAMETER]],0)</f>
        <v>0</v>
      </c>
      <c r="ET21" s="10">
        <f>IF(CABLES[[#This Row],[SEG22]]&gt;0,CABLES[[#This Row],[CABLE_DIAMETER]],0)</f>
        <v>0</v>
      </c>
      <c r="EU21" s="10">
        <f>IF(CABLES[[#This Row],[SEG23]]&gt;0,CABLES[[#This Row],[CABLE_DIAMETER]],0)</f>
        <v>0</v>
      </c>
      <c r="EV21" s="10">
        <f>IF(CABLES[[#This Row],[SEG24]]&gt;0,CABLES[[#This Row],[CABLE_DIAMETER]],0)</f>
        <v>0</v>
      </c>
      <c r="EW21" s="10">
        <f>IF(CABLES[[#This Row],[SEG25]]&gt;0,CABLES[[#This Row],[CABLE_DIAMETER]],0)</f>
        <v>0</v>
      </c>
      <c r="EX21" s="10">
        <f>IF(CABLES[[#This Row],[SEG26]]&gt;0,CABLES[[#This Row],[CABLE_DIAMETER]],0)</f>
        <v>0</v>
      </c>
      <c r="EY21" s="10">
        <f>IF(CABLES[[#This Row],[SEG27]]&gt;0,CABLES[[#This Row],[CABLE_DIAMETER]],0)</f>
        <v>0</v>
      </c>
      <c r="EZ21" s="10">
        <f>IF(CABLES[[#This Row],[SEG28]]&gt;0,CABLES[[#This Row],[CABLE_DIAMETER]],0)</f>
        <v>0</v>
      </c>
      <c r="FA21" s="10">
        <f>IF(CABLES[[#This Row],[SEG29]]&gt;0,CABLES[[#This Row],[CABLE_DIAMETER]],0)</f>
        <v>0</v>
      </c>
      <c r="FB21" s="10">
        <f>IF(CABLES[[#This Row],[SEG30]]&gt;0,CABLES[[#This Row],[CABLE_DIAMETER]],0)</f>
        <v>0</v>
      </c>
      <c r="FC21" s="10">
        <f>IF(CABLES[[#This Row],[SEG31]]&gt;0,CABLES[[#This Row],[CABLE_DIAMETER]],0)</f>
        <v>0</v>
      </c>
      <c r="FD21" s="10">
        <f>IF(CABLES[[#This Row],[SEG32]]&gt;0,CABLES[[#This Row],[CABLE_DIAMETER]],0)</f>
        <v>0</v>
      </c>
      <c r="FE21" s="10">
        <f>IF(CABLES[[#This Row],[SEG33]]&gt;0,CABLES[[#This Row],[CABLE_DIAMETER]],0)</f>
        <v>0</v>
      </c>
      <c r="FF21" s="10">
        <f>IF(CABLES[[#This Row],[SEG34]]&gt;0,CABLES[[#This Row],[CABLE_DIAMETER]],0)</f>
        <v>0</v>
      </c>
      <c r="FG21" s="10">
        <f>IF(CABLES[[#This Row],[SEG35]]&gt;0,CABLES[[#This Row],[CABLE_DIAMETER]],0)</f>
        <v>0</v>
      </c>
      <c r="FH21" s="10">
        <f>IF(CABLES[[#This Row],[SEG36]]&gt;0,CABLES[[#This Row],[CABLE_DIAMETER]],0)</f>
        <v>0</v>
      </c>
      <c r="FI21" s="10">
        <f>IF(CABLES[[#This Row],[SEG37]]&gt;0,CABLES[[#This Row],[CABLE_DIAMETER]],0)</f>
        <v>0</v>
      </c>
      <c r="FJ21" s="10">
        <f>IF(CABLES[[#This Row],[SEG38]]&gt;0,CABLES[[#This Row],[CABLE_DIAMETER]],0)</f>
        <v>0</v>
      </c>
      <c r="FK21" s="10">
        <f>IF(CABLES[[#This Row],[SEG39]]&gt;0,CABLES[[#This Row],[CABLE_DIAMETER]],0)</f>
        <v>0</v>
      </c>
      <c r="FL21" s="10">
        <f>IF(CABLES[[#This Row],[SEG40]]&gt;0,CABLES[[#This Row],[CABLE_DIAMETER]],0)</f>
        <v>0</v>
      </c>
      <c r="FM21" s="10">
        <f>IF(CABLES[[#This Row],[SEG41]]&gt;0,CABLES[[#This Row],[CABLE_DIAMETER]],0)</f>
        <v>0</v>
      </c>
      <c r="FN21" s="10">
        <f>IF(CABLES[[#This Row],[SEG42]]&gt;0,CABLES[[#This Row],[CABLE_DIAMETER]],0)</f>
        <v>0</v>
      </c>
      <c r="FO21" s="10">
        <f>IF(CABLES[[#This Row],[SEG43]]&gt;0,CABLES[[#This Row],[CABLE_DIAMETER]],0)</f>
        <v>0</v>
      </c>
      <c r="FP21" s="10">
        <f>IF(CABLES[[#This Row],[SEG44]]&gt;0,CABLES[[#This Row],[CABLE_DIAMETER]],0)</f>
        <v>0</v>
      </c>
      <c r="FQ21" s="10">
        <f>IF(CABLES[[#This Row],[SEG45]]&gt;0,CABLES[[#This Row],[CABLE_DIAMETER]],0)</f>
        <v>0</v>
      </c>
      <c r="FR21" s="10">
        <f>IF(CABLES[[#This Row],[SEG46]]&gt;0,CABLES[[#This Row],[CABLE_DIAMETER]],0)</f>
        <v>0</v>
      </c>
      <c r="FS21" s="10">
        <f>IF(CABLES[[#This Row],[SEG47]]&gt;0,CABLES[[#This Row],[CABLE_DIAMETER]],0)</f>
        <v>0</v>
      </c>
      <c r="FT21" s="10">
        <f>IF(CABLES[[#This Row],[SEG48]]&gt;0,CABLES[[#This Row],[CABLE_DIAMETER]],0)</f>
        <v>0</v>
      </c>
      <c r="FU21" s="10">
        <f>IF(CABLES[[#This Row],[SEG49]]&gt;0,CABLES[[#This Row],[CABLE_DIAMETER]],0)</f>
        <v>0</v>
      </c>
      <c r="FV21" s="10">
        <f>IF(CABLES[[#This Row],[SEG50]]&gt;0,CABLES[[#This Row],[CABLE_DIAMETER]],0)</f>
        <v>0</v>
      </c>
      <c r="FW21" s="10">
        <f>IF(CABLES[[#This Row],[SEG51]]&gt;0,CABLES[[#This Row],[CABLE_DIAMETER]],0)</f>
        <v>0</v>
      </c>
      <c r="FX21" s="10">
        <f>IF(CABLES[[#This Row],[SEG52]]&gt;0,CABLES[[#This Row],[CABLE_DIAMETER]],0)</f>
        <v>0</v>
      </c>
      <c r="FY21" s="10">
        <f>IF(CABLES[[#This Row],[SEG53]]&gt;0,CABLES[[#This Row],[CABLE_DIAMETER]],0)</f>
        <v>0</v>
      </c>
      <c r="FZ21" s="10">
        <f>IF(CABLES[[#This Row],[SEG54]]&gt;0,CABLES[[#This Row],[CABLE_DIAMETER]],0)</f>
        <v>0</v>
      </c>
      <c r="GA21" s="10">
        <f>IF(CABLES[[#This Row],[SEG55]]&gt;0,CABLES[[#This Row],[CABLE_DIAMETER]],0)</f>
        <v>0</v>
      </c>
      <c r="GB21" s="10">
        <f>IF(CABLES[[#This Row],[SEG56]]&gt;0,CABLES[[#This Row],[CABLE_DIAMETER]],0)</f>
        <v>0</v>
      </c>
      <c r="GC21" s="10">
        <f>IF(CABLES[[#This Row],[SEG57]]&gt;0,CABLES[[#This Row],[CABLE_DIAMETER]],0)</f>
        <v>0</v>
      </c>
      <c r="GD21" s="10">
        <f>IF(CABLES[[#This Row],[SEG58]]&gt;0,CABLES[[#This Row],[CABLE_DIAMETER]],0)</f>
        <v>0</v>
      </c>
      <c r="GE21" s="10">
        <f>IF(CABLES[[#This Row],[SEG59]]&gt;0,CABLES[[#This Row],[CABLE_DIAMETER]],0)</f>
        <v>0</v>
      </c>
      <c r="GF21" s="10">
        <f>IF(CABLES[[#This Row],[SEG60]]&gt;0,CABLES[[#This Row],[CABLE_DIAMETER]],0)</f>
        <v>0</v>
      </c>
      <c r="GG21" s="10">
        <f>IF(CABLES[[#This Row],[SEG1]]&gt;0,CABLES[[#This Row],[CABLE_MASS]],0)</f>
        <v>0.21</v>
      </c>
      <c r="GH21" s="10">
        <f>IF(CABLES[[#This Row],[SEG2]]&gt;0,CABLES[[#This Row],[CABLE_MASS]],0)</f>
        <v>0.21</v>
      </c>
      <c r="GI21" s="10">
        <f>IF(CABLES[[#This Row],[SEG3]]&gt;0,CABLES[[#This Row],[CABLE_MASS]],0)</f>
        <v>0.21</v>
      </c>
      <c r="GJ21" s="10">
        <f>IF(CABLES[[#This Row],[SEG4]]&gt;0,CABLES[[#This Row],[CABLE_MASS]],0)</f>
        <v>0</v>
      </c>
      <c r="GK21" s="10">
        <f>IF(CABLES[[#This Row],[SEG5]]&gt;0,CABLES[[#This Row],[CABLE_MASS]],0)</f>
        <v>0</v>
      </c>
      <c r="GL21" s="10">
        <f>IF(CABLES[[#This Row],[SEG6]]&gt;0,CABLES[[#This Row],[CABLE_MASS]],0)</f>
        <v>0</v>
      </c>
      <c r="GM21" s="10">
        <f>IF(CABLES[[#This Row],[SEG7]]&gt;0,CABLES[[#This Row],[CABLE_MASS]],0)</f>
        <v>0</v>
      </c>
      <c r="GN21" s="10">
        <f>IF(CABLES[[#This Row],[SEG8]]&gt;0,CABLES[[#This Row],[CABLE_MASS]],0)</f>
        <v>0</v>
      </c>
      <c r="GO21" s="10">
        <f>IF(CABLES[[#This Row],[SEG9]]&gt;0,CABLES[[#This Row],[CABLE_MASS]],0)</f>
        <v>0</v>
      </c>
      <c r="GP21" s="10">
        <f>IF(CABLES[[#This Row],[SEG10]]&gt;0,CABLES[[#This Row],[CABLE_MASS]],0)</f>
        <v>0</v>
      </c>
      <c r="GQ21" s="10">
        <f>IF(CABLES[[#This Row],[SEG11]]&gt;0,CABLES[[#This Row],[CABLE_MASS]],0)</f>
        <v>0</v>
      </c>
      <c r="GR21" s="10">
        <f>IF(CABLES[[#This Row],[SEG12]]&gt;0,CABLES[[#This Row],[CABLE_MASS]],0)</f>
        <v>0</v>
      </c>
      <c r="GS21" s="10">
        <f>IF(CABLES[[#This Row],[SEG13]]&gt;0,CABLES[[#This Row],[CABLE_MASS]],0)</f>
        <v>0</v>
      </c>
      <c r="GT21" s="10">
        <f>IF(CABLES[[#This Row],[SEG14]]&gt;0,CABLES[[#This Row],[CABLE_MASS]],0)</f>
        <v>0</v>
      </c>
      <c r="GU21" s="10">
        <f>IF(CABLES[[#This Row],[SEG15]]&gt;0,CABLES[[#This Row],[CABLE_MASS]],0)</f>
        <v>0</v>
      </c>
      <c r="GV21" s="10">
        <f>IF(CABLES[[#This Row],[SEG16]]&gt;0,CABLES[[#This Row],[CABLE_MASS]],0)</f>
        <v>0</v>
      </c>
      <c r="GW21" s="10">
        <f>IF(CABLES[[#This Row],[SEG17]]&gt;0,CABLES[[#This Row],[CABLE_MASS]],0)</f>
        <v>0</v>
      </c>
      <c r="GX21" s="10">
        <f>IF(CABLES[[#This Row],[SEG18]]&gt;0,CABLES[[#This Row],[CABLE_MASS]],0)</f>
        <v>0</v>
      </c>
      <c r="GY21" s="10">
        <f>IF(CABLES[[#This Row],[SEG19]]&gt;0,CABLES[[#This Row],[CABLE_MASS]],0)</f>
        <v>0</v>
      </c>
      <c r="GZ21" s="10">
        <f>IF(CABLES[[#This Row],[SEG20]]&gt;0,CABLES[[#This Row],[CABLE_MASS]],0)</f>
        <v>0</v>
      </c>
      <c r="HA21" s="10">
        <f>IF(CABLES[[#This Row],[SEG21]]&gt;0,CABLES[[#This Row],[CABLE_MASS]],0)</f>
        <v>0</v>
      </c>
      <c r="HB21" s="10">
        <f>IF(CABLES[[#This Row],[SEG22]]&gt;0,CABLES[[#This Row],[CABLE_MASS]],0)</f>
        <v>0</v>
      </c>
      <c r="HC21" s="10">
        <f>IF(CABLES[[#This Row],[SEG23]]&gt;0,CABLES[[#This Row],[CABLE_MASS]],0)</f>
        <v>0</v>
      </c>
      <c r="HD21" s="10">
        <f>IF(CABLES[[#This Row],[SEG24]]&gt;0,CABLES[[#This Row],[CABLE_MASS]],0)</f>
        <v>0</v>
      </c>
      <c r="HE21" s="10">
        <f>IF(CABLES[[#This Row],[SEG25]]&gt;0,CABLES[[#This Row],[CABLE_MASS]],0)</f>
        <v>0</v>
      </c>
      <c r="HF21" s="10">
        <f>IF(CABLES[[#This Row],[SEG26]]&gt;0,CABLES[[#This Row],[CABLE_MASS]],0)</f>
        <v>0</v>
      </c>
      <c r="HG21" s="10">
        <f>IF(CABLES[[#This Row],[SEG27]]&gt;0,CABLES[[#This Row],[CABLE_MASS]],0)</f>
        <v>0</v>
      </c>
      <c r="HH21" s="10">
        <f>IF(CABLES[[#This Row],[SEG28]]&gt;0,CABLES[[#This Row],[CABLE_MASS]],0)</f>
        <v>0</v>
      </c>
      <c r="HI21" s="10">
        <f>IF(CABLES[[#This Row],[SEG29]]&gt;0,CABLES[[#This Row],[CABLE_MASS]],0)</f>
        <v>0</v>
      </c>
      <c r="HJ21" s="10">
        <f>IF(CABLES[[#This Row],[SEG30]]&gt;0,CABLES[[#This Row],[CABLE_MASS]],0)</f>
        <v>0</v>
      </c>
      <c r="HK21" s="10">
        <f>IF(CABLES[[#This Row],[SEG31]]&gt;0,CABLES[[#This Row],[CABLE_MASS]],0)</f>
        <v>0</v>
      </c>
      <c r="HL21" s="10">
        <f>IF(CABLES[[#This Row],[SEG32]]&gt;0,CABLES[[#This Row],[CABLE_MASS]],0)</f>
        <v>0</v>
      </c>
      <c r="HM21" s="10">
        <f>IF(CABLES[[#This Row],[SEG33]]&gt;0,CABLES[[#This Row],[CABLE_MASS]],0)</f>
        <v>0</v>
      </c>
      <c r="HN21" s="10">
        <f>IF(CABLES[[#This Row],[SEG34]]&gt;0,CABLES[[#This Row],[CABLE_MASS]],0)</f>
        <v>0</v>
      </c>
      <c r="HO21" s="10">
        <f>IF(CABLES[[#This Row],[SEG35]]&gt;0,CABLES[[#This Row],[CABLE_MASS]],0)</f>
        <v>0</v>
      </c>
      <c r="HP21" s="10">
        <f>IF(CABLES[[#This Row],[SEG36]]&gt;0,CABLES[[#This Row],[CABLE_MASS]],0)</f>
        <v>0</v>
      </c>
      <c r="HQ21" s="10">
        <f>IF(CABLES[[#This Row],[SEG37]]&gt;0,CABLES[[#This Row],[CABLE_MASS]],0)</f>
        <v>0</v>
      </c>
      <c r="HR21" s="10">
        <f>IF(CABLES[[#This Row],[SEG38]]&gt;0,CABLES[[#This Row],[CABLE_MASS]],0)</f>
        <v>0</v>
      </c>
      <c r="HS21" s="10">
        <f>IF(CABLES[[#This Row],[SEG39]]&gt;0,CABLES[[#This Row],[CABLE_MASS]],0)</f>
        <v>0</v>
      </c>
      <c r="HT21" s="10">
        <f>IF(CABLES[[#This Row],[SEG40]]&gt;0,CABLES[[#This Row],[CABLE_MASS]],0)</f>
        <v>0</v>
      </c>
      <c r="HU21" s="10">
        <f>IF(CABLES[[#This Row],[SEG41]]&gt;0,CABLES[[#This Row],[CABLE_MASS]],0)</f>
        <v>0</v>
      </c>
      <c r="HV21" s="10">
        <f>IF(CABLES[[#This Row],[SEG42]]&gt;0,CABLES[[#This Row],[CABLE_MASS]],0)</f>
        <v>0</v>
      </c>
      <c r="HW21" s="10">
        <f>IF(CABLES[[#This Row],[SEG43]]&gt;0,CABLES[[#This Row],[CABLE_MASS]],0)</f>
        <v>0</v>
      </c>
      <c r="HX21" s="10">
        <f>IF(CABLES[[#This Row],[SEG44]]&gt;0,CABLES[[#This Row],[CABLE_MASS]],0)</f>
        <v>0</v>
      </c>
      <c r="HY21" s="10">
        <f>IF(CABLES[[#This Row],[SEG45]]&gt;0,CABLES[[#This Row],[CABLE_MASS]],0)</f>
        <v>0</v>
      </c>
      <c r="HZ21" s="10">
        <f>IF(CABLES[[#This Row],[SEG46]]&gt;0,CABLES[[#This Row],[CABLE_MASS]],0)</f>
        <v>0</v>
      </c>
      <c r="IA21" s="10">
        <f>IF(CABLES[[#This Row],[SEG47]]&gt;0,CABLES[[#This Row],[CABLE_MASS]],0)</f>
        <v>0</v>
      </c>
      <c r="IB21" s="10">
        <f>IF(CABLES[[#This Row],[SEG48]]&gt;0,CABLES[[#This Row],[CABLE_MASS]],0)</f>
        <v>0</v>
      </c>
      <c r="IC21" s="10">
        <f>IF(CABLES[[#This Row],[SEG49]]&gt;0,CABLES[[#This Row],[CABLE_MASS]],0)</f>
        <v>0</v>
      </c>
      <c r="ID21" s="10">
        <f>IF(CABLES[[#This Row],[SEG50]]&gt;0,CABLES[[#This Row],[CABLE_MASS]],0)</f>
        <v>0</v>
      </c>
      <c r="IE21" s="10">
        <f>IF(CABLES[[#This Row],[SEG51]]&gt;0,CABLES[[#This Row],[CABLE_MASS]],0)</f>
        <v>0</v>
      </c>
      <c r="IF21" s="10">
        <f>IF(CABLES[[#This Row],[SEG52]]&gt;0,CABLES[[#This Row],[CABLE_MASS]],0)</f>
        <v>0</v>
      </c>
      <c r="IG21" s="10">
        <f>IF(CABLES[[#This Row],[SEG53]]&gt;0,CABLES[[#This Row],[CABLE_MASS]],0)</f>
        <v>0</v>
      </c>
      <c r="IH21" s="10">
        <f>IF(CABLES[[#This Row],[SEG54]]&gt;0,CABLES[[#This Row],[CABLE_MASS]],0)</f>
        <v>0</v>
      </c>
      <c r="II21" s="10">
        <f>IF(CABLES[[#This Row],[SEG55]]&gt;0,CABLES[[#This Row],[CABLE_MASS]],0)</f>
        <v>0</v>
      </c>
      <c r="IJ21" s="10">
        <f>IF(CABLES[[#This Row],[SEG56]]&gt;0,CABLES[[#This Row],[CABLE_MASS]],0)</f>
        <v>0</v>
      </c>
      <c r="IK21" s="10">
        <f>IF(CABLES[[#This Row],[SEG57]]&gt;0,CABLES[[#This Row],[CABLE_MASS]],0)</f>
        <v>0</v>
      </c>
      <c r="IL21" s="10">
        <f>IF(CABLES[[#This Row],[SEG58]]&gt;0,CABLES[[#This Row],[CABLE_MASS]],0)</f>
        <v>0</v>
      </c>
      <c r="IM21" s="10">
        <f>IF(CABLES[[#This Row],[SEG59]]&gt;0,CABLES[[#This Row],[CABLE_MASS]],0)</f>
        <v>0</v>
      </c>
      <c r="IN21" s="10">
        <f>IF(CABLES[[#This Row],[SEG60]]&gt;0,CABLES[[#This Row],[CABLE_MASS]],0)</f>
        <v>0</v>
      </c>
      <c r="IO21" s="10">
        <f xml:space="preserve">  (CABLES[[#This Row],[LOAD_KW]]/(SQRT(3)*SYSTEM_VOLTAGE*POWER_FACTOR))*1000</f>
        <v>3.528251645047713</v>
      </c>
      <c r="IP21" s="10">
        <v>45</v>
      </c>
      <c r="IQ21" s="10">
        <f xml:space="preserve"> INDEX(AS3000_AMBIENTDERATE[], MATCH(CABLES[[#This Row],[AMBIENT]],AS3000_AMBIENTDERATE[AMBIENT],0), 2)</f>
        <v>0.94</v>
      </c>
      <c r="IR21" s="10">
        <f xml:space="preserve"> ROUNDUP( CABLES[[#This Row],[CALCULATED_AMPS]]/CABLES[[#This Row],[AMBIENT_DERATING]],1)</f>
        <v>3.8000000000000003</v>
      </c>
      <c r="IS21" s="10" t="s">
        <v>531</v>
      </c>
      <c r="IT2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21" s="10">
        <f t="shared" si="0"/>
        <v>28.000000000000004</v>
      </c>
      <c r="IV21" s="10">
        <f>(1000*CABLES[[#This Row],[MAX_VDROP]])/(CABLES[[#This Row],[ESTIMATED_CABLE_LENGTH]]*CABLES[[#This Row],[AMP_RATING]])</f>
        <v>170.56530214424953</v>
      </c>
      <c r="IW21" s="10">
        <f xml:space="preserve"> INDEX(AS3000_VDROP[], MATCH(CABLES[[#This Row],[VC_CALC]],AS3000_VDROP[Vc],1),1)</f>
        <v>2.5</v>
      </c>
      <c r="IX21" s="10">
        <f>MAX(CABLES[[#This Row],[CABLESIZE_METHOD1]],CABLES[[#This Row],[CABLESIZE_METHOD2]])</f>
        <v>2.5</v>
      </c>
      <c r="IY21" s="10"/>
      <c r="IZ21" s="10">
        <f>IF(LEN(CABLES[[#This Row],[OVERRIDE_CABLESIZE]])&gt;0,CABLES[[#This Row],[OVERRIDE_CABLESIZE]],CABLES[[#This Row],[INITIAL_CABLESIZE]])</f>
        <v>2.5</v>
      </c>
      <c r="JA21" s="10">
        <f>INDEX(PROTECTIVE_DEVICE[DEVICE], MATCH(CABLES[[#This Row],[CALCULATED_AMPS]],PROTECTIVE_DEVICE[DEVICE],-1),1)</f>
        <v>6</v>
      </c>
      <c r="JB21" s="10"/>
      <c r="JC21" s="10">
        <f>IF(LEN(CABLES[[#This Row],[OVERRIDE_PDEVICE]])&gt;0, CABLES[[#This Row],[OVERRIDE_PDEVICE]],CABLES[[#This Row],[RECOMMEND_PDEVICE]])</f>
        <v>6</v>
      </c>
      <c r="JD21" s="10" t="s">
        <v>450</v>
      </c>
      <c r="JE21" s="10">
        <f xml:space="preserve"> CABLES[[#This Row],[SELECTED_PDEVICE]] * INDEX(DEVICE_CURVE[], MATCH(CABLES[[#This Row],[PDEVICE_CURVE]], DEVICE_CURVE[DEVICE_CURVE],0),2)</f>
        <v>39</v>
      </c>
      <c r="JF21" s="10" t="s">
        <v>458</v>
      </c>
      <c r="JG21" s="10">
        <f xml:space="preserve"> INDEX(CONDUCTOR_MATERIAL[], MATCH(CABLES[[#This Row],[CONDUCTOR_MATERIAL]],CONDUCTOR_MATERIAL[CONDUCTOR_MATERIAL],0),2)</f>
        <v>2.2499999999999999E-2</v>
      </c>
      <c r="JH21" s="10">
        <f>CABLES[[#This Row],[SELECTED_CABLESIZE]]</f>
        <v>2.5</v>
      </c>
      <c r="JI21" s="10">
        <f xml:space="preserve"> INDEX( EARTH_CONDUCTOR_SIZE[], MATCH(CABLES[[#This Row],[SPH]],EARTH_CONDUCTOR_SIZE[MM^2],-1), 2)</f>
        <v>2.5</v>
      </c>
      <c r="JJ21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21" s="10" t="str">
        <f>IF(CABLES[[#This Row],[LMAX]]&gt;CABLES[[#This Row],[ESTIMATED_CABLE_LENGTH]], "PASS", "ERROR")</f>
        <v>PASS</v>
      </c>
      <c r="JL2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2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21" s="6">
        <f xml:space="preserve"> ROUNDUP( CABLES[[#This Row],[CALCULATED_AMPS]],1)</f>
        <v>3.6</v>
      </c>
      <c r="JO21" s="6">
        <f>CABLES[[#This Row],[SELECTED_CABLESIZE]]</f>
        <v>2.5</v>
      </c>
      <c r="JP21" s="10">
        <f>CABLES[[#This Row],[ESTIMATED_CABLE_LENGTH]]</f>
        <v>43.199999999999996</v>
      </c>
      <c r="JQ21" s="6">
        <f>CABLES[[#This Row],[SELECTED_PDEVICE]]</f>
        <v>6</v>
      </c>
    </row>
    <row r="22" spans="1:277" x14ac:dyDescent="0.35">
      <c r="A22" s="5" t="s">
        <v>21</v>
      </c>
      <c r="B22" s="5" t="s">
        <v>491</v>
      </c>
      <c r="C22" s="10" t="s">
        <v>262</v>
      </c>
      <c r="D22" s="9">
        <v>4</v>
      </c>
      <c r="E22" s="9">
        <v>1</v>
      </c>
      <c r="F22" s="9">
        <v>1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f xml:space="preserve"> IF(CABLES[[#This Row],[SEG1]] &gt;0, INDEX(SEGMENTS[], MATCH(CABLES[[#Headers],[SEG1]],SEGMENTS[SEG_ID],0),4),0)</f>
        <v>13</v>
      </c>
      <c r="BN22" s="9">
        <f xml:space="preserve"> IF(CABLES[[#This Row],[SEG2]] &gt;0, INDEX(SEGMENTS[], MATCH(CABLES[[#Headers],[SEG2]],SEGMENTS[SEG_ID],0),4),0)</f>
        <v>2</v>
      </c>
      <c r="BO22" s="9">
        <f xml:space="preserve"> IF(CABLES[[#This Row],[SEG3]] &gt;0, INDEX(SEGMENTS[], MATCH(CABLES[[#Headers],[SEG3]],SEGMENTS[SEG_ID],0),4),0)</f>
        <v>16</v>
      </c>
      <c r="BP22" s="9">
        <f xml:space="preserve"> IF(CABLES[[#This Row],[SEG4]] &gt;0, INDEX(SEGMENTS[], MATCH(CABLES[[#Headers],[SEG4]],SEGMENTS[SEG_ID],0),4),0)</f>
        <v>0</v>
      </c>
      <c r="BQ22" s="9">
        <f xml:space="preserve"> IF(CABLES[[#This Row],[SEG5]] &gt;0,INDEX(SEGMENTS[], MATCH(CABLES[[#Headers],[SEG5]],SEGMENTS[SEG_ID],0),4),0)</f>
        <v>0</v>
      </c>
      <c r="BR22" s="9">
        <f xml:space="preserve"> IF(CABLES[[#This Row],[SEG6]] &gt;0,INDEX(SEGMENTS[], MATCH(CABLES[[#Headers],[SEG6]],SEGMENTS[SEG_ID],0),4),0)</f>
        <v>0</v>
      </c>
      <c r="BS22" s="9">
        <f xml:space="preserve"> IF(CABLES[[#This Row],[SEG7]] &gt;0,INDEX(SEGMENTS[], MATCH(CABLES[[#Headers],[SEG7]],SEGMENTS[SEG_ID],0),4),0)</f>
        <v>0</v>
      </c>
      <c r="BT22" s="9">
        <f xml:space="preserve"> IF(CABLES[[#This Row],[SEG8]] &gt;0,INDEX(SEGMENTS[], MATCH(CABLES[[#Headers],[SEG8]],SEGMENTS[SEG_ID],0),4),0)</f>
        <v>0</v>
      </c>
      <c r="BU22" s="9">
        <f xml:space="preserve"> IF(CABLES[[#This Row],[SEG9]] &gt;0,INDEX(SEGMENTS[], MATCH(CABLES[[#Headers],[SEG9]],SEGMENTS[SEG_ID],0),4),0)</f>
        <v>0</v>
      </c>
      <c r="BV22" s="9">
        <f xml:space="preserve"> IF(CABLES[[#This Row],[SEG10]] &gt;0,INDEX(SEGMENTS[], MATCH(CABLES[[#Headers],[SEG10]],SEGMENTS[SEG_ID],0),4),0)</f>
        <v>0</v>
      </c>
      <c r="BW22" s="9">
        <f xml:space="preserve"> IF(CABLES[[#This Row],[SEG11]] &gt;0,INDEX(SEGMENTS[], MATCH(CABLES[[#Headers],[SEG11]],SEGMENTS[SEG_ID],0),4),0)</f>
        <v>0</v>
      </c>
      <c r="BX22" s="9">
        <f>IF(CABLES[[#This Row],[SEG12]] &gt;0, INDEX(SEGMENTS[], MATCH(CABLES[[#Headers],[SEG12]],SEGMENTS[SEG_ID],0),4),0)</f>
        <v>0</v>
      </c>
      <c r="BY22" s="9">
        <f xml:space="preserve"> IF(CABLES[[#This Row],[SEG13]] &gt;0,INDEX(SEGMENTS[], MATCH(CABLES[[#Headers],[SEG13]],SEGMENTS[SEG_ID],0),4),0)</f>
        <v>0</v>
      </c>
      <c r="BZ22" s="9">
        <f xml:space="preserve"> IF(CABLES[[#This Row],[SEG14]] &gt;0,INDEX(SEGMENTS[], MATCH(CABLES[[#Headers],[SEG14]],SEGMENTS[SEG_ID],0),4),0)</f>
        <v>0</v>
      </c>
      <c r="CA22" s="9">
        <f xml:space="preserve"> IF(CABLES[[#This Row],[SEG15]] &gt;0,INDEX(SEGMENTS[], MATCH(CABLES[[#Headers],[SEG15]],SEGMENTS[SEG_ID],0),4),0)</f>
        <v>0</v>
      </c>
      <c r="CB22" s="9">
        <f xml:space="preserve"> IF(CABLES[[#This Row],[SEG16]] &gt;0,INDEX(SEGMENTS[], MATCH(CABLES[[#Headers],[SEG16]],SEGMENTS[SEG_ID],0),4),0)</f>
        <v>0</v>
      </c>
      <c r="CC22" s="9">
        <f xml:space="preserve"> IF(CABLES[[#This Row],[SEG17]] &gt;0,INDEX(SEGMENTS[], MATCH(CABLES[[#Headers],[SEG17]],SEGMENTS[SEG_ID],0),4),0)</f>
        <v>0</v>
      </c>
      <c r="CD22" s="9">
        <f xml:space="preserve"> IF(CABLES[[#This Row],[SEG18]] &gt;0,INDEX(SEGMENTS[], MATCH(CABLES[[#Headers],[SEG18]],SEGMENTS[SEG_ID],0),4),0)</f>
        <v>0</v>
      </c>
      <c r="CE22" s="9">
        <f>IF(CABLES[[#This Row],[SEG19]] &gt;0, INDEX(SEGMENTS[], MATCH(CABLES[[#Headers],[SEG19]],SEGMENTS[SEG_ID],0),4),0)</f>
        <v>0</v>
      </c>
      <c r="CF22" s="9">
        <f>IF(CABLES[[#This Row],[SEG20]] &gt;0, INDEX(SEGMENTS[], MATCH(CABLES[[#Headers],[SEG20]],SEGMENTS[SEG_ID],0),4),0)</f>
        <v>0</v>
      </c>
      <c r="CG22" s="9">
        <f xml:space="preserve"> IF(CABLES[[#This Row],[SEG21]] &gt;0,INDEX(SEGMENTS[], MATCH(CABLES[[#Headers],[SEG21]],SEGMENTS[SEG_ID],0),4),0)</f>
        <v>0</v>
      </c>
      <c r="CH22" s="9">
        <f xml:space="preserve"> IF(CABLES[[#This Row],[SEG22]] &gt;0,INDEX(SEGMENTS[], MATCH(CABLES[[#Headers],[SEG22]],SEGMENTS[SEG_ID],0),4),0)</f>
        <v>0</v>
      </c>
      <c r="CI22" s="9">
        <f>IF(CABLES[[#This Row],[SEG23]] &gt;0, INDEX(SEGMENTS[], MATCH(CABLES[[#Headers],[SEG23]],SEGMENTS[SEG_ID],0),4),0)</f>
        <v>0</v>
      </c>
      <c r="CJ22" s="9">
        <f xml:space="preserve"> IF(CABLES[[#This Row],[SEG24]] &gt;0,INDEX(SEGMENTS[], MATCH(CABLES[[#Headers],[SEG24]],SEGMENTS[SEG_ID],0),4),0)</f>
        <v>0</v>
      </c>
      <c r="CK22" s="9">
        <f>IF(CABLES[[#This Row],[SEG25]] &gt;0, INDEX(SEGMENTS[], MATCH(CABLES[[#Headers],[SEG25]],SEGMENTS[SEG_ID],0),4),0)</f>
        <v>0</v>
      </c>
      <c r="CL22" s="9">
        <f>IF(CABLES[[#This Row],[SEG26]] &gt;0, INDEX(SEGMENTS[], MATCH(CABLES[[#Headers],[SEG26]],SEGMENTS[SEG_ID],0),4),0)</f>
        <v>0</v>
      </c>
      <c r="CM22" s="9">
        <f xml:space="preserve"> IF(CABLES[[#This Row],[SEG27]] &gt;0,INDEX(SEGMENTS[], MATCH(CABLES[[#Headers],[SEG27]],SEGMENTS[SEG_ID],0),4),0)</f>
        <v>0</v>
      </c>
      <c r="CN22" s="9">
        <f xml:space="preserve"> IF(CABLES[[#This Row],[SEG28]] &gt;0,INDEX(SEGMENTS[], MATCH(CABLES[[#Headers],[SEG28]],SEGMENTS[SEG_ID],0),4),0)</f>
        <v>0</v>
      </c>
      <c r="CO22" s="9">
        <f xml:space="preserve"> IF(CABLES[[#This Row],[SEG29]] &gt;0,INDEX(SEGMENTS[], MATCH(CABLES[[#Headers],[SEG29]],SEGMENTS[SEG_ID],0),4),0)</f>
        <v>0</v>
      </c>
      <c r="CP22" s="9">
        <f xml:space="preserve"> IF(CABLES[[#This Row],[SEG30]] &gt;0,INDEX(SEGMENTS[], MATCH(CABLES[[#Headers],[SEG30]],SEGMENTS[SEG_ID],0),4),0)</f>
        <v>0</v>
      </c>
      <c r="CQ22" s="9">
        <f>IF(CABLES[[#This Row],[SEG31]] &gt;0, INDEX(SEGMENTS[], MATCH(CABLES[[#Headers],[SEG31]],SEGMENTS[SEG_ID],0),4),0)</f>
        <v>0</v>
      </c>
      <c r="CR22" s="9">
        <f xml:space="preserve"> IF(CABLES[[#This Row],[SEG32]] &gt;0,INDEX(SEGMENTS[], MATCH(CABLES[[#Headers],[SEG32]],SEGMENTS[SEG_ID],0),4),0)</f>
        <v>0</v>
      </c>
      <c r="CS22" s="9">
        <f xml:space="preserve"> IF(CABLES[[#This Row],[SEG33]] &gt;0,INDEX(SEGMENTS[], MATCH(CABLES[[#Headers],[SEG33]],SEGMENTS[SEG_ID],0),4),0)</f>
        <v>0</v>
      </c>
      <c r="CT22" s="9">
        <f>IF(CABLES[[#This Row],[SEG34]] &gt;0, INDEX(SEGMENTS[], MATCH(CABLES[[#Headers],[SEG34]],SEGMENTS[SEG_ID],0),4),0)</f>
        <v>0</v>
      </c>
      <c r="CU22" s="9">
        <f xml:space="preserve"> IF(CABLES[[#This Row],[SEG35]] &gt;0,INDEX(SEGMENTS[], MATCH(CABLES[[#Headers],[SEG35]],SEGMENTS[SEG_ID],0),4),0)</f>
        <v>0</v>
      </c>
      <c r="CV22" s="9">
        <f xml:space="preserve"> IF(CABLES[[#This Row],[SEG36]] &gt;0,INDEX(SEGMENTS[], MATCH(CABLES[[#Headers],[SEG36]],SEGMENTS[SEG_ID],0),4),0)</f>
        <v>0</v>
      </c>
      <c r="CW22" s="9">
        <f xml:space="preserve"> IF(CABLES[[#This Row],[SEG37]] &gt;0,INDEX(SEGMENTS[], MATCH(CABLES[[#Headers],[SEG37]],SEGMENTS[SEG_ID],0),4),0)</f>
        <v>0</v>
      </c>
      <c r="CX22" s="9">
        <f xml:space="preserve"> IF(CABLES[[#This Row],[SEG38]] &gt;0,INDEX(SEGMENTS[], MATCH(CABLES[[#Headers],[SEG38]],SEGMENTS[SEG_ID],0),4),0)</f>
        <v>0</v>
      </c>
      <c r="CY22" s="9">
        <f xml:space="preserve"> IF(CABLES[[#This Row],[SEG39]] &gt;0,INDEX(SEGMENTS[], MATCH(CABLES[[#Headers],[SEG39]],SEGMENTS[SEG_ID],0),4),0)</f>
        <v>0</v>
      </c>
      <c r="CZ22" s="9">
        <f xml:space="preserve"> IF(CABLES[[#This Row],[SEG40]] &gt;0,INDEX(SEGMENTS[], MATCH(CABLES[[#Headers],[SEG40]],SEGMENTS[SEG_ID],0),4),0)</f>
        <v>0</v>
      </c>
      <c r="DA22" s="9">
        <f xml:space="preserve"> IF(CABLES[[#This Row],[SEG41]] &gt;0,INDEX(SEGMENTS[], MATCH(CABLES[[#Headers],[SEG41]],SEGMENTS[SEG_ID],0),4),0)</f>
        <v>0</v>
      </c>
      <c r="DB22" s="9">
        <f xml:space="preserve"> IF(CABLES[[#This Row],[SEG42]] &gt;0,INDEX(SEGMENTS[], MATCH(CABLES[[#Headers],[SEG42]],SEGMENTS[SEG_ID],0),4),0)</f>
        <v>0</v>
      </c>
      <c r="DC22" s="9">
        <f xml:space="preserve"> IF(CABLES[[#This Row],[SEG43]] &gt;0,INDEX(SEGMENTS[], MATCH(CABLES[[#Headers],[SEG43]],SEGMENTS[SEG_ID],0),4),0)</f>
        <v>0</v>
      </c>
      <c r="DD22" s="9">
        <f xml:space="preserve"> IF(CABLES[[#This Row],[SEG44]] &gt;0,INDEX(SEGMENTS[], MATCH(CABLES[[#Headers],[SEG44]],SEGMENTS[SEG_ID],0),4),0)</f>
        <v>0</v>
      </c>
      <c r="DE22" s="9">
        <f xml:space="preserve"> IF(CABLES[[#This Row],[SEG45]] &gt;0,INDEX(SEGMENTS[], MATCH(CABLES[[#Headers],[SEG45]],SEGMENTS[SEG_ID],0),4),0)</f>
        <v>0</v>
      </c>
      <c r="DF22" s="9">
        <f xml:space="preserve"> IF(CABLES[[#This Row],[SEG46]] &gt;0,INDEX(SEGMENTS[], MATCH(CABLES[[#Headers],[SEG46]],SEGMENTS[SEG_ID],0),4),0)</f>
        <v>0</v>
      </c>
      <c r="DG22" s="9">
        <f xml:space="preserve"> IF(CABLES[[#This Row],[SEG47]] &gt;0,INDEX(SEGMENTS[], MATCH(CABLES[[#Headers],[SEG47]],SEGMENTS[SEG_ID],0),4),0)</f>
        <v>0</v>
      </c>
      <c r="DH22" s="9">
        <f xml:space="preserve"> IF(CABLES[[#This Row],[SEG48]] &gt;0,INDEX(SEGMENTS[], MATCH(CABLES[[#Headers],[SEG48]],SEGMENTS[SEG_ID],0),4),0)</f>
        <v>0</v>
      </c>
      <c r="DI22" s="9">
        <f xml:space="preserve"> IF(CABLES[[#This Row],[SEG49]] &gt;0,INDEX(SEGMENTS[], MATCH(CABLES[[#Headers],[SEG49]],SEGMENTS[SEG_ID],0),4),0)</f>
        <v>0</v>
      </c>
      <c r="DJ22" s="9">
        <f xml:space="preserve"> IF(CABLES[[#This Row],[SEG50]] &gt;0,INDEX(SEGMENTS[], MATCH(CABLES[[#Headers],[SEG50]],SEGMENTS[SEG_ID],0),4),0)</f>
        <v>0</v>
      </c>
      <c r="DK22" s="9">
        <f xml:space="preserve"> IF(CABLES[[#This Row],[SEG51]] &gt;0,INDEX(SEGMENTS[], MATCH(CABLES[[#Headers],[SEG51]],SEGMENTS[SEG_ID],0),4),0)</f>
        <v>0</v>
      </c>
      <c r="DL22" s="9">
        <f xml:space="preserve"> IF(CABLES[[#This Row],[SEG52]] &gt;0,INDEX(SEGMENTS[], MATCH(CABLES[[#Headers],[SEG52]],SEGMENTS[SEG_ID],0),4),0)</f>
        <v>0</v>
      </c>
      <c r="DM22" s="9">
        <f xml:space="preserve"> IF(CABLES[[#This Row],[SEG53]] &gt;0,INDEX(SEGMENTS[], MATCH(CABLES[[#Headers],[SEG53]],SEGMENTS[SEG_ID],0),4),0)</f>
        <v>0</v>
      </c>
      <c r="DN22" s="9">
        <f xml:space="preserve"> IF(CABLES[[#This Row],[SEG54]] &gt;0,INDEX(SEGMENTS[], MATCH(CABLES[[#Headers],[SEG54]],SEGMENTS[SEG_ID],0),4),0)</f>
        <v>0</v>
      </c>
      <c r="DO22" s="9">
        <f xml:space="preserve"> IF(CABLES[[#This Row],[SEG55]] &gt;0,INDEX(SEGMENTS[], MATCH(CABLES[[#Headers],[SEG55]],SEGMENTS[SEG_ID],0),4),0)</f>
        <v>0</v>
      </c>
      <c r="DP22" s="9">
        <f xml:space="preserve"> IF(CABLES[[#This Row],[SEG56]] &gt;0,INDEX(SEGMENTS[], MATCH(CABLES[[#Headers],[SEG56]],SEGMENTS[SEG_ID],0),4),0)</f>
        <v>0</v>
      </c>
      <c r="DQ22" s="9">
        <f xml:space="preserve"> IF(CABLES[[#This Row],[SEG57]] &gt;0,INDEX(SEGMENTS[], MATCH(CABLES[[#Headers],[SEG57]],SEGMENTS[SEG_ID],0),4),0)</f>
        <v>0</v>
      </c>
      <c r="DR22" s="9">
        <f xml:space="preserve"> IF(CABLES[[#This Row],[SEG58]] &gt;0,INDEX(SEGMENTS[], MATCH(CABLES[[#Headers],[SEG58]],SEGMENTS[SEG_ID],0),4),0)</f>
        <v>0</v>
      </c>
      <c r="DS22" s="9">
        <f xml:space="preserve"> IF(CABLES[[#This Row],[SEG59]] &gt;0,INDEX(SEGMENTS[], MATCH(CABLES[[#Headers],[SEG59]],SEGMENTS[SEG_ID],0),4),0)</f>
        <v>0</v>
      </c>
      <c r="DT22" s="9">
        <f xml:space="preserve"> IF(CABLES[[#This Row],[SEG60]] &gt;0,INDEX(SEGMENTS[], MATCH(CABLES[[#Headers],[SEG60]],SEGMENTS[SEG_ID],0),4),0)</f>
        <v>0</v>
      </c>
      <c r="DU22" s="10">
        <f>SUM(CABLES[[#This Row],[SEGL1]:[SEGL60]])</f>
        <v>31</v>
      </c>
      <c r="DV22" s="10">
        <v>5</v>
      </c>
      <c r="DW22" s="10">
        <v>1.2</v>
      </c>
      <c r="DX22" s="10">
        <f xml:space="preserve"> IF(CABLES[[#This Row],[SEGL_TOTAL]]&gt;0, (CABLES[[#This Row],[SEGL_TOTAL]] + CABLES[[#This Row],[FITOFF]]) *CABLES[[#This Row],[XCAPACITY]],0)</f>
        <v>43.199999999999996</v>
      </c>
      <c r="DY22" s="10">
        <f>IF(CABLES[[#This Row],[SEG1]]&gt;0,CABLES[[#This Row],[CABLE_DIAMETER]],0)</f>
        <v>12</v>
      </c>
      <c r="DZ22" s="10">
        <f>IF(CABLES[[#This Row],[SEG2]]&gt;0,CABLES[[#This Row],[CABLE_DIAMETER]],0)</f>
        <v>12</v>
      </c>
      <c r="EA22" s="10">
        <f>IF(CABLES[[#This Row],[SEG3]]&gt;0,CABLES[[#This Row],[CABLE_DIAMETER]],0)</f>
        <v>12</v>
      </c>
      <c r="EB22" s="10">
        <f>IF(CABLES[[#This Row],[SEG4]]&gt;0,CABLES[[#This Row],[CABLE_DIAMETER]],0)</f>
        <v>0</v>
      </c>
      <c r="EC22" s="10">
        <f>IF(CABLES[[#This Row],[SEG5]]&gt;0,CABLES[[#This Row],[CABLE_DIAMETER]],0)</f>
        <v>0</v>
      </c>
      <c r="ED22" s="10">
        <f>IF(CABLES[[#This Row],[SEG6]]&gt;0,CABLES[[#This Row],[CABLE_DIAMETER]],0)</f>
        <v>0</v>
      </c>
      <c r="EE22" s="10">
        <f>IF(CABLES[[#This Row],[SEG7]]&gt;0,CABLES[[#This Row],[CABLE_DIAMETER]],0)</f>
        <v>0</v>
      </c>
      <c r="EF22" s="10">
        <f>IF(CABLES[[#This Row],[SEG9]]&gt;0,CABLES[[#This Row],[CABLE_DIAMETER]],0)</f>
        <v>0</v>
      </c>
      <c r="EG22" s="10">
        <f>IF(CABLES[[#This Row],[SEG9]]&gt;0,CABLES[[#This Row],[CABLE_DIAMETER]],0)</f>
        <v>0</v>
      </c>
      <c r="EH22" s="10">
        <f>IF(CABLES[[#This Row],[SEG10]]&gt;0,CABLES[[#This Row],[CABLE_DIAMETER]],0)</f>
        <v>0</v>
      </c>
      <c r="EI22" s="10">
        <f>IF(CABLES[[#This Row],[SEG11]]&gt;0,CABLES[[#This Row],[CABLE_DIAMETER]],0)</f>
        <v>0</v>
      </c>
      <c r="EJ22" s="10">
        <f>IF(CABLES[[#This Row],[SEG12]]&gt;0,CABLES[[#This Row],[CABLE_DIAMETER]],0)</f>
        <v>0</v>
      </c>
      <c r="EK22" s="10">
        <f>IF(CABLES[[#This Row],[SEG13]]&gt;0,CABLES[[#This Row],[CABLE_DIAMETER]],0)</f>
        <v>0</v>
      </c>
      <c r="EL22" s="10">
        <f>IF(CABLES[[#This Row],[SEG14]]&gt;0,CABLES[[#This Row],[CABLE_DIAMETER]],0)</f>
        <v>0</v>
      </c>
      <c r="EM22" s="10">
        <f>IF(CABLES[[#This Row],[SEG15]]&gt;0,CABLES[[#This Row],[CABLE_DIAMETER]],0)</f>
        <v>0</v>
      </c>
      <c r="EN22" s="10">
        <f>IF(CABLES[[#This Row],[SEG16]]&gt;0,CABLES[[#This Row],[CABLE_DIAMETER]],0)</f>
        <v>0</v>
      </c>
      <c r="EO22" s="10">
        <f>IF(CABLES[[#This Row],[SEG17]]&gt;0,CABLES[[#This Row],[CABLE_DIAMETER]],0)</f>
        <v>0</v>
      </c>
      <c r="EP22" s="10">
        <f>IF(CABLES[[#This Row],[SEG18]]&gt;0,CABLES[[#This Row],[CABLE_DIAMETER]],0)</f>
        <v>0</v>
      </c>
      <c r="EQ22" s="10">
        <f>IF(CABLES[[#This Row],[SEG19]]&gt;0,CABLES[[#This Row],[CABLE_DIAMETER]],0)</f>
        <v>0</v>
      </c>
      <c r="ER22" s="10">
        <f>IF(CABLES[[#This Row],[SEG20]]&gt;0,CABLES[[#This Row],[CABLE_DIAMETER]],0)</f>
        <v>0</v>
      </c>
      <c r="ES22" s="10">
        <f>IF(CABLES[[#This Row],[SEG21]]&gt;0,CABLES[[#This Row],[CABLE_DIAMETER]],0)</f>
        <v>0</v>
      </c>
      <c r="ET22" s="10">
        <f>IF(CABLES[[#This Row],[SEG22]]&gt;0,CABLES[[#This Row],[CABLE_DIAMETER]],0)</f>
        <v>0</v>
      </c>
      <c r="EU22" s="10">
        <f>IF(CABLES[[#This Row],[SEG23]]&gt;0,CABLES[[#This Row],[CABLE_DIAMETER]],0)</f>
        <v>0</v>
      </c>
      <c r="EV22" s="10">
        <f>IF(CABLES[[#This Row],[SEG24]]&gt;0,CABLES[[#This Row],[CABLE_DIAMETER]],0)</f>
        <v>0</v>
      </c>
      <c r="EW22" s="10">
        <f>IF(CABLES[[#This Row],[SEG25]]&gt;0,CABLES[[#This Row],[CABLE_DIAMETER]],0)</f>
        <v>0</v>
      </c>
      <c r="EX22" s="10">
        <f>IF(CABLES[[#This Row],[SEG26]]&gt;0,CABLES[[#This Row],[CABLE_DIAMETER]],0)</f>
        <v>0</v>
      </c>
      <c r="EY22" s="10">
        <f>IF(CABLES[[#This Row],[SEG27]]&gt;0,CABLES[[#This Row],[CABLE_DIAMETER]],0)</f>
        <v>0</v>
      </c>
      <c r="EZ22" s="10">
        <f>IF(CABLES[[#This Row],[SEG28]]&gt;0,CABLES[[#This Row],[CABLE_DIAMETER]],0)</f>
        <v>0</v>
      </c>
      <c r="FA22" s="10">
        <f>IF(CABLES[[#This Row],[SEG29]]&gt;0,CABLES[[#This Row],[CABLE_DIAMETER]],0)</f>
        <v>0</v>
      </c>
      <c r="FB22" s="10">
        <f>IF(CABLES[[#This Row],[SEG30]]&gt;0,CABLES[[#This Row],[CABLE_DIAMETER]],0)</f>
        <v>0</v>
      </c>
      <c r="FC22" s="10">
        <f>IF(CABLES[[#This Row],[SEG31]]&gt;0,CABLES[[#This Row],[CABLE_DIAMETER]],0)</f>
        <v>0</v>
      </c>
      <c r="FD22" s="10">
        <f>IF(CABLES[[#This Row],[SEG32]]&gt;0,CABLES[[#This Row],[CABLE_DIAMETER]],0)</f>
        <v>0</v>
      </c>
      <c r="FE22" s="10">
        <f>IF(CABLES[[#This Row],[SEG33]]&gt;0,CABLES[[#This Row],[CABLE_DIAMETER]],0)</f>
        <v>0</v>
      </c>
      <c r="FF22" s="10">
        <f>IF(CABLES[[#This Row],[SEG34]]&gt;0,CABLES[[#This Row],[CABLE_DIAMETER]],0)</f>
        <v>0</v>
      </c>
      <c r="FG22" s="10">
        <f>IF(CABLES[[#This Row],[SEG35]]&gt;0,CABLES[[#This Row],[CABLE_DIAMETER]],0)</f>
        <v>0</v>
      </c>
      <c r="FH22" s="10">
        <f>IF(CABLES[[#This Row],[SEG36]]&gt;0,CABLES[[#This Row],[CABLE_DIAMETER]],0)</f>
        <v>0</v>
      </c>
      <c r="FI22" s="10">
        <f>IF(CABLES[[#This Row],[SEG37]]&gt;0,CABLES[[#This Row],[CABLE_DIAMETER]],0)</f>
        <v>0</v>
      </c>
      <c r="FJ22" s="10">
        <f>IF(CABLES[[#This Row],[SEG38]]&gt;0,CABLES[[#This Row],[CABLE_DIAMETER]],0)</f>
        <v>0</v>
      </c>
      <c r="FK22" s="10">
        <f>IF(CABLES[[#This Row],[SEG39]]&gt;0,CABLES[[#This Row],[CABLE_DIAMETER]],0)</f>
        <v>0</v>
      </c>
      <c r="FL22" s="10">
        <f>IF(CABLES[[#This Row],[SEG40]]&gt;0,CABLES[[#This Row],[CABLE_DIAMETER]],0)</f>
        <v>0</v>
      </c>
      <c r="FM22" s="10">
        <f>IF(CABLES[[#This Row],[SEG41]]&gt;0,CABLES[[#This Row],[CABLE_DIAMETER]],0)</f>
        <v>0</v>
      </c>
      <c r="FN22" s="10">
        <f>IF(CABLES[[#This Row],[SEG42]]&gt;0,CABLES[[#This Row],[CABLE_DIAMETER]],0)</f>
        <v>0</v>
      </c>
      <c r="FO22" s="10">
        <f>IF(CABLES[[#This Row],[SEG43]]&gt;0,CABLES[[#This Row],[CABLE_DIAMETER]],0)</f>
        <v>0</v>
      </c>
      <c r="FP22" s="10">
        <f>IF(CABLES[[#This Row],[SEG44]]&gt;0,CABLES[[#This Row],[CABLE_DIAMETER]],0)</f>
        <v>0</v>
      </c>
      <c r="FQ22" s="10">
        <f>IF(CABLES[[#This Row],[SEG45]]&gt;0,CABLES[[#This Row],[CABLE_DIAMETER]],0)</f>
        <v>0</v>
      </c>
      <c r="FR22" s="10">
        <f>IF(CABLES[[#This Row],[SEG46]]&gt;0,CABLES[[#This Row],[CABLE_DIAMETER]],0)</f>
        <v>0</v>
      </c>
      <c r="FS22" s="10">
        <f>IF(CABLES[[#This Row],[SEG47]]&gt;0,CABLES[[#This Row],[CABLE_DIAMETER]],0)</f>
        <v>0</v>
      </c>
      <c r="FT22" s="10">
        <f>IF(CABLES[[#This Row],[SEG48]]&gt;0,CABLES[[#This Row],[CABLE_DIAMETER]],0)</f>
        <v>0</v>
      </c>
      <c r="FU22" s="10">
        <f>IF(CABLES[[#This Row],[SEG49]]&gt;0,CABLES[[#This Row],[CABLE_DIAMETER]],0)</f>
        <v>0</v>
      </c>
      <c r="FV22" s="10">
        <f>IF(CABLES[[#This Row],[SEG50]]&gt;0,CABLES[[#This Row],[CABLE_DIAMETER]],0)</f>
        <v>0</v>
      </c>
      <c r="FW22" s="10">
        <f>IF(CABLES[[#This Row],[SEG51]]&gt;0,CABLES[[#This Row],[CABLE_DIAMETER]],0)</f>
        <v>0</v>
      </c>
      <c r="FX22" s="10">
        <f>IF(CABLES[[#This Row],[SEG52]]&gt;0,CABLES[[#This Row],[CABLE_DIAMETER]],0)</f>
        <v>0</v>
      </c>
      <c r="FY22" s="10">
        <f>IF(CABLES[[#This Row],[SEG53]]&gt;0,CABLES[[#This Row],[CABLE_DIAMETER]],0)</f>
        <v>0</v>
      </c>
      <c r="FZ22" s="10">
        <f>IF(CABLES[[#This Row],[SEG54]]&gt;0,CABLES[[#This Row],[CABLE_DIAMETER]],0)</f>
        <v>0</v>
      </c>
      <c r="GA22" s="10">
        <f>IF(CABLES[[#This Row],[SEG55]]&gt;0,CABLES[[#This Row],[CABLE_DIAMETER]],0)</f>
        <v>0</v>
      </c>
      <c r="GB22" s="10">
        <f>IF(CABLES[[#This Row],[SEG56]]&gt;0,CABLES[[#This Row],[CABLE_DIAMETER]],0)</f>
        <v>0</v>
      </c>
      <c r="GC22" s="10">
        <f>IF(CABLES[[#This Row],[SEG57]]&gt;0,CABLES[[#This Row],[CABLE_DIAMETER]],0)</f>
        <v>0</v>
      </c>
      <c r="GD22" s="10">
        <f>IF(CABLES[[#This Row],[SEG58]]&gt;0,CABLES[[#This Row],[CABLE_DIAMETER]],0)</f>
        <v>0</v>
      </c>
      <c r="GE22" s="10">
        <f>IF(CABLES[[#This Row],[SEG59]]&gt;0,CABLES[[#This Row],[CABLE_DIAMETER]],0)</f>
        <v>0</v>
      </c>
      <c r="GF22" s="10">
        <f>IF(CABLES[[#This Row],[SEG60]]&gt;0,CABLES[[#This Row],[CABLE_DIAMETER]],0)</f>
        <v>0</v>
      </c>
      <c r="GG22" s="10">
        <f>IF(CABLES[[#This Row],[SEG1]]&gt;0,CABLES[[#This Row],[CABLE_MASS]],0)</f>
        <v>0.21</v>
      </c>
      <c r="GH22" s="10">
        <f>IF(CABLES[[#This Row],[SEG2]]&gt;0,CABLES[[#This Row],[CABLE_MASS]],0)</f>
        <v>0.21</v>
      </c>
      <c r="GI22" s="10">
        <f>IF(CABLES[[#This Row],[SEG3]]&gt;0,CABLES[[#This Row],[CABLE_MASS]],0)</f>
        <v>0.21</v>
      </c>
      <c r="GJ22" s="10">
        <f>IF(CABLES[[#This Row],[SEG4]]&gt;0,CABLES[[#This Row],[CABLE_MASS]],0)</f>
        <v>0</v>
      </c>
      <c r="GK22" s="10">
        <f>IF(CABLES[[#This Row],[SEG5]]&gt;0,CABLES[[#This Row],[CABLE_MASS]],0)</f>
        <v>0</v>
      </c>
      <c r="GL22" s="10">
        <f>IF(CABLES[[#This Row],[SEG6]]&gt;0,CABLES[[#This Row],[CABLE_MASS]],0)</f>
        <v>0</v>
      </c>
      <c r="GM22" s="10">
        <f>IF(CABLES[[#This Row],[SEG7]]&gt;0,CABLES[[#This Row],[CABLE_MASS]],0)</f>
        <v>0</v>
      </c>
      <c r="GN22" s="10">
        <f>IF(CABLES[[#This Row],[SEG8]]&gt;0,CABLES[[#This Row],[CABLE_MASS]],0)</f>
        <v>0</v>
      </c>
      <c r="GO22" s="10">
        <f>IF(CABLES[[#This Row],[SEG9]]&gt;0,CABLES[[#This Row],[CABLE_MASS]],0)</f>
        <v>0</v>
      </c>
      <c r="GP22" s="10">
        <f>IF(CABLES[[#This Row],[SEG10]]&gt;0,CABLES[[#This Row],[CABLE_MASS]],0)</f>
        <v>0</v>
      </c>
      <c r="GQ22" s="10">
        <f>IF(CABLES[[#This Row],[SEG11]]&gt;0,CABLES[[#This Row],[CABLE_MASS]],0)</f>
        <v>0</v>
      </c>
      <c r="GR22" s="10">
        <f>IF(CABLES[[#This Row],[SEG12]]&gt;0,CABLES[[#This Row],[CABLE_MASS]],0)</f>
        <v>0</v>
      </c>
      <c r="GS22" s="10">
        <f>IF(CABLES[[#This Row],[SEG13]]&gt;0,CABLES[[#This Row],[CABLE_MASS]],0)</f>
        <v>0</v>
      </c>
      <c r="GT22" s="10">
        <f>IF(CABLES[[#This Row],[SEG14]]&gt;0,CABLES[[#This Row],[CABLE_MASS]],0)</f>
        <v>0</v>
      </c>
      <c r="GU22" s="10">
        <f>IF(CABLES[[#This Row],[SEG15]]&gt;0,CABLES[[#This Row],[CABLE_MASS]],0)</f>
        <v>0</v>
      </c>
      <c r="GV22" s="10">
        <f>IF(CABLES[[#This Row],[SEG16]]&gt;0,CABLES[[#This Row],[CABLE_MASS]],0)</f>
        <v>0</v>
      </c>
      <c r="GW22" s="10">
        <f>IF(CABLES[[#This Row],[SEG17]]&gt;0,CABLES[[#This Row],[CABLE_MASS]],0)</f>
        <v>0</v>
      </c>
      <c r="GX22" s="10">
        <f>IF(CABLES[[#This Row],[SEG18]]&gt;0,CABLES[[#This Row],[CABLE_MASS]],0)</f>
        <v>0</v>
      </c>
      <c r="GY22" s="10">
        <f>IF(CABLES[[#This Row],[SEG19]]&gt;0,CABLES[[#This Row],[CABLE_MASS]],0)</f>
        <v>0</v>
      </c>
      <c r="GZ22" s="10">
        <f>IF(CABLES[[#This Row],[SEG20]]&gt;0,CABLES[[#This Row],[CABLE_MASS]],0)</f>
        <v>0</v>
      </c>
      <c r="HA22" s="10">
        <f>IF(CABLES[[#This Row],[SEG21]]&gt;0,CABLES[[#This Row],[CABLE_MASS]],0)</f>
        <v>0</v>
      </c>
      <c r="HB22" s="10">
        <f>IF(CABLES[[#This Row],[SEG22]]&gt;0,CABLES[[#This Row],[CABLE_MASS]],0)</f>
        <v>0</v>
      </c>
      <c r="HC22" s="10">
        <f>IF(CABLES[[#This Row],[SEG23]]&gt;0,CABLES[[#This Row],[CABLE_MASS]],0)</f>
        <v>0</v>
      </c>
      <c r="HD22" s="10">
        <f>IF(CABLES[[#This Row],[SEG24]]&gt;0,CABLES[[#This Row],[CABLE_MASS]],0)</f>
        <v>0</v>
      </c>
      <c r="HE22" s="10">
        <f>IF(CABLES[[#This Row],[SEG25]]&gt;0,CABLES[[#This Row],[CABLE_MASS]],0)</f>
        <v>0</v>
      </c>
      <c r="HF22" s="10">
        <f>IF(CABLES[[#This Row],[SEG26]]&gt;0,CABLES[[#This Row],[CABLE_MASS]],0)</f>
        <v>0</v>
      </c>
      <c r="HG22" s="10">
        <f>IF(CABLES[[#This Row],[SEG27]]&gt;0,CABLES[[#This Row],[CABLE_MASS]],0)</f>
        <v>0</v>
      </c>
      <c r="HH22" s="10">
        <f>IF(CABLES[[#This Row],[SEG28]]&gt;0,CABLES[[#This Row],[CABLE_MASS]],0)</f>
        <v>0</v>
      </c>
      <c r="HI22" s="10">
        <f>IF(CABLES[[#This Row],[SEG29]]&gt;0,CABLES[[#This Row],[CABLE_MASS]],0)</f>
        <v>0</v>
      </c>
      <c r="HJ22" s="10">
        <f>IF(CABLES[[#This Row],[SEG30]]&gt;0,CABLES[[#This Row],[CABLE_MASS]],0)</f>
        <v>0</v>
      </c>
      <c r="HK22" s="10">
        <f>IF(CABLES[[#This Row],[SEG31]]&gt;0,CABLES[[#This Row],[CABLE_MASS]],0)</f>
        <v>0</v>
      </c>
      <c r="HL22" s="10">
        <f>IF(CABLES[[#This Row],[SEG32]]&gt;0,CABLES[[#This Row],[CABLE_MASS]],0)</f>
        <v>0</v>
      </c>
      <c r="HM22" s="10">
        <f>IF(CABLES[[#This Row],[SEG33]]&gt;0,CABLES[[#This Row],[CABLE_MASS]],0)</f>
        <v>0</v>
      </c>
      <c r="HN22" s="10">
        <f>IF(CABLES[[#This Row],[SEG34]]&gt;0,CABLES[[#This Row],[CABLE_MASS]],0)</f>
        <v>0</v>
      </c>
      <c r="HO22" s="10">
        <f>IF(CABLES[[#This Row],[SEG35]]&gt;0,CABLES[[#This Row],[CABLE_MASS]],0)</f>
        <v>0</v>
      </c>
      <c r="HP22" s="10">
        <f>IF(CABLES[[#This Row],[SEG36]]&gt;0,CABLES[[#This Row],[CABLE_MASS]],0)</f>
        <v>0</v>
      </c>
      <c r="HQ22" s="10">
        <f>IF(CABLES[[#This Row],[SEG37]]&gt;0,CABLES[[#This Row],[CABLE_MASS]],0)</f>
        <v>0</v>
      </c>
      <c r="HR22" s="10">
        <f>IF(CABLES[[#This Row],[SEG38]]&gt;0,CABLES[[#This Row],[CABLE_MASS]],0)</f>
        <v>0</v>
      </c>
      <c r="HS22" s="10">
        <f>IF(CABLES[[#This Row],[SEG39]]&gt;0,CABLES[[#This Row],[CABLE_MASS]],0)</f>
        <v>0</v>
      </c>
      <c r="HT22" s="10">
        <f>IF(CABLES[[#This Row],[SEG40]]&gt;0,CABLES[[#This Row],[CABLE_MASS]],0)</f>
        <v>0</v>
      </c>
      <c r="HU22" s="10">
        <f>IF(CABLES[[#This Row],[SEG41]]&gt;0,CABLES[[#This Row],[CABLE_MASS]],0)</f>
        <v>0</v>
      </c>
      <c r="HV22" s="10">
        <f>IF(CABLES[[#This Row],[SEG42]]&gt;0,CABLES[[#This Row],[CABLE_MASS]],0)</f>
        <v>0</v>
      </c>
      <c r="HW22" s="10">
        <f>IF(CABLES[[#This Row],[SEG43]]&gt;0,CABLES[[#This Row],[CABLE_MASS]],0)</f>
        <v>0</v>
      </c>
      <c r="HX22" s="10">
        <f>IF(CABLES[[#This Row],[SEG44]]&gt;0,CABLES[[#This Row],[CABLE_MASS]],0)</f>
        <v>0</v>
      </c>
      <c r="HY22" s="10">
        <f>IF(CABLES[[#This Row],[SEG45]]&gt;0,CABLES[[#This Row],[CABLE_MASS]],0)</f>
        <v>0</v>
      </c>
      <c r="HZ22" s="10">
        <f>IF(CABLES[[#This Row],[SEG46]]&gt;0,CABLES[[#This Row],[CABLE_MASS]],0)</f>
        <v>0</v>
      </c>
      <c r="IA22" s="10">
        <f>IF(CABLES[[#This Row],[SEG47]]&gt;0,CABLES[[#This Row],[CABLE_MASS]],0)</f>
        <v>0</v>
      </c>
      <c r="IB22" s="10">
        <f>IF(CABLES[[#This Row],[SEG48]]&gt;0,CABLES[[#This Row],[CABLE_MASS]],0)</f>
        <v>0</v>
      </c>
      <c r="IC22" s="10">
        <f>IF(CABLES[[#This Row],[SEG49]]&gt;0,CABLES[[#This Row],[CABLE_MASS]],0)</f>
        <v>0</v>
      </c>
      <c r="ID22" s="10">
        <f>IF(CABLES[[#This Row],[SEG50]]&gt;0,CABLES[[#This Row],[CABLE_MASS]],0)</f>
        <v>0</v>
      </c>
      <c r="IE22" s="10">
        <f>IF(CABLES[[#This Row],[SEG51]]&gt;0,CABLES[[#This Row],[CABLE_MASS]],0)</f>
        <v>0</v>
      </c>
      <c r="IF22" s="10">
        <f>IF(CABLES[[#This Row],[SEG52]]&gt;0,CABLES[[#This Row],[CABLE_MASS]],0)</f>
        <v>0</v>
      </c>
      <c r="IG22" s="10">
        <f>IF(CABLES[[#This Row],[SEG53]]&gt;0,CABLES[[#This Row],[CABLE_MASS]],0)</f>
        <v>0</v>
      </c>
      <c r="IH22" s="10">
        <f>IF(CABLES[[#This Row],[SEG54]]&gt;0,CABLES[[#This Row],[CABLE_MASS]],0)</f>
        <v>0</v>
      </c>
      <c r="II22" s="10">
        <f>IF(CABLES[[#This Row],[SEG55]]&gt;0,CABLES[[#This Row],[CABLE_MASS]],0)</f>
        <v>0</v>
      </c>
      <c r="IJ22" s="10">
        <f>IF(CABLES[[#This Row],[SEG56]]&gt;0,CABLES[[#This Row],[CABLE_MASS]],0)</f>
        <v>0</v>
      </c>
      <c r="IK22" s="10">
        <f>IF(CABLES[[#This Row],[SEG57]]&gt;0,CABLES[[#This Row],[CABLE_MASS]],0)</f>
        <v>0</v>
      </c>
      <c r="IL22" s="10">
        <f>IF(CABLES[[#This Row],[SEG58]]&gt;0,CABLES[[#This Row],[CABLE_MASS]],0)</f>
        <v>0</v>
      </c>
      <c r="IM22" s="10">
        <f>IF(CABLES[[#This Row],[SEG59]]&gt;0,CABLES[[#This Row],[CABLE_MASS]],0)</f>
        <v>0</v>
      </c>
      <c r="IN22" s="10">
        <f>IF(CABLES[[#This Row],[SEG60]]&gt;0,CABLES[[#This Row],[CABLE_MASS]],0)</f>
        <v>0</v>
      </c>
      <c r="IO22" s="10">
        <f xml:space="preserve">  (CABLES[[#This Row],[LOAD_KW]]/(SQRT(3)*SYSTEM_VOLTAGE*POWER_FACTOR))*1000</f>
        <v>6.4150029909958413</v>
      </c>
      <c r="IP22" s="10">
        <v>45</v>
      </c>
      <c r="IQ22" s="10">
        <f xml:space="preserve"> INDEX(AS3000_AMBIENTDERATE[], MATCH(CABLES[[#This Row],[AMBIENT]],AS3000_AMBIENTDERATE[AMBIENT],0), 2)</f>
        <v>0.94</v>
      </c>
      <c r="IR22" s="10">
        <f xml:space="preserve"> ROUNDUP( CABLES[[#This Row],[CALCULATED_AMPS]]/CABLES[[#This Row],[AMBIENT_DERATING]],1)</f>
        <v>6.8999999999999995</v>
      </c>
      <c r="IS22" s="10" t="s">
        <v>531</v>
      </c>
      <c r="IT2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22" s="10">
        <f t="shared" si="0"/>
        <v>28.000000000000004</v>
      </c>
      <c r="IV22" s="10">
        <f>(1000*CABLES[[#This Row],[MAX_VDROP]])/(CABLES[[#This Row],[ESTIMATED_CABLE_LENGTH]]*CABLES[[#This Row],[AMP_RATING]])</f>
        <v>93.934514224369337</v>
      </c>
      <c r="IW22" s="10">
        <f xml:space="preserve"> INDEX(AS3000_VDROP[], MATCH(CABLES[[#This Row],[VC_CALC]],AS3000_VDROP[Vc],1),1)</f>
        <v>2.5</v>
      </c>
      <c r="IX22" s="10">
        <f>MAX(CABLES[[#This Row],[CABLESIZE_METHOD1]],CABLES[[#This Row],[CABLESIZE_METHOD2]])</f>
        <v>2.5</v>
      </c>
      <c r="IY22" s="10"/>
      <c r="IZ22" s="10">
        <f>IF(LEN(CABLES[[#This Row],[OVERRIDE_CABLESIZE]])&gt;0,CABLES[[#This Row],[OVERRIDE_CABLESIZE]],CABLES[[#This Row],[INITIAL_CABLESIZE]])</f>
        <v>2.5</v>
      </c>
      <c r="JA22" s="10">
        <f>INDEX(PROTECTIVE_DEVICE[DEVICE], MATCH(CABLES[[#This Row],[CALCULATED_AMPS]],PROTECTIVE_DEVICE[DEVICE],-1),1)</f>
        <v>10</v>
      </c>
      <c r="JB22" s="10"/>
      <c r="JC22" s="10">
        <f>IF(LEN(CABLES[[#This Row],[OVERRIDE_PDEVICE]])&gt;0, CABLES[[#This Row],[OVERRIDE_PDEVICE]],CABLES[[#This Row],[RECOMMEND_PDEVICE]])</f>
        <v>10</v>
      </c>
      <c r="JD22" s="10" t="s">
        <v>450</v>
      </c>
      <c r="JE22" s="10">
        <f xml:space="preserve"> CABLES[[#This Row],[SELECTED_PDEVICE]] * INDEX(DEVICE_CURVE[], MATCH(CABLES[[#This Row],[PDEVICE_CURVE]], DEVICE_CURVE[DEVICE_CURVE],0),2)</f>
        <v>65</v>
      </c>
      <c r="JF22" s="10" t="s">
        <v>458</v>
      </c>
      <c r="JG22" s="10">
        <f xml:space="preserve"> INDEX(CONDUCTOR_MATERIAL[], MATCH(CABLES[[#This Row],[CONDUCTOR_MATERIAL]],CONDUCTOR_MATERIAL[CONDUCTOR_MATERIAL],0),2)</f>
        <v>2.2499999999999999E-2</v>
      </c>
      <c r="JH22" s="10">
        <f>CABLES[[#This Row],[SELECTED_CABLESIZE]]</f>
        <v>2.5</v>
      </c>
      <c r="JI22" s="10">
        <f xml:space="preserve"> INDEX( EARTH_CONDUCTOR_SIZE[], MATCH(CABLES[[#This Row],[SPH]],EARTH_CONDUCTOR_SIZE[MM^2],-1), 2)</f>
        <v>2.5</v>
      </c>
      <c r="JJ22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22" s="10" t="str">
        <f>IF(CABLES[[#This Row],[LMAX]]&gt;CABLES[[#This Row],[ESTIMATED_CABLE_LENGTH]], "PASS", "ERROR")</f>
        <v>PASS</v>
      </c>
      <c r="JL2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2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22" s="6">
        <f xml:space="preserve"> ROUNDUP( CABLES[[#This Row],[CALCULATED_AMPS]],1)</f>
        <v>6.5</v>
      </c>
      <c r="JO22" s="6">
        <f>CABLES[[#This Row],[SELECTED_CABLESIZE]]</f>
        <v>2.5</v>
      </c>
      <c r="JP22" s="10">
        <f>CABLES[[#This Row],[ESTIMATED_CABLE_LENGTH]]</f>
        <v>43.199999999999996</v>
      </c>
      <c r="JQ22" s="6">
        <f>CABLES[[#This Row],[SELECTED_PDEVICE]]</f>
        <v>10</v>
      </c>
    </row>
    <row r="23" spans="1:277" x14ac:dyDescent="0.35">
      <c r="A23" s="5" t="s">
        <v>22</v>
      </c>
      <c r="B23" s="5" t="s">
        <v>86</v>
      </c>
      <c r="C23" s="10" t="s">
        <v>261</v>
      </c>
      <c r="D23" s="9">
        <v>11</v>
      </c>
      <c r="E23" s="9">
        <v>1</v>
      </c>
      <c r="F23" s="9">
        <v>1</v>
      </c>
      <c r="G23" s="9">
        <v>0</v>
      </c>
      <c r="H23" s="9">
        <v>1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f xml:space="preserve"> IF(CABLES[[#This Row],[SEG1]] &gt;0, INDEX(SEGMENTS[], MATCH(CABLES[[#Headers],[SEG1]],SEGMENTS[SEG_ID],0),4),0)</f>
        <v>13</v>
      </c>
      <c r="BN23" s="9">
        <f xml:space="preserve"> IF(CABLES[[#This Row],[SEG2]] &gt;0, INDEX(SEGMENTS[], MATCH(CABLES[[#Headers],[SEG2]],SEGMENTS[SEG_ID],0),4),0)</f>
        <v>2</v>
      </c>
      <c r="BO23" s="9">
        <f xml:space="preserve"> IF(CABLES[[#This Row],[SEG3]] &gt;0, INDEX(SEGMENTS[], MATCH(CABLES[[#Headers],[SEG3]],SEGMENTS[SEG_ID],0),4),0)</f>
        <v>0</v>
      </c>
      <c r="BP23" s="9">
        <f xml:space="preserve"> IF(CABLES[[#This Row],[SEG4]] &gt;0, INDEX(SEGMENTS[], MATCH(CABLES[[#Headers],[SEG4]],SEGMENTS[SEG_ID],0),4),0)</f>
        <v>14</v>
      </c>
      <c r="BQ23" s="9">
        <f xml:space="preserve"> IF(CABLES[[#This Row],[SEG5]] &gt;0,INDEX(SEGMENTS[], MATCH(CABLES[[#Headers],[SEG5]],SEGMENTS[SEG_ID],0),4),0)</f>
        <v>8</v>
      </c>
      <c r="BR23" s="9">
        <f xml:space="preserve"> IF(CABLES[[#This Row],[SEG6]] &gt;0,INDEX(SEGMENTS[], MATCH(CABLES[[#Headers],[SEG6]],SEGMENTS[SEG_ID],0),4),0)</f>
        <v>0</v>
      </c>
      <c r="BS23" s="9">
        <f xml:space="preserve"> IF(CABLES[[#This Row],[SEG7]] &gt;0,INDEX(SEGMENTS[], MATCH(CABLES[[#Headers],[SEG7]],SEGMENTS[SEG_ID],0),4),0)</f>
        <v>0</v>
      </c>
      <c r="BT23" s="9">
        <f xml:space="preserve"> IF(CABLES[[#This Row],[SEG8]] &gt;0,INDEX(SEGMENTS[], MATCH(CABLES[[#Headers],[SEG8]],SEGMENTS[SEG_ID],0),4),0)</f>
        <v>0</v>
      </c>
      <c r="BU23" s="9">
        <f xml:space="preserve"> IF(CABLES[[#This Row],[SEG9]] &gt;0,INDEX(SEGMENTS[], MATCH(CABLES[[#Headers],[SEG9]],SEGMENTS[SEG_ID],0),4),0)</f>
        <v>0</v>
      </c>
      <c r="BV23" s="9">
        <f xml:space="preserve"> IF(CABLES[[#This Row],[SEG10]] &gt;0,INDEX(SEGMENTS[], MATCH(CABLES[[#Headers],[SEG10]],SEGMENTS[SEG_ID],0),4),0)</f>
        <v>0</v>
      </c>
      <c r="BW23" s="9">
        <f xml:space="preserve"> IF(CABLES[[#This Row],[SEG11]] &gt;0,INDEX(SEGMENTS[], MATCH(CABLES[[#Headers],[SEG11]],SEGMENTS[SEG_ID],0),4),0)</f>
        <v>0</v>
      </c>
      <c r="BX23" s="9">
        <f>IF(CABLES[[#This Row],[SEG12]] &gt;0, INDEX(SEGMENTS[], MATCH(CABLES[[#Headers],[SEG12]],SEGMENTS[SEG_ID],0),4),0)</f>
        <v>0</v>
      </c>
      <c r="BY23" s="9">
        <f xml:space="preserve"> IF(CABLES[[#This Row],[SEG13]] &gt;0,INDEX(SEGMENTS[], MATCH(CABLES[[#Headers],[SEG13]],SEGMENTS[SEG_ID],0),4),0)</f>
        <v>0</v>
      </c>
      <c r="BZ23" s="9">
        <f xml:space="preserve"> IF(CABLES[[#This Row],[SEG14]] &gt;0,INDEX(SEGMENTS[], MATCH(CABLES[[#Headers],[SEG14]],SEGMENTS[SEG_ID],0),4),0)</f>
        <v>0</v>
      </c>
      <c r="CA23" s="9">
        <f xml:space="preserve"> IF(CABLES[[#This Row],[SEG15]] &gt;0,INDEX(SEGMENTS[], MATCH(CABLES[[#Headers],[SEG15]],SEGMENTS[SEG_ID],0),4),0)</f>
        <v>0</v>
      </c>
      <c r="CB23" s="9">
        <f xml:space="preserve"> IF(CABLES[[#This Row],[SEG16]] &gt;0,INDEX(SEGMENTS[], MATCH(CABLES[[#Headers],[SEG16]],SEGMENTS[SEG_ID],0),4),0)</f>
        <v>0</v>
      </c>
      <c r="CC23" s="9">
        <f xml:space="preserve"> IF(CABLES[[#This Row],[SEG17]] &gt;0,INDEX(SEGMENTS[], MATCH(CABLES[[#Headers],[SEG17]],SEGMENTS[SEG_ID],0),4),0)</f>
        <v>0</v>
      </c>
      <c r="CD23" s="9">
        <f xml:space="preserve"> IF(CABLES[[#This Row],[SEG18]] &gt;0,INDEX(SEGMENTS[], MATCH(CABLES[[#Headers],[SEG18]],SEGMENTS[SEG_ID],0),4),0)</f>
        <v>0</v>
      </c>
      <c r="CE23" s="9">
        <f>IF(CABLES[[#This Row],[SEG19]] &gt;0, INDEX(SEGMENTS[], MATCH(CABLES[[#Headers],[SEG19]],SEGMENTS[SEG_ID],0),4),0)</f>
        <v>0</v>
      </c>
      <c r="CF23" s="9">
        <f>IF(CABLES[[#This Row],[SEG20]] &gt;0, INDEX(SEGMENTS[], MATCH(CABLES[[#Headers],[SEG20]],SEGMENTS[SEG_ID],0),4),0)</f>
        <v>0</v>
      </c>
      <c r="CG23" s="9">
        <f xml:space="preserve"> IF(CABLES[[#This Row],[SEG21]] &gt;0,INDEX(SEGMENTS[], MATCH(CABLES[[#Headers],[SEG21]],SEGMENTS[SEG_ID],0),4),0)</f>
        <v>0</v>
      </c>
      <c r="CH23" s="9">
        <f xml:space="preserve"> IF(CABLES[[#This Row],[SEG22]] &gt;0,INDEX(SEGMENTS[], MATCH(CABLES[[#Headers],[SEG22]],SEGMENTS[SEG_ID],0),4),0)</f>
        <v>0</v>
      </c>
      <c r="CI23" s="9">
        <f>IF(CABLES[[#This Row],[SEG23]] &gt;0, INDEX(SEGMENTS[], MATCH(CABLES[[#Headers],[SEG23]],SEGMENTS[SEG_ID],0),4),0)</f>
        <v>0</v>
      </c>
      <c r="CJ23" s="9">
        <f xml:space="preserve"> IF(CABLES[[#This Row],[SEG24]] &gt;0,INDEX(SEGMENTS[], MATCH(CABLES[[#Headers],[SEG24]],SEGMENTS[SEG_ID],0),4),0)</f>
        <v>0</v>
      </c>
      <c r="CK23" s="9">
        <f>IF(CABLES[[#This Row],[SEG25]] &gt;0, INDEX(SEGMENTS[], MATCH(CABLES[[#Headers],[SEG25]],SEGMENTS[SEG_ID],0),4),0)</f>
        <v>0</v>
      </c>
      <c r="CL23" s="9">
        <f>IF(CABLES[[#This Row],[SEG26]] &gt;0, INDEX(SEGMENTS[], MATCH(CABLES[[#Headers],[SEG26]],SEGMENTS[SEG_ID],0),4),0)</f>
        <v>0</v>
      </c>
      <c r="CM23" s="9">
        <f xml:space="preserve"> IF(CABLES[[#This Row],[SEG27]] &gt;0,INDEX(SEGMENTS[], MATCH(CABLES[[#Headers],[SEG27]],SEGMENTS[SEG_ID],0),4),0)</f>
        <v>0</v>
      </c>
      <c r="CN23" s="9">
        <f xml:space="preserve"> IF(CABLES[[#This Row],[SEG28]] &gt;0,INDEX(SEGMENTS[], MATCH(CABLES[[#Headers],[SEG28]],SEGMENTS[SEG_ID],0),4),0)</f>
        <v>0</v>
      </c>
      <c r="CO23" s="9">
        <f xml:space="preserve"> IF(CABLES[[#This Row],[SEG29]] &gt;0,INDEX(SEGMENTS[], MATCH(CABLES[[#Headers],[SEG29]],SEGMENTS[SEG_ID],0),4),0)</f>
        <v>0</v>
      </c>
      <c r="CP23" s="9">
        <f xml:space="preserve"> IF(CABLES[[#This Row],[SEG30]] &gt;0,INDEX(SEGMENTS[], MATCH(CABLES[[#Headers],[SEG30]],SEGMENTS[SEG_ID],0),4),0)</f>
        <v>0</v>
      </c>
      <c r="CQ23" s="9">
        <f>IF(CABLES[[#This Row],[SEG31]] &gt;0, INDEX(SEGMENTS[], MATCH(CABLES[[#Headers],[SEG31]],SEGMENTS[SEG_ID],0),4),0)</f>
        <v>0</v>
      </c>
      <c r="CR23" s="9">
        <f xml:space="preserve"> IF(CABLES[[#This Row],[SEG32]] &gt;0,INDEX(SEGMENTS[], MATCH(CABLES[[#Headers],[SEG32]],SEGMENTS[SEG_ID],0),4),0)</f>
        <v>0</v>
      </c>
      <c r="CS23" s="9">
        <f xml:space="preserve"> IF(CABLES[[#This Row],[SEG33]] &gt;0,INDEX(SEGMENTS[], MATCH(CABLES[[#Headers],[SEG33]],SEGMENTS[SEG_ID],0),4),0)</f>
        <v>0</v>
      </c>
      <c r="CT23" s="9">
        <f>IF(CABLES[[#This Row],[SEG34]] &gt;0, INDEX(SEGMENTS[], MATCH(CABLES[[#Headers],[SEG34]],SEGMENTS[SEG_ID],0),4),0)</f>
        <v>0</v>
      </c>
      <c r="CU23" s="9">
        <f xml:space="preserve"> IF(CABLES[[#This Row],[SEG35]] &gt;0,INDEX(SEGMENTS[], MATCH(CABLES[[#Headers],[SEG35]],SEGMENTS[SEG_ID],0),4),0)</f>
        <v>0</v>
      </c>
      <c r="CV23" s="9">
        <f xml:space="preserve"> IF(CABLES[[#This Row],[SEG36]] &gt;0,INDEX(SEGMENTS[], MATCH(CABLES[[#Headers],[SEG36]],SEGMENTS[SEG_ID],0),4),0)</f>
        <v>0</v>
      </c>
      <c r="CW23" s="9">
        <f xml:space="preserve"> IF(CABLES[[#This Row],[SEG37]] &gt;0,INDEX(SEGMENTS[], MATCH(CABLES[[#Headers],[SEG37]],SEGMENTS[SEG_ID],0),4),0)</f>
        <v>0</v>
      </c>
      <c r="CX23" s="9">
        <f xml:space="preserve"> IF(CABLES[[#This Row],[SEG38]] &gt;0,INDEX(SEGMENTS[], MATCH(CABLES[[#Headers],[SEG38]],SEGMENTS[SEG_ID],0),4),0)</f>
        <v>0</v>
      </c>
      <c r="CY23" s="9">
        <f xml:space="preserve"> IF(CABLES[[#This Row],[SEG39]] &gt;0,INDEX(SEGMENTS[], MATCH(CABLES[[#Headers],[SEG39]],SEGMENTS[SEG_ID],0),4),0)</f>
        <v>0</v>
      </c>
      <c r="CZ23" s="9">
        <f xml:space="preserve"> IF(CABLES[[#This Row],[SEG40]] &gt;0,INDEX(SEGMENTS[], MATCH(CABLES[[#Headers],[SEG40]],SEGMENTS[SEG_ID],0),4),0)</f>
        <v>0</v>
      </c>
      <c r="DA23" s="9">
        <f xml:space="preserve"> IF(CABLES[[#This Row],[SEG41]] &gt;0,INDEX(SEGMENTS[], MATCH(CABLES[[#Headers],[SEG41]],SEGMENTS[SEG_ID],0),4),0)</f>
        <v>0</v>
      </c>
      <c r="DB23" s="9">
        <f xml:space="preserve"> IF(CABLES[[#This Row],[SEG42]] &gt;0,INDEX(SEGMENTS[], MATCH(CABLES[[#Headers],[SEG42]],SEGMENTS[SEG_ID],0),4),0)</f>
        <v>0</v>
      </c>
      <c r="DC23" s="9">
        <f xml:space="preserve"> IF(CABLES[[#This Row],[SEG43]] &gt;0,INDEX(SEGMENTS[], MATCH(CABLES[[#Headers],[SEG43]],SEGMENTS[SEG_ID],0),4),0)</f>
        <v>0</v>
      </c>
      <c r="DD23" s="9">
        <f xml:space="preserve"> IF(CABLES[[#This Row],[SEG44]] &gt;0,INDEX(SEGMENTS[], MATCH(CABLES[[#Headers],[SEG44]],SEGMENTS[SEG_ID],0),4),0)</f>
        <v>0</v>
      </c>
      <c r="DE23" s="9">
        <f xml:space="preserve"> IF(CABLES[[#This Row],[SEG45]] &gt;0,INDEX(SEGMENTS[], MATCH(CABLES[[#Headers],[SEG45]],SEGMENTS[SEG_ID],0),4),0)</f>
        <v>0</v>
      </c>
      <c r="DF23" s="9">
        <f xml:space="preserve"> IF(CABLES[[#This Row],[SEG46]] &gt;0,INDEX(SEGMENTS[], MATCH(CABLES[[#Headers],[SEG46]],SEGMENTS[SEG_ID],0),4),0)</f>
        <v>0</v>
      </c>
      <c r="DG23" s="9">
        <f xml:space="preserve"> IF(CABLES[[#This Row],[SEG47]] &gt;0,INDEX(SEGMENTS[], MATCH(CABLES[[#Headers],[SEG47]],SEGMENTS[SEG_ID],0),4),0)</f>
        <v>0</v>
      </c>
      <c r="DH23" s="9">
        <f xml:space="preserve"> IF(CABLES[[#This Row],[SEG48]] &gt;0,INDEX(SEGMENTS[], MATCH(CABLES[[#Headers],[SEG48]],SEGMENTS[SEG_ID],0),4),0)</f>
        <v>0</v>
      </c>
      <c r="DI23" s="9">
        <f xml:space="preserve"> IF(CABLES[[#This Row],[SEG49]] &gt;0,INDEX(SEGMENTS[], MATCH(CABLES[[#Headers],[SEG49]],SEGMENTS[SEG_ID],0),4),0)</f>
        <v>0</v>
      </c>
      <c r="DJ23" s="9">
        <f xml:space="preserve"> IF(CABLES[[#This Row],[SEG50]] &gt;0,INDEX(SEGMENTS[], MATCH(CABLES[[#Headers],[SEG50]],SEGMENTS[SEG_ID],0),4),0)</f>
        <v>0</v>
      </c>
      <c r="DK23" s="9">
        <f xml:space="preserve"> IF(CABLES[[#This Row],[SEG51]] &gt;0,INDEX(SEGMENTS[], MATCH(CABLES[[#Headers],[SEG51]],SEGMENTS[SEG_ID],0),4),0)</f>
        <v>0</v>
      </c>
      <c r="DL23" s="9">
        <f xml:space="preserve"> IF(CABLES[[#This Row],[SEG52]] &gt;0,INDEX(SEGMENTS[], MATCH(CABLES[[#Headers],[SEG52]],SEGMENTS[SEG_ID],0),4),0)</f>
        <v>0</v>
      </c>
      <c r="DM23" s="9">
        <f xml:space="preserve"> IF(CABLES[[#This Row],[SEG53]] &gt;0,INDEX(SEGMENTS[], MATCH(CABLES[[#Headers],[SEG53]],SEGMENTS[SEG_ID],0),4),0)</f>
        <v>0</v>
      </c>
      <c r="DN23" s="9">
        <f xml:space="preserve"> IF(CABLES[[#This Row],[SEG54]] &gt;0,INDEX(SEGMENTS[], MATCH(CABLES[[#Headers],[SEG54]],SEGMENTS[SEG_ID],0),4),0)</f>
        <v>0</v>
      </c>
      <c r="DO23" s="9">
        <f xml:space="preserve"> IF(CABLES[[#This Row],[SEG55]] &gt;0,INDEX(SEGMENTS[], MATCH(CABLES[[#Headers],[SEG55]],SEGMENTS[SEG_ID],0),4),0)</f>
        <v>0</v>
      </c>
      <c r="DP23" s="9">
        <f xml:space="preserve"> IF(CABLES[[#This Row],[SEG56]] &gt;0,INDEX(SEGMENTS[], MATCH(CABLES[[#Headers],[SEG56]],SEGMENTS[SEG_ID],0),4),0)</f>
        <v>0</v>
      </c>
      <c r="DQ23" s="9">
        <f xml:space="preserve"> IF(CABLES[[#This Row],[SEG57]] &gt;0,INDEX(SEGMENTS[], MATCH(CABLES[[#Headers],[SEG57]],SEGMENTS[SEG_ID],0),4),0)</f>
        <v>0</v>
      </c>
      <c r="DR23" s="9">
        <f xml:space="preserve"> IF(CABLES[[#This Row],[SEG58]] &gt;0,INDEX(SEGMENTS[], MATCH(CABLES[[#Headers],[SEG58]],SEGMENTS[SEG_ID],0),4),0)</f>
        <v>0</v>
      </c>
      <c r="DS23" s="9">
        <f xml:space="preserve"> IF(CABLES[[#This Row],[SEG59]] &gt;0,INDEX(SEGMENTS[], MATCH(CABLES[[#Headers],[SEG59]],SEGMENTS[SEG_ID],0),4),0)</f>
        <v>0</v>
      </c>
      <c r="DT23" s="9">
        <f xml:space="preserve"> IF(CABLES[[#This Row],[SEG60]] &gt;0,INDEX(SEGMENTS[], MATCH(CABLES[[#Headers],[SEG60]],SEGMENTS[SEG_ID],0),4),0)</f>
        <v>0</v>
      </c>
      <c r="DU23" s="10">
        <f>SUM(CABLES[[#This Row],[SEGL1]:[SEGL60]])</f>
        <v>37</v>
      </c>
      <c r="DV23" s="10">
        <v>5</v>
      </c>
      <c r="DW23" s="10">
        <v>1.2</v>
      </c>
      <c r="DX23" s="10">
        <f xml:space="preserve"> IF(CABLES[[#This Row],[SEGL_TOTAL]]&gt;0, (CABLES[[#This Row],[SEGL_TOTAL]] + CABLES[[#This Row],[FITOFF]]) *CABLES[[#This Row],[XCAPACITY]],0)</f>
        <v>50.4</v>
      </c>
      <c r="DY23" s="10">
        <f>IF(CABLES[[#This Row],[SEG1]]&gt;0,CABLES[[#This Row],[CABLE_DIAMETER]],0)</f>
        <v>14.5</v>
      </c>
      <c r="DZ23" s="10">
        <f>IF(CABLES[[#This Row],[SEG2]]&gt;0,CABLES[[#This Row],[CABLE_DIAMETER]],0)</f>
        <v>14.5</v>
      </c>
      <c r="EA23" s="10">
        <f>IF(CABLES[[#This Row],[SEG3]]&gt;0,CABLES[[#This Row],[CABLE_DIAMETER]],0)</f>
        <v>0</v>
      </c>
      <c r="EB23" s="10">
        <f>IF(CABLES[[#This Row],[SEG4]]&gt;0,CABLES[[#This Row],[CABLE_DIAMETER]],0)</f>
        <v>14.5</v>
      </c>
      <c r="EC23" s="10">
        <f>IF(CABLES[[#This Row],[SEG5]]&gt;0,CABLES[[#This Row],[CABLE_DIAMETER]],0)</f>
        <v>14.5</v>
      </c>
      <c r="ED23" s="10">
        <f>IF(CABLES[[#This Row],[SEG6]]&gt;0,CABLES[[#This Row],[CABLE_DIAMETER]],0)</f>
        <v>0</v>
      </c>
      <c r="EE23" s="10">
        <f>IF(CABLES[[#This Row],[SEG7]]&gt;0,CABLES[[#This Row],[CABLE_DIAMETER]],0)</f>
        <v>0</v>
      </c>
      <c r="EF23" s="10">
        <f>IF(CABLES[[#This Row],[SEG9]]&gt;0,CABLES[[#This Row],[CABLE_DIAMETER]],0)</f>
        <v>0</v>
      </c>
      <c r="EG23" s="10">
        <f>IF(CABLES[[#This Row],[SEG9]]&gt;0,CABLES[[#This Row],[CABLE_DIAMETER]],0)</f>
        <v>0</v>
      </c>
      <c r="EH23" s="10">
        <f>IF(CABLES[[#This Row],[SEG10]]&gt;0,CABLES[[#This Row],[CABLE_DIAMETER]],0)</f>
        <v>0</v>
      </c>
      <c r="EI23" s="10">
        <f>IF(CABLES[[#This Row],[SEG11]]&gt;0,CABLES[[#This Row],[CABLE_DIAMETER]],0)</f>
        <v>0</v>
      </c>
      <c r="EJ23" s="10">
        <f>IF(CABLES[[#This Row],[SEG12]]&gt;0,CABLES[[#This Row],[CABLE_DIAMETER]],0)</f>
        <v>0</v>
      </c>
      <c r="EK23" s="10">
        <f>IF(CABLES[[#This Row],[SEG13]]&gt;0,CABLES[[#This Row],[CABLE_DIAMETER]],0)</f>
        <v>0</v>
      </c>
      <c r="EL23" s="10">
        <f>IF(CABLES[[#This Row],[SEG14]]&gt;0,CABLES[[#This Row],[CABLE_DIAMETER]],0)</f>
        <v>0</v>
      </c>
      <c r="EM23" s="10">
        <f>IF(CABLES[[#This Row],[SEG15]]&gt;0,CABLES[[#This Row],[CABLE_DIAMETER]],0)</f>
        <v>0</v>
      </c>
      <c r="EN23" s="10">
        <f>IF(CABLES[[#This Row],[SEG16]]&gt;0,CABLES[[#This Row],[CABLE_DIAMETER]],0)</f>
        <v>0</v>
      </c>
      <c r="EO23" s="10">
        <f>IF(CABLES[[#This Row],[SEG17]]&gt;0,CABLES[[#This Row],[CABLE_DIAMETER]],0)</f>
        <v>0</v>
      </c>
      <c r="EP23" s="10">
        <f>IF(CABLES[[#This Row],[SEG18]]&gt;0,CABLES[[#This Row],[CABLE_DIAMETER]],0)</f>
        <v>0</v>
      </c>
      <c r="EQ23" s="10">
        <f>IF(CABLES[[#This Row],[SEG19]]&gt;0,CABLES[[#This Row],[CABLE_DIAMETER]],0)</f>
        <v>0</v>
      </c>
      <c r="ER23" s="10">
        <f>IF(CABLES[[#This Row],[SEG20]]&gt;0,CABLES[[#This Row],[CABLE_DIAMETER]],0)</f>
        <v>0</v>
      </c>
      <c r="ES23" s="10">
        <f>IF(CABLES[[#This Row],[SEG21]]&gt;0,CABLES[[#This Row],[CABLE_DIAMETER]],0)</f>
        <v>0</v>
      </c>
      <c r="ET23" s="10">
        <f>IF(CABLES[[#This Row],[SEG22]]&gt;0,CABLES[[#This Row],[CABLE_DIAMETER]],0)</f>
        <v>0</v>
      </c>
      <c r="EU23" s="10">
        <f>IF(CABLES[[#This Row],[SEG23]]&gt;0,CABLES[[#This Row],[CABLE_DIAMETER]],0)</f>
        <v>0</v>
      </c>
      <c r="EV23" s="10">
        <f>IF(CABLES[[#This Row],[SEG24]]&gt;0,CABLES[[#This Row],[CABLE_DIAMETER]],0)</f>
        <v>0</v>
      </c>
      <c r="EW23" s="10">
        <f>IF(CABLES[[#This Row],[SEG25]]&gt;0,CABLES[[#This Row],[CABLE_DIAMETER]],0)</f>
        <v>0</v>
      </c>
      <c r="EX23" s="10">
        <f>IF(CABLES[[#This Row],[SEG26]]&gt;0,CABLES[[#This Row],[CABLE_DIAMETER]],0)</f>
        <v>0</v>
      </c>
      <c r="EY23" s="10">
        <f>IF(CABLES[[#This Row],[SEG27]]&gt;0,CABLES[[#This Row],[CABLE_DIAMETER]],0)</f>
        <v>0</v>
      </c>
      <c r="EZ23" s="10">
        <f>IF(CABLES[[#This Row],[SEG28]]&gt;0,CABLES[[#This Row],[CABLE_DIAMETER]],0)</f>
        <v>0</v>
      </c>
      <c r="FA23" s="10">
        <f>IF(CABLES[[#This Row],[SEG29]]&gt;0,CABLES[[#This Row],[CABLE_DIAMETER]],0)</f>
        <v>0</v>
      </c>
      <c r="FB23" s="10">
        <f>IF(CABLES[[#This Row],[SEG30]]&gt;0,CABLES[[#This Row],[CABLE_DIAMETER]],0)</f>
        <v>0</v>
      </c>
      <c r="FC23" s="10">
        <f>IF(CABLES[[#This Row],[SEG31]]&gt;0,CABLES[[#This Row],[CABLE_DIAMETER]],0)</f>
        <v>0</v>
      </c>
      <c r="FD23" s="10">
        <f>IF(CABLES[[#This Row],[SEG32]]&gt;0,CABLES[[#This Row],[CABLE_DIAMETER]],0)</f>
        <v>0</v>
      </c>
      <c r="FE23" s="10">
        <f>IF(CABLES[[#This Row],[SEG33]]&gt;0,CABLES[[#This Row],[CABLE_DIAMETER]],0)</f>
        <v>0</v>
      </c>
      <c r="FF23" s="10">
        <f>IF(CABLES[[#This Row],[SEG34]]&gt;0,CABLES[[#This Row],[CABLE_DIAMETER]],0)</f>
        <v>0</v>
      </c>
      <c r="FG23" s="10">
        <f>IF(CABLES[[#This Row],[SEG35]]&gt;0,CABLES[[#This Row],[CABLE_DIAMETER]],0)</f>
        <v>0</v>
      </c>
      <c r="FH23" s="10">
        <f>IF(CABLES[[#This Row],[SEG36]]&gt;0,CABLES[[#This Row],[CABLE_DIAMETER]],0)</f>
        <v>0</v>
      </c>
      <c r="FI23" s="10">
        <f>IF(CABLES[[#This Row],[SEG37]]&gt;0,CABLES[[#This Row],[CABLE_DIAMETER]],0)</f>
        <v>0</v>
      </c>
      <c r="FJ23" s="10">
        <f>IF(CABLES[[#This Row],[SEG38]]&gt;0,CABLES[[#This Row],[CABLE_DIAMETER]],0)</f>
        <v>0</v>
      </c>
      <c r="FK23" s="10">
        <f>IF(CABLES[[#This Row],[SEG39]]&gt;0,CABLES[[#This Row],[CABLE_DIAMETER]],0)</f>
        <v>0</v>
      </c>
      <c r="FL23" s="10">
        <f>IF(CABLES[[#This Row],[SEG40]]&gt;0,CABLES[[#This Row],[CABLE_DIAMETER]],0)</f>
        <v>0</v>
      </c>
      <c r="FM23" s="10">
        <f>IF(CABLES[[#This Row],[SEG41]]&gt;0,CABLES[[#This Row],[CABLE_DIAMETER]],0)</f>
        <v>0</v>
      </c>
      <c r="FN23" s="10">
        <f>IF(CABLES[[#This Row],[SEG42]]&gt;0,CABLES[[#This Row],[CABLE_DIAMETER]],0)</f>
        <v>0</v>
      </c>
      <c r="FO23" s="10">
        <f>IF(CABLES[[#This Row],[SEG43]]&gt;0,CABLES[[#This Row],[CABLE_DIAMETER]],0)</f>
        <v>0</v>
      </c>
      <c r="FP23" s="10">
        <f>IF(CABLES[[#This Row],[SEG44]]&gt;0,CABLES[[#This Row],[CABLE_DIAMETER]],0)</f>
        <v>0</v>
      </c>
      <c r="FQ23" s="10">
        <f>IF(CABLES[[#This Row],[SEG45]]&gt;0,CABLES[[#This Row],[CABLE_DIAMETER]],0)</f>
        <v>0</v>
      </c>
      <c r="FR23" s="10">
        <f>IF(CABLES[[#This Row],[SEG46]]&gt;0,CABLES[[#This Row],[CABLE_DIAMETER]],0)</f>
        <v>0</v>
      </c>
      <c r="FS23" s="10">
        <f>IF(CABLES[[#This Row],[SEG47]]&gt;0,CABLES[[#This Row],[CABLE_DIAMETER]],0)</f>
        <v>0</v>
      </c>
      <c r="FT23" s="10">
        <f>IF(CABLES[[#This Row],[SEG48]]&gt;0,CABLES[[#This Row],[CABLE_DIAMETER]],0)</f>
        <v>0</v>
      </c>
      <c r="FU23" s="10">
        <f>IF(CABLES[[#This Row],[SEG49]]&gt;0,CABLES[[#This Row],[CABLE_DIAMETER]],0)</f>
        <v>0</v>
      </c>
      <c r="FV23" s="10">
        <f>IF(CABLES[[#This Row],[SEG50]]&gt;0,CABLES[[#This Row],[CABLE_DIAMETER]],0)</f>
        <v>0</v>
      </c>
      <c r="FW23" s="10">
        <f>IF(CABLES[[#This Row],[SEG51]]&gt;0,CABLES[[#This Row],[CABLE_DIAMETER]],0)</f>
        <v>0</v>
      </c>
      <c r="FX23" s="10">
        <f>IF(CABLES[[#This Row],[SEG52]]&gt;0,CABLES[[#This Row],[CABLE_DIAMETER]],0)</f>
        <v>0</v>
      </c>
      <c r="FY23" s="10">
        <f>IF(CABLES[[#This Row],[SEG53]]&gt;0,CABLES[[#This Row],[CABLE_DIAMETER]],0)</f>
        <v>0</v>
      </c>
      <c r="FZ23" s="10">
        <f>IF(CABLES[[#This Row],[SEG54]]&gt;0,CABLES[[#This Row],[CABLE_DIAMETER]],0)</f>
        <v>0</v>
      </c>
      <c r="GA23" s="10">
        <f>IF(CABLES[[#This Row],[SEG55]]&gt;0,CABLES[[#This Row],[CABLE_DIAMETER]],0)</f>
        <v>0</v>
      </c>
      <c r="GB23" s="10">
        <f>IF(CABLES[[#This Row],[SEG56]]&gt;0,CABLES[[#This Row],[CABLE_DIAMETER]],0)</f>
        <v>0</v>
      </c>
      <c r="GC23" s="10">
        <f>IF(CABLES[[#This Row],[SEG57]]&gt;0,CABLES[[#This Row],[CABLE_DIAMETER]],0)</f>
        <v>0</v>
      </c>
      <c r="GD23" s="10">
        <f>IF(CABLES[[#This Row],[SEG58]]&gt;0,CABLES[[#This Row],[CABLE_DIAMETER]],0)</f>
        <v>0</v>
      </c>
      <c r="GE23" s="10">
        <f>IF(CABLES[[#This Row],[SEG59]]&gt;0,CABLES[[#This Row],[CABLE_DIAMETER]],0)</f>
        <v>0</v>
      </c>
      <c r="GF23" s="10">
        <f>IF(CABLES[[#This Row],[SEG60]]&gt;0,CABLES[[#This Row],[CABLE_DIAMETER]],0)</f>
        <v>0</v>
      </c>
      <c r="GG23" s="10">
        <f>IF(CABLES[[#This Row],[SEG1]]&gt;0,CABLES[[#This Row],[CABLE_MASS]],0)</f>
        <v>0.33</v>
      </c>
      <c r="GH23" s="10">
        <f>IF(CABLES[[#This Row],[SEG2]]&gt;0,CABLES[[#This Row],[CABLE_MASS]],0)</f>
        <v>0.33</v>
      </c>
      <c r="GI23" s="10">
        <f>IF(CABLES[[#This Row],[SEG3]]&gt;0,CABLES[[#This Row],[CABLE_MASS]],0)</f>
        <v>0</v>
      </c>
      <c r="GJ23" s="10">
        <f>IF(CABLES[[#This Row],[SEG4]]&gt;0,CABLES[[#This Row],[CABLE_MASS]],0)</f>
        <v>0.33</v>
      </c>
      <c r="GK23" s="10">
        <f>IF(CABLES[[#This Row],[SEG5]]&gt;0,CABLES[[#This Row],[CABLE_MASS]],0)</f>
        <v>0.33</v>
      </c>
      <c r="GL23" s="10">
        <f>IF(CABLES[[#This Row],[SEG6]]&gt;0,CABLES[[#This Row],[CABLE_MASS]],0)</f>
        <v>0</v>
      </c>
      <c r="GM23" s="10">
        <f>IF(CABLES[[#This Row],[SEG7]]&gt;0,CABLES[[#This Row],[CABLE_MASS]],0)</f>
        <v>0</v>
      </c>
      <c r="GN23" s="10">
        <f>IF(CABLES[[#This Row],[SEG8]]&gt;0,CABLES[[#This Row],[CABLE_MASS]],0)</f>
        <v>0</v>
      </c>
      <c r="GO23" s="10">
        <f>IF(CABLES[[#This Row],[SEG9]]&gt;0,CABLES[[#This Row],[CABLE_MASS]],0)</f>
        <v>0</v>
      </c>
      <c r="GP23" s="10">
        <f>IF(CABLES[[#This Row],[SEG10]]&gt;0,CABLES[[#This Row],[CABLE_MASS]],0)</f>
        <v>0</v>
      </c>
      <c r="GQ23" s="10">
        <f>IF(CABLES[[#This Row],[SEG11]]&gt;0,CABLES[[#This Row],[CABLE_MASS]],0)</f>
        <v>0</v>
      </c>
      <c r="GR23" s="10">
        <f>IF(CABLES[[#This Row],[SEG12]]&gt;0,CABLES[[#This Row],[CABLE_MASS]],0)</f>
        <v>0</v>
      </c>
      <c r="GS23" s="10">
        <f>IF(CABLES[[#This Row],[SEG13]]&gt;0,CABLES[[#This Row],[CABLE_MASS]],0)</f>
        <v>0</v>
      </c>
      <c r="GT23" s="10">
        <f>IF(CABLES[[#This Row],[SEG14]]&gt;0,CABLES[[#This Row],[CABLE_MASS]],0)</f>
        <v>0</v>
      </c>
      <c r="GU23" s="10">
        <f>IF(CABLES[[#This Row],[SEG15]]&gt;0,CABLES[[#This Row],[CABLE_MASS]],0)</f>
        <v>0</v>
      </c>
      <c r="GV23" s="10">
        <f>IF(CABLES[[#This Row],[SEG16]]&gt;0,CABLES[[#This Row],[CABLE_MASS]],0)</f>
        <v>0</v>
      </c>
      <c r="GW23" s="10">
        <f>IF(CABLES[[#This Row],[SEG17]]&gt;0,CABLES[[#This Row],[CABLE_MASS]],0)</f>
        <v>0</v>
      </c>
      <c r="GX23" s="10">
        <f>IF(CABLES[[#This Row],[SEG18]]&gt;0,CABLES[[#This Row],[CABLE_MASS]],0)</f>
        <v>0</v>
      </c>
      <c r="GY23" s="10">
        <f>IF(CABLES[[#This Row],[SEG19]]&gt;0,CABLES[[#This Row],[CABLE_MASS]],0)</f>
        <v>0</v>
      </c>
      <c r="GZ23" s="10">
        <f>IF(CABLES[[#This Row],[SEG20]]&gt;0,CABLES[[#This Row],[CABLE_MASS]],0)</f>
        <v>0</v>
      </c>
      <c r="HA23" s="10">
        <f>IF(CABLES[[#This Row],[SEG21]]&gt;0,CABLES[[#This Row],[CABLE_MASS]],0)</f>
        <v>0</v>
      </c>
      <c r="HB23" s="10">
        <f>IF(CABLES[[#This Row],[SEG22]]&gt;0,CABLES[[#This Row],[CABLE_MASS]],0)</f>
        <v>0</v>
      </c>
      <c r="HC23" s="10">
        <f>IF(CABLES[[#This Row],[SEG23]]&gt;0,CABLES[[#This Row],[CABLE_MASS]],0)</f>
        <v>0</v>
      </c>
      <c r="HD23" s="10">
        <f>IF(CABLES[[#This Row],[SEG24]]&gt;0,CABLES[[#This Row],[CABLE_MASS]],0)</f>
        <v>0</v>
      </c>
      <c r="HE23" s="10">
        <f>IF(CABLES[[#This Row],[SEG25]]&gt;0,CABLES[[#This Row],[CABLE_MASS]],0)</f>
        <v>0</v>
      </c>
      <c r="HF23" s="10">
        <f>IF(CABLES[[#This Row],[SEG26]]&gt;0,CABLES[[#This Row],[CABLE_MASS]],0)</f>
        <v>0</v>
      </c>
      <c r="HG23" s="10">
        <f>IF(CABLES[[#This Row],[SEG27]]&gt;0,CABLES[[#This Row],[CABLE_MASS]],0)</f>
        <v>0</v>
      </c>
      <c r="HH23" s="10">
        <f>IF(CABLES[[#This Row],[SEG28]]&gt;0,CABLES[[#This Row],[CABLE_MASS]],0)</f>
        <v>0</v>
      </c>
      <c r="HI23" s="10">
        <f>IF(CABLES[[#This Row],[SEG29]]&gt;0,CABLES[[#This Row],[CABLE_MASS]],0)</f>
        <v>0</v>
      </c>
      <c r="HJ23" s="10">
        <f>IF(CABLES[[#This Row],[SEG30]]&gt;0,CABLES[[#This Row],[CABLE_MASS]],0)</f>
        <v>0</v>
      </c>
      <c r="HK23" s="10">
        <f>IF(CABLES[[#This Row],[SEG31]]&gt;0,CABLES[[#This Row],[CABLE_MASS]],0)</f>
        <v>0</v>
      </c>
      <c r="HL23" s="10">
        <f>IF(CABLES[[#This Row],[SEG32]]&gt;0,CABLES[[#This Row],[CABLE_MASS]],0)</f>
        <v>0</v>
      </c>
      <c r="HM23" s="10">
        <f>IF(CABLES[[#This Row],[SEG33]]&gt;0,CABLES[[#This Row],[CABLE_MASS]],0)</f>
        <v>0</v>
      </c>
      <c r="HN23" s="10">
        <f>IF(CABLES[[#This Row],[SEG34]]&gt;0,CABLES[[#This Row],[CABLE_MASS]],0)</f>
        <v>0</v>
      </c>
      <c r="HO23" s="10">
        <f>IF(CABLES[[#This Row],[SEG35]]&gt;0,CABLES[[#This Row],[CABLE_MASS]],0)</f>
        <v>0</v>
      </c>
      <c r="HP23" s="10">
        <f>IF(CABLES[[#This Row],[SEG36]]&gt;0,CABLES[[#This Row],[CABLE_MASS]],0)</f>
        <v>0</v>
      </c>
      <c r="HQ23" s="10">
        <f>IF(CABLES[[#This Row],[SEG37]]&gt;0,CABLES[[#This Row],[CABLE_MASS]],0)</f>
        <v>0</v>
      </c>
      <c r="HR23" s="10">
        <f>IF(CABLES[[#This Row],[SEG38]]&gt;0,CABLES[[#This Row],[CABLE_MASS]],0)</f>
        <v>0</v>
      </c>
      <c r="HS23" s="10">
        <f>IF(CABLES[[#This Row],[SEG39]]&gt;0,CABLES[[#This Row],[CABLE_MASS]],0)</f>
        <v>0</v>
      </c>
      <c r="HT23" s="10">
        <f>IF(CABLES[[#This Row],[SEG40]]&gt;0,CABLES[[#This Row],[CABLE_MASS]],0)</f>
        <v>0</v>
      </c>
      <c r="HU23" s="10">
        <f>IF(CABLES[[#This Row],[SEG41]]&gt;0,CABLES[[#This Row],[CABLE_MASS]],0)</f>
        <v>0</v>
      </c>
      <c r="HV23" s="10">
        <f>IF(CABLES[[#This Row],[SEG42]]&gt;0,CABLES[[#This Row],[CABLE_MASS]],0)</f>
        <v>0</v>
      </c>
      <c r="HW23" s="10">
        <f>IF(CABLES[[#This Row],[SEG43]]&gt;0,CABLES[[#This Row],[CABLE_MASS]],0)</f>
        <v>0</v>
      </c>
      <c r="HX23" s="10">
        <f>IF(CABLES[[#This Row],[SEG44]]&gt;0,CABLES[[#This Row],[CABLE_MASS]],0)</f>
        <v>0</v>
      </c>
      <c r="HY23" s="10">
        <f>IF(CABLES[[#This Row],[SEG45]]&gt;0,CABLES[[#This Row],[CABLE_MASS]],0)</f>
        <v>0</v>
      </c>
      <c r="HZ23" s="10">
        <f>IF(CABLES[[#This Row],[SEG46]]&gt;0,CABLES[[#This Row],[CABLE_MASS]],0)</f>
        <v>0</v>
      </c>
      <c r="IA23" s="10">
        <f>IF(CABLES[[#This Row],[SEG47]]&gt;0,CABLES[[#This Row],[CABLE_MASS]],0)</f>
        <v>0</v>
      </c>
      <c r="IB23" s="10">
        <f>IF(CABLES[[#This Row],[SEG48]]&gt;0,CABLES[[#This Row],[CABLE_MASS]],0)</f>
        <v>0</v>
      </c>
      <c r="IC23" s="10">
        <f>IF(CABLES[[#This Row],[SEG49]]&gt;0,CABLES[[#This Row],[CABLE_MASS]],0)</f>
        <v>0</v>
      </c>
      <c r="ID23" s="10">
        <f>IF(CABLES[[#This Row],[SEG50]]&gt;0,CABLES[[#This Row],[CABLE_MASS]],0)</f>
        <v>0</v>
      </c>
      <c r="IE23" s="10">
        <f>IF(CABLES[[#This Row],[SEG51]]&gt;0,CABLES[[#This Row],[CABLE_MASS]],0)</f>
        <v>0</v>
      </c>
      <c r="IF23" s="10">
        <f>IF(CABLES[[#This Row],[SEG52]]&gt;0,CABLES[[#This Row],[CABLE_MASS]],0)</f>
        <v>0</v>
      </c>
      <c r="IG23" s="10">
        <f>IF(CABLES[[#This Row],[SEG53]]&gt;0,CABLES[[#This Row],[CABLE_MASS]],0)</f>
        <v>0</v>
      </c>
      <c r="IH23" s="10">
        <f>IF(CABLES[[#This Row],[SEG54]]&gt;0,CABLES[[#This Row],[CABLE_MASS]],0)</f>
        <v>0</v>
      </c>
      <c r="II23" s="10">
        <f>IF(CABLES[[#This Row],[SEG55]]&gt;0,CABLES[[#This Row],[CABLE_MASS]],0)</f>
        <v>0</v>
      </c>
      <c r="IJ23" s="10">
        <f>IF(CABLES[[#This Row],[SEG56]]&gt;0,CABLES[[#This Row],[CABLE_MASS]],0)</f>
        <v>0</v>
      </c>
      <c r="IK23" s="10">
        <f>IF(CABLES[[#This Row],[SEG57]]&gt;0,CABLES[[#This Row],[CABLE_MASS]],0)</f>
        <v>0</v>
      </c>
      <c r="IL23" s="10">
        <f>IF(CABLES[[#This Row],[SEG58]]&gt;0,CABLES[[#This Row],[CABLE_MASS]],0)</f>
        <v>0</v>
      </c>
      <c r="IM23" s="10">
        <f>IF(CABLES[[#This Row],[SEG59]]&gt;0,CABLES[[#This Row],[CABLE_MASS]],0)</f>
        <v>0</v>
      </c>
      <c r="IN23" s="10">
        <f>IF(CABLES[[#This Row],[SEG60]]&gt;0,CABLES[[#This Row],[CABLE_MASS]],0)</f>
        <v>0</v>
      </c>
      <c r="IO23" s="10">
        <f xml:space="preserve">  (CABLES[[#This Row],[LOAD_KW]]/(SQRT(3)*SYSTEM_VOLTAGE*POWER_FACTOR))*1000</f>
        <v>17.641258225238563</v>
      </c>
      <c r="IP23" s="10">
        <v>45</v>
      </c>
      <c r="IQ23" s="10">
        <f xml:space="preserve"> INDEX(AS3000_AMBIENTDERATE[], MATCH(CABLES[[#This Row],[AMBIENT]],AS3000_AMBIENTDERATE[AMBIENT],0), 2)</f>
        <v>0.94</v>
      </c>
      <c r="IR23" s="10">
        <f xml:space="preserve"> ROUNDUP( CABLES[[#This Row],[CALCULATED_AMPS]]/CABLES[[#This Row],[AMBIENT_DERATING]],1)</f>
        <v>18.8</v>
      </c>
      <c r="IS23" s="10" t="s">
        <v>531</v>
      </c>
      <c r="IT2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23" s="10">
        <f t="shared" si="0"/>
        <v>28.000000000000004</v>
      </c>
      <c r="IV23" s="10">
        <f>(1000*CABLES[[#This Row],[MAX_VDROP]])/(CABLES[[#This Row],[ESTIMATED_CABLE_LENGTH]]*CABLES[[#This Row],[AMP_RATING]])</f>
        <v>29.550827423167853</v>
      </c>
      <c r="IW23" s="10">
        <f xml:space="preserve"> INDEX(AS3000_VDROP[], MATCH(CABLES[[#This Row],[VC_CALC]],AS3000_VDROP[Vc],1),1)</f>
        <v>2.5</v>
      </c>
      <c r="IX23" s="10">
        <f>MAX(CABLES[[#This Row],[CABLESIZE_METHOD1]],CABLES[[#This Row],[CABLESIZE_METHOD2]])</f>
        <v>2.5</v>
      </c>
      <c r="IY23" s="10"/>
      <c r="IZ23" s="10">
        <f>IF(LEN(CABLES[[#This Row],[OVERRIDE_CABLESIZE]])&gt;0,CABLES[[#This Row],[OVERRIDE_CABLESIZE]],CABLES[[#This Row],[INITIAL_CABLESIZE]])</f>
        <v>2.5</v>
      </c>
      <c r="JA23" s="10">
        <f>INDEX(PROTECTIVE_DEVICE[DEVICE], MATCH(CABLES[[#This Row],[CALCULATED_AMPS]],PROTECTIVE_DEVICE[DEVICE],-1),1)</f>
        <v>20</v>
      </c>
      <c r="JB23" s="10"/>
      <c r="JC23" s="10">
        <f>IF(LEN(CABLES[[#This Row],[OVERRIDE_PDEVICE]])&gt;0, CABLES[[#This Row],[OVERRIDE_PDEVICE]],CABLES[[#This Row],[RECOMMEND_PDEVICE]])</f>
        <v>20</v>
      </c>
      <c r="JD23" s="10" t="s">
        <v>450</v>
      </c>
      <c r="JE23" s="10">
        <f xml:space="preserve"> CABLES[[#This Row],[SELECTED_PDEVICE]] * INDEX(DEVICE_CURVE[], MATCH(CABLES[[#This Row],[PDEVICE_CURVE]], DEVICE_CURVE[DEVICE_CURVE],0),2)</f>
        <v>130</v>
      </c>
      <c r="JF23" s="10" t="s">
        <v>458</v>
      </c>
      <c r="JG23" s="10">
        <f xml:space="preserve"> INDEX(CONDUCTOR_MATERIAL[], MATCH(CABLES[[#This Row],[CONDUCTOR_MATERIAL]],CONDUCTOR_MATERIAL[CONDUCTOR_MATERIAL],0),2)</f>
        <v>2.2499999999999999E-2</v>
      </c>
      <c r="JH23" s="10">
        <f>CABLES[[#This Row],[SELECTED_CABLESIZE]]</f>
        <v>2.5</v>
      </c>
      <c r="JI23" s="10">
        <f xml:space="preserve"> INDEX( EARTH_CONDUCTOR_SIZE[], MATCH(CABLES[[#This Row],[SPH]],EARTH_CONDUCTOR_SIZE[MM^2],-1), 2)</f>
        <v>2.5</v>
      </c>
      <c r="JJ23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23" s="10" t="str">
        <f>IF(CABLES[[#This Row],[LMAX]]&gt;CABLES[[#This Row],[ESTIMATED_CABLE_LENGTH]], "PASS", "ERROR")</f>
        <v>PASS</v>
      </c>
      <c r="JL2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2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23" s="6">
        <f xml:space="preserve"> ROUNDUP( CABLES[[#This Row],[CALCULATED_AMPS]],1)</f>
        <v>17.700000000000003</v>
      </c>
      <c r="JO23" s="6">
        <f>CABLES[[#This Row],[SELECTED_CABLESIZE]]</f>
        <v>2.5</v>
      </c>
      <c r="JP23" s="10">
        <f>CABLES[[#This Row],[ESTIMATED_CABLE_LENGTH]]</f>
        <v>50.4</v>
      </c>
      <c r="JQ23" s="6">
        <f>CABLES[[#This Row],[SELECTED_PDEVICE]]</f>
        <v>20</v>
      </c>
    </row>
    <row r="24" spans="1:277" x14ac:dyDescent="0.35">
      <c r="A24" s="5" t="s">
        <v>23</v>
      </c>
      <c r="B24" s="5" t="s">
        <v>87</v>
      </c>
      <c r="C24" s="10" t="s">
        <v>261</v>
      </c>
      <c r="D24" s="9">
        <v>3</v>
      </c>
      <c r="E24" s="9">
        <v>1</v>
      </c>
      <c r="F24" s="9">
        <v>1</v>
      </c>
      <c r="G24" s="9">
        <v>0</v>
      </c>
      <c r="H24" s="9">
        <v>1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f xml:space="preserve"> IF(CABLES[[#This Row],[SEG1]] &gt;0, INDEX(SEGMENTS[], MATCH(CABLES[[#Headers],[SEG1]],SEGMENTS[SEG_ID],0),4),0)</f>
        <v>13</v>
      </c>
      <c r="BN24" s="9">
        <f xml:space="preserve"> IF(CABLES[[#This Row],[SEG2]] &gt;0, INDEX(SEGMENTS[], MATCH(CABLES[[#Headers],[SEG2]],SEGMENTS[SEG_ID],0),4),0)</f>
        <v>2</v>
      </c>
      <c r="BO24" s="9">
        <f xml:space="preserve"> IF(CABLES[[#This Row],[SEG3]] &gt;0, INDEX(SEGMENTS[], MATCH(CABLES[[#Headers],[SEG3]],SEGMENTS[SEG_ID],0),4),0)</f>
        <v>0</v>
      </c>
      <c r="BP24" s="9">
        <f xml:space="preserve"> IF(CABLES[[#This Row],[SEG4]] &gt;0, INDEX(SEGMENTS[], MATCH(CABLES[[#Headers],[SEG4]],SEGMENTS[SEG_ID],0),4),0)</f>
        <v>14</v>
      </c>
      <c r="BQ24" s="9">
        <f xml:space="preserve"> IF(CABLES[[#This Row],[SEG5]] &gt;0,INDEX(SEGMENTS[], MATCH(CABLES[[#Headers],[SEG5]],SEGMENTS[SEG_ID],0),4),0)</f>
        <v>8</v>
      </c>
      <c r="BR24" s="9">
        <f xml:space="preserve"> IF(CABLES[[#This Row],[SEG6]] &gt;0,INDEX(SEGMENTS[], MATCH(CABLES[[#Headers],[SEG6]],SEGMENTS[SEG_ID],0),4),0)</f>
        <v>0</v>
      </c>
      <c r="BS24" s="9">
        <f xml:space="preserve"> IF(CABLES[[#This Row],[SEG7]] &gt;0,INDEX(SEGMENTS[], MATCH(CABLES[[#Headers],[SEG7]],SEGMENTS[SEG_ID],0),4),0)</f>
        <v>0</v>
      </c>
      <c r="BT24" s="9">
        <f xml:space="preserve"> IF(CABLES[[#This Row],[SEG8]] &gt;0,INDEX(SEGMENTS[], MATCH(CABLES[[#Headers],[SEG8]],SEGMENTS[SEG_ID],0),4),0)</f>
        <v>0</v>
      </c>
      <c r="BU24" s="9">
        <f xml:space="preserve"> IF(CABLES[[#This Row],[SEG9]] &gt;0,INDEX(SEGMENTS[], MATCH(CABLES[[#Headers],[SEG9]],SEGMENTS[SEG_ID],0),4),0)</f>
        <v>0</v>
      </c>
      <c r="BV24" s="9">
        <f xml:space="preserve"> IF(CABLES[[#This Row],[SEG10]] &gt;0,INDEX(SEGMENTS[], MATCH(CABLES[[#Headers],[SEG10]],SEGMENTS[SEG_ID],0),4),0)</f>
        <v>0</v>
      </c>
      <c r="BW24" s="9">
        <f xml:space="preserve"> IF(CABLES[[#This Row],[SEG11]] &gt;0,INDEX(SEGMENTS[], MATCH(CABLES[[#Headers],[SEG11]],SEGMENTS[SEG_ID],0),4),0)</f>
        <v>0</v>
      </c>
      <c r="BX24" s="9">
        <f>IF(CABLES[[#This Row],[SEG12]] &gt;0, INDEX(SEGMENTS[], MATCH(CABLES[[#Headers],[SEG12]],SEGMENTS[SEG_ID],0),4),0)</f>
        <v>0</v>
      </c>
      <c r="BY24" s="9">
        <f xml:space="preserve"> IF(CABLES[[#This Row],[SEG13]] &gt;0,INDEX(SEGMENTS[], MATCH(CABLES[[#Headers],[SEG13]],SEGMENTS[SEG_ID],0),4),0)</f>
        <v>0</v>
      </c>
      <c r="BZ24" s="9">
        <f xml:space="preserve"> IF(CABLES[[#This Row],[SEG14]] &gt;0,INDEX(SEGMENTS[], MATCH(CABLES[[#Headers],[SEG14]],SEGMENTS[SEG_ID],0),4),0)</f>
        <v>0</v>
      </c>
      <c r="CA24" s="9">
        <f xml:space="preserve"> IF(CABLES[[#This Row],[SEG15]] &gt;0,INDEX(SEGMENTS[], MATCH(CABLES[[#Headers],[SEG15]],SEGMENTS[SEG_ID],0),4),0)</f>
        <v>0</v>
      </c>
      <c r="CB24" s="9">
        <f xml:space="preserve"> IF(CABLES[[#This Row],[SEG16]] &gt;0,INDEX(SEGMENTS[], MATCH(CABLES[[#Headers],[SEG16]],SEGMENTS[SEG_ID],0),4),0)</f>
        <v>0</v>
      </c>
      <c r="CC24" s="9">
        <f xml:space="preserve"> IF(CABLES[[#This Row],[SEG17]] &gt;0,INDEX(SEGMENTS[], MATCH(CABLES[[#Headers],[SEG17]],SEGMENTS[SEG_ID],0),4),0)</f>
        <v>0</v>
      </c>
      <c r="CD24" s="9">
        <f xml:space="preserve"> IF(CABLES[[#This Row],[SEG18]] &gt;0,INDEX(SEGMENTS[], MATCH(CABLES[[#Headers],[SEG18]],SEGMENTS[SEG_ID],0),4),0)</f>
        <v>0</v>
      </c>
      <c r="CE24" s="9">
        <f>IF(CABLES[[#This Row],[SEG19]] &gt;0, INDEX(SEGMENTS[], MATCH(CABLES[[#Headers],[SEG19]],SEGMENTS[SEG_ID],0),4),0)</f>
        <v>0</v>
      </c>
      <c r="CF24" s="9">
        <f>IF(CABLES[[#This Row],[SEG20]] &gt;0, INDEX(SEGMENTS[], MATCH(CABLES[[#Headers],[SEG20]],SEGMENTS[SEG_ID],0),4),0)</f>
        <v>0</v>
      </c>
      <c r="CG24" s="9">
        <f xml:space="preserve"> IF(CABLES[[#This Row],[SEG21]] &gt;0,INDEX(SEGMENTS[], MATCH(CABLES[[#Headers],[SEG21]],SEGMENTS[SEG_ID],0),4),0)</f>
        <v>0</v>
      </c>
      <c r="CH24" s="9">
        <f xml:space="preserve"> IF(CABLES[[#This Row],[SEG22]] &gt;0,INDEX(SEGMENTS[], MATCH(CABLES[[#Headers],[SEG22]],SEGMENTS[SEG_ID],0),4),0)</f>
        <v>0</v>
      </c>
      <c r="CI24" s="9">
        <f>IF(CABLES[[#This Row],[SEG23]] &gt;0, INDEX(SEGMENTS[], MATCH(CABLES[[#Headers],[SEG23]],SEGMENTS[SEG_ID],0),4),0)</f>
        <v>0</v>
      </c>
      <c r="CJ24" s="9">
        <f xml:space="preserve"> IF(CABLES[[#This Row],[SEG24]] &gt;0,INDEX(SEGMENTS[], MATCH(CABLES[[#Headers],[SEG24]],SEGMENTS[SEG_ID],0),4),0)</f>
        <v>0</v>
      </c>
      <c r="CK24" s="9">
        <f>IF(CABLES[[#This Row],[SEG25]] &gt;0, INDEX(SEGMENTS[], MATCH(CABLES[[#Headers],[SEG25]],SEGMENTS[SEG_ID],0),4),0)</f>
        <v>0</v>
      </c>
      <c r="CL24" s="9">
        <f>IF(CABLES[[#This Row],[SEG26]] &gt;0, INDEX(SEGMENTS[], MATCH(CABLES[[#Headers],[SEG26]],SEGMENTS[SEG_ID],0),4),0)</f>
        <v>0</v>
      </c>
      <c r="CM24" s="9">
        <f xml:space="preserve"> IF(CABLES[[#This Row],[SEG27]] &gt;0,INDEX(SEGMENTS[], MATCH(CABLES[[#Headers],[SEG27]],SEGMENTS[SEG_ID],0),4),0)</f>
        <v>0</v>
      </c>
      <c r="CN24" s="9">
        <f xml:space="preserve"> IF(CABLES[[#This Row],[SEG28]] &gt;0,INDEX(SEGMENTS[], MATCH(CABLES[[#Headers],[SEG28]],SEGMENTS[SEG_ID],0),4),0)</f>
        <v>0</v>
      </c>
      <c r="CO24" s="9">
        <f xml:space="preserve"> IF(CABLES[[#This Row],[SEG29]] &gt;0,INDEX(SEGMENTS[], MATCH(CABLES[[#Headers],[SEG29]],SEGMENTS[SEG_ID],0),4),0)</f>
        <v>0</v>
      </c>
      <c r="CP24" s="9">
        <f xml:space="preserve"> IF(CABLES[[#This Row],[SEG30]] &gt;0,INDEX(SEGMENTS[], MATCH(CABLES[[#Headers],[SEG30]],SEGMENTS[SEG_ID],0),4),0)</f>
        <v>0</v>
      </c>
      <c r="CQ24" s="9">
        <f>IF(CABLES[[#This Row],[SEG31]] &gt;0, INDEX(SEGMENTS[], MATCH(CABLES[[#Headers],[SEG31]],SEGMENTS[SEG_ID],0),4),0)</f>
        <v>0</v>
      </c>
      <c r="CR24" s="9">
        <f xml:space="preserve"> IF(CABLES[[#This Row],[SEG32]] &gt;0,INDEX(SEGMENTS[], MATCH(CABLES[[#Headers],[SEG32]],SEGMENTS[SEG_ID],0),4),0)</f>
        <v>0</v>
      </c>
      <c r="CS24" s="9">
        <f xml:space="preserve"> IF(CABLES[[#This Row],[SEG33]] &gt;0,INDEX(SEGMENTS[], MATCH(CABLES[[#Headers],[SEG33]],SEGMENTS[SEG_ID],0),4),0)</f>
        <v>0</v>
      </c>
      <c r="CT24" s="9">
        <f>IF(CABLES[[#This Row],[SEG34]] &gt;0, INDEX(SEGMENTS[], MATCH(CABLES[[#Headers],[SEG34]],SEGMENTS[SEG_ID],0),4),0)</f>
        <v>0</v>
      </c>
      <c r="CU24" s="9">
        <f xml:space="preserve"> IF(CABLES[[#This Row],[SEG35]] &gt;0,INDEX(SEGMENTS[], MATCH(CABLES[[#Headers],[SEG35]],SEGMENTS[SEG_ID],0),4),0)</f>
        <v>0</v>
      </c>
      <c r="CV24" s="9">
        <f xml:space="preserve"> IF(CABLES[[#This Row],[SEG36]] &gt;0,INDEX(SEGMENTS[], MATCH(CABLES[[#Headers],[SEG36]],SEGMENTS[SEG_ID],0),4),0)</f>
        <v>0</v>
      </c>
      <c r="CW24" s="9">
        <f xml:space="preserve"> IF(CABLES[[#This Row],[SEG37]] &gt;0,INDEX(SEGMENTS[], MATCH(CABLES[[#Headers],[SEG37]],SEGMENTS[SEG_ID],0),4),0)</f>
        <v>0</v>
      </c>
      <c r="CX24" s="9">
        <f xml:space="preserve"> IF(CABLES[[#This Row],[SEG38]] &gt;0,INDEX(SEGMENTS[], MATCH(CABLES[[#Headers],[SEG38]],SEGMENTS[SEG_ID],0),4),0)</f>
        <v>0</v>
      </c>
      <c r="CY24" s="9">
        <f xml:space="preserve"> IF(CABLES[[#This Row],[SEG39]] &gt;0,INDEX(SEGMENTS[], MATCH(CABLES[[#Headers],[SEG39]],SEGMENTS[SEG_ID],0),4),0)</f>
        <v>0</v>
      </c>
      <c r="CZ24" s="9">
        <f xml:space="preserve"> IF(CABLES[[#This Row],[SEG40]] &gt;0,INDEX(SEGMENTS[], MATCH(CABLES[[#Headers],[SEG40]],SEGMENTS[SEG_ID],0),4),0)</f>
        <v>0</v>
      </c>
      <c r="DA24" s="9">
        <f xml:space="preserve"> IF(CABLES[[#This Row],[SEG41]] &gt;0,INDEX(SEGMENTS[], MATCH(CABLES[[#Headers],[SEG41]],SEGMENTS[SEG_ID],0),4),0)</f>
        <v>0</v>
      </c>
      <c r="DB24" s="9">
        <f xml:space="preserve"> IF(CABLES[[#This Row],[SEG42]] &gt;0,INDEX(SEGMENTS[], MATCH(CABLES[[#Headers],[SEG42]],SEGMENTS[SEG_ID],0),4),0)</f>
        <v>0</v>
      </c>
      <c r="DC24" s="9">
        <f xml:space="preserve"> IF(CABLES[[#This Row],[SEG43]] &gt;0,INDEX(SEGMENTS[], MATCH(CABLES[[#Headers],[SEG43]],SEGMENTS[SEG_ID],0),4),0)</f>
        <v>0</v>
      </c>
      <c r="DD24" s="9">
        <f xml:space="preserve"> IF(CABLES[[#This Row],[SEG44]] &gt;0,INDEX(SEGMENTS[], MATCH(CABLES[[#Headers],[SEG44]],SEGMENTS[SEG_ID],0),4),0)</f>
        <v>0</v>
      </c>
      <c r="DE24" s="9">
        <f xml:space="preserve"> IF(CABLES[[#This Row],[SEG45]] &gt;0,INDEX(SEGMENTS[], MATCH(CABLES[[#Headers],[SEG45]],SEGMENTS[SEG_ID],0),4),0)</f>
        <v>0</v>
      </c>
      <c r="DF24" s="9">
        <f xml:space="preserve"> IF(CABLES[[#This Row],[SEG46]] &gt;0,INDEX(SEGMENTS[], MATCH(CABLES[[#Headers],[SEG46]],SEGMENTS[SEG_ID],0),4),0)</f>
        <v>0</v>
      </c>
      <c r="DG24" s="9">
        <f xml:space="preserve"> IF(CABLES[[#This Row],[SEG47]] &gt;0,INDEX(SEGMENTS[], MATCH(CABLES[[#Headers],[SEG47]],SEGMENTS[SEG_ID],0),4),0)</f>
        <v>0</v>
      </c>
      <c r="DH24" s="9">
        <f xml:space="preserve"> IF(CABLES[[#This Row],[SEG48]] &gt;0,INDEX(SEGMENTS[], MATCH(CABLES[[#Headers],[SEG48]],SEGMENTS[SEG_ID],0),4),0)</f>
        <v>0</v>
      </c>
      <c r="DI24" s="9">
        <f xml:space="preserve"> IF(CABLES[[#This Row],[SEG49]] &gt;0,INDEX(SEGMENTS[], MATCH(CABLES[[#Headers],[SEG49]],SEGMENTS[SEG_ID],0),4),0)</f>
        <v>0</v>
      </c>
      <c r="DJ24" s="9">
        <f xml:space="preserve"> IF(CABLES[[#This Row],[SEG50]] &gt;0,INDEX(SEGMENTS[], MATCH(CABLES[[#Headers],[SEG50]],SEGMENTS[SEG_ID],0),4),0)</f>
        <v>0</v>
      </c>
      <c r="DK24" s="9">
        <f xml:space="preserve"> IF(CABLES[[#This Row],[SEG51]] &gt;0,INDEX(SEGMENTS[], MATCH(CABLES[[#Headers],[SEG51]],SEGMENTS[SEG_ID],0),4),0)</f>
        <v>0</v>
      </c>
      <c r="DL24" s="9">
        <f xml:space="preserve"> IF(CABLES[[#This Row],[SEG52]] &gt;0,INDEX(SEGMENTS[], MATCH(CABLES[[#Headers],[SEG52]],SEGMENTS[SEG_ID],0),4),0)</f>
        <v>0</v>
      </c>
      <c r="DM24" s="9">
        <f xml:space="preserve"> IF(CABLES[[#This Row],[SEG53]] &gt;0,INDEX(SEGMENTS[], MATCH(CABLES[[#Headers],[SEG53]],SEGMENTS[SEG_ID],0),4),0)</f>
        <v>0</v>
      </c>
      <c r="DN24" s="9">
        <f xml:space="preserve"> IF(CABLES[[#This Row],[SEG54]] &gt;0,INDEX(SEGMENTS[], MATCH(CABLES[[#Headers],[SEG54]],SEGMENTS[SEG_ID],0),4),0)</f>
        <v>0</v>
      </c>
      <c r="DO24" s="9">
        <f xml:space="preserve"> IF(CABLES[[#This Row],[SEG55]] &gt;0,INDEX(SEGMENTS[], MATCH(CABLES[[#Headers],[SEG55]],SEGMENTS[SEG_ID],0),4),0)</f>
        <v>0</v>
      </c>
      <c r="DP24" s="9">
        <f xml:space="preserve"> IF(CABLES[[#This Row],[SEG56]] &gt;0,INDEX(SEGMENTS[], MATCH(CABLES[[#Headers],[SEG56]],SEGMENTS[SEG_ID],0),4),0)</f>
        <v>0</v>
      </c>
      <c r="DQ24" s="9">
        <f xml:space="preserve"> IF(CABLES[[#This Row],[SEG57]] &gt;0,INDEX(SEGMENTS[], MATCH(CABLES[[#Headers],[SEG57]],SEGMENTS[SEG_ID],0),4),0)</f>
        <v>0</v>
      </c>
      <c r="DR24" s="9">
        <f xml:space="preserve"> IF(CABLES[[#This Row],[SEG58]] &gt;0,INDEX(SEGMENTS[], MATCH(CABLES[[#Headers],[SEG58]],SEGMENTS[SEG_ID],0),4),0)</f>
        <v>0</v>
      </c>
      <c r="DS24" s="9">
        <f xml:space="preserve"> IF(CABLES[[#This Row],[SEG59]] &gt;0,INDEX(SEGMENTS[], MATCH(CABLES[[#Headers],[SEG59]],SEGMENTS[SEG_ID],0),4),0)</f>
        <v>0</v>
      </c>
      <c r="DT24" s="9">
        <f xml:space="preserve"> IF(CABLES[[#This Row],[SEG60]] &gt;0,INDEX(SEGMENTS[], MATCH(CABLES[[#Headers],[SEG60]],SEGMENTS[SEG_ID],0),4),0)</f>
        <v>0</v>
      </c>
      <c r="DU24" s="10">
        <f>SUM(CABLES[[#This Row],[SEGL1]:[SEGL60]])</f>
        <v>37</v>
      </c>
      <c r="DV24" s="10">
        <v>5</v>
      </c>
      <c r="DW24" s="10">
        <v>1.2</v>
      </c>
      <c r="DX24" s="10">
        <f xml:space="preserve"> IF(CABLES[[#This Row],[SEGL_TOTAL]]&gt;0, (CABLES[[#This Row],[SEGL_TOTAL]] + CABLES[[#This Row],[FITOFF]]) *CABLES[[#This Row],[XCAPACITY]],0)</f>
        <v>50.4</v>
      </c>
      <c r="DY24" s="10">
        <f>IF(CABLES[[#This Row],[SEG1]]&gt;0,CABLES[[#This Row],[CABLE_DIAMETER]],0)</f>
        <v>14.5</v>
      </c>
      <c r="DZ24" s="10">
        <f>IF(CABLES[[#This Row],[SEG2]]&gt;0,CABLES[[#This Row],[CABLE_DIAMETER]],0)</f>
        <v>14.5</v>
      </c>
      <c r="EA24" s="10">
        <f>IF(CABLES[[#This Row],[SEG3]]&gt;0,CABLES[[#This Row],[CABLE_DIAMETER]],0)</f>
        <v>0</v>
      </c>
      <c r="EB24" s="10">
        <f>IF(CABLES[[#This Row],[SEG4]]&gt;0,CABLES[[#This Row],[CABLE_DIAMETER]],0)</f>
        <v>14.5</v>
      </c>
      <c r="EC24" s="10">
        <f>IF(CABLES[[#This Row],[SEG5]]&gt;0,CABLES[[#This Row],[CABLE_DIAMETER]],0)</f>
        <v>14.5</v>
      </c>
      <c r="ED24" s="10">
        <f>IF(CABLES[[#This Row],[SEG6]]&gt;0,CABLES[[#This Row],[CABLE_DIAMETER]],0)</f>
        <v>0</v>
      </c>
      <c r="EE24" s="10">
        <f>IF(CABLES[[#This Row],[SEG7]]&gt;0,CABLES[[#This Row],[CABLE_DIAMETER]],0)</f>
        <v>0</v>
      </c>
      <c r="EF24" s="10">
        <f>IF(CABLES[[#This Row],[SEG9]]&gt;0,CABLES[[#This Row],[CABLE_DIAMETER]],0)</f>
        <v>0</v>
      </c>
      <c r="EG24" s="10">
        <f>IF(CABLES[[#This Row],[SEG9]]&gt;0,CABLES[[#This Row],[CABLE_DIAMETER]],0)</f>
        <v>0</v>
      </c>
      <c r="EH24" s="10">
        <f>IF(CABLES[[#This Row],[SEG10]]&gt;0,CABLES[[#This Row],[CABLE_DIAMETER]],0)</f>
        <v>0</v>
      </c>
      <c r="EI24" s="10">
        <f>IF(CABLES[[#This Row],[SEG11]]&gt;0,CABLES[[#This Row],[CABLE_DIAMETER]],0)</f>
        <v>0</v>
      </c>
      <c r="EJ24" s="10">
        <f>IF(CABLES[[#This Row],[SEG12]]&gt;0,CABLES[[#This Row],[CABLE_DIAMETER]],0)</f>
        <v>0</v>
      </c>
      <c r="EK24" s="10">
        <f>IF(CABLES[[#This Row],[SEG13]]&gt;0,CABLES[[#This Row],[CABLE_DIAMETER]],0)</f>
        <v>0</v>
      </c>
      <c r="EL24" s="10">
        <f>IF(CABLES[[#This Row],[SEG14]]&gt;0,CABLES[[#This Row],[CABLE_DIAMETER]],0)</f>
        <v>0</v>
      </c>
      <c r="EM24" s="10">
        <f>IF(CABLES[[#This Row],[SEG15]]&gt;0,CABLES[[#This Row],[CABLE_DIAMETER]],0)</f>
        <v>0</v>
      </c>
      <c r="EN24" s="10">
        <f>IF(CABLES[[#This Row],[SEG16]]&gt;0,CABLES[[#This Row],[CABLE_DIAMETER]],0)</f>
        <v>0</v>
      </c>
      <c r="EO24" s="10">
        <f>IF(CABLES[[#This Row],[SEG17]]&gt;0,CABLES[[#This Row],[CABLE_DIAMETER]],0)</f>
        <v>0</v>
      </c>
      <c r="EP24" s="10">
        <f>IF(CABLES[[#This Row],[SEG18]]&gt;0,CABLES[[#This Row],[CABLE_DIAMETER]],0)</f>
        <v>0</v>
      </c>
      <c r="EQ24" s="10">
        <f>IF(CABLES[[#This Row],[SEG19]]&gt;0,CABLES[[#This Row],[CABLE_DIAMETER]],0)</f>
        <v>0</v>
      </c>
      <c r="ER24" s="10">
        <f>IF(CABLES[[#This Row],[SEG20]]&gt;0,CABLES[[#This Row],[CABLE_DIAMETER]],0)</f>
        <v>0</v>
      </c>
      <c r="ES24" s="10">
        <f>IF(CABLES[[#This Row],[SEG21]]&gt;0,CABLES[[#This Row],[CABLE_DIAMETER]],0)</f>
        <v>0</v>
      </c>
      <c r="ET24" s="10">
        <f>IF(CABLES[[#This Row],[SEG22]]&gt;0,CABLES[[#This Row],[CABLE_DIAMETER]],0)</f>
        <v>0</v>
      </c>
      <c r="EU24" s="10">
        <f>IF(CABLES[[#This Row],[SEG23]]&gt;0,CABLES[[#This Row],[CABLE_DIAMETER]],0)</f>
        <v>0</v>
      </c>
      <c r="EV24" s="10">
        <f>IF(CABLES[[#This Row],[SEG24]]&gt;0,CABLES[[#This Row],[CABLE_DIAMETER]],0)</f>
        <v>0</v>
      </c>
      <c r="EW24" s="10">
        <f>IF(CABLES[[#This Row],[SEG25]]&gt;0,CABLES[[#This Row],[CABLE_DIAMETER]],0)</f>
        <v>0</v>
      </c>
      <c r="EX24" s="10">
        <f>IF(CABLES[[#This Row],[SEG26]]&gt;0,CABLES[[#This Row],[CABLE_DIAMETER]],0)</f>
        <v>0</v>
      </c>
      <c r="EY24" s="10">
        <f>IF(CABLES[[#This Row],[SEG27]]&gt;0,CABLES[[#This Row],[CABLE_DIAMETER]],0)</f>
        <v>0</v>
      </c>
      <c r="EZ24" s="10">
        <f>IF(CABLES[[#This Row],[SEG28]]&gt;0,CABLES[[#This Row],[CABLE_DIAMETER]],0)</f>
        <v>0</v>
      </c>
      <c r="FA24" s="10">
        <f>IF(CABLES[[#This Row],[SEG29]]&gt;0,CABLES[[#This Row],[CABLE_DIAMETER]],0)</f>
        <v>0</v>
      </c>
      <c r="FB24" s="10">
        <f>IF(CABLES[[#This Row],[SEG30]]&gt;0,CABLES[[#This Row],[CABLE_DIAMETER]],0)</f>
        <v>0</v>
      </c>
      <c r="FC24" s="10">
        <f>IF(CABLES[[#This Row],[SEG31]]&gt;0,CABLES[[#This Row],[CABLE_DIAMETER]],0)</f>
        <v>0</v>
      </c>
      <c r="FD24" s="10">
        <f>IF(CABLES[[#This Row],[SEG32]]&gt;0,CABLES[[#This Row],[CABLE_DIAMETER]],0)</f>
        <v>0</v>
      </c>
      <c r="FE24" s="10">
        <f>IF(CABLES[[#This Row],[SEG33]]&gt;0,CABLES[[#This Row],[CABLE_DIAMETER]],0)</f>
        <v>0</v>
      </c>
      <c r="FF24" s="10">
        <f>IF(CABLES[[#This Row],[SEG34]]&gt;0,CABLES[[#This Row],[CABLE_DIAMETER]],0)</f>
        <v>0</v>
      </c>
      <c r="FG24" s="10">
        <f>IF(CABLES[[#This Row],[SEG35]]&gt;0,CABLES[[#This Row],[CABLE_DIAMETER]],0)</f>
        <v>0</v>
      </c>
      <c r="FH24" s="10">
        <f>IF(CABLES[[#This Row],[SEG36]]&gt;0,CABLES[[#This Row],[CABLE_DIAMETER]],0)</f>
        <v>0</v>
      </c>
      <c r="FI24" s="10">
        <f>IF(CABLES[[#This Row],[SEG37]]&gt;0,CABLES[[#This Row],[CABLE_DIAMETER]],0)</f>
        <v>0</v>
      </c>
      <c r="FJ24" s="10">
        <f>IF(CABLES[[#This Row],[SEG38]]&gt;0,CABLES[[#This Row],[CABLE_DIAMETER]],0)</f>
        <v>0</v>
      </c>
      <c r="FK24" s="10">
        <f>IF(CABLES[[#This Row],[SEG39]]&gt;0,CABLES[[#This Row],[CABLE_DIAMETER]],0)</f>
        <v>0</v>
      </c>
      <c r="FL24" s="10">
        <f>IF(CABLES[[#This Row],[SEG40]]&gt;0,CABLES[[#This Row],[CABLE_DIAMETER]],0)</f>
        <v>0</v>
      </c>
      <c r="FM24" s="10">
        <f>IF(CABLES[[#This Row],[SEG41]]&gt;0,CABLES[[#This Row],[CABLE_DIAMETER]],0)</f>
        <v>0</v>
      </c>
      <c r="FN24" s="10">
        <f>IF(CABLES[[#This Row],[SEG42]]&gt;0,CABLES[[#This Row],[CABLE_DIAMETER]],0)</f>
        <v>0</v>
      </c>
      <c r="FO24" s="10">
        <f>IF(CABLES[[#This Row],[SEG43]]&gt;0,CABLES[[#This Row],[CABLE_DIAMETER]],0)</f>
        <v>0</v>
      </c>
      <c r="FP24" s="10">
        <f>IF(CABLES[[#This Row],[SEG44]]&gt;0,CABLES[[#This Row],[CABLE_DIAMETER]],0)</f>
        <v>0</v>
      </c>
      <c r="FQ24" s="10">
        <f>IF(CABLES[[#This Row],[SEG45]]&gt;0,CABLES[[#This Row],[CABLE_DIAMETER]],0)</f>
        <v>0</v>
      </c>
      <c r="FR24" s="10">
        <f>IF(CABLES[[#This Row],[SEG46]]&gt;0,CABLES[[#This Row],[CABLE_DIAMETER]],0)</f>
        <v>0</v>
      </c>
      <c r="FS24" s="10">
        <f>IF(CABLES[[#This Row],[SEG47]]&gt;0,CABLES[[#This Row],[CABLE_DIAMETER]],0)</f>
        <v>0</v>
      </c>
      <c r="FT24" s="10">
        <f>IF(CABLES[[#This Row],[SEG48]]&gt;0,CABLES[[#This Row],[CABLE_DIAMETER]],0)</f>
        <v>0</v>
      </c>
      <c r="FU24" s="10">
        <f>IF(CABLES[[#This Row],[SEG49]]&gt;0,CABLES[[#This Row],[CABLE_DIAMETER]],0)</f>
        <v>0</v>
      </c>
      <c r="FV24" s="10">
        <f>IF(CABLES[[#This Row],[SEG50]]&gt;0,CABLES[[#This Row],[CABLE_DIAMETER]],0)</f>
        <v>0</v>
      </c>
      <c r="FW24" s="10">
        <f>IF(CABLES[[#This Row],[SEG51]]&gt;0,CABLES[[#This Row],[CABLE_DIAMETER]],0)</f>
        <v>0</v>
      </c>
      <c r="FX24" s="10">
        <f>IF(CABLES[[#This Row],[SEG52]]&gt;0,CABLES[[#This Row],[CABLE_DIAMETER]],0)</f>
        <v>0</v>
      </c>
      <c r="FY24" s="10">
        <f>IF(CABLES[[#This Row],[SEG53]]&gt;0,CABLES[[#This Row],[CABLE_DIAMETER]],0)</f>
        <v>0</v>
      </c>
      <c r="FZ24" s="10">
        <f>IF(CABLES[[#This Row],[SEG54]]&gt;0,CABLES[[#This Row],[CABLE_DIAMETER]],0)</f>
        <v>0</v>
      </c>
      <c r="GA24" s="10">
        <f>IF(CABLES[[#This Row],[SEG55]]&gt;0,CABLES[[#This Row],[CABLE_DIAMETER]],0)</f>
        <v>0</v>
      </c>
      <c r="GB24" s="10">
        <f>IF(CABLES[[#This Row],[SEG56]]&gt;0,CABLES[[#This Row],[CABLE_DIAMETER]],0)</f>
        <v>0</v>
      </c>
      <c r="GC24" s="10">
        <f>IF(CABLES[[#This Row],[SEG57]]&gt;0,CABLES[[#This Row],[CABLE_DIAMETER]],0)</f>
        <v>0</v>
      </c>
      <c r="GD24" s="10">
        <f>IF(CABLES[[#This Row],[SEG58]]&gt;0,CABLES[[#This Row],[CABLE_DIAMETER]],0)</f>
        <v>0</v>
      </c>
      <c r="GE24" s="10">
        <f>IF(CABLES[[#This Row],[SEG59]]&gt;0,CABLES[[#This Row],[CABLE_DIAMETER]],0)</f>
        <v>0</v>
      </c>
      <c r="GF24" s="10">
        <f>IF(CABLES[[#This Row],[SEG60]]&gt;0,CABLES[[#This Row],[CABLE_DIAMETER]],0)</f>
        <v>0</v>
      </c>
      <c r="GG24" s="10">
        <f>IF(CABLES[[#This Row],[SEG1]]&gt;0,CABLES[[#This Row],[CABLE_MASS]],0)</f>
        <v>0.33</v>
      </c>
      <c r="GH24" s="10">
        <f>IF(CABLES[[#This Row],[SEG2]]&gt;0,CABLES[[#This Row],[CABLE_MASS]],0)</f>
        <v>0.33</v>
      </c>
      <c r="GI24" s="10">
        <f>IF(CABLES[[#This Row],[SEG3]]&gt;0,CABLES[[#This Row],[CABLE_MASS]],0)</f>
        <v>0</v>
      </c>
      <c r="GJ24" s="10">
        <f>IF(CABLES[[#This Row],[SEG4]]&gt;0,CABLES[[#This Row],[CABLE_MASS]],0)</f>
        <v>0.33</v>
      </c>
      <c r="GK24" s="10">
        <f>IF(CABLES[[#This Row],[SEG5]]&gt;0,CABLES[[#This Row],[CABLE_MASS]],0)</f>
        <v>0.33</v>
      </c>
      <c r="GL24" s="10">
        <f>IF(CABLES[[#This Row],[SEG6]]&gt;0,CABLES[[#This Row],[CABLE_MASS]],0)</f>
        <v>0</v>
      </c>
      <c r="GM24" s="10">
        <f>IF(CABLES[[#This Row],[SEG7]]&gt;0,CABLES[[#This Row],[CABLE_MASS]],0)</f>
        <v>0</v>
      </c>
      <c r="GN24" s="10">
        <f>IF(CABLES[[#This Row],[SEG8]]&gt;0,CABLES[[#This Row],[CABLE_MASS]],0)</f>
        <v>0</v>
      </c>
      <c r="GO24" s="10">
        <f>IF(CABLES[[#This Row],[SEG9]]&gt;0,CABLES[[#This Row],[CABLE_MASS]],0)</f>
        <v>0</v>
      </c>
      <c r="GP24" s="10">
        <f>IF(CABLES[[#This Row],[SEG10]]&gt;0,CABLES[[#This Row],[CABLE_MASS]],0)</f>
        <v>0</v>
      </c>
      <c r="GQ24" s="10">
        <f>IF(CABLES[[#This Row],[SEG11]]&gt;0,CABLES[[#This Row],[CABLE_MASS]],0)</f>
        <v>0</v>
      </c>
      <c r="GR24" s="10">
        <f>IF(CABLES[[#This Row],[SEG12]]&gt;0,CABLES[[#This Row],[CABLE_MASS]],0)</f>
        <v>0</v>
      </c>
      <c r="GS24" s="10">
        <f>IF(CABLES[[#This Row],[SEG13]]&gt;0,CABLES[[#This Row],[CABLE_MASS]],0)</f>
        <v>0</v>
      </c>
      <c r="GT24" s="10">
        <f>IF(CABLES[[#This Row],[SEG14]]&gt;0,CABLES[[#This Row],[CABLE_MASS]],0)</f>
        <v>0</v>
      </c>
      <c r="GU24" s="10">
        <f>IF(CABLES[[#This Row],[SEG15]]&gt;0,CABLES[[#This Row],[CABLE_MASS]],0)</f>
        <v>0</v>
      </c>
      <c r="GV24" s="10">
        <f>IF(CABLES[[#This Row],[SEG16]]&gt;0,CABLES[[#This Row],[CABLE_MASS]],0)</f>
        <v>0</v>
      </c>
      <c r="GW24" s="10">
        <f>IF(CABLES[[#This Row],[SEG17]]&gt;0,CABLES[[#This Row],[CABLE_MASS]],0)</f>
        <v>0</v>
      </c>
      <c r="GX24" s="10">
        <f>IF(CABLES[[#This Row],[SEG18]]&gt;0,CABLES[[#This Row],[CABLE_MASS]],0)</f>
        <v>0</v>
      </c>
      <c r="GY24" s="10">
        <f>IF(CABLES[[#This Row],[SEG19]]&gt;0,CABLES[[#This Row],[CABLE_MASS]],0)</f>
        <v>0</v>
      </c>
      <c r="GZ24" s="10">
        <f>IF(CABLES[[#This Row],[SEG20]]&gt;0,CABLES[[#This Row],[CABLE_MASS]],0)</f>
        <v>0</v>
      </c>
      <c r="HA24" s="10">
        <f>IF(CABLES[[#This Row],[SEG21]]&gt;0,CABLES[[#This Row],[CABLE_MASS]],0)</f>
        <v>0</v>
      </c>
      <c r="HB24" s="10">
        <f>IF(CABLES[[#This Row],[SEG22]]&gt;0,CABLES[[#This Row],[CABLE_MASS]],0)</f>
        <v>0</v>
      </c>
      <c r="HC24" s="10">
        <f>IF(CABLES[[#This Row],[SEG23]]&gt;0,CABLES[[#This Row],[CABLE_MASS]],0)</f>
        <v>0</v>
      </c>
      <c r="HD24" s="10">
        <f>IF(CABLES[[#This Row],[SEG24]]&gt;0,CABLES[[#This Row],[CABLE_MASS]],0)</f>
        <v>0</v>
      </c>
      <c r="HE24" s="10">
        <f>IF(CABLES[[#This Row],[SEG25]]&gt;0,CABLES[[#This Row],[CABLE_MASS]],0)</f>
        <v>0</v>
      </c>
      <c r="HF24" s="10">
        <f>IF(CABLES[[#This Row],[SEG26]]&gt;0,CABLES[[#This Row],[CABLE_MASS]],0)</f>
        <v>0</v>
      </c>
      <c r="HG24" s="10">
        <f>IF(CABLES[[#This Row],[SEG27]]&gt;0,CABLES[[#This Row],[CABLE_MASS]],0)</f>
        <v>0</v>
      </c>
      <c r="HH24" s="10">
        <f>IF(CABLES[[#This Row],[SEG28]]&gt;0,CABLES[[#This Row],[CABLE_MASS]],0)</f>
        <v>0</v>
      </c>
      <c r="HI24" s="10">
        <f>IF(CABLES[[#This Row],[SEG29]]&gt;0,CABLES[[#This Row],[CABLE_MASS]],0)</f>
        <v>0</v>
      </c>
      <c r="HJ24" s="10">
        <f>IF(CABLES[[#This Row],[SEG30]]&gt;0,CABLES[[#This Row],[CABLE_MASS]],0)</f>
        <v>0</v>
      </c>
      <c r="HK24" s="10">
        <f>IF(CABLES[[#This Row],[SEG31]]&gt;0,CABLES[[#This Row],[CABLE_MASS]],0)</f>
        <v>0</v>
      </c>
      <c r="HL24" s="10">
        <f>IF(CABLES[[#This Row],[SEG32]]&gt;0,CABLES[[#This Row],[CABLE_MASS]],0)</f>
        <v>0</v>
      </c>
      <c r="HM24" s="10">
        <f>IF(CABLES[[#This Row],[SEG33]]&gt;0,CABLES[[#This Row],[CABLE_MASS]],0)</f>
        <v>0</v>
      </c>
      <c r="HN24" s="10">
        <f>IF(CABLES[[#This Row],[SEG34]]&gt;0,CABLES[[#This Row],[CABLE_MASS]],0)</f>
        <v>0</v>
      </c>
      <c r="HO24" s="10">
        <f>IF(CABLES[[#This Row],[SEG35]]&gt;0,CABLES[[#This Row],[CABLE_MASS]],0)</f>
        <v>0</v>
      </c>
      <c r="HP24" s="10">
        <f>IF(CABLES[[#This Row],[SEG36]]&gt;0,CABLES[[#This Row],[CABLE_MASS]],0)</f>
        <v>0</v>
      </c>
      <c r="HQ24" s="10">
        <f>IF(CABLES[[#This Row],[SEG37]]&gt;0,CABLES[[#This Row],[CABLE_MASS]],0)</f>
        <v>0</v>
      </c>
      <c r="HR24" s="10">
        <f>IF(CABLES[[#This Row],[SEG38]]&gt;0,CABLES[[#This Row],[CABLE_MASS]],0)</f>
        <v>0</v>
      </c>
      <c r="HS24" s="10">
        <f>IF(CABLES[[#This Row],[SEG39]]&gt;0,CABLES[[#This Row],[CABLE_MASS]],0)</f>
        <v>0</v>
      </c>
      <c r="HT24" s="10">
        <f>IF(CABLES[[#This Row],[SEG40]]&gt;0,CABLES[[#This Row],[CABLE_MASS]],0)</f>
        <v>0</v>
      </c>
      <c r="HU24" s="10">
        <f>IF(CABLES[[#This Row],[SEG41]]&gt;0,CABLES[[#This Row],[CABLE_MASS]],0)</f>
        <v>0</v>
      </c>
      <c r="HV24" s="10">
        <f>IF(CABLES[[#This Row],[SEG42]]&gt;0,CABLES[[#This Row],[CABLE_MASS]],0)</f>
        <v>0</v>
      </c>
      <c r="HW24" s="10">
        <f>IF(CABLES[[#This Row],[SEG43]]&gt;0,CABLES[[#This Row],[CABLE_MASS]],0)</f>
        <v>0</v>
      </c>
      <c r="HX24" s="10">
        <f>IF(CABLES[[#This Row],[SEG44]]&gt;0,CABLES[[#This Row],[CABLE_MASS]],0)</f>
        <v>0</v>
      </c>
      <c r="HY24" s="10">
        <f>IF(CABLES[[#This Row],[SEG45]]&gt;0,CABLES[[#This Row],[CABLE_MASS]],0)</f>
        <v>0</v>
      </c>
      <c r="HZ24" s="10">
        <f>IF(CABLES[[#This Row],[SEG46]]&gt;0,CABLES[[#This Row],[CABLE_MASS]],0)</f>
        <v>0</v>
      </c>
      <c r="IA24" s="10">
        <f>IF(CABLES[[#This Row],[SEG47]]&gt;0,CABLES[[#This Row],[CABLE_MASS]],0)</f>
        <v>0</v>
      </c>
      <c r="IB24" s="10">
        <f>IF(CABLES[[#This Row],[SEG48]]&gt;0,CABLES[[#This Row],[CABLE_MASS]],0)</f>
        <v>0</v>
      </c>
      <c r="IC24" s="10">
        <f>IF(CABLES[[#This Row],[SEG49]]&gt;0,CABLES[[#This Row],[CABLE_MASS]],0)</f>
        <v>0</v>
      </c>
      <c r="ID24" s="10">
        <f>IF(CABLES[[#This Row],[SEG50]]&gt;0,CABLES[[#This Row],[CABLE_MASS]],0)</f>
        <v>0</v>
      </c>
      <c r="IE24" s="10">
        <f>IF(CABLES[[#This Row],[SEG51]]&gt;0,CABLES[[#This Row],[CABLE_MASS]],0)</f>
        <v>0</v>
      </c>
      <c r="IF24" s="10">
        <f>IF(CABLES[[#This Row],[SEG52]]&gt;0,CABLES[[#This Row],[CABLE_MASS]],0)</f>
        <v>0</v>
      </c>
      <c r="IG24" s="10">
        <f>IF(CABLES[[#This Row],[SEG53]]&gt;0,CABLES[[#This Row],[CABLE_MASS]],0)</f>
        <v>0</v>
      </c>
      <c r="IH24" s="10">
        <f>IF(CABLES[[#This Row],[SEG54]]&gt;0,CABLES[[#This Row],[CABLE_MASS]],0)</f>
        <v>0</v>
      </c>
      <c r="II24" s="10">
        <f>IF(CABLES[[#This Row],[SEG55]]&gt;0,CABLES[[#This Row],[CABLE_MASS]],0)</f>
        <v>0</v>
      </c>
      <c r="IJ24" s="10">
        <f>IF(CABLES[[#This Row],[SEG56]]&gt;0,CABLES[[#This Row],[CABLE_MASS]],0)</f>
        <v>0</v>
      </c>
      <c r="IK24" s="10">
        <f>IF(CABLES[[#This Row],[SEG57]]&gt;0,CABLES[[#This Row],[CABLE_MASS]],0)</f>
        <v>0</v>
      </c>
      <c r="IL24" s="10">
        <f>IF(CABLES[[#This Row],[SEG58]]&gt;0,CABLES[[#This Row],[CABLE_MASS]],0)</f>
        <v>0</v>
      </c>
      <c r="IM24" s="10">
        <f>IF(CABLES[[#This Row],[SEG59]]&gt;0,CABLES[[#This Row],[CABLE_MASS]],0)</f>
        <v>0</v>
      </c>
      <c r="IN24" s="10">
        <f>IF(CABLES[[#This Row],[SEG60]]&gt;0,CABLES[[#This Row],[CABLE_MASS]],0)</f>
        <v>0</v>
      </c>
      <c r="IO24" s="10">
        <f xml:space="preserve">  (CABLES[[#This Row],[LOAD_KW]]/(SQRT(3)*SYSTEM_VOLTAGE*POWER_FACTOR))*1000</f>
        <v>4.8112522432468809</v>
      </c>
      <c r="IP24" s="10">
        <v>45</v>
      </c>
      <c r="IQ24" s="10">
        <f xml:space="preserve"> INDEX(AS3000_AMBIENTDERATE[], MATCH(CABLES[[#This Row],[AMBIENT]],AS3000_AMBIENTDERATE[AMBIENT],0), 2)</f>
        <v>0.94</v>
      </c>
      <c r="IR24" s="10">
        <f xml:space="preserve"> ROUNDUP( CABLES[[#This Row],[CALCULATED_AMPS]]/CABLES[[#This Row],[AMBIENT_DERATING]],1)</f>
        <v>5.1999999999999993</v>
      </c>
      <c r="IS24" s="10" t="s">
        <v>531</v>
      </c>
      <c r="IT2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24" s="10">
        <f t="shared" si="0"/>
        <v>28.000000000000004</v>
      </c>
      <c r="IV24" s="10">
        <f>(1000*CABLES[[#This Row],[MAX_VDROP]])/(CABLES[[#This Row],[ESTIMATED_CABLE_LENGTH]]*CABLES[[#This Row],[AMP_RATING]])</f>
        <v>106.83760683760686</v>
      </c>
      <c r="IW24" s="10">
        <f xml:space="preserve"> INDEX(AS3000_VDROP[], MATCH(CABLES[[#This Row],[VC_CALC]],AS3000_VDROP[Vc],1),1)</f>
        <v>2.5</v>
      </c>
      <c r="IX24" s="10">
        <f>MAX(CABLES[[#This Row],[CABLESIZE_METHOD1]],CABLES[[#This Row],[CABLESIZE_METHOD2]])</f>
        <v>2.5</v>
      </c>
      <c r="IY24" s="10"/>
      <c r="IZ24" s="10">
        <f>IF(LEN(CABLES[[#This Row],[OVERRIDE_CABLESIZE]])&gt;0,CABLES[[#This Row],[OVERRIDE_CABLESIZE]],CABLES[[#This Row],[INITIAL_CABLESIZE]])</f>
        <v>2.5</v>
      </c>
      <c r="JA24" s="10">
        <f>INDEX(PROTECTIVE_DEVICE[DEVICE], MATCH(CABLES[[#This Row],[CALCULATED_AMPS]],PROTECTIVE_DEVICE[DEVICE],-1),1)</f>
        <v>6</v>
      </c>
      <c r="JB24" s="10"/>
      <c r="JC24" s="10">
        <f>IF(LEN(CABLES[[#This Row],[OVERRIDE_PDEVICE]])&gt;0, CABLES[[#This Row],[OVERRIDE_PDEVICE]],CABLES[[#This Row],[RECOMMEND_PDEVICE]])</f>
        <v>6</v>
      </c>
      <c r="JD24" s="10" t="s">
        <v>450</v>
      </c>
      <c r="JE24" s="10">
        <f xml:space="preserve"> CABLES[[#This Row],[SELECTED_PDEVICE]] * INDEX(DEVICE_CURVE[], MATCH(CABLES[[#This Row],[PDEVICE_CURVE]], DEVICE_CURVE[DEVICE_CURVE],0),2)</f>
        <v>39</v>
      </c>
      <c r="JF24" s="10" t="s">
        <v>458</v>
      </c>
      <c r="JG24" s="10">
        <f xml:space="preserve"> INDEX(CONDUCTOR_MATERIAL[], MATCH(CABLES[[#This Row],[CONDUCTOR_MATERIAL]],CONDUCTOR_MATERIAL[CONDUCTOR_MATERIAL],0),2)</f>
        <v>2.2499999999999999E-2</v>
      </c>
      <c r="JH24" s="10">
        <f>CABLES[[#This Row],[SELECTED_CABLESIZE]]</f>
        <v>2.5</v>
      </c>
      <c r="JI24" s="10">
        <f xml:space="preserve"> INDEX( EARTH_CONDUCTOR_SIZE[], MATCH(CABLES[[#This Row],[SPH]],EARTH_CONDUCTOR_SIZE[MM^2],-1), 2)</f>
        <v>2.5</v>
      </c>
      <c r="JJ24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24" s="10" t="str">
        <f>IF(CABLES[[#This Row],[LMAX]]&gt;CABLES[[#This Row],[ESTIMATED_CABLE_LENGTH]], "PASS", "ERROR")</f>
        <v>PASS</v>
      </c>
      <c r="JL2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2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24" s="6">
        <f xml:space="preserve"> ROUNDUP( CABLES[[#This Row],[CALCULATED_AMPS]],1)</f>
        <v>4.8999999999999995</v>
      </c>
      <c r="JO24" s="6">
        <f>CABLES[[#This Row],[SELECTED_CABLESIZE]]</f>
        <v>2.5</v>
      </c>
      <c r="JP24" s="10">
        <f>CABLES[[#This Row],[ESTIMATED_CABLE_LENGTH]]</f>
        <v>50.4</v>
      </c>
      <c r="JQ24" s="6">
        <f>CABLES[[#This Row],[SELECTED_PDEVICE]]</f>
        <v>6</v>
      </c>
    </row>
    <row r="25" spans="1:277" x14ac:dyDescent="0.35">
      <c r="A25" s="5" t="s">
        <v>24</v>
      </c>
      <c r="B25" s="5" t="s">
        <v>88</v>
      </c>
      <c r="C25" s="10" t="s">
        <v>261</v>
      </c>
      <c r="D25" s="9">
        <v>5.5</v>
      </c>
      <c r="E25" s="9">
        <v>1</v>
      </c>
      <c r="F25" s="9">
        <v>1</v>
      </c>
      <c r="G25" s="9">
        <v>0</v>
      </c>
      <c r="H25" s="9">
        <v>1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f xml:space="preserve"> IF(CABLES[[#This Row],[SEG1]] &gt;0, INDEX(SEGMENTS[], MATCH(CABLES[[#Headers],[SEG1]],SEGMENTS[SEG_ID],0),4),0)</f>
        <v>13</v>
      </c>
      <c r="BN25" s="9">
        <f xml:space="preserve"> IF(CABLES[[#This Row],[SEG2]] &gt;0, INDEX(SEGMENTS[], MATCH(CABLES[[#Headers],[SEG2]],SEGMENTS[SEG_ID],0),4),0)</f>
        <v>2</v>
      </c>
      <c r="BO25" s="9">
        <f xml:space="preserve"> IF(CABLES[[#This Row],[SEG3]] &gt;0, INDEX(SEGMENTS[], MATCH(CABLES[[#Headers],[SEG3]],SEGMENTS[SEG_ID],0),4),0)</f>
        <v>0</v>
      </c>
      <c r="BP25" s="9">
        <f xml:space="preserve"> IF(CABLES[[#This Row],[SEG4]] &gt;0, INDEX(SEGMENTS[], MATCH(CABLES[[#Headers],[SEG4]],SEGMENTS[SEG_ID],0),4),0)</f>
        <v>14</v>
      </c>
      <c r="BQ25" s="9">
        <f xml:space="preserve"> IF(CABLES[[#This Row],[SEG5]] &gt;0,INDEX(SEGMENTS[], MATCH(CABLES[[#Headers],[SEG5]],SEGMENTS[SEG_ID],0),4),0)</f>
        <v>8</v>
      </c>
      <c r="BR25" s="9">
        <f xml:space="preserve"> IF(CABLES[[#This Row],[SEG6]] &gt;0,INDEX(SEGMENTS[], MATCH(CABLES[[#Headers],[SEG6]],SEGMENTS[SEG_ID],0),4),0)</f>
        <v>0</v>
      </c>
      <c r="BS25" s="9">
        <f xml:space="preserve"> IF(CABLES[[#This Row],[SEG7]] &gt;0,INDEX(SEGMENTS[], MATCH(CABLES[[#Headers],[SEG7]],SEGMENTS[SEG_ID],0),4),0)</f>
        <v>0</v>
      </c>
      <c r="BT25" s="9">
        <f xml:space="preserve"> IF(CABLES[[#This Row],[SEG8]] &gt;0,INDEX(SEGMENTS[], MATCH(CABLES[[#Headers],[SEG8]],SEGMENTS[SEG_ID],0),4),0)</f>
        <v>0</v>
      </c>
      <c r="BU25" s="9">
        <f xml:space="preserve"> IF(CABLES[[#This Row],[SEG9]] &gt;0,INDEX(SEGMENTS[], MATCH(CABLES[[#Headers],[SEG9]],SEGMENTS[SEG_ID],0),4),0)</f>
        <v>0</v>
      </c>
      <c r="BV25" s="9">
        <f xml:space="preserve"> IF(CABLES[[#This Row],[SEG10]] &gt;0,INDEX(SEGMENTS[], MATCH(CABLES[[#Headers],[SEG10]],SEGMENTS[SEG_ID],0),4),0)</f>
        <v>0</v>
      </c>
      <c r="BW25" s="9">
        <f xml:space="preserve"> IF(CABLES[[#This Row],[SEG11]] &gt;0,INDEX(SEGMENTS[], MATCH(CABLES[[#Headers],[SEG11]],SEGMENTS[SEG_ID],0),4),0)</f>
        <v>0</v>
      </c>
      <c r="BX25" s="9">
        <f>IF(CABLES[[#This Row],[SEG12]] &gt;0, INDEX(SEGMENTS[], MATCH(CABLES[[#Headers],[SEG12]],SEGMENTS[SEG_ID],0),4),0)</f>
        <v>0</v>
      </c>
      <c r="BY25" s="9">
        <f xml:space="preserve"> IF(CABLES[[#This Row],[SEG13]] &gt;0,INDEX(SEGMENTS[], MATCH(CABLES[[#Headers],[SEG13]],SEGMENTS[SEG_ID],0),4),0)</f>
        <v>0</v>
      </c>
      <c r="BZ25" s="9">
        <f xml:space="preserve"> IF(CABLES[[#This Row],[SEG14]] &gt;0,INDEX(SEGMENTS[], MATCH(CABLES[[#Headers],[SEG14]],SEGMENTS[SEG_ID],0),4),0)</f>
        <v>0</v>
      </c>
      <c r="CA25" s="9">
        <f xml:space="preserve"> IF(CABLES[[#This Row],[SEG15]] &gt;0,INDEX(SEGMENTS[], MATCH(CABLES[[#Headers],[SEG15]],SEGMENTS[SEG_ID],0),4),0)</f>
        <v>0</v>
      </c>
      <c r="CB25" s="9">
        <f xml:space="preserve"> IF(CABLES[[#This Row],[SEG16]] &gt;0,INDEX(SEGMENTS[], MATCH(CABLES[[#Headers],[SEG16]],SEGMENTS[SEG_ID],0),4),0)</f>
        <v>0</v>
      </c>
      <c r="CC25" s="9">
        <f xml:space="preserve"> IF(CABLES[[#This Row],[SEG17]] &gt;0,INDEX(SEGMENTS[], MATCH(CABLES[[#Headers],[SEG17]],SEGMENTS[SEG_ID],0),4),0)</f>
        <v>0</v>
      </c>
      <c r="CD25" s="9">
        <f xml:space="preserve"> IF(CABLES[[#This Row],[SEG18]] &gt;0,INDEX(SEGMENTS[], MATCH(CABLES[[#Headers],[SEG18]],SEGMENTS[SEG_ID],0),4),0)</f>
        <v>0</v>
      </c>
      <c r="CE25" s="9">
        <f>IF(CABLES[[#This Row],[SEG19]] &gt;0, INDEX(SEGMENTS[], MATCH(CABLES[[#Headers],[SEG19]],SEGMENTS[SEG_ID],0),4),0)</f>
        <v>0</v>
      </c>
      <c r="CF25" s="9">
        <f>IF(CABLES[[#This Row],[SEG20]] &gt;0, INDEX(SEGMENTS[], MATCH(CABLES[[#Headers],[SEG20]],SEGMENTS[SEG_ID],0),4),0)</f>
        <v>0</v>
      </c>
      <c r="CG25" s="9">
        <f xml:space="preserve"> IF(CABLES[[#This Row],[SEG21]] &gt;0,INDEX(SEGMENTS[], MATCH(CABLES[[#Headers],[SEG21]],SEGMENTS[SEG_ID],0),4),0)</f>
        <v>0</v>
      </c>
      <c r="CH25" s="9">
        <f xml:space="preserve"> IF(CABLES[[#This Row],[SEG22]] &gt;0,INDEX(SEGMENTS[], MATCH(CABLES[[#Headers],[SEG22]],SEGMENTS[SEG_ID],0),4),0)</f>
        <v>0</v>
      </c>
      <c r="CI25" s="9">
        <f>IF(CABLES[[#This Row],[SEG23]] &gt;0, INDEX(SEGMENTS[], MATCH(CABLES[[#Headers],[SEG23]],SEGMENTS[SEG_ID],0),4),0)</f>
        <v>0</v>
      </c>
      <c r="CJ25" s="9">
        <f xml:space="preserve"> IF(CABLES[[#This Row],[SEG24]] &gt;0,INDEX(SEGMENTS[], MATCH(CABLES[[#Headers],[SEG24]],SEGMENTS[SEG_ID],0),4),0)</f>
        <v>0</v>
      </c>
      <c r="CK25" s="9">
        <f>IF(CABLES[[#This Row],[SEG25]] &gt;0, INDEX(SEGMENTS[], MATCH(CABLES[[#Headers],[SEG25]],SEGMENTS[SEG_ID],0),4),0)</f>
        <v>0</v>
      </c>
      <c r="CL25" s="9">
        <f>IF(CABLES[[#This Row],[SEG26]] &gt;0, INDEX(SEGMENTS[], MATCH(CABLES[[#Headers],[SEG26]],SEGMENTS[SEG_ID],0),4),0)</f>
        <v>0</v>
      </c>
      <c r="CM25" s="9">
        <f xml:space="preserve"> IF(CABLES[[#This Row],[SEG27]] &gt;0,INDEX(SEGMENTS[], MATCH(CABLES[[#Headers],[SEG27]],SEGMENTS[SEG_ID],0),4),0)</f>
        <v>0</v>
      </c>
      <c r="CN25" s="9">
        <f xml:space="preserve"> IF(CABLES[[#This Row],[SEG28]] &gt;0,INDEX(SEGMENTS[], MATCH(CABLES[[#Headers],[SEG28]],SEGMENTS[SEG_ID],0),4),0)</f>
        <v>0</v>
      </c>
      <c r="CO25" s="9">
        <f xml:space="preserve"> IF(CABLES[[#This Row],[SEG29]] &gt;0,INDEX(SEGMENTS[], MATCH(CABLES[[#Headers],[SEG29]],SEGMENTS[SEG_ID],0),4),0)</f>
        <v>0</v>
      </c>
      <c r="CP25" s="9">
        <f xml:space="preserve"> IF(CABLES[[#This Row],[SEG30]] &gt;0,INDEX(SEGMENTS[], MATCH(CABLES[[#Headers],[SEG30]],SEGMENTS[SEG_ID],0),4),0)</f>
        <v>0</v>
      </c>
      <c r="CQ25" s="9">
        <f>IF(CABLES[[#This Row],[SEG31]] &gt;0, INDEX(SEGMENTS[], MATCH(CABLES[[#Headers],[SEG31]],SEGMENTS[SEG_ID],0),4),0)</f>
        <v>0</v>
      </c>
      <c r="CR25" s="9">
        <f xml:space="preserve"> IF(CABLES[[#This Row],[SEG32]] &gt;0,INDEX(SEGMENTS[], MATCH(CABLES[[#Headers],[SEG32]],SEGMENTS[SEG_ID],0),4),0)</f>
        <v>0</v>
      </c>
      <c r="CS25" s="9">
        <f xml:space="preserve"> IF(CABLES[[#This Row],[SEG33]] &gt;0,INDEX(SEGMENTS[], MATCH(CABLES[[#Headers],[SEG33]],SEGMENTS[SEG_ID],0),4),0)</f>
        <v>0</v>
      </c>
      <c r="CT25" s="9">
        <f>IF(CABLES[[#This Row],[SEG34]] &gt;0, INDEX(SEGMENTS[], MATCH(CABLES[[#Headers],[SEG34]],SEGMENTS[SEG_ID],0),4),0)</f>
        <v>0</v>
      </c>
      <c r="CU25" s="9">
        <f xml:space="preserve"> IF(CABLES[[#This Row],[SEG35]] &gt;0,INDEX(SEGMENTS[], MATCH(CABLES[[#Headers],[SEG35]],SEGMENTS[SEG_ID],0),4),0)</f>
        <v>0</v>
      </c>
      <c r="CV25" s="9">
        <f xml:space="preserve"> IF(CABLES[[#This Row],[SEG36]] &gt;0,INDEX(SEGMENTS[], MATCH(CABLES[[#Headers],[SEG36]],SEGMENTS[SEG_ID],0),4),0)</f>
        <v>0</v>
      </c>
      <c r="CW25" s="9">
        <f xml:space="preserve"> IF(CABLES[[#This Row],[SEG37]] &gt;0,INDEX(SEGMENTS[], MATCH(CABLES[[#Headers],[SEG37]],SEGMENTS[SEG_ID],0),4),0)</f>
        <v>0</v>
      </c>
      <c r="CX25" s="9">
        <f xml:space="preserve"> IF(CABLES[[#This Row],[SEG38]] &gt;0,INDEX(SEGMENTS[], MATCH(CABLES[[#Headers],[SEG38]],SEGMENTS[SEG_ID],0),4),0)</f>
        <v>0</v>
      </c>
      <c r="CY25" s="9">
        <f xml:space="preserve"> IF(CABLES[[#This Row],[SEG39]] &gt;0,INDEX(SEGMENTS[], MATCH(CABLES[[#Headers],[SEG39]],SEGMENTS[SEG_ID],0),4),0)</f>
        <v>0</v>
      </c>
      <c r="CZ25" s="9">
        <f xml:space="preserve"> IF(CABLES[[#This Row],[SEG40]] &gt;0,INDEX(SEGMENTS[], MATCH(CABLES[[#Headers],[SEG40]],SEGMENTS[SEG_ID],0),4),0)</f>
        <v>0</v>
      </c>
      <c r="DA25" s="9">
        <f xml:space="preserve"> IF(CABLES[[#This Row],[SEG41]] &gt;0,INDEX(SEGMENTS[], MATCH(CABLES[[#Headers],[SEG41]],SEGMENTS[SEG_ID],0),4),0)</f>
        <v>0</v>
      </c>
      <c r="DB25" s="9">
        <f xml:space="preserve"> IF(CABLES[[#This Row],[SEG42]] &gt;0,INDEX(SEGMENTS[], MATCH(CABLES[[#Headers],[SEG42]],SEGMENTS[SEG_ID],0),4),0)</f>
        <v>0</v>
      </c>
      <c r="DC25" s="9">
        <f xml:space="preserve"> IF(CABLES[[#This Row],[SEG43]] &gt;0,INDEX(SEGMENTS[], MATCH(CABLES[[#Headers],[SEG43]],SEGMENTS[SEG_ID],0),4),0)</f>
        <v>0</v>
      </c>
      <c r="DD25" s="9">
        <f xml:space="preserve"> IF(CABLES[[#This Row],[SEG44]] &gt;0,INDEX(SEGMENTS[], MATCH(CABLES[[#Headers],[SEG44]],SEGMENTS[SEG_ID],0),4),0)</f>
        <v>0</v>
      </c>
      <c r="DE25" s="9">
        <f xml:space="preserve"> IF(CABLES[[#This Row],[SEG45]] &gt;0,INDEX(SEGMENTS[], MATCH(CABLES[[#Headers],[SEG45]],SEGMENTS[SEG_ID],0),4),0)</f>
        <v>0</v>
      </c>
      <c r="DF25" s="9">
        <f xml:space="preserve"> IF(CABLES[[#This Row],[SEG46]] &gt;0,INDEX(SEGMENTS[], MATCH(CABLES[[#Headers],[SEG46]],SEGMENTS[SEG_ID],0),4),0)</f>
        <v>0</v>
      </c>
      <c r="DG25" s="9">
        <f xml:space="preserve"> IF(CABLES[[#This Row],[SEG47]] &gt;0,INDEX(SEGMENTS[], MATCH(CABLES[[#Headers],[SEG47]],SEGMENTS[SEG_ID],0),4),0)</f>
        <v>0</v>
      </c>
      <c r="DH25" s="9">
        <f xml:space="preserve"> IF(CABLES[[#This Row],[SEG48]] &gt;0,INDEX(SEGMENTS[], MATCH(CABLES[[#Headers],[SEG48]],SEGMENTS[SEG_ID],0),4),0)</f>
        <v>0</v>
      </c>
      <c r="DI25" s="9">
        <f xml:space="preserve"> IF(CABLES[[#This Row],[SEG49]] &gt;0,INDEX(SEGMENTS[], MATCH(CABLES[[#Headers],[SEG49]],SEGMENTS[SEG_ID],0),4),0)</f>
        <v>0</v>
      </c>
      <c r="DJ25" s="9">
        <f xml:space="preserve"> IF(CABLES[[#This Row],[SEG50]] &gt;0,INDEX(SEGMENTS[], MATCH(CABLES[[#Headers],[SEG50]],SEGMENTS[SEG_ID],0),4),0)</f>
        <v>0</v>
      </c>
      <c r="DK25" s="9">
        <f xml:space="preserve"> IF(CABLES[[#This Row],[SEG51]] &gt;0,INDEX(SEGMENTS[], MATCH(CABLES[[#Headers],[SEG51]],SEGMENTS[SEG_ID],0),4),0)</f>
        <v>0</v>
      </c>
      <c r="DL25" s="9">
        <f xml:space="preserve"> IF(CABLES[[#This Row],[SEG52]] &gt;0,INDEX(SEGMENTS[], MATCH(CABLES[[#Headers],[SEG52]],SEGMENTS[SEG_ID],0),4),0)</f>
        <v>0</v>
      </c>
      <c r="DM25" s="9">
        <f xml:space="preserve"> IF(CABLES[[#This Row],[SEG53]] &gt;0,INDEX(SEGMENTS[], MATCH(CABLES[[#Headers],[SEG53]],SEGMENTS[SEG_ID],0),4),0)</f>
        <v>0</v>
      </c>
      <c r="DN25" s="9">
        <f xml:space="preserve"> IF(CABLES[[#This Row],[SEG54]] &gt;0,INDEX(SEGMENTS[], MATCH(CABLES[[#Headers],[SEG54]],SEGMENTS[SEG_ID],0),4),0)</f>
        <v>0</v>
      </c>
      <c r="DO25" s="9">
        <f xml:space="preserve"> IF(CABLES[[#This Row],[SEG55]] &gt;0,INDEX(SEGMENTS[], MATCH(CABLES[[#Headers],[SEG55]],SEGMENTS[SEG_ID],0),4),0)</f>
        <v>0</v>
      </c>
      <c r="DP25" s="9">
        <f xml:space="preserve"> IF(CABLES[[#This Row],[SEG56]] &gt;0,INDEX(SEGMENTS[], MATCH(CABLES[[#Headers],[SEG56]],SEGMENTS[SEG_ID],0),4),0)</f>
        <v>0</v>
      </c>
      <c r="DQ25" s="9">
        <f xml:space="preserve"> IF(CABLES[[#This Row],[SEG57]] &gt;0,INDEX(SEGMENTS[], MATCH(CABLES[[#Headers],[SEG57]],SEGMENTS[SEG_ID],0),4),0)</f>
        <v>0</v>
      </c>
      <c r="DR25" s="9">
        <f xml:space="preserve"> IF(CABLES[[#This Row],[SEG58]] &gt;0,INDEX(SEGMENTS[], MATCH(CABLES[[#Headers],[SEG58]],SEGMENTS[SEG_ID],0),4),0)</f>
        <v>0</v>
      </c>
      <c r="DS25" s="9">
        <f xml:space="preserve"> IF(CABLES[[#This Row],[SEG59]] &gt;0,INDEX(SEGMENTS[], MATCH(CABLES[[#Headers],[SEG59]],SEGMENTS[SEG_ID],0),4),0)</f>
        <v>0</v>
      </c>
      <c r="DT25" s="9">
        <f xml:space="preserve"> IF(CABLES[[#This Row],[SEG60]] &gt;0,INDEX(SEGMENTS[], MATCH(CABLES[[#Headers],[SEG60]],SEGMENTS[SEG_ID],0),4),0)</f>
        <v>0</v>
      </c>
      <c r="DU25" s="10">
        <f>SUM(CABLES[[#This Row],[SEGL1]:[SEGL60]])</f>
        <v>37</v>
      </c>
      <c r="DV25" s="10">
        <v>5</v>
      </c>
      <c r="DW25" s="10">
        <v>1.2</v>
      </c>
      <c r="DX25" s="10">
        <f xml:space="preserve"> IF(CABLES[[#This Row],[SEGL_TOTAL]]&gt;0, (CABLES[[#This Row],[SEGL_TOTAL]] + CABLES[[#This Row],[FITOFF]]) *CABLES[[#This Row],[XCAPACITY]],0)</f>
        <v>50.4</v>
      </c>
      <c r="DY25" s="10">
        <f>IF(CABLES[[#This Row],[SEG1]]&gt;0,CABLES[[#This Row],[CABLE_DIAMETER]],0)</f>
        <v>14.5</v>
      </c>
      <c r="DZ25" s="10">
        <f>IF(CABLES[[#This Row],[SEG2]]&gt;0,CABLES[[#This Row],[CABLE_DIAMETER]],0)</f>
        <v>14.5</v>
      </c>
      <c r="EA25" s="10">
        <f>IF(CABLES[[#This Row],[SEG3]]&gt;0,CABLES[[#This Row],[CABLE_DIAMETER]],0)</f>
        <v>0</v>
      </c>
      <c r="EB25" s="10">
        <f>IF(CABLES[[#This Row],[SEG4]]&gt;0,CABLES[[#This Row],[CABLE_DIAMETER]],0)</f>
        <v>14.5</v>
      </c>
      <c r="EC25" s="10">
        <f>IF(CABLES[[#This Row],[SEG5]]&gt;0,CABLES[[#This Row],[CABLE_DIAMETER]],0)</f>
        <v>14.5</v>
      </c>
      <c r="ED25" s="10">
        <f>IF(CABLES[[#This Row],[SEG6]]&gt;0,CABLES[[#This Row],[CABLE_DIAMETER]],0)</f>
        <v>0</v>
      </c>
      <c r="EE25" s="10">
        <f>IF(CABLES[[#This Row],[SEG7]]&gt;0,CABLES[[#This Row],[CABLE_DIAMETER]],0)</f>
        <v>0</v>
      </c>
      <c r="EF25" s="10">
        <f>IF(CABLES[[#This Row],[SEG9]]&gt;0,CABLES[[#This Row],[CABLE_DIAMETER]],0)</f>
        <v>0</v>
      </c>
      <c r="EG25" s="10">
        <f>IF(CABLES[[#This Row],[SEG9]]&gt;0,CABLES[[#This Row],[CABLE_DIAMETER]],0)</f>
        <v>0</v>
      </c>
      <c r="EH25" s="10">
        <f>IF(CABLES[[#This Row],[SEG10]]&gt;0,CABLES[[#This Row],[CABLE_DIAMETER]],0)</f>
        <v>0</v>
      </c>
      <c r="EI25" s="10">
        <f>IF(CABLES[[#This Row],[SEG11]]&gt;0,CABLES[[#This Row],[CABLE_DIAMETER]],0)</f>
        <v>0</v>
      </c>
      <c r="EJ25" s="10">
        <f>IF(CABLES[[#This Row],[SEG12]]&gt;0,CABLES[[#This Row],[CABLE_DIAMETER]],0)</f>
        <v>0</v>
      </c>
      <c r="EK25" s="10">
        <f>IF(CABLES[[#This Row],[SEG13]]&gt;0,CABLES[[#This Row],[CABLE_DIAMETER]],0)</f>
        <v>0</v>
      </c>
      <c r="EL25" s="10">
        <f>IF(CABLES[[#This Row],[SEG14]]&gt;0,CABLES[[#This Row],[CABLE_DIAMETER]],0)</f>
        <v>0</v>
      </c>
      <c r="EM25" s="10">
        <f>IF(CABLES[[#This Row],[SEG15]]&gt;0,CABLES[[#This Row],[CABLE_DIAMETER]],0)</f>
        <v>0</v>
      </c>
      <c r="EN25" s="10">
        <f>IF(CABLES[[#This Row],[SEG16]]&gt;0,CABLES[[#This Row],[CABLE_DIAMETER]],0)</f>
        <v>0</v>
      </c>
      <c r="EO25" s="10">
        <f>IF(CABLES[[#This Row],[SEG17]]&gt;0,CABLES[[#This Row],[CABLE_DIAMETER]],0)</f>
        <v>0</v>
      </c>
      <c r="EP25" s="10">
        <f>IF(CABLES[[#This Row],[SEG18]]&gt;0,CABLES[[#This Row],[CABLE_DIAMETER]],0)</f>
        <v>0</v>
      </c>
      <c r="EQ25" s="10">
        <f>IF(CABLES[[#This Row],[SEG19]]&gt;0,CABLES[[#This Row],[CABLE_DIAMETER]],0)</f>
        <v>0</v>
      </c>
      <c r="ER25" s="10">
        <f>IF(CABLES[[#This Row],[SEG20]]&gt;0,CABLES[[#This Row],[CABLE_DIAMETER]],0)</f>
        <v>0</v>
      </c>
      <c r="ES25" s="10">
        <f>IF(CABLES[[#This Row],[SEG21]]&gt;0,CABLES[[#This Row],[CABLE_DIAMETER]],0)</f>
        <v>0</v>
      </c>
      <c r="ET25" s="10">
        <f>IF(CABLES[[#This Row],[SEG22]]&gt;0,CABLES[[#This Row],[CABLE_DIAMETER]],0)</f>
        <v>0</v>
      </c>
      <c r="EU25" s="10">
        <f>IF(CABLES[[#This Row],[SEG23]]&gt;0,CABLES[[#This Row],[CABLE_DIAMETER]],0)</f>
        <v>0</v>
      </c>
      <c r="EV25" s="10">
        <f>IF(CABLES[[#This Row],[SEG24]]&gt;0,CABLES[[#This Row],[CABLE_DIAMETER]],0)</f>
        <v>0</v>
      </c>
      <c r="EW25" s="10">
        <f>IF(CABLES[[#This Row],[SEG25]]&gt;0,CABLES[[#This Row],[CABLE_DIAMETER]],0)</f>
        <v>0</v>
      </c>
      <c r="EX25" s="10">
        <f>IF(CABLES[[#This Row],[SEG26]]&gt;0,CABLES[[#This Row],[CABLE_DIAMETER]],0)</f>
        <v>0</v>
      </c>
      <c r="EY25" s="10">
        <f>IF(CABLES[[#This Row],[SEG27]]&gt;0,CABLES[[#This Row],[CABLE_DIAMETER]],0)</f>
        <v>0</v>
      </c>
      <c r="EZ25" s="10">
        <f>IF(CABLES[[#This Row],[SEG28]]&gt;0,CABLES[[#This Row],[CABLE_DIAMETER]],0)</f>
        <v>0</v>
      </c>
      <c r="FA25" s="10">
        <f>IF(CABLES[[#This Row],[SEG29]]&gt;0,CABLES[[#This Row],[CABLE_DIAMETER]],0)</f>
        <v>0</v>
      </c>
      <c r="FB25" s="10">
        <f>IF(CABLES[[#This Row],[SEG30]]&gt;0,CABLES[[#This Row],[CABLE_DIAMETER]],0)</f>
        <v>0</v>
      </c>
      <c r="FC25" s="10">
        <f>IF(CABLES[[#This Row],[SEG31]]&gt;0,CABLES[[#This Row],[CABLE_DIAMETER]],0)</f>
        <v>0</v>
      </c>
      <c r="FD25" s="10">
        <f>IF(CABLES[[#This Row],[SEG32]]&gt;0,CABLES[[#This Row],[CABLE_DIAMETER]],0)</f>
        <v>0</v>
      </c>
      <c r="FE25" s="10">
        <f>IF(CABLES[[#This Row],[SEG33]]&gt;0,CABLES[[#This Row],[CABLE_DIAMETER]],0)</f>
        <v>0</v>
      </c>
      <c r="FF25" s="10">
        <f>IF(CABLES[[#This Row],[SEG34]]&gt;0,CABLES[[#This Row],[CABLE_DIAMETER]],0)</f>
        <v>0</v>
      </c>
      <c r="FG25" s="10">
        <f>IF(CABLES[[#This Row],[SEG35]]&gt;0,CABLES[[#This Row],[CABLE_DIAMETER]],0)</f>
        <v>0</v>
      </c>
      <c r="FH25" s="10">
        <f>IF(CABLES[[#This Row],[SEG36]]&gt;0,CABLES[[#This Row],[CABLE_DIAMETER]],0)</f>
        <v>0</v>
      </c>
      <c r="FI25" s="10">
        <f>IF(CABLES[[#This Row],[SEG37]]&gt;0,CABLES[[#This Row],[CABLE_DIAMETER]],0)</f>
        <v>0</v>
      </c>
      <c r="FJ25" s="10">
        <f>IF(CABLES[[#This Row],[SEG38]]&gt;0,CABLES[[#This Row],[CABLE_DIAMETER]],0)</f>
        <v>0</v>
      </c>
      <c r="FK25" s="10">
        <f>IF(CABLES[[#This Row],[SEG39]]&gt;0,CABLES[[#This Row],[CABLE_DIAMETER]],0)</f>
        <v>0</v>
      </c>
      <c r="FL25" s="10">
        <f>IF(CABLES[[#This Row],[SEG40]]&gt;0,CABLES[[#This Row],[CABLE_DIAMETER]],0)</f>
        <v>0</v>
      </c>
      <c r="FM25" s="10">
        <f>IF(CABLES[[#This Row],[SEG41]]&gt;0,CABLES[[#This Row],[CABLE_DIAMETER]],0)</f>
        <v>0</v>
      </c>
      <c r="FN25" s="10">
        <f>IF(CABLES[[#This Row],[SEG42]]&gt;0,CABLES[[#This Row],[CABLE_DIAMETER]],0)</f>
        <v>0</v>
      </c>
      <c r="FO25" s="10">
        <f>IF(CABLES[[#This Row],[SEG43]]&gt;0,CABLES[[#This Row],[CABLE_DIAMETER]],0)</f>
        <v>0</v>
      </c>
      <c r="FP25" s="10">
        <f>IF(CABLES[[#This Row],[SEG44]]&gt;0,CABLES[[#This Row],[CABLE_DIAMETER]],0)</f>
        <v>0</v>
      </c>
      <c r="FQ25" s="10">
        <f>IF(CABLES[[#This Row],[SEG45]]&gt;0,CABLES[[#This Row],[CABLE_DIAMETER]],0)</f>
        <v>0</v>
      </c>
      <c r="FR25" s="10">
        <f>IF(CABLES[[#This Row],[SEG46]]&gt;0,CABLES[[#This Row],[CABLE_DIAMETER]],0)</f>
        <v>0</v>
      </c>
      <c r="FS25" s="10">
        <f>IF(CABLES[[#This Row],[SEG47]]&gt;0,CABLES[[#This Row],[CABLE_DIAMETER]],0)</f>
        <v>0</v>
      </c>
      <c r="FT25" s="10">
        <f>IF(CABLES[[#This Row],[SEG48]]&gt;0,CABLES[[#This Row],[CABLE_DIAMETER]],0)</f>
        <v>0</v>
      </c>
      <c r="FU25" s="10">
        <f>IF(CABLES[[#This Row],[SEG49]]&gt;0,CABLES[[#This Row],[CABLE_DIAMETER]],0)</f>
        <v>0</v>
      </c>
      <c r="FV25" s="10">
        <f>IF(CABLES[[#This Row],[SEG50]]&gt;0,CABLES[[#This Row],[CABLE_DIAMETER]],0)</f>
        <v>0</v>
      </c>
      <c r="FW25" s="10">
        <f>IF(CABLES[[#This Row],[SEG51]]&gt;0,CABLES[[#This Row],[CABLE_DIAMETER]],0)</f>
        <v>0</v>
      </c>
      <c r="FX25" s="10">
        <f>IF(CABLES[[#This Row],[SEG52]]&gt;0,CABLES[[#This Row],[CABLE_DIAMETER]],0)</f>
        <v>0</v>
      </c>
      <c r="FY25" s="10">
        <f>IF(CABLES[[#This Row],[SEG53]]&gt;0,CABLES[[#This Row],[CABLE_DIAMETER]],0)</f>
        <v>0</v>
      </c>
      <c r="FZ25" s="10">
        <f>IF(CABLES[[#This Row],[SEG54]]&gt;0,CABLES[[#This Row],[CABLE_DIAMETER]],0)</f>
        <v>0</v>
      </c>
      <c r="GA25" s="10">
        <f>IF(CABLES[[#This Row],[SEG55]]&gt;0,CABLES[[#This Row],[CABLE_DIAMETER]],0)</f>
        <v>0</v>
      </c>
      <c r="GB25" s="10">
        <f>IF(CABLES[[#This Row],[SEG56]]&gt;0,CABLES[[#This Row],[CABLE_DIAMETER]],0)</f>
        <v>0</v>
      </c>
      <c r="GC25" s="10">
        <f>IF(CABLES[[#This Row],[SEG57]]&gt;0,CABLES[[#This Row],[CABLE_DIAMETER]],0)</f>
        <v>0</v>
      </c>
      <c r="GD25" s="10">
        <f>IF(CABLES[[#This Row],[SEG58]]&gt;0,CABLES[[#This Row],[CABLE_DIAMETER]],0)</f>
        <v>0</v>
      </c>
      <c r="GE25" s="10">
        <f>IF(CABLES[[#This Row],[SEG59]]&gt;0,CABLES[[#This Row],[CABLE_DIAMETER]],0)</f>
        <v>0</v>
      </c>
      <c r="GF25" s="10">
        <f>IF(CABLES[[#This Row],[SEG60]]&gt;0,CABLES[[#This Row],[CABLE_DIAMETER]],0)</f>
        <v>0</v>
      </c>
      <c r="GG25" s="10">
        <f>IF(CABLES[[#This Row],[SEG1]]&gt;0,CABLES[[#This Row],[CABLE_MASS]],0)</f>
        <v>0.33</v>
      </c>
      <c r="GH25" s="10">
        <f>IF(CABLES[[#This Row],[SEG2]]&gt;0,CABLES[[#This Row],[CABLE_MASS]],0)</f>
        <v>0.33</v>
      </c>
      <c r="GI25" s="10">
        <f>IF(CABLES[[#This Row],[SEG3]]&gt;0,CABLES[[#This Row],[CABLE_MASS]],0)</f>
        <v>0</v>
      </c>
      <c r="GJ25" s="10">
        <f>IF(CABLES[[#This Row],[SEG4]]&gt;0,CABLES[[#This Row],[CABLE_MASS]],0)</f>
        <v>0.33</v>
      </c>
      <c r="GK25" s="10">
        <f>IF(CABLES[[#This Row],[SEG5]]&gt;0,CABLES[[#This Row],[CABLE_MASS]],0)</f>
        <v>0.33</v>
      </c>
      <c r="GL25" s="10">
        <f>IF(CABLES[[#This Row],[SEG6]]&gt;0,CABLES[[#This Row],[CABLE_MASS]],0)</f>
        <v>0</v>
      </c>
      <c r="GM25" s="10">
        <f>IF(CABLES[[#This Row],[SEG7]]&gt;0,CABLES[[#This Row],[CABLE_MASS]],0)</f>
        <v>0</v>
      </c>
      <c r="GN25" s="10">
        <f>IF(CABLES[[#This Row],[SEG8]]&gt;0,CABLES[[#This Row],[CABLE_MASS]],0)</f>
        <v>0</v>
      </c>
      <c r="GO25" s="10">
        <f>IF(CABLES[[#This Row],[SEG9]]&gt;0,CABLES[[#This Row],[CABLE_MASS]],0)</f>
        <v>0</v>
      </c>
      <c r="GP25" s="10">
        <f>IF(CABLES[[#This Row],[SEG10]]&gt;0,CABLES[[#This Row],[CABLE_MASS]],0)</f>
        <v>0</v>
      </c>
      <c r="GQ25" s="10">
        <f>IF(CABLES[[#This Row],[SEG11]]&gt;0,CABLES[[#This Row],[CABLE_MASS]],0)</f>
        <v>0</v>
      </c>
      <c r="GR25" s="10">
        <f>IF(CABLES[[#This Row],[SEG12]]&gt;0,CABLES[[#This Row],[CABLE_MASS]],0)</f>
        <v>0</v>
      </c>
      <c r="GS25" s="10">
        <f>IF(CABLES[[#This Row],[SEG13]]&gt;0,CABLES[[#This Row],[CABLE_MASS]],0)</f>
        <v>0</v>
      </c>
      <c r="GT25" s="10">
        <f>IF(CABLES[[#This Row],[SEG14]]&gt;0,CABLES[[#This Row],[CABLE_MASS]],0)</f>
        <v>0</v>
      </c>
      <c r="GU25" s="10">
        <f>IF(CABLES[[#This Row],[SEG15]]&gt;0,CABLES[[#This Row],[CABLE_MASS]],0)</f>
        <v>0</v>
      </c>
      <c r="GV25" s="10">
        <f>IF(CABLES[[#This Row],[SEG16]]&gt;0,CABLES[[#This Row],[CABLE_MASS]],0)</f>
        <v>0</v>
      </c>
      <c r="GW25" s="10">
        <f>IF(CABLES[[#This Row],[SEG17]]&gt;0,CABLES[[#This Row],[CABLE_MASS]],0)</f>
        <v>0</v>
      </c>
      <c r="GX25" s="10">
        <f>IF(CABLES[[#This Row],[SEG18]]&gt;0,CABLES[[#This Row],[CABLE_MASS]],0)</f>
        <v>0</v>
      </c>
      <c r="GY25" s="10">
        <f>IF(CABLES[[#This Row],[SEG19]]&gt;0,CABLES[[#This Row],[CABLE_MASS]],0)</f>
        <v>0</v>
      </c>
      <c r="GZ25" s="10">
        <f>IF(CABLES[[#This Row],[SEG20]]&gt;0,CABLES[[#This Row],[CABLE_MASS]],0)</f>
        <v>0</v>
      </c>
      <c r="HA25" s="10">
        <f>IF(CABLES[[#This Row],[SEG21]]&gt;0,CABLES[[#This Row],[CABLE_MASS]],0)</f>
        <v>0</v>
      </c>
      <c r="HB25" s="10">
        <f>IF(CABLES[[#This Row],[SEG22]]&gt;0,CABLES[[#This Row],[CABLE_MASS]],0)</f>
        <v>0</v>
      </c>
      <c r="HC25" s="10">
        <f>IF(CABLES[[#This Row],[SEG23]]&gt;0,CABLES[[#This Row],[CABLE_MASS]],0)</f>
        <v>0</v>
      </c>
      <c r="HD25" s="10">
        <f>IF(CABLES[[#This Row],[SEG24]]&gt;0,CABLES[[#This Row],[CABLE_MASS]],0)</f>
        <v>0</v>
      </c>
      <c r="HE25" s="10">
        <f>IF(CABLES[[#This Row],[SEG25]]&gt;0,CABLES[[#This Row],[CABLE_MASS]],0)</f>
        <v>0</v>
      </c>
      <c r="HF25" s="10">
        <f>IF(CABLES[[#This Row],[SEG26]]&gt;0,CABLES[[#This Row],[CABLE_MASS]],0)</f>
        <v>0</v>
      </c>
      <c r="HG25" s="10">
        <f>IF(CABLES[[#This Row],[SEG27]]&gt;0,CABLES[[#This Row],[CABLE_MASS]],0)</f>
        <v>0</v>
      </c>
      <c r="HH25" s="10">
        <f>IF(CABLES[[#This Row],[SEG28]]&gt;0,CABLES[[#This Row],[CABLE_MASS]],0)</f>
        <v>0</v>
      </c>
      <c r="HI25" s="10">
        <f>IF(CABLES[[#This Row],[SEG29]]&gt;0,CABLES[[#This Row],[CABLE_MASS]],0)</f>
        <v>0</v>
      </c>
      <c r="HJ25" s="10">
        <f>IF(CABLES[[#This Row],[SEG30]]&gt;0,CABLES[[#This Row],[CABLE_MASS]],0)</f>
        <v>0</v>
      </c>
      <c r="HK25" s="10">
        <f>IF(CABLES[[#This Row],[SEG31]]&gt;0,CABLES[[#This Row],[CABLE_MASS]],0)</f>
        <v>0</v>
      </c>
      <c r="HL25" s="10">
        <f>IF(CABLES[[#This Row],[SEG32]]&gt;0,CABLES[[#This Row],[CABLE_MASS]],0)</f>
        <v>0</v>
      </c>
      <c r="HM25" s="10">
        <f>IF(CABLES[[#This Row],[SEG33]]&gt;0,CABLES[[#This Row],[CABLE_MASS]],0)</f>
        <v>0</v>
      </c>
      <c r="HN25" s="10">
        <f>IF(CABLES[[#This Row],[SEG34]]&gt;0,CABLES[[#This Row],[CABLE_MASS]],0)</f>
        <v>0</v>
      </c>
      <c r="HO25" s="10">
        <f>IF(CABLES[[#This Row],[SEG35]]&gt;0,CABLES[[#This Row],[CABLE_MASS]],0)</f>
        <v>0</v>
      </c>
      <c r="HP25" s="10">
        <f>IF(CABLES[[#This Row],[SEG36]]&gt;0,CABLES[[#This Row],[CABLE_MASS]],0)</f>
        <v>0</v>
      </c>
      <c r="HQ25" s="10">
        <f>IF(CABLES[[#This Row],[SEG37]]&gt;0,CABLES[[#This Row],[CABLE_MASS]],0)</f>
        <v>0</v>
      </c>
      <c r="HR25" s="10">
        <f>IF(CABLES[[#This Row],[SEG38]]&gt;0,CABLES[[#This Row],[CABLE_MASS]],0)</f>
        <v>0</v>
      </c>
      <c r="HS25" s="10">
        <f>IF(CABLES[[#This Row],[SEG39]]&gt;0,CABLES[[#This Row],[CABLE_MASS]],0)</f>
        <v>0</v>
      </c>
      <c r="HT25" s="10">
        <f>IF(CABLES[[#This Row],[SEG40]]&gt;0,CABLES[[#This Row],[CABLE_MASS]],0)</f>
        <v>0</v>
      </c>
      <c r="HU25" s="10">
        <f>IF(CABLES[[#This Row],[SEG41]]&gt;0,CABLES[[#This Row],[CABLE_MASS]],0)</f>
        <v>0</v>
      </c>
      <c r="HV25" s="10">
        <f>IF(CABLES[[#This Row],[SEG42]]&gt;0,CABLES[[#This Row],[CABLE_MASS]],0)</f>
        <v>0</v>
      </c>
      <c r="HW25" s="10">
        <f>IF(CABLES[[#This Row],[SEG43]]&gt;0,CABLES[[#This Row],[CABLE_MASS]],0)</f>
        <v>0</v>
      </c>
      <c r="HX25" s="10">
        <f>IF(CABLES[[#This Row],[SEG44]]&gt;0,CABLES[[#This Row],[CABLE_MASS]],0)</f>
        <v>0</v>
      </c>
      <c r="HY25" s="10">
        <f>IF(CABLES[[#This Row],[SEG45]]&gt;0,CABLES[[#This Row],[CABLE_MASS]],0)</f>
        <v>0</v>
      </c>
      <c r="HZ25" s="10">
        <f>IF(CABLES[[#This Row],[SEG46]]&gt;0,CABLES[[#This Row],[CABLE_MASS]],0)</f>
        <v>0</v>
      </c>
      <c r="IA25" s="10">
        <f>IF(CABLES[[#This Row],[SEG47]]&gt;0,CABLES[[#This Row],[CABLE_MASS]],0)</f>
        <v>0</v>
      </c>
      <c r="IB25" s="10">
        <f>IF(CABLES[[#This Row],[SEG48]]&gt;0,CABLES[[#This Row],[CABLE_MASS]],0)</f>
        <v>0</v>
      </c>
      <c r="IC25" s="10">
        <f>IF(CABLES[[#This Row],[SEG49]]&gt;0,CABLES[[#This Row],[CABLE_MASS]],0)</f>
        <v>0</v>
      </c>
      <c r="ID25" s="10">
        <f>IF(CABLES[[#This Row],[SEG50]]&gt;0,CABLES[[#This Row],[CABLE_MASS]],0)</f>
        <v>0</v>
      </c>
      <c r="IE25" s="10">
        <f>IF(CABLES[[#This Row],[SEG51]]&gt;0,CABLES[[#This Row],[CABLE_MASS]],0)</f>
        <v>0</v>
      </c>
      <c r="IF25" s="10">
        <f>IF(CABLES[[#This Row],[SEG52]]&gt;0,CABLES[[#This Row],[CABLE_MASS]],0)</f>
        <v>0</v>
      </c>
      <c r="IG25" s="10">
        <f>IF(CABLES[[#This Row],[SEG53]]&gt;0,CABLES[[#This Row],[CABLE_MASS]],0)</f>
        <v>0</v>
      </c>
      <c r="IH25" s="10">
        <f>IF(CABLES[[#This Row],[SEG54]]&gt;0,CABLES[[#This Row],[CABLE_MASS]],0)</f>
        <v>0</v>
      </c>
      <c r="II25" s="10">
        <f>IF(CABLES[[#This Row],[SEG55]]&gt;0,CABLES[[#This Row],[CABLE_MASS]],0)</f>
        <v>0</v>
      </c>
      <c r="IJ25" s="10">
        <f>IF(CABLES[[#This Row],[SEG56]]&gt;0,CABLES[[#This Row],[CABLE_MASS]],0)</f>
        <v>0</v>
      </c>
      <c r="IK25" s="10">
        <f>IF(CABLES[[#This Row],[SEG57]]&gt;0,CABLES[[#This Row],[CABLE_MASS]],0)</f>
        <v>0</v>
      </c>
      <c r="IL25" s="10">
        <f>IF(CABLES[[#This Row],[SEG58]]&gt;0,CABLES[[#This Row],[CABLE_MASS]],0)</f>
        <v>0</v>
      </c>
      <c r="IM25" s="10">
        <f>IF(CABLES[[#This Row],[SEG59]]&gt;0,CABLES[[#This Row],[CABLE_MASS]],0)</f>
        <v>0</v>
      </c>
      <c r="IN25" s="10">
        <f>IF(CABLES[[#This Row],[SEG60]]&gt;0,CABLES[[#This Row],[CABLE_MASS]],0)</f>
        <v>0</v>
      </c>
      <c r="IO25" s="10">
        <f xml:space="preserve">  (CABLES[[#This Row],[LOAD_KW]]/(SQRT(3)*SYSTEM_VOLTAGE*POWER_FACTOR))*1000</f>
        <v>8.8206291126192813</v>
      </c>
      <c r="IP25" s="10">
        <v>45</v>
      </c>
      <c r="IQ25" s="10">
        <f xml:space="preserve"> INDEX(AS3000_AMBIENTDERATE[], MATCH(CABLES[[#This Row],[AMBIENT]],AS3000_AMBIENTDERATE[AMBIENT],0), 2)</f>
        <v>0.94</v>
      </c>
      <c r="IR25" s="10">
        <f xml:space="preserve"> ROUNDUP( CABLES[[#This Row],[CALCULATED_AMPS]]/CABLES[[#This Row],[AMBIENT_DERATING]],1)</f>
        <v>9.4</v>
      </c>
      <c r="IS25" s="10" t="s">
        <v>531</v>
      </c>
      <c r="IT2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25" s="10">
        <f t="shared" si="0"/>
        <v>28.000000000000004</v>
      </c>
      <c r="IV25" s="10">
        <f>(1000*CABLES[[#This Row],[MAX_VDROP]])/(CABLES[[#This Row],[ESTIMATED_CABLE_LENGTH]]*CABLES[[#This Row],[AMP_RATING]])</f>
        <v>59.101654846335705</v>
      </c>
      <c r="IW25" s="10">
        <f xml:space="preserve"> INDEX(AS3000_VDROP[], MATCH(CABLES[[#This Row],[VC_CALC]],AS3000_VDROP[Vc],1),1)</f>
        <v>2.5</v>
      </c>
      <c r="IX25" s="10">
        <f>MAX(CABLES[[#This Row],[CABLESIZE_METHOD1]],CABLES[[#This Row],[CABLESIZE_METHOD2]])</f>
        <v>2.5</v>
      </c>
      <c r="IY25" s="10"/>
      <c r="IZ25" s="10">
        <f>IF(LEN(CABLES[[#This Row],[OVERRIDE_CABLESIZE]])&gt;0,CABLES[[#This Row],[OVERRIDE_CABLESIZE]],CABLES[[#This Row],[INITIAL_CABLESIZE]])</f>
        <v>2.5</v>
      </c>
      <c r="JA25" s="10">
        <f>INDEX(PROTECTIVE_DEVICE[DEVICE], MATCH(CABLES[[#This Row],[CALCULATED_AMPS]],PROTECTIVE_DEVICE[DEVICE],-1),1)</f>
        <v>10</v>
      </c>
      <c r="JB25" s="10"/>
      <c r="JC25" s="10">
        <f>IF(LEN(CABLES[[#This Row],[OVERRIDE_PDEVICE]])&gt;0, CABLES[[#This Row],[OVERRIDE_PDEVICE]],CABLES[[#This Row],[RECOMMEND_PDEVICE]])</f>
        <v>10</v>
      </c>
      <c r="JD25" s="10" t="s">
        <v>450</v>
      </c>
      <c r="JE25" s="10">
        <f xml:space="preserve"> CABLES[[#This Row],[SELECTED_PDEVICE]] * INDEX(DEVICE_CURVE[], MATCH(CABLES[[#This Row],[PDEVICE_CURVE]], DEVICE_CURVE[DEVICE_CURVE],0),2)</f>
        <v>65</v>
      </c>
      <c r="JF25" s="10" t="s">
        <v>458</v>
      </c>
      <c r="JG25" s="10">
        <f xml:space="preserve"> INDEX(CONDUCTOR_MATERIAL[], MATCH(CABLES[[#This Row],[CONDUCTOR_MATERIAL]],CONDUCTOR_MATERIAL[CONDUCTOR_MATERIAL],0),2)</f>
        <v>2.2499999999999999E-2</v>
      </c>
      <c r="JH25" s="10">
        <f>CABLES[[#This Row],[SELECTED_CABLESIZE]]</f>
        <v>2.5</v>
      </c>
      <c r="JI25" s="10">
        <f xml:space="preserve"> INDEX( EARTH_CONDUCTOR_SIZE[], MATCH(CABLES[[#This Row],[SPH]],EARTH_CONDUCTOR_SIZE[MM^2],-1), 2)</f>
        <v>2.5</v>
      </c>
      <c r="JJ25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25" s="10" t="str">
        <f>IF(CABLES[[#This Row],[LMAX]]&gt;CABLES[[#This Row],[ESTIMATED_CABLE_LENGTH]], "PASS", "ERROR")</f>
        <v>PASS</v>
      </c>
      <c r="JL2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2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25" s="6">
        <f xml:space="preserve"> ROUNDUP( CABLES[[#This Row],[CALCULATED_AMPS]],1)</f>
        <v>8.9</v>
      </c>
      <c r="JO25" s="6">
        <f>CABLES[[#This Row],[SELECTED_CABLESIZE]]</f>
        <v>2.5</v>
      </c>
      <c r="JP25" s="10">
        <f>CABLES[[#This Row],[ESTIMATED_CABLE_LENGTH]]</f>
        <v>50.4</v>
      </c>
      <c r="JQ25" s="6">
        <f>CABLES[[#This Row],[SELECTED_PDEVICE]]</f>
        <v>10</v>
      </c>
    </row>
    <row r="26" spans="1:277" x14ac:dyDescent="0.35">
      <c r="A26" s="5" t="s">
        <v>25</v>
      </c>
      <c r="B26" s="5" t="s">
        <v>89</v>
      </c>
      <c r="C26" s="10" t="s">
        <v>262</v>
      </c>
      <c r="D26" s="9">
        <v>3</v>
      </c>
      <c r="E26" s="9">
        <v>1</v>
      </c>
      <c r="F26" s="9">
        <v>1</v>
      </c>
      <c r="G26" s="9">
        <v>0</v>
      </c>
      <c r="H26" s="9">
        <v>1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f xml:space="preserve"> IF(CABLES[[#This Row],[SEG1]] &gt;0, INDEX(SEGMENTS[], MATCH(CABLES[[#Headers],[SEG1]],SEGMENTS[SEG_ID],0),4),0)</f>
        <v>13</v>
      </c>
      <c r="BN26" s="9">
        <f xml:space="preserve"> IF(CABLES[[#This Row],[SEG2]] &gt;0, INDEX(SEGMENTS[], MATCH(CABLES[[#Headers],[SEG2]],SEGMENTS[SEG_ID],0),4),0)</f>
        <v>2</v>
      </c>
      <c r="BO26" s="9">
        <f xml:space="preserve"> IF(CABLES[[#This Row],[SEG3]] &gt;0, INDEX(SEGMENTS[], MATCH(CABLES[[#Headers],[SEG3]],SEGMENTS[SEG_ID],0),4),0)</f>
        <v>0</v>
      </c>
      <c r="BP26" s="9">
        <f xml:space="preserve"> IF(CABLES[[#This Row],[SEG4]] &gt;0, INDEX(SEGMENTS[], MATCH(CABLES[[#Headers],[SEG4]],SEGMENTS[SEG_ID],0),4),0)</f>
        <v>14</v>
      </c>
      <c r="BQ26" s="9">
        <f xml:space="preserve"> IF(CABLES[[#This Row],[SEG5]] &gt;0,INDEX(SEGMENTS[], MATCH(CABLES[[#Headers],[SEG5]],SEGMENTS[SEG_ID],0),4),0)</f>
        <v>8</v>
      </c>
      <c r="BR26" s="9">
        <f xml:space="preserve"> IF(CABLES[[#This Row],[SEG6]] &gt;0,INDEX(SEGMENTS[], MATCH(CABLES[[#Headers],[SEG6]],SEGMENTS[SEG_ID],0),4),0)</f>
        <v>0</v>
      </c>
      <c r="BS26" s="9">
        <f xml:space="preserve"> IF(CABLES[[#This Row],[SEG7]] &gt;0,INDEX(SEGMENTS[], MATCH(CABLES[[#Headers],[SEG7]],SEGMENTS[SEG_ID],0),4),0)</f>
        <v>0</v>
      </c>
      <c r="BT26" s="9">
        <f xml:space="preserve"> IF(CABLES[[#This Row],[SEG8]] &gt;0,INDEX(SEGMENTS[], MATCH(CABLES[[#Headers],[SEG8]],SEGMENTS[SEG_ID],0),4),0)</f>
        <v>0</v>
      </c>
      <c r="BU26" s="9">
        <f xml:space="preserve"> IF(CABLES[[#This Row],[SEG9]] &gt;0,INDEX(SEGMENTS[], MATCH(CABLES[[#Headers],[SEG9]],SEGMENTS[SEG_ID],0),4),0)</f>
        <v>0</v>
      </c>
      <c r="BV26" s="9">
        <f xml:space="preserve"> IF(CABLES[[#This Row],[SEG10]] &gt;0,INDEX(SEGMENTS[], MATCH(CABLES[[#Headers],[SEG10]],SEGMENTS[SEG_ID],0),4),0)</f>
        <v>0</v>
      </c>
      <c r="BW26" s="9">
        <f xml:space="preserve"> IF(CABLES[[#This Row],[SEG11]] &gt;0,INDEX(SEGMENTS[], MATCH(CABLES[[#Headers],[SEG11]],SEGMENTS[SEG_ID],0),4),0)</f>
        <v>0</v>
      </c>
      <c r="BX26" s="9">
        <f>IF(CABLES[[#This Row],[SEG12]] &gt;0, INDEX(SEGMENTS[], MATCH(CABLES[[#Headers],[SEG12]],SEGMENTS[SEG_ID],0),4),0)</f>
        <v>0</v>
      </c>
      <c r="BY26" s="9">
        <f xml:space="preserve"> IF(CABLES[[#This Row],[SEG13]] &gt;0,INDEX(SEGMENTS[], MATCH(CABLES[[#Headers],[SEG13]],SEGMENTS[SEG_ID],0),4),0)</f>
        <v>0</v>
      </c>
      <c r="BZ26" s="9">
        <f xml:space="preserve"> IF(CABLES[[#This Row],[SEG14]] &gt;0,INDEX(SEGMENTS[], MATCH(CABLES[[#Headers],[SEG14]],SEGMENTS[SEG_ID],0),4),0)</f>
        <v>0</v>
      </c>
      <c r="CA26" s="9">
        <f xml:space="preserve"> IF(CABLES[[#This Row],[SEG15]] &gt;0,INDEX(SEGMENTS[], MATCH(CABLES[[#Headers],[SEG15]],SEGMENTS[SEG_ID],0),4),0)</f>
        <v>0</v>
      </c>
      <c r="CB26" s="9">
        <f xml:space="preserve"> IF(CABLES[[#This Row],[SEG16]] &gt;0,INDEX(SEGMENTS[], MATCH(CABLES[[#Headers],[SEG16]],SEGMENTS[SEG_ID],0),4),0)</f>
        <v>0</v>
      </c>
      <c r="CC26" s="9">
        <f xml:space="preserve"> IF(CABLES[[#This Row],[SEG17]] &gt;0,INDEX(SEGMENTS[], MATCH(CABLES[[#Headers],[SEG17]],SEGMENTS[SEG_ID],0),4),0)</f>
        <v>0</v>
      </c>
      <c r="CD26" s="9">
        <f xml:space="preserve"> IF(CABLES[[#This Row],[SEG18]] &gt;0,INDEX(SEGMENTS[], MATCH(CABLES[[#Headers],[SEG18]],SEGMENTS[SEG_ID],0),4),0)</f>
        <v>0</v>
      </c>
      <c r="CE26" s="9">
        <f>IF(CABLES[[#This Row],[SEG19]] &gt;0, INDEX(SEGMENTS[], MATCH(CABLES[[#Headers],[SEG19]],SEGMENTS[SEG_ID],0),4),0)</f>
        <v>0</v>
      </c>
      <c r="CF26" s="9">
        <f>IF(CABLES[[#This Row],[SEG20]] &gt;0, INDEX(SEGMENTS[], MATCH(CABLES[[#Headers],[SEG20]],SEGMENTS[SEG_ID],0),4),0)</f>
        <v>0</v>
      </c>
      <c r="CG26" s="9">
        <f xml:space="preserve"> IF(CABLES[[#This Row],[SEG21]] &gt;0,INDEX(SEGMENTS[], MATCH(CABLES[[#Headers],[SEG21]],SEGMENTS[SEG_ID],0),4),0)</f>
        <v>0</v>
      </c>
      <c r="CH26" s="9">
        <f xml:space="preserve"> IF(CABLES[[#This Row],[SEG22]] &gt;0,INDEX(SEGMENTS[], MATCH(CABLES[[#Headers],[SEG22]],SEGMENTS[SEG_ID],0),4),0)</f>
        <v>0</v>
      </c>
      <c r="CI26" s="9">
        <f>IF(CABLES[[#This Row],[SEG23]] &gt;0, INDEX(SEGMENTS[], MATCH(CABLES[[#Headers],[SEG23]],SEGMENTS[SEG_ID],0),4),0)</f>
        <v>0</v>
      </c>
      <c r="CJ26" s="9">
        <f xml:space="preserve"> IF(CABLES[[#This Row],[SEG24]] &gt;0,INDEX(SEGMENTS[], MATCH(CABLES[[#Headers],[SEG24]],SEGMENTS[SEG_ID],0),4),0)</f>
        <v>0</v>
      </c>
      <c r="CK26" s="9">
        <f>IF(CABLES[[#This Row],[SEG25]] &gt;0, INDEX(SEGMENTS[], MATCH(CABLES[[#Headers],[SEG25]],SEGMENTS[SEG_ID],0),4),0)</f>
        <v>0</v>
      </c>
      <c r="CL26" s="9">
        <f>IF(CABLES[[#This Row],[SEG26]] &gt;0, INDEX(SEGMENTS[], MATCH(CABLES[[#Headers],[SEG26]],SEGMENTS[SEG_ID],0),4),0)</f>
        <v>0</v>
      </c>
      <c r="CM26" s="9">
        <f xml:space="preserve"> IF(CABLES[[#This Row],[SEG27]] &gt;0,INDEX(SEGMENTS[], MATCH(CABLES[[#Headers],[SEG27]],SEGMENTS[SEG_ID],0),4),0)</f>
        <v>0</v>
      </c>
      <c r="CN26" s="9">
        <f xml:space="preserve"> IF(CABLES[[#This Row],[SEG28]] &gt;0,INDEX(SEGMENTS[], MATCH(CABLES[[#Headers],[SEG28]],SEGMENTS[SEG_ID],0),4),0)</f>
        <v>0</v>
      </c>
      <c r="CO26" s="9">
        <f xml:space="preserve"> IF(CABLES[[#This Row],[SEG29]] &gt;0,INDEX(SEGMENTS[], MATCH(CABLES[[#Headers],[SEG29]],SEGMENTS[SEG_ID],0),4),0)</f>
        <v>0</v>
      </c>
      <c r="CP26" s="9">
        <f xml:space="preserve"> IF(CABLES[[#This Row],[SEG30]] &gt;0,INDEX(SEGMENTS[], MATCH(CABLES[[#Headers],[SEG30]],SEGMENTS[SEG_ID],0),4),0)</f>
        <v>0</v>
      </c>
      <c r="CQ26" s="9">
        <f>IF(CABLES[[#This Row],[SEG31]] &gt;0, INDEX(SEGMENTS[], MATCH(CABLES[[#Headers],[SEG31]],SEGMENTS[SEG_ID],0),4),0)</f>
        <v>0</v>
      </c>
      <c r="CR26" s="9">
        <f xml:space="preserve"> IF(CABLES[[#This Row],[SEG32]] &gt;0,INDEX(SEGMENTS[], MATCH(CABLES[[#Headers],[SEG32]],SEGMENTS[SEG_ID],0),4),0)</f>
        <v>0</v>
      </c>
      <c r="CS26" s="9">
        <f xml:space="preserve"> IF(CABLES[[#This Row],[SEG33]] &gt;0,INDEX(SEGMENTS[], MATCH(CABLES[[#Headers],[SEG33]],SEGMENTS[SEG_ID],0),4),0)</f>
        <v>0</v>
      </c>
      <c r="CT26" s="9">
        <f>IF(CABLES[[#This Row],[SEG34]] &gt;0, INDEX(SEGMENTS[], MATCH(CABLES[[#Headers],[SEG34]],SEGMENTS[SEG_ID],0),4),0)</f>
        <v>0</v>
      </c>
      <c r="CU26" s="9">
        <f xml:space="preserve"> IF(CABLES[[#This Row],[SEG35]] &gt;0,INDEX(SEGMENTS[], MATCH(CABLES[[#Headers],[SEG35]],SEGMENTS[SEG_ID],0),4),0)</f>
        <v>0</v>
      </c>
      <c r="CV26" s="9">
        <f xml:space="preserve"> IF(CABLES[[#This Row],[SEG36]] &gt;0,INDEX(SEGMENTS[], MATCH(CABLES[[#Headers],[SEG36]],SEGMENTS[SEG_ID],0),4),0)</f>
        <v>0</v>
      </c>
      <c r="CW26" s="9">
        <f xml:space="preserve"> IF(CABLES[[#This Row],[SEG37]] &gt;0,INDEX(SEGMENTS[], MATCH(CABLES[[#Headers],[SEG37]],SEGMENTS[SEG_ID],0),4),0)</f>
        <v>0</v>
      </c>
      <c r="CX26" s="9">
        <f xml:space="preserve"> IF(CABLES[[#This Row],[SEG38]] &gt;0,INDEX(SEGMENTS[], MATCH(CABLES[[#Headers],[SEG38]],SEGMENTS[SEG_ID],0),4),0)</f>
        <v>0</v>
      </c>
      <c r="CY26" s="9">
        <f xml:space="preserve"> IF(CABLES[[#This Row],[SEG39]] &gt;0,INDEX(SEGMENTS[], MATCH(CABLES[[#Headers],[SEG39]],SEGMENTS[SEG_ID],0),4),0)</f>
        <v>0</v>
      </c>
      <c r="CZ26" s="9">
        <f xml:space="preserve"> IF(CABLES[[#This Row],[SEG40]] &gt;0,INDEX(SEGMENTS[], MATCH(CABLES[[#Headers],[SEG40]],SEGMENTS[SEG_ID],0),4),0)</f>
        <v>0</v>
      </c>
      <c r="DA26" s="9">
        <f xml:space="preserve"> IF(CABLES[[#This Row],[SEG41]] &gt;0,INDEX(SEGMENTS[], MATCH(CABLES[[#Headers],[SEG41]],SEGMENTS[SEG_ID],0),4),0)</f>
        <v>0</v>
      </c>
      <c r="DB26" s="9">
        <f xml:space="preserve"> IF(CABLES[[#This Row],[SEG42]] &gt;0,INDEX(SEGMENTS[], MATCH(CABLES[[#Headers],[SEG42]],SEGMENTS[SEG_ID],0),4),0)</f>
        <v>0</v>
      </c>
      <c r="DC26" s="9">
        <f xml:space="preserve"> IF(CABLES[[#This Row],[SEG43]] &gt;0,INDEX(SEGMENTS[], MATCH(CABLES[[#Headers],[SEG43]],SEGMENTS[SEG_ID],0),4),0)</f>
        <v>0</v>
      </c>
      <c r="DD26" s="9">
        <f xml:space="preserve"> IF(CABLES[[#This Row],[SEG44]] &gt;0,INDEX(SEGMENTS[], MATCH(CABLES[[#Headers],[SEG44]],SEGMENTS[SEG_ID],0),4),0)</f>
        <v>0</v>
      </c>
      <c r="DE26" s="9">
        <f xml:space="preserve"> IF(CABLES[[#This Row],[SEG45]] &gt;0,INDEX(SEGMENTS[], MATCH(CABLES[[#Headers],[SEG45]],SEGMENTS[SEG_ID],0),4),0)</f>
        <v>0</v>
      </c>
      <c r="DF26" s="9">
        <f xml:space="preserve"> IF(CABLES[[#This Row],[SEG46]] &gt;0,INDEX(SEGMENTS[], MATCH(CABLES[[#Headers],[SEG46]],SEGMENTS[SEG_ID],0),4),0)</f>
        <v>0</v>
      </c>
      <c r="DG26" s="9">
        <f xml:space="preserve"> IF(CABLES[[#This Row],[SEG47]] &gt;0,INDEX(SEGMENTS[], MATCH(CABLES[[#Headers],[SEG47]],SEGMENTS[SEG_ID],0),4),0)</f>
        <v>0</v>
      </c>
      <c r="DH26" s="9">
        <f xml:space="preserve"> IF(CABLES[[#This Row],[SEG48]] &gt;0,INDEX(SEGMENTS[], MATCH(CABLES[[#Headers],[SEG48]],SEGMENTS[SEG_ID],0),4),0)</f>
        <v>0</v>
      </c>
      <c r="DI26" s="9">
        <f xml:space="preserve"> IF(CABLES[[#This Row],[SEG49]] &gt;0,INDEX(SEGMENTS[], MATCH(CABLES[[#Headers],[SEG49]],SEGMENTS[SEG_ID],0),4),0)</f>
        <v>0</v>
      </c>
      <c r="DJ26" s="9">
        <f xml:space="preserve"> IF(CABLES[[#This Row],[SEG50]] &gt;0,INDEX(SEGMENTS[], MATCH(CABLES[[#Headers],[SEG50]],SEGMENTS[SEG_ID],0),4),0)</f>
        <v>0</v>
      </c>
      <c r="DK26" s="9">
        <f xml:space="preserve"> IF(CABLES[[#This Row],[SEG51]] &gt;0,INDEX(SEGMENTS[], MATCH(CABLES[[#Headers],[SEG51]],SEGMENTS[SEG_ID],0),4),0)</f>
        <v>0</v>
      </c>
      <c r="DL26" s="9">
        <f xml:space="preserve"> IF(CABLES[[#This Row],[SEG52]] &gt;0,INDEX(SEGMENTS[], MATCH(CABLES[[#Headers],[SEG52]],SEGMENTS[SEG_ID],0),4),0)</f>
        <v>0</v>
      </c>
      <c r="DM26" s="9">
        <f xml:space="preserve"> IF(CABLES[[#This Row],[SEG53]] &gt;0,INDEX(SEGMENTS[], MATCH(CABLES[[#Headers],[SEG53]],SEGMENTS[SEG_ID],0),4),0)</f>
        <v>0</v>
      </c>
      <c r="DN26" s="9">
        <f xml:space="preserve"> IF(CABLES[[#This Row],[SEG54]] &gt;0,INDEX(SEGMENTS[], MATCH(CABLES[[#Headers],[SEG54]],SEGMENTS[SEG_ID],0),4),0)</f>
        <v>0</v>
      </c>
      <c r="DO26" s="9">
        <f xml:space="preserve"> IF(CABLES[[#This Row],[SEG55]] &gt;0,INDEX(SEGMENTS[], MATCH(CABLES[[#Headers],[SEG55]],SEGMENTS[SEG_ID],0),4),0)</f>
        <v>0</v>
      </c>
      <c r="DP26" s="9">
        <f xml:space="preserve"> IF(CABLES[[#This Row],[SEG56]] &gt;0,INDEX(SEGMENTS[], MATCH(CABLES[[#Headers],[SEG56]],SEGMENTS[SEG_ID],0),4),0)</f>
        <v>0</v>
      </c>
      <c r="DQ26" s="9">
        <f xml:space="preserve"> IF(CABLES[[#This Row],[SEG57]] &gt;0,INDEX(SEGMENTS[], MATCH(CABLES[[#Headers],[SEG57]],SEGMENTS[SEG_ID],0),4),0)</f>
        <v>0</v>
      </c>
      <c r="DR26" s="9">
        <f xml:space="preserve"> IF(CABLES[[#This Row],[SEG58]] &gt;0,INDEX(SEGMENTS[], MATCH(CABLES[[#Headers],[SEG58]],SEGMENTS[SEG_ID],0),4),0)</f>
        <v>0</v>
      </c>
      <c r="DS26" s="9">
        <f xml:space="preserve"> IF(CABLES[[#This Row],[SEG59]] &gt;0,INDEX(SEGMENTS[], MATCH(CABLES[[#Headers],[SEG59]],SEGMENTS[SEG_ID],0),4),0)</f>
        <v>0</v>
      </c>
      <c r="DT26" s="9">
        <f xml:space="preserve"> IF(CABLES[[#This Row],[SEG60]] &gt;0,INDEX(SEGMENTS[], MATCH(CABLES[[#Headers],[SEG60]],SEGMENTS[SEG_ID],0),4),0)</f>
        <v>0</v>
      </c>
      <c r="DU26" s="10">
        <f>SUM(CABLES[[#This Row],[SEGL1]:[SEGL60]])</f>
        <v>37</v>
      </c>
      <c r="DV26" s="10">
        <v>5</v>
      </c>
      <c r="DW26" s="10">
        <v>1.2</v>
      </c>
      <c r="DX26" s="10">
        <f xml:space="preserve"> IF(CABLES[[#This Row],[SEGL_TOTAL]]&gt;0, (CABLES[[#This Row],[SEGL_TOTAL]] + CABLES[[#This Row],[FITOFF]]) *CABLES[[#This Row],[XCAPACITY]],0)</f>
        <v>50.4</v>
      </c>
      <c r="DY26" s="10">
        <f>IF(CABLES[[#This Row],[SEG1]]&gt;0,CABLES[[#This Row],[CABLE_DIAMETER]],0)</f>
        <v>12</v>
      </c>
      <c r="DZ26" s="10">
        <f>IF(CABLES[[#This Row],[SEG2]]&gt;0,CABLES[[#This Row],[CABLE_DIAMETER]],0)</f>
        <v>12</v>
      </c>
      <c r="EA26" s="10">
        <f>IF(CABLES[[#This Row],[SEG3]]&gt;0,CABLES[[#This Row],[CABLE_DIAMETER]],0)</f>
        <v>0</v>
      </c>
      <c r="EB26" s="10">
        <f>IF(CABLES[[#This Row],[SEG4]]&gt;0,CABLES[[#This Row],[CABLE_DIAMETER]],0)</f>
        <v>12</v>
      </c>
      <c r="EC26" s="10">
        <f>IF(CABLES[[#This Row],[SEG5]]&gt;0,CABLES[[#This Row],[CABLE_DIAMETER]],0)</f>
        <v>12</v>
      </c>
      <c r="ED26" s="10">
        <f>IF(CABLES[[#This Row],[SEG6]]&gt;0,CABLES[[#This Row],[CABLE_DIAMETER]],0)</f>
        <v>0</v>
      </c>
      <c r="EE26" s="10">
        <f>IF(CABLES[[#This Row],[SEG7]]&gt;0,CABLES[[#This Row],[CABLE_DIAMETER]],0)</f>
        <v>0</v>
      </c>
      <c r="EF26" s="10">
        <f>IF(CABLES[[#This Row],[SEG9]]&gt;0,CABLES[[#This Row],[CABLE_DIAMETER]],0)</f>
        <v>0</v>
      </c>
      <c r="EG26" s="10">
        <f>IF(CABLES[[#This Row],[SEG9]]&gt;0,CABLES[[#This Row],[CABLE_DIAMETER]],0)</f>
        <v>0</v>
      </c>
      <c r="EH26" s="10">
        <f>IF(CABLES[[#This Row],[SEG10]]&gt;0,CABLES[[#This Row],[CABLE_DIAMETER]],0)</f>
        <v>0</v>
      </c>
      <c r="EI26" s="10">
        <f>IF(CABLES[[#This Row],[SEG11]]&gt;0,CABLES[[#This Row],[CABLE_DIAMETER]],0)</f>
        <v>0</v>
      </c>
      <c r="EJ26" s="10">
        <f>IF(CABLES[[#This Row],[SEG12]]&gt;0,CABLES[[#This Row],[CABLE_DIAMETER]],0)</f>
        <v>0</v>
      </c>
      <c r="EK26" s="10">
        <f>IF(CABLES[[#This Row],[SEG13]]&gt;0,CABLES[[#This Row],[CABLE_DIAMETER]],0)</f>
        <v>0</v>
      </c>
      <c r="EL26" s="10">
        <f>IF(CABLES[[#This Row],[SEG14]]&gt;0,CABLES[[#This Row],[CABLE_DIAMETER]],0)</f>
        <v>0</v>
      </c>
      <c r="EM26" s="10">
        <f>IF(CABLES[[#This Row],[SEG15]]&gt;0,CABLES[[#This Row],[CABLE_DIAMETER]],0)</f>
        <v>0</v>
      </c>
      <c r="EN26" s="10">
        <f>IF(CABLES[[#This Row],[SEG16]]&gt;0,CABLES[[#This Row],[CABLE_DIAMETER]],0)</f>
        <v>0</v>
      </c>
      <c r="EO26" s="10">
        <f>IF(CABLES[[#This Row],[SEG17]]&gt;0,CABLES[[#This Row],[CABLE_DIAMETER]],0)</f>
        <v>0</v>
      </c>
      <c r="EP26" s="10">
        <f>IF(CABLES[[#This Row],[SEG18]]&gt;0,CABLES[[#This Row],[CABLE_DIAMETER]],0)</f>
        <v>0</v>
      </c>
      <c r="EQ26" s="10">
        <f>IF(CABLES[[#This Row],[SEG19]]&gt;0,CABLES[[#This Row],[CABLE_DIAMETER]],0)</f>
        <v>0</v>
      </c>
      <c r="ER26" s="10">
        <f>IF(CABLES[[#This Row],[SEG20]]&gt;0,CABLES[[#This Row],[CABLE_DIAMETER]],0)</f>
        <v>0</v>
      </c>
      <c r="ES26" s="10">
        <f>IF(CABLES[[#This Row],[SEG21]]&gt;0,CABLES[[#This Row],[CABLE_DIAMETER]],0)</f>
        <v>0</v>
      </c>
      <c r="ET26" s="10">
        <f>IF(CABLES[[#This Row],[SEG22]]&gt;0,CABLES[[#This Row],[CABLE_DIAMETER]],0)</f>
        <v>0</v>
      </c>
      <c r="EU26" s="10">
        <f>IF(CABLES[[#This Row],[SEG23]]&gt;0,CABLES[[#This Row],[CABLE_DIAMETER]],0)</f>
        <v>0</v>
      </c>
      <c r="EV26" s="10">
        <f>IF(CABLES[[#This Row],[SEG24]]&gt;0,CABLES[[#This Row],[CABLE_DIAMETER]],0)</f>
        <v>0</v>
      </c>
      <c r="EW26" s="10">
        <f>IF(CABLES[[#This Row],[SEG25]]&gt;0,CABLES[[#This Row],[CABLE_DIAMETER]],0)</f>
        <v>0</v>
      </c>
      <c r="EX26" s="10">
        <f>IF(CABLES[[#This Row],[SEG26]]&gt;0,CABLES[[#This Row],[CABLE_DIAMETER]],0)</f>
        <v>0</v>
      </c>
      <c r="EY26" s="10">
        <f>IF(CABLES[[#This Row],[SEG27]]&gt;0,CABLES[[#This Row],[CABLE_DIAMETER]],0)</f>
        <v>0</v>
      </c>
      <c r="EZ26" s="10">
        <f>IF(CABLES[[#This Row],[SEG28]]&gt;0,CABLES[[#This Row],[CABLE_DIAMETER]],0)</f>
        <v>0</v>
      </c>
      <c r="FA26" s="10">
        <f>IF(CABLES[[#This Row],[SEG29]]&gt;0,CABLES[[#This Row],[CABLE_DIAMETER]],0)</f>
        <v>0</v>
      </c>
      <c r="FB26" s="10">
        <f>IF(CABLES[[#This Row],[SEG30]]&gt;0,CABLES[[#This Row],[CABLE_DIAMETER]],0)</f>
        <v>0</v>
      </c>
      <c r="FC26" s="10">
        <f>IF(CABLES[[#This Row],[SEG31]]&gt;0,CABLES[[#This Row],[CABLE_DIAMETER]],0)</f>
        <v>0</v>
      </c>
      <c r="FD26" s="10">
        <f>IF(CABLES[[#This Row],[SEG32]]&gt;0,CABLES[[#This Row],[CABLE_DIAMETER]],0)</f>
        <v>0</v>
      </c>
      <c r="FE26" s="10">
        <f>IF(CABLES[[#This Row],[SEG33]]&gt;0,CABLES[[#This Row],[CABLE_DIAMETER]],0)</f>
        <v>0</v>
      </c>
      <c r="FF26" s="10">
        <f>IF(CABLES[[#This Row],[SEG34]]&gt;0,CABLES[[#This Row],[CABLE_DIAMETER]],0)</f>
        <v>0</v>
      </c>
      <c r="FG26" s="10">
        <f>IF(CABLES[[#This Row],[SEG35]]&gt;0,CABLES[[#This Row],[CABLE_DIAMETER]],0)</f>
        <v>0</v>
      </c>
      <c r="FH26" s="10">
        <f>IF(CABLES[[#This Row],[SEG36]]&gt;0,CABLES[[#This Row],[CABLE_DIAMETER]],0)</f>
        <v>0</v>
      </c>
      <c r="FI26" s="10">
        <f>IF(CABLES[[#This Row],[SEG37]]&gt;0,CABLES[[#This Row],[CABLE_DIAMETER]],0)</f>
        <v>0</v>
      </c>
      <c r="FJ26" s="10">
        <f>IF(CABLES[[#This Row],[SEG38]]&gt;0,CABLES[[#This Row],[CABLE_DIAMETER]],0)</f>
        <v>0</v>
      </c>
      <c r="FK26" s="10">
        <f>IF(CABLES[[#This Row],[SEG39]]&gt;0,CABLES[[#This Row],[CABLE_DIAMETER]],0)</f>
        <v>0</v>
      </c>
      <c r="FL26" s="10">
        <f>IF(CABLES[[#This Row],[SEG40]]&gt;0,CABLES[[#This Row],[CABLE_DIAMETER]],0)</f>
        <v>0</v>
      </c>
      <c r="FM26" s="10">
        <f>IF(CABLES[[#This Row],[SEG41]]&gt;0,CABLES[[#This Row],[CABLE_DIAMETER]],0)</f>
        <v>0</v>
      </c>
      <c r="FN26" s="10">
        <f>IF(CABLES[[#This Row],[SEG42]]&gt;0,CABLES[[#This Row],[CABLE_DIAMETER]],0)</f>
        <v>0</v>
      </c>
      <c r="FO26" s="10">
        <f>IF(CABLES[[#This Row],[SEG43]]&gt;0,CABLES[[#This Row],[CABLE_DIAMETER]],0)</f>
        <v>0</v>
      </c>
      <c r="FP26" s="10">
        <f>IF(CABLES[[#This Row],[SEG44]]&gt;0,CABLES[[#This Row],[CABLE_DIAMETER]],0)</f>
        <v>0</v>
      </c>
      <c r="FQ26" s="10">
        <f>IF(CABLES[[#This Row],[SEG45]]&gt;0,CABLES[[#This Row],[CABLE_DIAMETER]],0)</f>
        <v>0</v>
      </c>
      <c r="FR26" s="10">
        <f>IF(CABLES[[#This Row],[SEG46]]&gt;0,CABLES[[#This Row],[CABLE_DIAMETER]],0)</f>
        <v>0</v>
      </c>
      <c r="FS26" s="10">
        <f>IF(CABLES[[#This Row],[SEG47]]&gt;0,CABLES[[#This Row],[CABLE_DIAMETER]],0)</f>
        <v>0</v>
      </c>
      <c r="FT26" s="10">
        <f>IF(CABLES[[#This Row],[SEG48]]&gt;0,CABLES[[#This Row],[CABLE_DIAMETER]],0)</f>
        <v>0</v>
      </c>
      <c r="FU26" s="10">
        <f>IF(CABLES[[#This Row],[SEG49]]&gt;0,CABLES[[#This Row],[CABLE_DIAMETER]],0)</f>
        <v>0</v>
      </c>
      <c r="FV26" s="10">
        <f>IF(CABLES[[#This Row],[SEG50]]&gt;0,CABLES[[#This Row],[CABLE_DIAMETER]],0)</f>
        <v>0</v>
      </c>
      <c r="FW26" s="10">
        <f>IF(CABLES[[#This Row],[SEG51]]&gt;0,CABLES[[#This Row],[CABLE_DIAMETER]],0)</f>
        <v>0</v>
      </c>
      <c r="FX26" s="10">
        <f>IF(CABLES[[#This Row],[SEG52]]&gt;0,CABLES[[#This Row],[CABLE_DIAMETER]],0)</f>
        <v>0</v>
      </c>
      <c r="FY26" s="10">
        <f>IF(CABLES[[#This Row],[SEG53]]&gt;0,CABLES[[#This Row],[CABLE_DIAMETER]],0)</f>
        <v>0</v>
      </c>
      <c r="FZ26" s="10">
        <f>IF(CABLES[[#This Row],[SEG54]]&gt;0,CABLES[[#This Row],[CABLE_DIAMETER]],0)</f>
        <v>0</v>
      </c>
      <c r="GA26" s="10">
        <f>IF(CABLES[[#This Row],[SEG55]]&gt;0,CABLES[[#This Row],[CABLE_DIAMETER]],0)</f>
        <v>0</v>
      </c>
      <c r="GB26" s="10">
        <f>IF(CABLES[[#This Row],[SEG56]]&gt;0,CABLES[[#This Row],[CABLE_DIAMETER]],0)</f>
        <v>0</v>
      </c>
      <c r="GC26" s="10">
        <f>IF(CABLES[[#This Row],[SEG57]]&gt;0,CABLES[[#This Row],[CABLE_DIAMETER]],0)</f>
        <v>0</v>
      </c>
      <c r="GD26" s="10">
        <f>IF(CABLES[[#This Row],[SEG58]]&gt;0,CABLES[[#This Row],[CABLE_DIAMETER]],0)</f>
        <v>0</v>
      </c>
      <c r="GE26" s="10">
        <f>IF(CABLES[[#This Row],[SEG59]]&gt;0,CABLES[[#This Row],[CABLE_DIAMETER]],0)</f>
        <v>0</v>
      </c>
      <c r="GF26" s="10">
        <f>IF(CABLES[[#This Row],[SEG60]]&gt;0,CABLES[[#This Row],[CABLE_DIAMETER]],0)</f>
        <v>0</v>
      </c>
      <c r="GG26" s="10">
        <f>IF(CABLES[[#This Row],[SEG1]]&gt;0,CABLES[[#This Row],[CABLE_MASS]],0)</f>
        <v>0.21</v>
      </c>
      <c r="GH26" s="10">
        <f>IF(CABLES[[#This Row],[SEG2]]&gt;0,CABLES[[#This Row],[CABLE_MASS]],0)</f>
        <v>0.21</v>
      </c>
      <c r="GI26" s="10">
        <f>IF(CABLES[[#This Row],[SEG3]]&gt;0,CABLES[[#This Row],[CABLE_MASS]],0)</f>
        <v>0</v>
      </c>
      <c r="GJ26" s="10">
        <f>IF(CABLES[[#This Row],[SEG4]]&gt;0,CABLES[[#This Row],[CABLE_MASS]],0)</f>
        <v>0.21</v>
      </c>
      <c r="GK26" s="10">
        <f>IF(CABLES[[#This Row],[SEG5]]&gt;0,CABLES[[#This Row],[CABLE_MASS]],0)</f>
        <v>0.21</v>
      </c>
      <c r="GL26" s="10">
        <f>IF(CABLES[[#This Row],[SEG6]]&gt;0,CABLES[[#This Row],[CABLE_MASS]],0)</f>
        <v>0</v>
      </c>
      <c r="GM26" s="10">
        <f>IF(CABLES[[#This Row],[SEG7]]&gt;0,CABLES[[#This Row],[CABLE_MASS]],0)</f>
        <v>0</v>
      </c>
      <c r="GN26" s="10">
        <f>IF(CABLES[[#This Row],[SEG8]]&gt;0,CABLES[[#This Row],[CABLE_MASS]],0)</f>
        <v>0</v>
      </c>
      <c r="GO26" s="10">
        <f>IF(CABLES[[#This Row],[SEG9]]&gt;0,CABLES[[#This Row],[CABLE_MASS]],0)</f>
        <v>0</v>
      </c>
      <c r="GP26" s="10">
        <f>IF(CABLES[[#This Row],[SEG10]]&gt;0,CABLES[[#This Row],[CABLE_MASS]],0)</f>
        <v>0</v>
      </c>
      <c r="GQ26" s="10">
        <f>IF(CABLES[[#This Row],[SEG11]]&gt;0,CABLES[[#This Row],[CABLE_MASS]],0)</f>
        <v>0</v>
      </c>
      <c r="GR26" s="10">
        <f>IF(CABLES[[#This Row],[SEG12]]&gt;0,CABLES[[#This Row],[CABLE_MASS]],0)</f>
        <v>0</v>
      </c>
      <c r="GS26" s="10">
        <f>IF(CABLES[[#This Row],[SEG13]]&gt;0,CABLES[[#This Row],[CABLE_MASS]],0)</f>
        <v>0</v>
      </c>
      <c r="GT26" s="10">
        <f>IF(CABLES[[#This Row],[SEG14]]&gt;0,CABLES[[#This Row],[CABLE_MASS]],0)</f>
        <v>0</v>
      </c>
      <c r="GU26" s="10">
        <f>IF(CABLES[[#This Row],[SEG15]]&gt;0,CABLES[[#This Row],[CABLE_MASS]],0)</f>
        <v>0</v>
      </c>
      <c r="GV26" s="10">
        <f>IF(CABLES[[#This Row],[SEG16]]&gt;0,CABLES[[#This Row],[CABLE_MASS]],0)</f>
        <v>0</v>
      </c>
      <c r="GW26" s="10">
        <f>IF(CABLES[[#This Row],[SEG17]]&gt;0,CABLES[[#This Row],[CABLE_MASS]],0)</f>
        <v>0</v>
      </c>
      <c r="GX26" s="10">
        <f>IF(CABLES[[#This Row],[SEG18]]&gt;0,CABLES[[#This Row],[CABLE_MASS]],0)</f>
        <v>0</v>
      </c>
      <c r="GY26" s="10">
        <f>IF(CABLES[[#This Row],[SEG19]]&gt;0,CABLES[[#This Row],[CABLE_MASS]],0)</f>
        <v>0</v>
      </c>
      <c r="GZ26" s="10">
        <f>IF(CABLES[[#This Row],[SEG20]]&gt;0,CABLES[[#This Row],[CABLE_MASS]],0)</f>
        <v>0</v>
      </c>
      <c r="HA26" s="10">
        <f>IF(CABLES[[#This Row],[SEG21]]&gt;0,CABLES[[#This Row],[CABLE_MASS]],0)</f>
        <v>0</v>
      </c>
      <c r="HB26" s="10">
        <f>IF(CABLES[[#This Row],[SEG22]]&gt;0,CABLES[[#This Row],[CABLE_MASS]],0)</f>
        <v>0</v>
      </c>
      <c r="HC26" s="10">
        <f>IF(CABLES[[#This Row],[SEG23]]&gt;0,CABLES[[#This Row],[CABLE_MASS]],0)</f>
        <v>0</v>
      </c>
      <c r="HD26" s="10">
        <f>IF(CABLES[[#This Row],[SEG24]]&gt;0,CABLES[[#This Row],[CABLE_MASS]],0)</f>
        <v>0</v>
      </c>
      <c r="HE26" s="10">
        <f>IF(CABLES[[#This Row],[SEG25]]&gt;0,CABLES[[#This Row],[CABLE_MASS]],0)</f>
        <v>0</v>
      </c>
      <c r="HF26" s="10">
        <f>IF(CABLES[[#This Row],[SEG26]]&gt;0,CABLES[[#This Row],[CABLE_MASS]],0)</f>
        <v>0</v>
      </c>
      <c r="HG26" s="10">
        <f>IF(CABLES[[#This Row],[SEG27]]&gt;0,CABLES[[#This Row],[CABLE_MASS]],0)</f>
        <v>0</v>
      </c>
      <c r="HH26" s="10">
        <f>IF(CABLES[[#This Row],[SEG28]]&gt;0,CABLES[[#This Row],[CABLE_MASS]],0)</f>
        <v>0</v>
      </c>
      <c r="HI26" s="10">
        <f>IF(CABLES[[#This Row],[SEG29]]&gt;0,CABLES[[#This Row],[CABLE_MASS]],0)</f>
        <v>0</v>
      </c>
      <c r="HJ26" s="10">
        <f>IF(CABLES[[#This Row],[SEG30]]&gt;0,CABLES[[#This Row],[CABLE_MASS]],0)</f>
        <v>0</v>
      </c>
      <c r="HK26" s="10">
        <f>IF(CABLES[[#This Row],[SEG31]]&gt;0,CABLES[[#This Row],[CABLE_MASS]],0)</f>
        <v>0</v>
      </c>
      <c r="HL26" s="10">
        <f>IF(CABLES[[#This Row],[SEG32]]&gt;0,CABLES[[#This Row],[CABLE_MASS]],0)</f>
        <v>0</v>
      </c>
      <c r="HM26" s="10">
        <f>IF(CABLES[[#This Row],[SEG33]]&gt;0,CABLES[[#This Row],[CABLE_MASS]],0)</f>
        <v>0</v>
      </c>
      <c r="HN26" s="10">
        <f>IF(CABLES[[#This Row],[SEG34]]&gt;0,CABLES[[#This Row],[CABLE_MASS]],0)</f>
        <v>0</v>
      </c>
      <c r="HO26" s="10">
        <f>IF(CABLES[[#This Row],[SEG35]]&gt;0,CABLES[[#This Row],[CABLE_MASS]],0)</f>
        <v>0</v>
      </c>
      <c r="HP26" s="10">
        <f>IF(CABLES[[#This Row],[SEG36]]&gt;0,CABLES[[#This Row],[CABLE_MASS]],0)</f>
        <v>0</v>
      </c>
      <c r="HQ26" s="10">
        <f>IF(CABLES[[#This Row],[SEG37]]&gt;0,CABLES[[#This Row],[CABLE_MASS]],0)</f>
        <v>0</v>
      </c>
      <c r="HR26" s="10">
        <f>IF(CABLES[[#This Row],[SEG38]]&gt;0,CABLES[[#This Row],[CABLE_MASS]],0)</f>
        <v>0</v>
      </c>
      <c r="HS26" s="10">
        <f>IF(CABLES[[#This Row],[SEG39]]&gt;0,CABLES[[#This Row],[CABLE_MASS]],0)</f>
        <v>0</v>
      </c>
      <c r="HT26" s="10">
        <f>IF(CABLES[[#This Row],[SEG40]]&gt;0,CABLES[[#This Row],[CABLE_MASS]],0)</f>
        <v>0</v>
      </c>
      <c r="HU26" s="10">
        <f>IF(CABLES[[#This Row],[SEG41]]&gt;0,CABLES[[#This Row],[CABLE_MASS]],0)</f>
        <v>0</v>
      </c>
      <c r="HV26" s="10">
        <f>IF(CABLES[[#This Row],[SEG42]]&gt;0,CABLES[[#This Row],[CABLE_MASS]],0)</f>
        <v>0</v>
      </c>
      <c r="HW26" s="10">
        <f>IF(CABLES[[#This Row],[SEG43]]&gt;0,CABLES[[#This Row],[CABLE_MASS]],0)</f>
        <v>0</v>
      </c>
      <c r="HX26" s="10">
        <f>IF(CABLES[[#This Row],[SEG44]]&gt;0,CABLES[[#This Row],[CABLE_MASS]],0)</f>
        <v>0</v>
      </c>
      <c r="HY26" s="10">
        <f>IF(CABLES[[#This Row],[SEG45]]&gt;0,CABLES[[#This Row],[CABLE_MASS]],0)</f>
        <v>0</v>
      </c>
      <c r="HZ26" s="10">
        <f>IF(CABLES[[#This Row],[SEG46]]&gt;0,CABLES[[#This Row],[CABLE_MASS]],0)</f>
        <v>0</v>
      </c>
      <c r="IA26" s="10">
        <f>IF(CABLES[[#This Row],[SEG47]]&gt;0,CABLES[[#This Row],[CABLE_MASS]],0)</f>
        <v>0</v>
      </c>
      <c r="IB26" s="10">
        <f>IF(CABLES[[#This Row],[SEG48]]&gt;0,CABLES[[#This Row],[CABLE_MASS]],0)</f>
        <v>0</v>
      </c>
      <c r="IC26" s="10">
        <f>IF(CABLES[[#This Row],[SEG49]]&gt;0,CABLES[[#This Row],[CABLE_MASS]],0)</f>
        <v>0</v>
      </c>
      <c r="ID26" s="10">
        <f>IF(CABLES[[#This Row],[SEG50]]&gt;0,CABLES[[#This Row],[CABLE_MASS]],0)</f>
        <v>0</v>
      </c>
      <c r="IE26" s="10">
        <f>IF(CABLES[[#This Row],[SEG51]]&gt;0,CABLES[[#This Row],[CABLE_MASS]],0)</f>
        <v>0</v>
      </c>
      <c r="IF26" s="10">
        <f>IF(CABLES[[#This Row],[SEG52]]&gt;0,CABLES[[#This Row],[CABLE_MASS]],0)</f>
        <v>0</v>
      </c>
      <c r="IG26" s="10">
        <f>IF(CABLES[[#This Row],[SEG53]]&gt;0,CABLES[[#This Row],[CABLE_MASS]],0)</f>
        <v>0</v>
      </c>
      <c r="IH26" s="10">
        <f>IF(CABLES[[#This Row],[SEG54]]&gt;0,CABLES[[#This Row],[CABLE_MASS]],0)</f>
        <v>0</v>
      </c>
      <c r="II26" s="10">
        <f>IF(CABLES[[#This Row],[SEG55]]&gt;0,CABLES[[#This Row],[CABLE_MASS]],0)</f>
        <v>0</v>
      </c>
      <c r="IJ26" s="10">
        <f>IF(CABLES[[#This Row],[SEG56]]&gt;0,CABLES[[#This Row],[CABLE_MASS]],0)</f>
        <v>0</v>
      </c>
      <c r="IK26" s="10">
        <f>IF(CABLES[[#This Row],[SEG57]]&gt;0,CABLES[[#This Row],[CABLE_MASS]],0)</f>
        <v>0</v>
      </c>
      <c r="IL26" s="10">
        <f>IF(CABLES[[#This Row],[SEG58]]&gt;0,CABLES[[#This Row],[CABLE_MASS]],0)</f>
        <v>0</v>
      </c>
      <c r="IM26" s="10">
        <f>IF(CABLES[[#This Row],[SEG59]]&gt;0,CABLES[[#This Row],[CABLE_MASS]],0)</f>
        <v>0</v>
      </c>
      <c r="IN26" s="10">
        <f>IF(CABLES[[#This Row],[SEG60]]&gt;0,CABLES[[#This Row],[CABLE_MASS]],0)</f>
        <v>0</v>
      </c>
      <c r="IO26" s="10">
        <f xml:space="preserve">  (CABLES[[#This Row],[LOAD_KW]]/(SQRT(3)*SYSTEM_VOLTAGE*POWER_FACTOR))*1000</f>
        <v>4.8112522432468809</v>
      </c>
      <c r="IP26" s="10">
        <v>45</v>
      </c>
      <c r="IQ26" s="10">
        <f xml:space="preserve"> INDEX(AS3000_AMBIENTDERATE[], MATCH(CABLES[[#This Row],[AMBIENT]],AS3000_AMBIENTDERATE[AMBIENT],0), 2)</f>
        <v>0.94</v>
      </c>
      <c r="IR26" s="10">
        <f xml:space="preserve"> ROUNDUP( CABLES[[#This Row],[CALCULATED_AMPS]]/CABLES[[#This Row],[AMBIENT_DERATING]],1)</f>
        <v>5.1999999999999993</v>
      </c>
      <c r="IS26" s="10" t="s">
        <v>531</v>
      </c>
      <c r="IT2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26" s="10">
        <f t="shared" si="0"/>
        <v>28.000000000000004</v>
      </c>
      <c r="IV26" s="10">
        <f>(1000*CABLES[[#This Row],[MAX_VDROP]])/(CABLES[[#This Row],[ESTIMATED_CABLE_LENGTH]]*CABLES[[#This Row],[AMP_RATING]])</f>
        <v>106.83760683760686</v>
      </c>
      <c r="IW26" s="10">
        <f xml:space="preserve"> INDEX(AS3000_VDROP[], MATCH(CABLES[[#This Row],[VC_CALC]],AS3000_VDROP[Vc],1),1)</f>
        <v>2.5</v>
      </c>
      <c r="IX26" s="10">
        <f>MAX(CABLES[[#This Row],[CABLESIZE_METHOD1]],CABLES[[#This Row],[CABLESIZE_METHOD2]])</f>
        <v>2.5</v>
      </c>
      <c r="IY26" s="10"/>
      <c r="IZ26" s="10">
        <f>IF(LEN(CABLES[[#This Row],[OVERRIDE_CABLESIZE]])&gt;0,CABLES[[#This Row],[OVERRIDE_CABLESIZE]],CABLES[[#This Row],[INITIAL_CABLESIZE]])</f>
        <v>2.5</v>
      </c>
      <c r="JA26" s="10">
        <f>INDEX(PROTECTIVE_DEVICE[DEVICE], MATCH(CABLES[[#This Row],[CALCULATED_AMPS]],PROTECTIVE_DEVICE[DEVICE],-1),1)</f>
        <v>6</v>
      </c>
      <c r="JB26" s="10"/>
      <c r="JC26" s="10">
        <f>IF(LEN(CABLES[[#This Row],[OVERRIDE_PDEVICE]])&gt;0, CABLES[[#This Row],[OVERRIDE_PDEVICE]],CABLES[[#This Row],[RECOMMEND_PDEVICE]])</f>
        <v>6</v>
      </c>
      <c r="JD26" s="10" t="s">
        <v>450</v>
      </c>
      <c r="JE26" s="10">
        <f xml:space="preserve"> CABLES[[#This Row],[SELECTED_PDEVICE]] * INDEX(DEVICE_CURVE[], MATCH(CABLES[[#This Row],[PDEVICE_CURVE]], DEVICE_CURVE[DEVICE_CURVE],0),2)</f>
        <v>39</v>
      </c>
      <c r="JF26" s="10" t="s">
        <v>458</v>
      </c>
      <c r="JG26" s="10">
        <f xml:space="preserve"> INDEX(CONDUCTOR_MATERIAL[], MATCH(CABLES[[#This Row],[CONDUCTOR_MATERIAL]],CONDUCTOR_MATERIAL[CONDUCTOR_MATERIAL],0),2)</f>
        <v>2.2499999999999999E-2</v>
      </c>
      <c r="JH26" s="10">
        <f>CABLES[[#This Row],[SELECTED_CABLESIZE]]</f>
        <v>2.5</v>
      </c>
      <c r="JI26" s="10">
        <f xml:space="preserve"> INDEX( EARTH_CONDUCTOR_SIZE[], MATCH(CABLES[[#This Row],[SPH]],EARTH_CONDUCTOR_SIZE[MM^2],-1), 2)</f>
        <v>2.5</v>
      </c>
      <c r="JJ26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26" s="10" t="str">
        <f>IF(CABLES[[#This Row],[LMAX]]&gt;CABLES[[#This Row],[ESTIMATED_CABLE_LENGTH]], "PASS", "ERROR")</f>
        <v>PASS</v>
      </c>
      <c r="JL2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2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26" s="6">
        <f xml:space="preserve"> ROUNDUP( CABLES[[#This Row],[CALCULATED_AMPS]],1)</f>
        <v>4.8999999999999995</v>
      </c>
      <c r="JO26" s="6">
        <f>CABLES[[#This Row],[SELECTED_CABLESIZE]]</f>
        <v>2.5</v>
      </c>
      <c r="JP26" s="10">
        <f>CABLES[[#This Row],[ESTIMATED_CABLE_LENGTH]]</f>
        <v>50.4</v>
      </c>
      <c r="JQ26" s="6">
        <f>CABLES[[#This Row],[SELECTED_PDEVICE]]</f>
        <v>6</v>
      </c>
    </row>
    <row r="27" spans="1:277" x14ac:dyDescent="0.35">
      <c r="A27" s="5" t="s">
        <v>26</v>
      </c>
      <c r="B27" s="5" t="s">
        <v>90</v>
      </c>
      <c r="C27" s="10" t="s">
        <v>261</v>
      </c>
      <c r="D27" s="9">
        <v>11</v>
      </c>
      <c r="E27" s="9">
        <v>1</v>
      </c>
      <c r="F27" s="9">
        <v>1</v>
      </c>
      <c r="G27" s="9">
        <v>0</v>
      </c>
      <c r="H27" s="9">
        <v>1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f xml:space="preserve"> IF(CABLES[[#This Row],[SEG1]] &gt;0, INDEX(SEGMENTS[], MATCH(CABLES[[#Headers],[SEG1]],SEGMENTS[SEG_ID],0),4),0)</f>
        <v>13</v>
      </c>
      <c r="BN27" s="9">
        <f xml:space="preserve"> IF(CABLES[[#This Row],[SEG2]] &gt;0, INDEX(SEGMENTS[], MATCH(CABLES[[#Headers],[SEG2]],SEGMENTS[SEG_ID],0),4),0)</f>
        <v>2</v>
      </c>
      <c r="BO27" s="9">
        <f xml:space="preserve"> IF(CABLES[[#This Row],[SEG3]] &gt;0, INDEX(SEGMENTS[], MATCH(CABLES[[#Headers],[SEG3]],SEGMENTS[SEG_ID],0),4),0)</f>
        <v>0</v>
      </c>
      <c r="BP27" s="9">
        <f xml:space="preserve"> IF(CABLES[[#This Row],[SEG4]] &gt;0, INDEX(SEGMENTS[], MATCH(CABLES[[#Headers],[SEG4]],SEGMENTS[SEG_ID],0),4),0)</f>
        <v>14</v>
      </c>
      <c r="BQ27" s="9">
        <f xml:space="preserve"> IF(CABLES[[#This Row],[SEG5]] &gt;0,INDEX(SEGMENTS[], MATCH(CABLES[[#Headers],[SEG5]],SEGMENTS[SEG_ID],0),4),0)</f>
        <v>8</v>
      </c>
      <c r="BR27" s="9">
        <f xml:space="preserve"> IF(CABLES[[#This Row],[SEG6]] &gt;0,INDEX(SEGMENTS[], MATCH(CABLES[[#Headers],[SEG6]],SEGMENTS[SEG_ID],0),4),0)</f>
        <v>0</v>
      </c>
      <c r="BS27" s="9">
        <f xml:space="preserve"> IF(CABLES[[#This Row],[SEG7]] &gt;0,INDEX(SEGMENTS[], MATCH(CABLES[[#Headers],[SEG7]],SEGMENTS[SEG_ID],0),4),0)</f>
        <v>0</v>
      </c>
      <c r="BT27" s="9">
        <f xml:space="preserve"> IF(CABLES[[#This Row],[SEG8]] &gt;0,INDEX(SEGMENTS[], MATCH(CABLES[[#Headers],[SEG8]],SEGMENTS[SEG_ID],0),4),0)</f>
        <v>0</v>
      </c>
      <c r="BU27" s="9">
        <f xml:space="preserve"> IF(CABLES[[#This Row],[SEG9]] &gt;0,INDEX(SEGMENTS[], MATCH(CABLES[[#Headers],[SEG9]],SEGMENTS[SEG_ID],0),4),0)</f>
        <v>0</v>
      </c>
      <c r="BV27" s="9">
        <f xml:space="preserve"> IF(CABLES[[#This Row],[SEG10]] &gt;0,INDEX(SEGMENTS[], MATCH(CABLES[[#Headers],[SEG10]],SEGMENTS[SEG_ID],0),4),0)</f>
        <v>0</v>
      </c>
      <c r="BW27" s="9">
        <f xml:space="preserve"> IF(CABLES[[#This Row],[SEG11]] &gt;0,INDEX(SEGMENTS[], MATCH(CABLES[[#Headers],[SEG11]],SEGMENTS[SEG_ID],0),4),0)</f>
        <v>0</v>
      </c>
      <c r="BX27" s="9">
        <f>IF(CABLES[[#This Row],[SEG12]] &gt;0, INDEX(SEGMENTS[], MATCH(CABLES[[#Headers],[SEG12]],SEGMENTS[SEG_ID],0),4),0)</f>
        <v>0</v>
      </c>
      <c r="BY27" s="9">
        <f xml:space="preserve"> IF(CABLES[[#This Row],[SEG13]] &gt;0,INDEX(SEGMENTS[], MATCH(CABLES[[#Headers],[SEG13]],SEGMENTS[SEG_ID],0),4),0)</f>
        <v>0</v>
      </c>
      <c r="BZ27" s="9">
        <f xml:space="preserve"> IF(CABLES[[#This Row],[SEG14]] &gt;0,INDEX(SEGMENTS[], MATCH(CABLES[[#Headers],[SEG14]],SEGMENTS[SEG_ID],0),4),0)</f>
        <v>0</v>
      </c>
      <c r="CA27" s="9">
        <f xml:space="preserve"> IF(CABLES[[#This Row],[SEG15]] &gt;0,INDEX(SEGMENTS[], MATCH(CABLES[[#Headers],[SEG15]],SEGMENTS[SEG_ID],0),4),0)</f>
        <v>0</v>
      </c>
      <c r="CB27" s="9">
        <f xml:space="preserve"> IF(CABLES[[#This Row],[SEG16]] &gt;0,INDEX(SEGMENTS[], MATCH(CABLES[[#Headers],[SEG16]],SEGMENTS[SEG_ID],0),4),0)</f>
        <v>0</v>
      </c>
      <c r="CC27" s="9">
        <f xml:space="preserve"> IF(CABLES[[#This Row],[SEG17]] &gt;0,INDEX(SEGMENTS[], MATCH(CABLES[[#Headers],[SEG17]],SEGMENTS[SEG_ID],0),4),0)</f>
        <v>0</v>
      </c>
      <c r="CD27" s="9">
        <f xml:space="preserve"> IF(CABLES[[#This Row],[SEG18]] &gt;0,INDEX(SEGMENTS[], MATCH(CABLES[[#Headers],[SEG18]],SEGMENTS[SEG_ID],0),4),0)</f>
        <v>0</v>
      </c>
      <c r="CE27" s="9">
        <f>IF(CABLES[[#This Row],[SEG19]] &gt;0, INDEX(SEGMENTS[], MATCH(CABLES[[#Headers],[SEG19]],SEGMENTS[SEG_ID],0),4),0)</f>
        <v>0</v>
      </c>
      <c r="CF27" s="9">
        <f>IF(CABLES[[#This Row],[SEG20]] &gt;0, INDEX(SEGMENTS[], MATCH(CABLES[[#Headers],[SEG20]],SEGMENTS[SEG_ID],0),4),0)</f>
        <v>0</v>
      </c>
      <c r="CG27" s="9">
        <f xml:space="preserve"> IF(CABLES[[#This Row],[SEG21]] &gt;0,INDEX(SEGMENTS[], MATCH(CABLES[[#Headers],[SEG21]],SEGMENTS[SEG_ID],0),4),0)</f>
        <v>0</v>
      </c>
      <c r="CH27" s="9">
        <f xml:space="preserve"> IF(CABLES[[#This Row],[SEG22]] &gt;0,INDEX(SEGMENTS[], MATCH(CABLES[[#Headers],[SEG22]],SEGMENTS[SEG_ID],0),4),0)</f>
        <v>0</v>
      </c>
      <c r="CI27" s="9">
        <f>IF(CABLES[[#This Row],[SEG23]] &gt;0, INDEX(SEGMENTS[], MATCH(CABLES[[#Headers],[SEG23]],SEGMENTS[SEG_ID],0),4),0)</f>
        <v>0</v>
      </c>
      <c r="CJ27" s="9">
        <f xml:space="preserve"> IF(CABLES[[#This Row],[SEG24]] &gt;0,INDEX(SEGMENTS[], MATCH(CABLES[[#Headers],[SEG24]],SEGMENTS[SEG_ID],0),4),0)</f>
        <v>0</v>
      </c>
      <c r="CK27" s="9">
        <f>IF(CABLES[[#This Row],[SEG25]] &gt;0, INDEX(SEGMENTS[], MATCH(CABLES[[#Headers],[SEG25]],SEGMENTS[SEG_ID],0),4),0)</f>
        <v>0</v>
      </c>
      <c r="CL27" s="9">
        <f>IF(CABLES[[#This Row],[SEG26]] &gt;0, INDEX(SEGMENTS[], MATCH(CABLES[[#Headers],[SEG26]],SEGMENTS[SEG_ID],0),4),0)</f>
        <v>0</v>
      </c>
      <c r="CM27" s="9">
        <f xml:space="preserve"> IF(CABLES[[#This Row],[SEG27]] &gt;0,INDEX(SEGMENTS[], MATCH(CABLES[[#Headers],[SEG27]],SEGMENTS[SEG_ID],0),4),0)</f>
        <v>0</v>
      </c>
      <c r="CN27" s="9">
        <f xml:space="preserve"> IF(CABLES[[#This Row],[SEG28]] &gt;0,INDEX(SEGMENTS[], MATCH(CABLES[[#Headers],[SEG28]],SEGMENTS[SEG_ID],0),4),0)</f>
        <v>0</v>
      </c>
      <c r="CO27" s="9">
        <f xml:space="preserve"> IF(CABLES[[#This Row],[SEG29]] &gt;0,INDEX(SEGMENTS[], MATCH(CABLES[[#Headers],[SEG29]],SEGMENTS[SEG_ID],0),4),0)</f>
        <v>0</v>
      </c>
      <c r="CP27" s="9">
        <f xml:space="preserve"> IF(CABLES[[#This Row],[SEG30]] &gt;0,INDEX(SEGMENTS[], MATCH(CABLES[[#Headers],[SEG30]],SEGMENTS[SEG_ID],0),4),0)</f>
        <v>0</v>
      </c>
      <c r="CQ27" s="9">
        <f>IF(CABLES[[#This Row],[SEG31]] &gt;0, INDEX(SEGMENTS[], MATCH(CABLES[[#Headers],[SEG31]],SEGMENTS[SEG_ID],0),4),0)</f>
        <v>0</v>
      </c>
      <c r="CR27" s="9">
        <f xml:space="preserve"> IF(CABLES[[#This Row],[SEG32]] &gt;0,INDEX(SEGMENTS[], MATCH(CABLES[[#Headers],[SEG32]],SEGMENTS[SEG_ID],0),4),0)</f>
        <v>0</v>
      </c>
      <c r="CS27" s="9">
        <f xml:space="preserve"> IF(CABLES[[#This Row],[SEG33]] &gt;0,INDEX(SEGMENTS[], MATCH(CABLES[[#Headers],[SEG33]],SEGMENTS[SEG_ID],0),4),0)</f>
        <v>0</v>
      </c>
      <c r="CT27" s="9">
        <f>IF(CABLES[[#This Row],[SEG34]] &gt;0, INDEX(SEGMENTS[], MATCH(CABLES[[#Headers],[SEG34]],SEGMENTS[SEG_ID],0),4),0)</f>
        <v>0</v>
      </c>
      <c r="CU27" s="9">
        <f xml:space="preserve"> IF(CABLES[[#This Row],[SEG35]] &gt;0,INDEX(SEGMENTS[], MATCH(CABLES[[#Headers],[SEG35]],SEGMENTS[SEG_ID],0),4),0)</f>
        <v>0</v>
      </c>
      <c r="CV27" s="9">
        <f xml:space="preserve"> IF(CABLES[[#This Row],[SEG36]] &gt;0,INDEX(SEGMENTS[], MATCH(CABLES[[#Headers],[SEG36]],SEGMENTS[SEG_ID],0),4),0)</f>
        <v>0</v>
      </c>
      <c r="CW27" s="9">
        <f xml:space="preserve"> IF(CABLES[[#This Row],[SEG37]] &gt;0,INDEX(SEGMENTS[], MATCH(CABLES[[#Headers],[SEG37]],SEGMENTS[SEG_ID],0),4),0)</f>
        <v>0</v>
      </c>
      <c r="CX27" s="9">
        <f xml:space="preserve"> IF(CABLES[[#This Row],[SEG38]] &gt;0,INDEX(SEGMENTS[], MATCH(CABLES[[#Headers],[SEG38]],SEGMENTS[SEG_ID],0),4),0)</f>
        <v>0</v>
      </c>
      <c r="CY27" s="9">
        <f xml:space="preserve"> IF(CABLES[[#This Row],[SEG39]] &gt;0,INDEX(SEGMENTS[], MATCH(CABLES[[#Headers],[SEG39]],SEGMENTS[SEG_ID],0),4),0)</f>
        <v>0</v>
      </c>
      <c r="CZ27" s="9">
        <f xml:space="preserve"> IF(CABLES[[#This Row],[SEG40]] &gt;0,INDEX(SEGMENTS[], MATCH(CABLES[[#Headers],[SEG40]],SEGMENTS[SEG_ID],0),4),0)</f>
        <v>0</v>
      </c>
      <c r="DA27" s="9">
        <f xml:space="preserve"> IF(CABLES[[#This Row],[SEG41]] &gt;0,INDEX(SEGMENTS[], MATCH(CABLES[[#Headers],[SEG41]],SEGMENTS[SEG_ID],0),4),0)</f>
        <v>0</v>
      </c>
      <c r="DB27" s="9">
        <f xml:space="preserve"> IF(CABLES[[#This Row],[SEG42]] &gt;0,INDEX(SEGMENTS[], MATCH(CABLES[[#Headers],[SEG42]],SEGMENTS[SEG_ID],0),4),0)</f>
        <v>0</v>
      </c>
      <c r="DC27" s="9">
        <f xml:space="preserve"> IF(CABLES[[#This Row],[SEG43]] &gt;0,INDEX(SEGMENTS[], MATCH(CABLES[[#Headers],[SEG43]],SEGMENTS[SEG_ID],0),4),0)</f>
        <v>0</v>
      </c>
      <c r="DD27" s="9">
        <f xml:space="preserve"> IF(CABLES[[#This Row],[SEG44]] &gt;0,INDEX(SEGMENTS[], MATCH(CABLES[[#Headers],[SEG44]],SEGMENTS[SEG_ID],0),4),0)</f>
        <v>0</v>
      </c>
      <c r="DE27" s="9">
        <f xml:space="preserve"> IF(CABLES[[#This Row],[SEG45]] &gt;0,INDEX(SEGMENTS[], MATCH(CABLES[[#Headers],[SEG45]],SEGMENTS[SEG_ID],0),4),0)</f>
        <v>0</v>
      </c>
      <c r="DF27" s="9">
        <f xml:space="preserve"> IF(CABLES[[#This Row],[SEG46]] &gt;0,INDEX(SEGMENTS[], MATCH(CABLES[[#Headers],[SEG46]],SEGMENTS[SEG_ID],0),4),0)</f>
        <v>0</v>
      </c>
      <c r="DG27" s="9">
        <f xml:space="preserve"> IF(CABLES[[#This Row],[SEG47]] &gt;0,INDEX(SEGMENTS[], MATCH(CABLES[[#Headers],[SEG47]],SEGMENTS[SEG_ID],0),4),0)</f>
        <v>0</v>
      </c>
      <c r="DH27" s="9">
        <f xml:space="preserve"> IF(CABLES[[#This Row],[SEG48]] &gt;0,INDEX(SEGMENTS[], MATCH(CABLES[[#Headers],[SEG48]],SEGMENTS[SEG_ID],0),4),0)</f>
        <v>0</v>
      </c>
      <c r="DI27" s="9">
        <f xml:space="preserve"> IF(CABLES[[#This Row],[SEG49]] &gt;0,INDEX(SEGMENTS[], MATCH(CABLES[[#Headers],[SEG49]],SEGMENTS[SEG_ID],0),4),0)</f>
        <v>0</v>
      </c>
      <c r="DJ27" s="9">
        <f xml:space="preserve"> IF(CABLES[[#This Row],[SEG50]] &gt;0,INDEX(SEGMENTS[], MATCH(CABLES[[#Headers],[SEG50]],SEGMENTS[SEG_ID],0),4),0)</f>
        <v>0</v>
      </c>
      <c r="DK27" s="9">
        <f xml:space="preserve"> IF(CABLES[[#This Row],[SEG51]] &gt;0,INDEX(SEGMENTS[], MATCH(CABLES[[#Headers],[SEG51]],SEGMENTS[SEG_ID],0),4),0)</f>
        <v>0</v>
      </c>
      <c r="DL27" s="9">
        <f xml:space="preserve"> IF(CABLES[[#This Row],[SEG52]] &gt;0,INDEX(SEGMENTS[], MATCH(CABLES[[#Headers],[SEG52]],SEGMENTS[SEG_ID],0),4),0)</f>
        <v>0</v>
      </c>
      <c r="DM27" s="9">
        <f xml:space="preserve"> IF(CABLES[[#This Row],[SEG53]] &gt;0,INDEX(SEGMENTS[], MATCH(CABLES[[#Headers],[SEG53]],SEGMENTS[SEG_ID],0),4),0)</f>
        <v>0</v>
      </c>
      <c r="DN27" s="9">
        <f xml:space="preserve"> IF(CABLES[[#This Row],[SEG54]] &gt;0,INDEX(SEGMENTS[], MATCH(CABLES[[#Headers],[SEG54]],SEGMENTS[SEG_ID],0),4),0)</f>
        <v>0</v>
      </c>
      <c r="DO27" s="9">
        <f xml:space="preserve"> IF(CABLES[[#This Row],[SEG55]] &gt;0,INDEX(SEGMENTS[], MATCH(CABLES[[#Headers],[SEG55]],SEGMENTS[SEG_ID],0),4),0)</f>
        <v>0</v>
      </c>
      <c r="DP27" s="9">
        <f xml:space="preserve"> IF(CABLES[[#This Row],[SEG56]] &gt;0,INDEX(SEGMENTS[], MATCH(CABLES[[#Headers],[SEG56]],SEGMENTS[SEG_ID],0),4),0)</f>
        <v>0</v>
      </c>
      <c r="DQ27" s="9">
        <f xml:space="preserve"> IF(CABLES[[#This Row],[SEG57]] &gt;0,INDEX(SEGMENTS[], MATCH(CABLES[[#Headers],[SEG57]],SEGMENTS[SEG_ID],0),4),0)</f>
        <v>0</v>
      </c>
      <c r="DR27" s="9">
        <f xml:space="preserve"> IF(CABLES[[#This Row],[SEG58]] &gt;0,INDEX(SEGMENTS[], MATCH(CABLES[[#Headers],[SEG58]],SEGMENTS[SEG_ID],0),4),0)</f>
        <v>0</v>
      </c>
      <c r="DS27" s="9">
        <f xml:space="preserve"> IF(CABLES[[#This Row],[SEG59]] &gt;0,INDEX(SEGMENTS[], MATCH(CABLES[[#Headers],[SEG59]],SEGMENTS[SEG_ID],0),4),0)</f>
        <v>0</v>
      </c>
      <c r="DT27" s="9">
        <f xml:space="preserve"> IF(CABLES[[#This Row],[SEG60]] &gt;0,INDEX(SEGMENTS[], MATCH(CABLES[[#Headers],[SEG60]],SEGMENTS[SEG_ID],0),4),0)</f>
        <v>0</v>
      </c>
      <c r="DU27" s="10">
        <f>SUM(CABLES[[#This Row],[SEGL1]:[SEGL60]])</f>
        <v>37</v>
      </c>
      <c r="DV27" s="10">
        <v>5</v>
      </c>
      <c r="DW27" s="10">
        <v>1.2</v>
      </c>
      <c r="DX27" s="10">
        <f xml:space="preserve"> IF(CABLES[[#This Row],[SEGL_TOTAL]]&gt;0, (CABLES[[#This Row],[SEGL_TOTAL]] + CABLES[[#This Row],[FITOFF]]) *CABLES[[#This Row],[XCAPACITY]],0)</f>
        <v>50.4</v>
      </c>
      <c r="DY27" s="10">
        <f>IF(CABLES[[#This Row],[SEG1]]&gt;0,CABLES[[#This Row],[CABLE_DIAMETER]],0)</f>
        <v>14.5</v>
      </c>
      <c r="DZ27" s="10">
        <f>IF(CABLES[[#This Row],[SEG2]]&gt;0,CABLES[[#This Row],[CABLE_DIAMETER]],0)</f>
        <v>14.5</v>
      </c>
      <c r="EA27" s="10">
        <f>IF(CABLES[[#This Row],[SEG3]]&gt;0,CABLES[[#This Row],[CABLE_DIAMETER]],0)</f>
        <v>0</v>
      </c>
      <c r="EB27" s="10">
        <f>IF(CABLES[[#This Row],[SEG4]]&gt;0,CABLES[[#This Row],[CABLE_DIAMETER]],0)</f>
        <v>14.5</v>
      </c>
      <c r="EC27" s="10">
        <f>IF(CABLES[[#This Row],[SEG5]]&gt;0,CABLES[[#This Row],[CABLE_DIAMETER]],0)</f>
        <v>14.5</v>
      </c>
      <c r="ED27" s="10">
        <f>IF(CABLES[[#This Row],[SEG6]]&gt;0,CABLES[[#This Row],[CABLE_DIAMETER]],0)</f>
        <v>0</v>
      </c>
      <c r="EE27" s="10">
        <f>IF(CABLES[[#This Row],[SEG7]]&gt;0,CABLES[[#This Row],[CABLE_DIAMETER]],0)</f>
        <v>0</v>
      </c>
      <c r="EF27" s="10">
        <f>IF(CABLES[[#This Row],[SEG9]]&gt;0,CABLES[[#This Row],[CABLE_DIAMETER]],0)</f>
        <v>0</v>
      </c>
      <c r="EG27" s="10">
        <f>IF(CABLES[[#This Row],[SEG9]]&gt;0,CABLES[[#This Row],[CABLE_DIAMETER]],0)</f>
        <v>0</v>
      </c>
      <c r="EH27" s="10">
        <f>IF(CABLES[[#This Row],[SEG10]]&gt;0,CABLES[[#This Row],[CABLE_DIAMETER]],0)</f>
        <v>0</v>
      </c>
      <c r="EI27" s="10">
        <f>IF(CABLES[[#This Row],[SEG11]]&gt;0,CABLES[[#This Row],[CABLE_DIAMETER]],0)</f>
        <v>0</v>
      </c>
      <c r="EJ27" s="10">
        <f>IF(CABLES[[#This Row],[SEG12]]&gt;0,CABLES[[#This Row],[CABLE_DIAMETER]],0)</f>
        <v>0</v>
      </c>
      <c r="EK27" s="10">
        <f>IF(CABLES[[#This Row],[SEG13]]&gt;0,CABLES[[#This Row],[CABLE_DIAMETER]],0)</f>
        <v>0</v>
      </c>
      <c r="EL27" s="10">
        <f>IF(CABLES[[#This Row],[SEG14]]&gt;0,CABLES[[#This Row],[CABLE_DIAMETER]],0)</f>
        <v>0</v>
      </c>
      <c r="EM27" s="10">
        <f>IF(CABLES[[#This Row],[SEG15]]&gt;0,CABLES[[#This Row],[CABLE_DIAMETER]],0)</f>
        <v>0</v>
      </c>
      <c r="EN27" s="10">
        <f>IF(CABLES[[#This Row],[SEG16]]&gt;0,CABLES[[#This Row],[CABLE_DIAMETER]],0)</f>
        <v>0</v>
      </c>
      <c r="EO27" s="10">
        <f>IF(CABLES[[#This Row],[SEG17]]&gt;0,CABLES[[#This Row],[CABLE_DIAMETER]],0)</f>
        <v>0</v>
      </c>
      <c r="EP27" s="10">
        <f>IF(CABLES[[#This Row],[SEG18]]&gt;0,CABLES[[#This Row],[CABLE_DIAMETER]],0)</f>
        <v>0</v>
      </c>
      <c r="EQ27" s="10">
        <f>IF(CABLES[[#This Row],[SEG19]]&gt;0,CABLES[[#This Row],[CABLE_DIAMETER]],0)</f>
        <v>0</v>
      </c>
      <c r="ER27" s="10">
        <f>IF(CABLES[[#This Row],[SEG20]]&gt;0,CABLES[[#This Row],[CABLE_DIAMETER]],0)</f>
        <v>0</v>
      </c>
      <c r="ES27" s="10">
        <f>IF(CABLES[[#This Row],[SEG21]]&gt;0,CABLES[[#This Row],[CABLE_DIAMETER]],0)</f>
        <v>0</v>
      </c>
      <c r="ET27" s="10">
        <f>IF(CABLES[[#This Row],[SEG22]]&gt;0,CABLES[[#This Row],[CABLE_DIAMETER]],0)</f>
        <v>0</v>
      </c>
      <c r="EU27" s="10">
        <f>IF(CABLES[[#This Row],[SEG23]]&gt;0,CABLES[[#This Row],[CABLE_DIAMETER]],0)</f>
        <v>0</v>
      </c>
      <c r="EV27" s="10">
        <f>IF(CABLES[[#This Row],[SEG24]]&gt;0,CABLES[[#This Row],[CABLE_DIAMETER]],0)</f>
        <v>0</v>
      </c>
      <c r="EW27" s="10">
        <f>IF(CABLES[[#This Row],[SEG25]]&gt;0,CABLES[[#This Row],[CABLE_DIAMETER]],0)</f>
        <v>0</v>
      </c>
      <c r="EX27" s="10">
        <f>IF(CABLES[[#This Row],[SEG26]]&gt;0,CABLES[[#This Row],[CABLE_DIAMETER]],0)</f>
        <v>0</v>
      </c>
      <c r="EY27" s="10">
        <f>IF(CABLES[[#This Row],[SEG27]]&gt;0,CABLES[[#This Row],[CABLE_DIAMETER]],0)</f>
        <v>0</v>
      </c>
      <c r="EZ27" s="10">
        <f>IF(CABLES[[#This Row],[SEG28]]&gt;0,CABLES[[#This Row],[CABLE_DIAMETER]],0)</f>
        <v>0</v>
      </c>
      <c r="FA27" s="10">
        <f>IF(CABLES[[#This Row],[SEG29]]&gt;0,CABLES[[#This Row],[CABLE_DIAMETER]],0)</f>
        <v>0</v>
      </c>
      <c r="FB27" s="10">
        <f>IF(CABLES[[#This Row],[SEG30]]&gt;0,CABLES[[#This Row],[CABLE_DIAMETER]],0)</f>
        <v>0</v>
      </c>
      <c r="FC27" s="10">
        <f>IF(CABLES[[#This Row],[SEG31]]&gt;0,CABLES[[#This Row],[CABLE_DIAMETER]],0)</f>
        <v>0</v>
      </c>
      <c r="FD27" s="10">
        <f>IF(CABLES[[#This Row],[SEG32]]&gt;0,CABLES[[#This Row],[CABLE_DIAMETER]],0)</f>
        <v>0</v>
      </c>
      <c r="FE27" s="10">
        <f>IF(CABLES[[#This Row],[SEG33]]&gt;0,CABLES[[#This Row],[CABLE_DIAMETER]],0)</f>
        <v>0</v>
      </c>
      <c r="FF27" s="10">
        <f>IF(CABLES[[#This Row],[SEG34]]&gt;0,CABLES[[#This Row],[CABLE_DIAMETER]],0)</f>
        <v>0</v>
      </c>
      <c r="FG27" s="10">
        <f>IF(CABLES[[#This Row],[SEG35]]&gt;0,CABLES[[#This Row],[CABLE_DIAMETER]],0)</f>
        <v>0</v>
      </c>
      <c r="FH27" s="10">
        <f>IF(CABLES[[#This Row],[SEG36]]&gt;0,CABLES[[#This Row],[CABLE_DIAMETER]],0)</f>
        <v>0</v>
      </c>
      <c r="FI27" s="10">
        <f>IF(CABLES[[#This Row],[SEG37]]&gt;0,CABLES[[#This Row],[CABLE_DIAMETER]],0)</f>
        <v>0</v>
      </c>
      <c r="FJ27" s="10">
        <f>IF(CABLES[[#This Row],[SEG38]]&gt;0,CABLES[[#This Row],[CABLE_DIAMETER]],0)</f>
        <v>0</v>
      </c>
      <c r="FK27" s="10">
        <f>IF(CABLES[[#This Row],[SEG39]]&gt;0,CABLES[[#This Row],[CABLE_DIAMETER]],0)</f>
        <v>0</v>
      </c>
      <c r="FL27" s="10">
        <f>IF(CABLES[[#This Row],[SEG40]]&gt;0,CABLES[[#This Row],[CABLE_DIAMETER]],0)</f>
        <v>0</v>
      </c>
      <c r="FM27" s="10">
        <f>IF(CABLES[[#This Row],[SEG41]]&gt;0,CABLES[[#This Row],[CABLE_DIAMETER]],0)</f>
        <v>0</v>
      </c>
      <c r="FN27" s="10">
        <f>IF(CABLES[[#This Row],[SEG42]]&gt;0,CABLES[[#This Row],[CABLE_DIAMETER]],0)</f>
        <v>0</v>
      </c>
      <c r="FO27" s="10">
        <f>IF(CABLES[[#This Row],[SEG43]]&gt;0,CABLES[[#This Row],[CABLE_DIAMETER]],0)</f>
        <v>0</v>
      </c>
      <c r="FP27" s="10">
        <f>IF(CABLES[[#This Row],[SEG44]]&gt;0,CABLES[[#This Row],[CABLE_DIAMETER]],0)</f>
        <v>0</v>
      </c>
      <c r="FQ27" s="10">
        <f>IF(CABLES[[#This Row],[SEG45]]&gt;0,CABLES[[#This Row],[CABLE_DIAMETER]],0)</f>
        <v>0</v>
      </c>
      <c r="FR27" s="10">
        <f>IF(CABLES[[#This Row],[SEG46]]&gt;0,CABLES[[#This Row],[CABLE_DIAMETER]],0)</f>
        <v>0</v>
      </c>
      <c r="FS27" s="10">
        <f>IF(CABLES[[#This Row],[SEG47]]&gt;0,CABLES[[#This Row],[CABLE_DIAMETER]],0)</f>
        <v>0</v>
      </c>
      <c r="FT27" s="10">
        <f>IF(CABLES[[#This Row],[SEG48]]&gt;0,CABLES[[#This Row],[CABLE_DIAMETER]],0)</f>
        <v>0</v>
      </c>
      <c r="FU27" s="10">
        <f>IF(CABLES[[#This Row],[SEG49]]&gt;0,CABLES[[#This Row],[CABLE_DIAMETER]],0)</f>
        <v>0</v>
      </c>
      <c r="FV27" s="10">
        <f>IF(CABLES[[#This Row],[SEG50]]&gt;0,CABLES[[#This Row],[CABLE_DIAMETER]],0)</f>
        <v>0</v>
      </c>
      <c r="FW27" s="10">
        <f>IF(CABLES[[#This Row],[SEG51]]&gt;0,CABLES[[#This Row],[CABLE_DIAMETER]],0)</f>
        <v>0</v>
      </c>
      <c r="FX27" s="10">
        <f>IF(CABLES[[#This Row],[SEG52]]&gt;0,CABLES[[#This Row],[CABLE_DIAMETER]],0)</f>
        <v>0</v>
      </c>
      <c r="FY27" s="10">
        <f>IF(CABLES[[#This Row],[SEG53]]&gt;0,CABLES[[#This Row],[CABLE_DIAMETER]],0)</f>
        <v>0</v>
      </c>
      <c r="FZ27" s="10">
        <f>IF(CABLES[[#This Row],[SEG54]]&gt;0,CABLES[[#This Row],[CABLE_DIAMETER]],0)</f>
        <v>0</v>
      </c>
      <c r="GA27" s="10">
        <f>IF(CABLES[[#This Row],[SEG55]]&gt;0,CABLES[[#This Row],[CABLE_DIAMETER]],0)</f>
        <v>0</v>
      </c>
      <c r="GB27" s="10">
        <f>IF(CABLES[[#This Row],[SEG56]]&gt;0,CABLES[[#This Row],[CABLE_DIAMETER]],0)</f>
        <v>0</v>
      </c>
      <c r="GC27" s="10">
        <f>IF(CABLES[[#This Row],[SEG57]]&gt;0,CABLES[[#This Row],[CABLE_DIAMETER]],0)</f>
        <v>0</v>
      </c>
      <c r="GD27" s="10">
        <f>IF(CABLES[[#This Row],[SEG58]]&gt;0,CABLES[[#This Row],[CABLE_DIAMETER]],0)</f>
        <v>0</v>
      </c>
      <c r="GE27" s="10">
        <f>IF(CABLES[[#This Row],[SEG59]]&gt;0,CABLES[[#This Row],[CABLE_DIAMETER]],0)</f>
        <v>0</v>
      </c>
      <c r="GF27" s="10">
        <f>IF(CABLES[[#This Row],[SEG60]]&gt;0,CABLES[[#This Row],[CABLE_DIAMETER]],0)</f>
        <v>0</v>
      </c>
      <c r="GG27" s="10">
        <f>IF(CABLES[[#This Row],[SEG1]]&gt;0,CABLES[[#This Row],[CABLE_MASS]],0)</f>
        <v>0.33</v>
      </c>
      <c r="GH27" s="10">
        <f>IF(CABLES[[#This Row],[SEG2]]&gt;0,CABLES[[#This Row],[CABLE_MASS]],0)</f>
        <v>0.33</v>
      </c>
      <c r="GI27" s="10">
        <f>IF(CABLES[[#This Row],[SEG3]]&gt;0,CABLES[[#This Row],[CABLE_MASS]],0)</f>
        <v>0</v>
      </c>
      <c r="GJ27" s="10">
        <f>IF(CABLES[[#This Row],[SEG4]]&gt;0,CABLES[[#This Row],[CABLE_MASS]],0)</f>
        <v>0.33</v>
      </c>
      <c r="GK27" s="10">
        <f>IF(CABLES[[#This Row],[SEG5]]&gt;0,CABLES[[#This Row],[CABLE_MASS]],0)</f>
        <v>0.33</v>
      </c>
      <c r="GL27" s="10">
        <f>IF(CABLES[[#This Row],[SEG6]]&gt;0,CABLES[[#This Row],[CABLE_MASS]],0)</f>
        <v>0</v>
      </c>
      <c r="GM27" s="10">
        <f>IF(CABLES[[#This Row],[SEG7]]&gt;0,CABLES[[#This Row],[CABLE_MASS]],0)</f>
        <v>0</v>
      </c>
      <c r="GN27" s="10">
        <f>IF(CABLES[[#This Row],[SEG8]]&gt;0,CABLES[[#This Row],[CABLE_MASS]],0)</f>
        <v>0</v>
      </c>
      <c r="GO27" s="10">
        <f>IF(CABLES[[#This Row],[SEG9]]&gt;0,CABLES[[#This Row],[CABLE_MASS]],0)</f>
        <v>0</v>
      </c>
      <c r="GP27" s="10">
        <f>IF(CABLES[[#This Row],[SEG10]]&gt;0,CABLES[[#This Row],[CABLE_MASS]],0)</f>
        <v>0</v>
      </c>
      <c r="GQ27" s="10">
        <f>IF(CABLES[[#This Row],[SEG11]]&gt;0,CABLES[[#This Row],[CABLE_MASS]],0)</f>
        <v>0</v>
      </c>
      <c r="GR27" s="10">
        <f>IF(CABLES[[#This Row],[SEG12]]&gt;0,CABLES[[#This Row],[CABLE_MASS]],0)</f>
        <v>0</v>
      </c>
      <c r="GS27" s="10">
        <f>IF(CABLES[[#This Row],[SEG13]]&gt;0,CABLES[[#This Row],[CABLE_MASS]],0)</f>
        <v>0</v>
      </c>
      <c r="GT27" s="10">
        <f>IF(CABLES[[#This Row],[SEG14]]&gt;0,CABLES[[#This Row],[CABLE_MASS]],0)</f>
        <v>0</v>
      </c>
      <c r="GU27" s="10">
        <f>IF(CABLES[[#This Row],[SEG15]]&gt;0,CABLES[[#This Row],[CABLE_MASS]],0)</f>
        <v>0</v>
      </c>
      <c r="GV27" s="10">
        <f>IF(CABLES[[#This Row],[SEG16]]&gt;0,CABLES[[#This Row],[CABLE_MASS]],0)</f>
        <v>0</v>
      </c>
      <c r="GW27" s="10">
        <f>IF(CABLES[[#This Row],[SEG17]]&gt;0,CABLES[[#This Row],[CABLE_MASS]],0)</f>
        <v>0</v>
      </c>
      <c r="GX27" s="10">
        <f>IF(CABLES[[#This Row],[SEG18]]&gt;0,CABLES[[#This Row],[CABLE_MASS]],0)</f>
        <v>0</v>
      </c>
      <c r="GY27" s="10">
        <f>IF(CABLES[[#This Row],[SEG19]]&gt;0,CABLES[[#This Row],[CABLE_MASS]],0)</f>
        <v>0</v>
      </c>
      <c r="GZ27" s="10">
        <f>IF(CABLES[[#This Row],[SEG20]]&gt;0,CABLES[[#This Row],[CABLE_MASS]],0)</f>
        <v>0</v>
      </c>
      <c r="HA27" s="10">
        <f>IF(CABLES[[#This Row],[SEG21]]&gt;0,CABLES[[#This Row],[CABLE_MASS]],0)</f>
        <v>0</v>
      </c>
      <c r="HB27" s="10">
        <f>IF(CABLES[[#This Row],[SEG22]]&gt;0,CABLES[[#This Row],[CABLE_MASS]],0)</f>
        <v>0</v>
      </c>
      <c r="HC27" s="10">
        <f>IF(CABLES[[#This Row],[SEG23]]&gt;0,CABLES[[#This Row],[CABLE_MASS]],0)</f>
        <v>0</v>
      </c>
      <c r="HD27" s="10">
        <f>IF(CABLES[[#This Row],[SEG24]]&gt;0,CABLES[[#This Row],[CABLE_MASS]],0)</f>
        <v>0</v>
      </c>
      <c r="HE27" s="10">
        <f>IF(CABLES[[#This Row],[SEG25]]&gt;0,CABLES[[#This Row],[CABLE_MASS]],0)</f>
        <v>0</v>
      </c>
      <c r="HF27" s="10">
        <f>IF(CABLES[[#This Row],[SEG26]]&gt;0,CABLES[[#This Row],[CABLE_MASS]],0)</f>
        <v>0</v>
      </c>
      <c r="HG27" s="10">
        <f>IF(CABLES[[#This Row],[SEG27]]&gt;0,CABLES[[#This Row],[CABLE_MASS]],0)</f>
        <v>0</v>
      </c>
      <c r="HH27" s="10">
        <f>IF(CABLES[[#This Row],[SEG28]]&gt;0,CABLES[[#This Row],[CABLE_MASS]],0)</f>
        <v>0</v>
      </c>
      <c r="HI27" s="10">
        <f>IF(CABLES[[#This Row],[SEG29]]&gt;0,CABLES[[#This Row],[CABLE_MASS]],0)</f>
        <v>0</v>
      </c>
      <c r="HJ27" s="10">
        <f>IF(CABLES[[#This Row],[SEG30]]&gt;0,CABLES[[#This Row],[CABLE_MASS]],0)</f>
        <v>0</v>
      </c>
      <c r="HK27" s="10">
        <f>IF(CABLES[[#This Row],[SEG31]]&gt;0,CABLES[[#This Row],[CABLE_MASS]],0)</f>
        <v>0</v>
      </c>
      <c r="HL27" s="10">
        <f>IF(CABLES[[#This Row],[SEG32]]&gt;0,CABLES[[#This Row],[CABLE_MASS]],0)</f>
        <v>0</v>
      </c>
      <c r="HM27" s="10">
        <f>IF(CABLES[[#This Row],[SEG33]]&gt;0,CABLES[[#This Row],[CABLE_MASS]],0)</f>
        <v>0</v>
      </c>
      <c r="HN27" s="10">
        <f>IF(CABLES[[#This Row],[SEG34]]&gt;0,CABLES[[#This Row],[CABLE_MASS]],0)</f>
        <v>0</v>
      </c>
      <c r="HO27" s="10">
        <f>IF(CABLES[[#This Row],[SEG35]]&gt;0,CABLES[[#This Row],[CABLE_MASS]],0)</f>
        <v>0</v>
      </c>
      <c r="HP27" s="10">
        <f>IF(CABLES[[#This Row],[SEG36]]&gt;0,CABLES[[#This Row],[CABLE_MASS]],0)</f>
        <v>0</v>
      </c>
      <c r="HQ27" s="10">
        <f>IF(CABLES[[#This Row],[SEG37]]&gt;0,CABLES[[#This Row],[CABLE_MASS]],0)</f>
        <v>0</v>
      </c>
      <c r="HR27" s="10">
        <f>IF(CABLES[[#This Row],[SEG38]]&gt;0,CABLES[[#This Row],[CABLE_MASS]],0)</f>
        <v>0</v>
      </c>
      <c r="HS27" s="10">
        <f>IF(CABLES[[#This Row],[SEG39]]&gt;0,CABLES[[#This Row],[CABLE_MASS]],0)</f>
        <v>0</v>
      </c>
      <c r="HT27" s="10">
        <f>IF(CABLES[[#This Row],[SEG40]]&gt;0,CABLES[[#This Row],[CABLE_MASS]],0)</f>
        <v>0</v>
      </c>
      <c r="HU27" s="10">
        <f>IF(CABLES[[#This Row],[SEG41]]&gt;0,CABLES[[#This Row],[CABLE_MASS]],0)</f>
        <v>0</v>
      </c>
      <c r="HV27" s="10">
        <f>IF(CABLES[[#This Row],[SEG42]]&gt;0,CABLES[[#This Row],[CABLE_MASS]],0)</f>
        <v>0</v>
      </c>
      <c r="HW27" s="10">
        <f>IF(CABLES[[#This Row],[SEG43]]&gt;0,CABLES[[#This Row],[CABLE_MASS]],0)</f>
        <v>0</v>
      </c>
      <c r="HX27" s="10">
        <f>IF(CABLES[[#This Row],[SEG44]]&gt;0,CABLES[[#This Row],[CABLE_MASS]],0)</f>
        <v>0</v>
      </c>
      <c r="HY27" s="10">
        <f>IF(CABLES[[#This Row],[SEG45]]&gt;0,CABLES[[#This Row],[CABLE_MASS]],0)</f>
        <v>0</v>
      </c>
      <c r="HZ27" s="10">
        <f>IF(CABLES[[#This Row],[SEG46]]&gt;0,CABLES[[#This Row],[CABLE_MASS]],0)</f>
        <v>0</v>
      </c>
      <c r="IA27" s="10">
        <f>IF(CABLES[[#This Row],[SEG47]]&gt;0,CABLES[[#This Row],[CABLE_MASS]],0)</f>
        <v>0</v>
      </c>
      <c r="IB27" s="10">
        <f>IF(CABLES[[#This Row],[SEG48]]&gt;0,CABLES[[#This Row],[CABLE_MASS]],0)</f>
        <v>0</v>
      </c>
      <c r="IC27" s="10">
        <f>IF(CABLES[[#This Row],[SEG49]]&gt;0,CABLES[[#This Row],[CABLE_MASS]],0)</f>
        <v>0</v>
      </c>
      <c r="ID27" s="10">
        <f>IF(CABLES[[#This Row],[SEG50]]&gt;0,CABLES[[#This Row],[CABLE_MASS]],0)</f>
        <v>0</v>
      </c>
      <c r="IE27" s="10">
        <f>IF(CABLES[[#This Row],[SEG51]]&gt;0,CABLES[[#This Row],[CABLE_MASS]],0)</f>
        <v>0</v>
      </c>
      <c r="IF27" s="10">
        <f>IF(CABLES[[#This Row],[SEG52]]&gt;0,CABLES[[#This Row],[CABLE_MASS]],0)</f>
        <v>0</v>
      </c>
      <c r="IG27" s="10">
        <f>IF(CABLES[[#This Row],[SEG53]]&gt;0,CABLES[[#This Row],[CABLE_MASS]],0)</f>
        <v>0</v>
      </c>
      <c r="IH27" s="10">
        <f>IF(CABLES[[#This Row],[SEG54]]&gt;0,CABLES[[#This Row],[CABLE_MASS]],0)</f>
        <v>0</v>
      </c>
      <c r="II27" s="10">
        <f>IF(CABLES[[#This Row],[SEG55]]&gt;0,CABLES[[#This Row],[CABLE_MASS]],0)</f>
        <v>0</v>
      </c>
      <c r="IJ27" s="10">
        <f>IF(CABLES[[#This Row],[SEG56]]&gt;0,CABLES[[#This Row],[CABLE_MASS]],0)</f>
        <v>0</v>
      </c>
      <c r="IK27" s="10">
        <f>IF(CABLES[[#This Row],[SEG57]]&gt;0,CABLES[[#This Row],[CABLE_MASS]],0)</f>
        <v>0</v>
      </c>
      <c r="IL27" s="10">
        <f>IF(CABLES[[#This Row],[SEG58]]&gt;0,CABLES[[#This Row],[CABLE_MASS]],0)</f>
        <v>0</v>
      </c>
      <c r="IM27" s="10">
        <f>IF(CABLES[[#This Row],[SEG59]]&gt;0,CABLES[[#This Row],[CABLE_MASS]],0)</f>
        <v>0</v>
      </c>
      <c r="IN27" s="10">
        <f>IF(CABLES[[#This Row],[SEG60]]&gt;0,CABLES[[#This Row],[CABLE_MASS]],0)</f>
        <v>0</v>
      </c>
      <c r="IO27" s="10">
        <f xml:space="preserve">  (CABLES[[#This Row],[LOAD_KW]]/(SQRT(3)*SYSTEM_VOLTAGE*POWER_FACTOR))*1000</f>
        <v>17.641258225238563</v>
      </c>
      <c r="IP27" s="10">
        <v>45</v>
      </c>
      <c r="IQ27" s="10">
        <f xml:space="preserve"> INDEX(AS3000_AMBIENTDERATE[], MATCH(CABLES[[#This Row],[AMBIENT]],AS3000_AMBIENTDERATE[AMBIENT],0), 2)</f>
        <v>0.94</v>
      </c>
      <c r="IR27" s="10">
        <f xml:space="preserve"> ROUNDUP( CABLES[[#This Row],[CALCULATED_AMPS]]/CABLES[[#This Row],[AMBIENT_DERATING]],1)</f>
        <v>18.8</v>
      </c>
      <c r="IS27" s="10" t="s">
        <v>531</v>
      </c>
      <c r="IT2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27" s="10">
        <f t="shared" si="0"/>
        <v>28.000000000000004</v>
      </c>
      <c r="IV27" s="10">
        <f>(1000*CABLES[[#This Row],[MAX_VDROP]])/(CABLES[[#This Row],[ESTIMATED_CABLE_LENGTH]]*CABLES[[#This Row],[AMP_RATING]])</f>
        <v>29.550827423167853</v>
      </c>
      <c r="IW27" s="10">
        <f xml:space="preserve"> INDEX(AS3000_VDROP[], MATCH(CABLES[[#This Row],[VC_CALC]],AS3000_VDROP[Vc],1),1)</f>
        <v>2.5</v>
      </c>
      <c r="IX27" s="10">
        <f>MAX(CABLES[[#This Row],[CABLESIZE_METHOD1]],CABLES[[#This Row],[CABLESIZE_METHOD2]])</f>
        <v>2.5</v>
      </c>
      <c r="IY27" s="10"/>
      <c r="IZ27" s="10">
        <f>IF(LEN(CABLES[[#This Row],[OVERRIDE_CABLESIZE]])&gt;0,CABLES[[#This Row],[OVERRIDE_CABLESIZE]],CABLES[[#This Row],[INITIAL_CABLESIZE]])</f>
        <v>2.5</v>
      </c>
      <c r="JA27" s="10">
        <f>INDEX(PROTECTIVE_DEVICE[DEVICE], MATCH(CABLES[[#This Row],[CALCULATED_AMPS]],PROTECTIVE_DEVICE[DEVICE],-1),1)</f>
        <v>20</v>
      </c>
      <c r="JB27" s="10"/>
      <c r="JC27" s="10">
        <f>IF(LEN(CABLES[[#This Row],[OVERRIDE_PDEVICE]])&gt;0, CABLES[[#This Row],[OVERRIDE_PDEVICE]],CABLES[[#This Row],[RECOMMEND_PDEVICE]])</f>
        <v>20</v>
      </c>
      <c r="JD27" s="10" t="s">
        <v>450</v>
      </c>
      <c r="JE27" s="10">
        <f xml:space="preserve"> CABLES[[#This Row],[SELECTED_PDEVICE]] * INDEX(DEVICE_CURVE[], MATCH(CABLES[[#This Row],[PDEVICE_CURVE]], DEVICE_CURVE[DEVICE_CURVE],0),2)</f>
        <v>130</v>
      </c>
      <c r="JF27" s="10" t="s">
        <v>458</v>
      </c>
      <c r="JG27" s="10">
        <f xml:space="preserve"> INDEX(CONDUCTOR_MATERIAL[], MATCH(CABLES[[#This Row],[CONDUCTOR_MATERIAL]],CONDUCTOR_MATERIAL[CONDUCTOR_MATERIAL],0),2)</f>
        <v>2.2499999999999999E-2</v>
      </c>
      <c r="JH27" s="10">
        <f>CABLES[[#This Row],[SELECTED_CABLESIZE]]</f>
        <v>2.5</v>
      </c>
      <c r="JI27" s="10">
        <f xml:space="preserve"> INDEX( EARTH_CONDUCTOR_SIZE[], MATCH(CABLES[[#This Row],[SPH]],EARTH_CONDUCTOR_SIZE[MM^2],-1), 2)</f>
        <v>2.5</v>
      </c>
      <c r="JJ27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27" s="10" t="str">
        <f>IF(CABLES[[#This Row],[LMAX]]&gt;CABLES[[#This Row],[ESTIMATED_CABLE_LENGTH]], "PASS", "ERROR")</f>
        <v>PASS</v>
      </c>
      <c r="JL2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2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27" s="6">
        <f xml:space="preserve"> ROUNDUP( CABLES[[#This Row],[CALCULATED_AMPS]],1)</f>
        <v>17.700000000000003</v>
      </c>
      <c r="JO27" s="6">
        <f>CABLES[[#This Row],[SELECTED_CABLESIZE]]</f>
        <v>2.5</v>
      </c>
      <c r="JP27" s="10">
        <f>CABLES[[#This Row],[ESTIMATED_CABLE_LENGTH]]</f>
        <v>50.4</v>
      </c>
      <c r="JQ27" s="6">
        <f>CABLES[[#This Row],[SELECTED_PDEVICE]]</f>
        <v>20</v>
      </c>
    </row>
    <row r="28" spans="1:277" x14ac:dyDescent="0.35">
      <c r="A28" s="5" t="s">
        <v>27</v>
      </c>
      <c r="B28" s="5" t="s">
        <v>91</v>
      </c>
      <c r="C28" s="10" t="s">
        <v>261</v>
      </c>
      <c r="D28" s="9">
        <v>30</v>
      </c>
      <c r="E28" s="9">
        <v>1</v>
      </c>
      <c r="F28" s="9">
        <v>1</v>
      </c>
      <c r="G28" s="9">
        <v>0</v>
      </c>
      <c r="H28" s="9">
        <v>1</v>
      </c>
      <c r="I28" s="9">
        <v>1</v>
      </c>
      <c r="J28" s="9">
        <v>1</v>
      </c>
      <c r="K28" s="9">
        <v>1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f xml:space="preserve"> IF(CABLES[[#This Row],[SEG1]] &gt;0, INDEX(SEGMENTS[], MATCH(CABLES[[#Headers],[SEG1]],SEGMENTS[SEG_ID],0),4),0)</f>
        <v>13</v>
      </c>
      <c r="BN28" s="9">
        <f xml:space="preserve"> IF(CABLES[[#This Row],[SEG2]] &gt;0, INDEX(SEGMENTS[], MATCH(CABLES[[#Headers],[SEG2]],SEGMENTS[SEG_ID],0),4),0)</f>
        <v>2</v>
      </c>
      <c r="BO28" s="9">
        <f xml:space="preserve"> IF(CABLES[[#This Row],[SEG3]] &gt;0, INDEX(SEGMENTS[], MATCH(CABLES[[#Headers],[SEG3]],SEGMENTS[SEG_ID],0),4),0)</f>
        <v>0</v>
      </c>
      <c r="BP28" s="9">
        <f xml:space="preserve"> IF(CABLES[[#This Row],[SEG4]] &gt;0, INDEX(SEGMENTS[], MATCH(CABLES[[#Headers],[SEG4]],SEGMENTS[SEG_ID],0),4),0)</f>
        <v>14</v>
      </c>
      <c r="BQ28" s="9">
        <f xml:space="preserve"> IF(CABLES[[#This Row],[SEG5]] &gt;0,INDEX(SEGMENTS[], MATCH(CABLES[[#Headers],[SEG5]],SEGMENTS[SEG_ID],0),4),0)</f>
        <v>8</v>
      </c>
      <c r="BR28" s="9">
        <f xml:space="preserve"> IF(CABLES[[#This Row],[SEG6]] &gt;0,INDEX(SEGMENTS[], MATCH(CABLES[[#Headers],[SEG6]],SEGMENTS[SEG_ID],0),4),0)</f>
        <v>2</v>
      </c>
      <c r="BS28" s="9">
        <f xml:space="preserve"> IF(CABLES[[#This Row],[SEG7]] &gt;0,INDEX(SEGMENTS[], MATCH(CABLES[[#Headers],[SEG7]],SEGMENTS[SEG_ID],0),4),0)</f>
        <v>8</v>
      </c>
      <c r="BT28" s="9">
        <f xml:space="preserve"> IF(CABLES[[#This Row],[SEG8]] &gt;0,INDEX(SEGMENTS[], MATCH(CABLES[[#Headers],[SEG8]],SEGMENTS[SEG_ID],0),4),0)</f>
        <v>0</v>
      </c>
      <c r="BU28" s="9">
        <f xml:space="preserve"> IF(CABLES[[#This Row],[SEG9]] &gt;0,INDEX(SEGMENTS[], MATCH(CABLES[[#Headers],[SEG9]],SEGMENTS[SEG_ID],0),4),0)</f>
        <v>0</v>
      </c>
      <c r="BV28" s="9">
        <f xml:space="preserve"> IF(CABLES[[#This Row],[SEG10]] &gt;0,INDEX(SEGMENTS[], MATCH(CABLES[[#Headers],[SEG10]],SEGMENTS[SEG_ID],0),4),0)</f>
        <v>0</v>
      </c>
      <c r="BW28" s="9">
        <f xml:space="preserve"> IF(CABLES[[#This Row],[SEG11]] &gt;0,INDEX(SEGMENTS[], MATCH(CABLES[[#Headers],[SEG11]],SEGMENTS[SEG_ID],0),4),0)</f>
        <v>0</v>
      </c>
      <c r="BX28" s="9">
        <f>IF(CABLES[[#This Row],[SEG12]] &gt;0, INDEX(SEGMENTS[], MATCH(CABLES[[#Headers],[SEG12]],SEGMENTS[SEG_ID],0),4),0)</f>
        <v>0</v>
      </c>
      <c r="BY28" s="9">
        <f xml:space="preserve"> IF(CABLES[[#This Row],[SEG13]] &gt;0,INDEX(SEGMENTS[], MATCH(CABLES[[#Headers],[SEG13]],SEGMENTS[SEG_ID],0),4),0)</f>
        <v>0</v>
      </c>
      <c r="BZ28" s="9">
        <f xml:space="preserve"> IF(CABLES[[#This Row],[SEG14]] &gt;0,INDEX(SEGMENTS[], MATCH(CABLES[[#Headers],[SEG14]],SEGMENTS[SEG_ID],0),4),0)</f>
        <v>0</v>
      </c>
      <c r="CA28" s="9">
        <f xml:space="preserve"> IF(CABLES[[#This Row],[SEG15]] &gt;0,INDEX(SEGMENTS[], MATCH(CABLES[[#Headers],[SEG15]],SEGMENTS[SEG_ID],0),4),0)</f>
        <v>0</v>
      </c>
      <c r="CB28" s="9">
        <f xml:space="preserve"> IF(CABLES[[#This Row],[SEG16]] &gt;0,INDEX(SEGMENTS[], MATCH(CABLES[[#Headers],[SEG16]],SEGMENTS[SEG_ID],0),4),0)</f>
        <v>0</v>
      </c>
      <c r="CC28" s="9">
        <f xml:space="preserve"> IF(CABLES[[#This Row],[SEG17]] &gt;0,INDEX(SEGMENTS[], MATCH(CABLES[[#Headers],[SEG17]],SEGMENTS[SEG_ID],0),4),0)</f>
        <v>0</v>
      </c>
      <c r="CD28" s="9">
        <f xml:space="preserve"> IF(CABLES[[#This Row],[SEG18]] &gt;0,INDEX(SEGMENTS[], MATCH(CABLES[[#Headers],[SEG18]],SEGMENTS[SEG_ID],0),4),0)</f>
        <v>0</v>
      </c>
      <c r="CE28" s="9">
        <f>IF(CABLES[[#This Row],[SEG19]] &gt;0, INDEX(SEGMENTS[], MATCH(CABLES[[#Headers],[SEG19]],SEGMENTS[SEG_ID],0),4),0)</f>
        <v>0</v>
      </c>
      <c r="CF28" s="9">
        <f>IF(CABLES[[#This Row],[SEG20]] &gt;0, INDEX(SEGMENTS[], MATCH(CABLES[[#Headers],[SEG20]],SEGMENTS[SEG_ID],0),4),0)</f>
        <v>0</v>
      </c>
      <c r="CG28" s="9">
        <f xml:space="preserve"> IF(CABLES[[#This Row],[SEG21]] &gt;0,INDEX(SEGMENTS[], MATCH(CABLES[[#Headers],[SEG21]],SEGMENTS[SEG_ID],0),4),0)</f>
        <v>0</v>
      </c>
      <c r="CH28" s="9">
        <f xml:space="preserve"> IF(CABLES[[#This Row],[SEG22]] &gt;0,INDEX(SEGMENTS[], MATCH(CABLES[[#Headers],[SEG22]],SEGMENTS[SEG_ID],0),4),0)</f>
        <v>0</v>
      </c>
      <c r="CI28" s="9">
        <f>IF(CABLES[[#This Row],[SEG23]] &gt;0, INDEX(SEGMENTS[], MATCH(CABLES[[#Headers],[SEG23]],SEGMENTS[SEG_ID],0),4),0)</f>
        <v>0</v>
      </c>
      <c r="CJ28" s="9">
        <f xml:space="preserve"> IF(CABLES[[#This Row],[SEG24]] &gt;0,INDEX(SEGMENTS[], MATCH(CABLES[[#Headers],[SEG24]],SEGMENTS[SEG_ID],0),4),0)</f>
        <v>0</v>
      </c>
      <c r="CK28" s="9">
        <f>IF(CABLES[[#This Row],[SEG25]] &gt;0, INDEX(SEGMENTS[], MATCH(CABLES[[#Headers],[SEG25]],SEGMENTS[SEG_ID],0),4),0)</f>
        <v>0</v>
      </c>
      <c r="CL28" s="9">
        <f>IF(CABLES[[#This Row],[SEG26]] &gt;0, INDEX(SEGMENTS[], MATCH(CABLES[[#Headers],[SEG26]],SEGMENTS[SEG_ID],0),4),0)</f>
        <v>0</v>
      </c>
      <c r="CM28" s="9">
        <f xml:space="preserve"> IF(CABLES[[#This Row],[SEG27]] &gt;0,INDEX(SEGMENTS[], MATCH(CABLES[[#Headers],[SEG27]],SEGMENTS[SEG_ID],0),4),0)</f>
        <v>0</v>
      </c>
      <c r="CN28" s="9">
        <f xml:space="preserve"> IF(CABLES[[#This Row],[SEG28]] &gt;0,INDEX(SEGMENTS[], MATCH(CABLES[[#Headers],[SEG28]],SEGMENTS[SEG_ID],0),4),0)</f>
        <v>0</v>
      </c>
      <c r="CO28" s="9">
        <f xml:space="preserve"> IF(CABLES[[#This Row],[SEG29]] &gt;0,INDEX(SEGMENTS[], MATCH(CABLES[[#Headers],[SEG29]],SEGMENTS[SEG_ID],0),4),0)</f>
        <v>0</v>
      </c>
      <c r="CP28" s="9">
        <f xml:space="preserve"> IF(CABLES[[#This Row],[SEG30]] &gt;0,INDEX(SEGMENTS[], MATCH(CABLES[[#Headers],[SEG30]],SEGMENTS[SEG_ID],0),4),0)</f>
        <v>0</v>
      </c>
      <c r="CQ28" s="9">
        <f>IF(CABLES[[#This Row],[SEG31]] &gt;0, INDEX(SEGMENTS[], MATCH(CABLES[[#Headers],[SEG31]],SEGMENTS[SEG_ID],0),4),0)</f>
        <v>0</v>
      </c>
      <c r="CR28" s="9">
        <f xml:space="preserve"> IF(CABLES[[#This Row],[SEG32]] &gt;0,INDEX(SEGMENTS[], MATCH(CABLES[[#Headers],[SEG32]],SEGMENTS[SEG_ID],0),4),0)</f>
        <v>0</v>
      </c>
      <c r="CS28" s="9">
        <f xml:space="preserve"> IF(CABLES[[#This Row],[SEG33]] &gt;0,INDEX(SEGMENTS[], MATCH(CABLES[[#Headers],[SEG33]],SEGMENTS[SEG_ID],0),4),0)</f>
        <v>0</v>
      </c>
      <c r="CT28" s="9">
        <f>IF(CABLES[[#This Row],[SEG34]] &gt;0, INDEX(SEGMENTS[], MATCH(CABLES[[#Headers],[SEG34]],SEGMENTS[SEG_ID],0),4),0)</f>
        <v>0</v>
      </c>
      <c r="CU28" s="9">
        <f xml:space="preserve"> IF(CABLES[[#This Row],[SEG35]] &gt;0,INDEX(SEGMENTS[], MATCH(CABLES[[#Headers],[SEG35]],SEGMENTS[SEG_ID],0),4),0)</f>
        <v>0</v>
      </c>
      <c r="CV28" s="9">
        <f xml:space="preserve"> IF(CABLES[[#This Row],[SEG36]] &gt;0,INDEX(SEGMENTS[], MATCH(CABLES[[#Headers],[SEG36]],SEGMENTS[SEG_ID],0),4),0)</f>
        <v>0</v>
      </c>
      <c r="CW28" s="9">
        <f xml:space="preserve"> IF(CABLES[[#This Row],[SEG37]] &gt;0,INDEX(SEGMENTS[], MATCH(CABLES[[#Headers],[SEG37]],SEGMENTS[SEG_ID],0),4),0)</f>
        <v>0</v>
      </c>
      <c r="CX28" s="9">
        <f xml:space="preserve"> IF(CABLES[[#This Row],[SEG38]] &gt;0,INDEX(SEGMENTS[], MATCH(CABLES[[#Headers],[SEG38]],SEGMENTS[SEG_ID],0),4),0)</f>
        <v>0</v>
      </c>
      <c r="CY28" s="9">
        <f xml:space="preserve"> IF(CABLES[[#This Row],[SEG39]] &gt;0,INDEX(SEGMENTS[], MATCH(CABLES[[#Headers],[SEG39]],SEGMENTS[SEG_ID],0),4),0)</f>
        <v>0</v>
      </c>
      <c r="CZ28" s="9">
        <f xml:space="preserve"> IF(CABLES[[#This Row],[SEG40]] &gt;0,INDEX(SEGMENTS[], MATCH(CABLES[[#Headers],[SEG40]],SEGMENTS[SEG_ID],0),4),0)</f>
        <v>0</v>
      </c>
      <c r="DA28" s="9">
        <f xml:space="preserve"> IF(CABLES[[#This Row],[SEG41]] &gt;0,INDEX(SEGMENTS[], MATCH(CABLES[[#Headers],[SEG41]],SEGMENTS[SEG_ID],0),4),0)</f>
        <v>0</v>
      </c>
      <c r="DB28" s="9">
        <f xml:space="preserve"> IF(CABLES[[#This Row],[SEG42]] &gt;0,INDEX(SEGMENTS[], MATCH(CABLES[[#Headers],[SEG42]],SEGMENTS[SEG_ID],0),4),0)</f>
        <v>0</v>
      </c>
      <c r="DC28" s="9">
        <f xml:space="preserve"> IF(CABLES[[#This Row],[SEG43]] &gt;0,INDEX(SEGMENTS[], MATCH(CABLES[[#Headers],[SEG43]],SEGMENTS[SEG_ID],0),4),0)</f>
        <v>0</v>
      </c>
      <c r="DD28" s="9">
        <f xml:space="preserve"> IF(CABLES[[#This Row],[SEG44]] &gt;0,INDEX(SEGMENTS[], MATCH(CABLES[[#Headers],[SEG44]],SEGMENTS[SEG_ID],0),4),0)</f>
        <v>0</v>
      </c>
      <c r="DE28" s="9">
        <f xml:space="preserve"> IF(CABLES[[#This Row],[SEG45]] &gt;0,INDEX(SEGMENTS[], MATCH(CABLES[[#Headers],[SEG45]],SEGMENTS[SEG_ID],0),4),0)</f>
        <v>0</v>
      </c>
      <c r="DF28" s="9">
        <f xml:space="preserve"> IF(CABLES[[#This Row],[SEG46]] &gt;0,INDEX(SEGMENTS[], MATCH(CABLES[[#Headers],[SEG46]],SEGMENTS[SEG_ID],0),4),0)</f>
        <v>0</v>
      </c>
      <c r="DG28" s="9">
        <f xml:space="preserve"> IF(CABLES[[#This Row],[SEG47]] &gt;0,INDEX(SEGMENTS[], MATCH(CABLES[[#Headers],[SEG47]],SEGMENTS[SEG_ID],0),4),0)</f>
        <v>0</v>
      </c>
      <c r="DH28" s="9">
        <f xml:space="preserve"> IF(CABLES[[#This Row],[SEG48]] &gt;0,INDEX(SEGMENTS[], MATCH(CABLES[[#Headers],[SEG48]],SEGMENTS[SEG_ID],0),4),0)</f>
        <v>0</v>
      </c>
      <c r="DI28" s="9">
        <f xml:space="preserve"> IF(CABLES[[#This Row],[SEG49]] &gt;0,INDEX(SEGMENTS[], MATCH(CABLES[[#Headers],[SEG49]],SEGMENTS[SEG_ID],0),4),0)</f>
        <v>0</v>
      </c>
      <c r="DJ28" s="9">
        <f xml:space="preserve"> IF(CABLES[[#This Row],[SEG50]] &gt;0,INDEX(SEGMENTS[], MATCH(CABLES[[#Headers],[SEG50]],SEGMENTS[SEG_ID],0),4),0)</f>
        <v>0</v>
      </c>
      <c r="DK28" s="9">
        <f xml:space="preserve"> IF(CABLES[[#This Row],[SEG51]] &gt;0,INDEX(SEGMENTS[], MATCH(CABLES[[#Headers],[SEG51]],SEGMENTS[SEG_ID],0),4),0)</f>
        <v>0</v>
      </c>
      <c r="DL28" s="9">
        <f xml:space="preserve"> IF(CABLES[[#This Row],[SEG52]] &gt;0,INDEX(SEGMENTS[], MATCH(CABLES[[#Headers],[SEG52]],SEGMENTS[SEG_ID],0),4),0)</f>
        <v>0</v>
      </c>
      <c r="DM28" s="9">
        <f xml:space="preserve"> IF(CABLES[[#This Row],[SEG53]] &gt;0,INDEX(SEGMENTS[], MATCH(CABLES[[#Headers],[SEG53]],SEGMENTS[SEG_ID],0),4),0)</f>
        <v>0</v>
      </c>
      <c r="DN28" s="9">
        <f xml:space="preserve"> IF(CABLES[[#This Row],[SEG54]] &gt;0,INDEX(SEGMENTS[], MATCH(CABLES[[#Headers],[SEG54]],SEGMENTS[SEG_ID],0),4),0)</f>
        <v>0</v>
      </c>
      <c r="DO28" s="9">
        <f xml:space="preserve"> IF(CABLES[[#This Row],[SEG55]] &gt;0,INDEX(SEGMENTS[], MATCH(CABLES[[#Headers],[SEG55]],SEGMENTS[SEG_ID],0),4),0)</f>
        <v>0</v>
      </c>
      <c r="DP28" s="9">
        <f xml:space="preserve"> IF(CABLES[[#This Row],[SEG56]] &gt;0,INDEX(SEGMENTS[], MATCH(CABLES[[#Headers],[SEG56]],SEGMENTS[SEG_ID],0),4),0)</f>
        <v>0</v>
      </c>
      <c r="DQ28" s="9">
        <f xml:space="preserve"> IF(CABLES[[#This Row],[SEG57]] &gt;0,INDEX(SEGMENTS[], MATCH(CABLES[[#Headers],[SEG57]],SEGMENTS[SEG_ID],0),4),0)</f>
        <v>0</v>
      </c>
      <c r="DR28" s="9">
        <f xml:space="preserve"> IF(CABLES[[#This Row],[SEG58]] &gt;0,INDEX(SEGMENTS[], MATCH(CABLES[[#Headers],[SEG58]],SEGMENTS[SEG_ID],0),4),0)</f>
        <v>0</v>
      </c>
      <c r="DS28" s="9">
        <f xml:space="preserve"> IF(CABLES[[#This Row],[SEG59]] &gt;0,INDEX(SEGMENTS[], MATCH(CABLES[[#Headers],[SEG59]],SEGMENTS[SEG_ID],0),4),0)</f>
        <v>0</v>
      </c>
      <c r="DT28" s="9">
        <f xml:space="preserve"> IF(CABLES[[#This Row],[SEG60]] &gt;0,INDEX(SEGMENTS[], MATCH(CABLES[[#Headers],[SEG60]],SEGMENTS[SEG_ID],0),4),0)</f>
        <v>0</v>
      </c>
      <c r="DU28" s="10">
        <f>SUM(CABLES[[#This Row],[SEGL1]:[SEGL60]])</f>
        <v>47</v>
      </c>
      <c r="DV28" s="10">
        <v>5</v>
      </c>
      <c r="DW28" s="10">
        <v>1.2</v>
      </c>
      <c r="DX28" s="10">
        <f xml:space="preserve"> IF(CABLES[[#This Row],[SEGL_TOTAL]]&gt;0, (CABLES[[#This Row],[SEGL_TOTAL]] + CABLES[[#This Row],[FITOFF]]) *CABLES[[#This Row],[XCAPACITY]],0)</f>
        <v>62.4</v>
      </c>
      <c r="DY28" s="10">
        <f>IF(CABLES[[#This Row],[SEG1]]&gt;0,CABLES[[#This Row],[CABLE_DIAMETER]],0)</f>
        <v>20.3</v>
      </c>
      <c r="DZ28" s="10">
        <f>IF(CABLES[[#This Row],[SEG2]]&gt;0,CABLES[[#This Row],[CABLE_DIAMETER]],0)</f>
        <v>20.3</v>
      </c>
      <c r="EA28" s="10">
        <f>IF(CABLES[[#This Row],[SEG3]]&gt;0,CABLES[[#This Row],[CABLE_DIAMETER]],0)</f>
        <v>0</v>
      </c>
      <c r="EB28" s="10">
        <f>IF(CABLES[[#This Row],[SEG4]]&gt;0,CABLES[[#This Row],[CABLE_DIAMETER]],0)</f>
        <v>20.3</v>
      </c>
      <c r="EC28" s="10">
        <f>IF(CABLES[[#This Row],[SEG5]]&gt;0,CABLES[[#This Row],[CABLE_DIAMETER]],0)</f>
        <v>20.3</v>
      </c>
      <c r="ED28" s="10">
        <f>IF(CABLES[[#This Row],[SEG6]]&gt;0,CABLES[[#This Row],[CABLE_DIAMETER]],0)</f>
        <v>20.3</v>
      </c>
      <c r="EE28" s="10">
        <f>IF(CABLES[[#This Row],[SEG7]]&gt;0,CABLES[[#This Row],[CABLE_DIAMETER]],0)</f>
        <v>20.3</v>
      </c>
      <c r="EF28" s="10">
        <f>IF(CABLES[[#This Row],[SEG9]]&gt;0,CABLES[[#This Row],[CABLE_DIAMETER]],0)</f>
        <v>0</v>
      </c>
      <c r="EG28" s="10">
        <f>IF(CABLES[[#This Row],[SEG9]]&gt;0,CABLES[[#This Row],[CABLE_DIAMETER]],0)</f>
        <v>0</v>
      </c>
      <c r="EH28" s="10">
        <f>IF(CABLES[[#This Row],[SEG10]]&gt;0,CABLES[[#This Row],[CABLE_DIAMETER]],0)</f>
        <v>0</v>
      </c>
      <c r="EI28" s="10">
        <f>IF(CABLES[[#This Row],[SEG11]]&gt;0,CABLES[[#This Row],[CABLE_DIAMETER]],0)</f>
        <v>0</v>
      </c>
      <c r="EJ28" s="10">
        <f>IF(CABLES[[#This Row],[SEG12]]&gt;0,CABLES[[#This Row],[CABLE_DIAMETER]],0)</f>
        <v>0</v>
      </c>
      <c r="EK28" s="10">
        <f>IF(CABLES[[#This Row],[SEG13]]&gt;0,CABLES[[#This Row],[CABLE_DIAMETER]],0)</f>
        <v>0</v>
      </c>
      <c r="EL28" s="10">
        <f>IF(CABLES[[#This Row],[SEG14]]&gt;0,CABLES[[#This Row],[CABLE_DIAMETER]],0)</f>
        <v>0</v>
      </c>
      <c r="EM28" s="10">
        <f>IF(CABLES[[#This Row],[SEG15]]&gt;0,CABLES[[#This Row],[CABLE_DIAMETER]],0)</f>
        <v>0</v>
      </c>
      <c r="EN28" s="10">
        <f>IF(CABLES[[#This Row],[SEG16]]&gt;0,CABLES[[#This Row],[CABLE_DIAMETER]],0)</f>
        <v>0</v>
      </c>
      <c r="EO28" s="10">
        <f>IF(CABLES[[#This Row],[SEG17]]&gt;0,CABLES[[#This Row],[CABLE_DIAMETER]],0)</f>
        <v>0</v>
      </c>
      <c r="EP28" s="10">
        <f>IF(CABLES[[#This Row],[SEG18]]&gt;0,CABLES[[#This Row],[CABLE_DIAMETER]],0)</f>
        <v>0</v>
      </c>
      <c r="EQ28" s="10">
        <f>IF(CABLES[[#This Row],[SEG19]]&gt;0,CABLES[[#This Row],[CABLE_DIAMETER]],0)</f>
        <v>0</v>
      </c>
      <c r="ER28" s="10">
        <f>IF(CABLES[[#This Row],[SEG20]]&gt;0,CABLES[[#This Row],[CABLE_DIAMETER]],0)</f>
        <v>0</v>
      </c>
      <c r="ES28" s="10">
        <f>IF(CABLES[[#This Row],[SEG21]]&gt;0,CABLES[[#This Row],[CABLE_DIAMETER]],0)</f>
        <v>0</v>
      </c>
      <c r="ET28" s="10">
        <f>IF(CABLES[[#This Row],[SEG22]]&gt;0,CABLES[[#This Row],[CABLE_DIAMETER]],0)</f>
        <v>0</v>
      </c>
      <c r="EU28" s="10">
        <f>IF(CABLES[[#This Row],[SEG23]]&gt;0,CABLES[[#This Row],[CABLE_DIAMETER]],0)</f>
        <v>0</v>
      </c>
      <c r="EV28" s="10">
        <f>IF(CABLES[[#This Row],[SEG24]]&gt;0,CABLES[[#This Row],[CABLE_DIAMETER]],0)</f>
        <v>0</v>
      </c>
      <c r="EW28" s="10">
        <f>IF(CABLES[[#This Row],[SEG25]]&gt;0,CABLES[[#This Row],[CABLE_DIAMETER]],0)</f>
        <v>0</v>
      </c>
      <c r="EX28" s="10">
        <f>IF(CABLES[[#This Row],[SEG26]]&gt;0,CABLES[[#This Row],[CABLE_DIAMETER]],0)</f>
        <v>0</v>
      </c>
      <c r="EY28" s="10">
        <f>IF(CABLES[[#This Row],[SEG27]]&gt;0,CABLES[[#This Row],[CABLE_DIAMETER]],0)</f>
        <v>0</v>
      </c>
      <c r="EZ28" s="10">
        <f>IF(CABLES[[#This Row],[SEG28]]&gt;0,CABLES[[#This Row],[CABLE_DIAMETER]],0)</f>
        <v>0</v>
      </c>
      <c r="FA28" s="10">
        <f>IF(CABLES[[#This Row],[SEG29]]&gt;0,CABLES[[#This Row],[CABLE_DIAMETER]],0)</f>
        <v>0</v>
      </c>
      <c r="FB28" s="10">
        <f>IF(CABLES[[#This Row],[SEG30]]&gt;0,CABLES[[#This Row],[CABLE_DIAMETER]],0)</f>
        <v>0</v>
      </c>
      <c r="FC28" s="10">
        <f>IF(CABLES[[#This Row],[SEG31]]&gt;0,CABLES[[#This Row],[CABLE_DIAMETER]],0)</f>
        <v>0</v>
      </c>
      <c r="FD28" s="10">
        <f>IF(CABLES[[#This Row],[SEG32]]&gt;0,CABLES[[#This Row],[CABLE_DIAMETER]],0)</f>
        <v>0</v>
      </c>
      <c r="FE28" s="10">
        <f>IF(CABLES[[#This Row],[SEG33]]&gt;0,CABLES[[#This Row],[CABLE_DIAMETER]],0)</f>
        <v>0</v>
      </c>
      <c r="FF28" s="10">
        <f>IF(CABLES[[#This Row],[SEG34]]&gt;0,CABLES[[#This Row],[CABLE_DIAMETER]],0)</f>
        <v>0</v>
      </c>
      <c r="FG28" s="10">
        <f>IF(CABLES[[#This Row],[SEG35]]&gt;0,CABLES[[#This Row],[CABLE_DIAMETER]],0)</f>
        <v>0</v>
      </c>
      <c r="FH28" s="10">
        <f>IF(CABLES[[#This Row],[SEG36]]&gt;0,CABLES[[#This Row],[CABLE_DIAMETER]],0)</f>
        <v>0</v>
      </c>
      <c r="FI28" s="10">
        <f>IF(CABLES[[#This Row],[SEG37]]&gt;0,CABLES[[#This Row],[CABLE_DIAMETER]],0)</f>
        <v>0</v>
      </c>
      <c r="FJ28" s="10">
        <f>IF(CABLES[[#This Row],[SEG38]]&gt;0,CABLES[[#This Row],[CABLE_DIAMETER]],0)</f>
        <v>0</v>
      </c>
      <c r="FK28" s="10">
        <f>IF(CABLES[[#This Row],[SEG39]]&gt;0,CABLES[[#This Row],[CABLE_DIAMETER]],0)</f>
        <v>0</v>
      </c>
      <c r="FL28" s="10">
        <f>IF(CABLES[[#This Row],[SEG40]]&gt;0,CABLES[[#This Row],[CABLE_DIAMETER]],0)</f>
        <v>0</v>
      </c>
      <c r="FM28" s="10">
        <f>IF(CABLES[[#This Row],[SEG41]]&gt;0,CABLES[[#This Row],[CABLE_DIAMETER]],0)</f>
        <v>0</v>
      </c>
      <c r="FN28" s="10">
        <f>IF(CABLES[[#This Row],[SEG42]]&gt;0,CABLES[[#This Row],[CABLE_DIAMETER]],0)</f>
        <v>0</v>
      </c>
      <c r="FO28" s="10">
        <f>IF(CABLES[[#This Row],[SEG43]]&gt;0,CABLES[[#This Row],[CABLE_DIAMETER]],0)</f>
        <v>0</v>
      </c>
      <c r="FP28" s="10">
        <f>IF(CABLES[[#This Row],[SEG44]]&gt;0,CABLES[[#This Row],[CABLE_DIAMETER]],0)</f>
        <v>0</v>
      </c>
      <c r="FQ28" s="10">
        <f>IF(CABLES[[#This Row],[SEG45]]&gt;0,CABLES[[#This Row],[CABLE_DIAMETER]],0)</f>
        <v>0</v>
      </c>
      <c r="FR28" s="10">
        <f>IF(CABLES[[#This Row],[SEG46]]&gt;0,CABLES[[#This Row],[CABLE_DIAMETER]],0)</f>
        <v>0</v>
      </c>
      <c r="FS28" s="10">
        <f>IF(CABLES[[#This Row],[SEG47]]&gt;0,CABLES[[#This Row],[CABLE_DIAMETER]],0)</f>
        <v>0</v>
      </c>
      <c r="FT28" s="10">
        <f>IF(CABLES[[#This Row],[SEG48]]&gt;0,CABLES[[#This Row],[CABLE_DIAMETER]],0)</f>
        <v>0</v>
      </c>
      <c r="FU28" s="10">
        <f>IF(CABLES[[#This Row],[SEG49]]&gt;0,CABLES[[#This Row],[CABLE_DIAMETER]],0)</f>
        <v>0</v>
      </c>
      <c r="FV28" s="10">
        <f>IF(CABLES[[#This Row],[SEG50]]&gt;0,CABLES[[#This Row],[CABLE_DIAMETER]],0)</f>
        <v>0</v>
      </c>
      <c r="FW28" s="10">
        <f>IF(CABLES[[#This Row],[SEG51]]&gt;0,CABLES[[#This Row],[CABLE_DIAMETER]],0)</f>
        <v>0</v>
      </c>
      <c r="FX28" s="10">
        <f>IF(CABLES[[#This Row],[SEG52]]&gt;0,CABLES[[#This Row],[CABLE_DIAMETER]],0)</f>
        <v>0</v>
      </c>
      <c r="FY28" s="10">
        <f>IF(CABLES[[#This Row],[SEG53]]&gt;0,CABLES[[#This Row],[CABLE_DIAMETER]],0)</f>
        <v>0</v>
      </c>
      <c r="FZ28" s="10">
        <f>IF(CABLES[[#This Row],[SEG54]]&gt;0,CABLES[[#This Row],[CABLE_DIAMETER]],0)</f>
        <v>0</v>
      </c>
      <c r="GA28" s="10">
        <f>IF(CABLES[[#This Row],[SEG55]]&gt;0,CABLES[[#This Row],[CABLE_DIAMETER]],0)</f>
        <v>0</v>
      </c>
      <c r="GB28" s="10">
        <f>IF(CABLES[[#This Row],[SEG56]]&gt;0,CABLES[[#This Row],[CABLE_DIAMETER]],0)</f>
        <v>0</v>
      </c>
      <c r="GC28" s="10">
        <f>IF(CABLES[[#This Row],[SEG57]]&gt;0,CABLES[[#This Row],[CABLE_DIAMETER]],0)</f>
        <v>0</v>
      </c>
      <c r="GD28" s="10">
        <f>IF(CABLES[[#This Row],[SEG58]]&gt;0,CABLES[[#This Row],[CABLE_DIAMETER]],0)</f>
        <v>0</v>
      </c>
      <c r="GE28" s="10">
        <f>IF(CABLES[[#This Row],[SEG59]]&gt;0,CABLES[[#This Row],[CABLE_DIAMETER]],0)</f>
        <v>0</v>
      </c>
      <c r="GF28" s="10">
        <f>IF(CABLES[[#This Row],[SEG60]]&gt;0,CABLES[[#This Row],[CABLE_DIAMETER]],0)</f>
        <v>0</v>
      </c>
      <c r="GG28" s="10">
        <f>IF(CABLES[[#This Row],[SEG1]]&gt;0,CABLES[[#This Row],[CABLE_MASS]],0)</f>
        <v>0.86</v>
      </c>
      <c r="GH28" s="10">
        <f>IF(CABLES[[#This Row],[SEG2]]&gt;0,CABLES[[#This Row],[CABLE_MASS]],0)</f>
        <v>0.86</v>
      </c>
      <c r="GI28" s="10">
        <f>IF(CABLES[[#This Row],[SEG3]]&gt;0,CABLES[[#This Row],[CABLE_MASS]],0)</f>
        <v>0</v>
      </c>
      <c r="GJ28" s="10">
        <f>IF(CABLES[[#This Row],[SEG4]]&gt;0,CABLES[[#This Row],[CABLE_MASS]],0)</f>
        <v>0.86</v>
      </c>
      <c r="GK28" s="10">
        <f>IF(CABLES[[#This Row],[SEG5]]&gt;0,CABLES[[#This Row],[CABLE_MASS]],0)</f>
        <v>0.86</v>
      </c>
      <c r="GL28" s="10">
        <f>IF(CABLES[[#This Row],[SEG6]]&gt;0,CABLES[[#This Row],[CABLE_MASS]],0)</f>
        <v>0.86</v>
      </c>
      <c r="GM28" s="10">
        <f>IF(CABLES[[#This Row],[SEG7]]&gt;0,CABLES[[#This Row],[CABLE_MASS]],0)</f>
        <v>0.86</v>
      </c>
      <c r="GN28" s="10">
        <f>IF(CABLES[[#This Row],[SEG8]]&gt;0,CABLES[[#This Row],[CABLE_MASS]],0)</f>
        <v>0</v>
      </c>
      <c r="GO28" s="10">
        <f>IF(CABLES[[#This Row],[SEG9]]&gt;0,CABLES[[#This Row],[CABLE_MASS]],0)</f>
        <v>0</v>
      </c>
      <c r="GP28" s="10">
        <f>IF(CABLES[[#This Row],[SEG10]]&gt;0,CABLES[[#This Row],[CABLE_MASS]],0)</f>
        <v>0</v>
      </c>
      <c r="GQ28" s="10">
        <f>IF(CABLES[[#This Row],[SEG11]]&gt;0,CABLES[[#This Row],[CABLE_MASS]],0)</f>
        <v>0</v>
      </c>
      <c r="GR28" s="10">
        <f>IF(CABLES[[#This Row],[SEG12]]&gt;0,CABLES[[#This Row],[CABLE_MASS]],0)</f>
        <v>0</v>
      </c>
      <c r="GS28" s="10">
        <f>IF(CABLES[[#This Row],[SEG13]]&gt;0,CABLES[[#This Row],[CABLE_MASS]],0)</f>
        <v>0</v>
      </c>
      <c r="GT28" s="10">
        <f>IF(CABLES[[#This Row],[SEG14]]&gt;0,CABLES[[#This Row],[CABLE_MASS]],0)</f>
        <v>0</v>
      </c>
      <c r="GU28" s="10">
        <f>IF(CABLES[[#This Row],[SEG15]]&gt;0,CABLES[[#This Row],[CABLE_MASS]],0)</f>
        <v>0</v>
      </c>
      <c r="GV28" s="10">
        <f>IF(CABLES[[#This Row],[SEG16]]&gt;0,CABLES[[#This Row],[CABLE_MASS]],0)</f>
        <v>0</v>
      </c>
      <c r="GW28" s="10">
        <f>IF(CABLES[[#This Row],[SEG17]]&gt;0,CABLES[[#This Row],[CABLE_MASS]],0)</f>
        <v>0</v>
      </c>
      <c r="GX28" s="10">
        <f>IF(CABLES[[#This Row],[SEG18]]&gt;0,CABLES[[#This Row],[CABLE_MASS]],0)</f>
        <v>0</v>
      </c>
      <c r="GY28" s="10">
        <f>IF(CABLES[[#This Row],[SEG19]]&gt;0,CABLES[[#This Row],[CABLE_MASS]],0)</f>
        <v>0</v>
      </c>
      <c r="GZ28" s="10">
        <f>IF(CABLES[[#This Row],[SEG20]]&gt;0,CABLES[[#This Row],[CABLE_MASS]],0)</f>
        <v>0</v>
      </c>
      <c r="HA28" s="10">
        <f>IF(CABLES[[#This Row],[SEG21]]&gt;0,CABLES[[#This Row],[CABLE_MASS]],0)</f>
        <v>0</v>
      </c>
      <c r="HB28" s="10">
        <f>IF(CABLES[[#This Row],[SEG22]]&gt;0,CABLES[[#This Row],[CABLE_MASS]],0)</f>
        <v>0</v>
      </c>
      <c r="HC28" s="10">
        <f>IF(CABLES[[#This Row],[SEG23]]&gt;0,CABLES[[#This Row],[CABLE_MASS]],0)</f>
        <v>0</v>
      </c>
      <c r="HD28" s="10">
        <f>IF(CABLES[[#This Row],[SEG24]]&gt;0,CABLES[[#This Row],[CABLE_MASS]],0)</f>
        <v>0</v>
      </c>
      <c r="HE28" s="10">
        <f>IF(CABLES[[#This Row],[SEG25]]&gt;0,CABLES[[#This Row],[CABLE_MASS]],0)</f>
        <v>0</v>
      </c>
      <c r="HF28" s="10">
        <f>IF(CABLES[[#This Row],[SEG26]]&gt;0,CABLES[[#This Row],[CABLE_MASS]],0)</f>
        <v>0</v>
      </c>
      <c r="HG28" s="10">
        <f>IF(CABLES[[#This Row],[SEG27]]&gt;0,CABLES[[#This Row],[CABLE_MASS]],0)</f>
        <v>0</v>
      </c>
      <c r="HH28" s="10">
        <f>IF(CABLES[[#This Row],[SEG28]]&gt;0,CABLES[[#This Row],[CABLE_MASS]],0)</f>
        <v>0</v>
      </c>
      <c r="HI28" s="10">
        <f>IF(CABLES[[#This Row],[SEG29]]&gt;0,CABLES[[#This Row],[CABLE_MASS]],0)</f>
        <v>0</v>
      </c>
      <c r="HJ28" s="10">
        <f>IF(CABLES[[#This Row],[SEG30]]&gt;0,CABLES[[#This Row],[CABLE_MASS]],0)</f>
        <v>0</v>
      </c>
      <c r="HK28" s="10">
        <f>IF(CABLES[[#This Row],[SEG31]]&gt;0,CABLES[[#This Row],[CABLE_MASS]],0)</f>
        <v>0</v>
      </c>
      <c r="HL28" s="10">
        <f>IF(CABLES[[#This Row],[SEG32]]&gt;0,CABLES[[#This Row],[CABLE_MASS]],0)</f>
        <v>0</v>
      </c>
      <c r="HM28" s="10">
        <f>IF(CABLES[[#This Row],[SEG33]]&gt;0,CABLES[[#This Row],[CABLE_MASS]],0)</f>
        <v>0</v>
      </c>
      <c r="HN28" s="10">
        <f>IF(CABLES[[#This Row],[SEG34]]&gt;0,CABLES[[#This Row],[CABLE_MASS]],0)</f>
        <v>0</v>
      </c>
      <c r="HO28" s="10">
        <f>IF(CABLES[[#This Row],[SEG35]]&gt;0,CABLES[[#This Row],[CABLE_MASS]],0)</f>
        <v>0</v>
      </c>
      <c r="HP28" s="10">
        <f>IF(CABLES[[#This Row],[SEG36]]&gt;0,CABLES[[#This Row],[CABLE_MASS]],0)</f>
        <v>0</v>
      </c>
      <c r="HQ28" s="10">
        <f>IF(CABLES[[#This Row],[SEG37]]&gt;0,CABLES[[#This Row],[CABLE_MASS]],0)</f>
        <v>0</v>
      </c>
      <c r="HR28" s="10">
        <f>IF(CABLES[[#This Row],[SEG38]]&gt;0,CABLES[[#This Row],[CABLE_MASS]],0)</f>
        <v>0</v>
      </c>
      <c r="HS28" s="10">
        <f>IF(CABLES[[#This Row],[SEG39]]&gt;0,CABLES[[#This Row],[CABLE_MASS]],0)</f>
        <v>0</v>
      </c>
      <c r="HT28" s="10">
        <f>IF(CABLES[[#This Row],[SEG40]]&gt;0,CABLES[[#This Row],[CABLE_MASS]],0)</f>
        <v>0</v>
      </c>
      <c r="HU28" s="10">
        <f>IF(CABLES[[#This Row],[SEG41]]&gt;0,CABLES[[#This Row],[CABLE_MASS]],0)</f>
        <v>0</v>
      </c>
      <c r="HV28" s="10">
        <f>IF(CABLES[[#This Row],[SEG42]]&gt;0,CABLES[[#This Row],[CABLE_MASS]],0)</f>
        <v>0</v>
      </c>
      <c r="HW28" s="10">
        <f>IF(CABLES[[#This Row],[SEG43]]&gt;0,CABLES[[#This Row],[CABLE_MASS]],0)</f>
        <v>0</v>
      </c>
      <c r="HX28" s="10">
        <f>IF(CABLES[[#This Row],[SEG44]]&gt;0,CABLES[[#This Row],[CABLE_MASS]],0)</f>
        <v>0</v>
      </c>
      <c r="HY28" s="10">
        <f>IF(CABLES[[#This Row],[SEG45]]&gt;0,CABLES[[#This Row],[CABLE_MASS]],0)</f>
        <v>0</v>
      </c>
      <c r="HZ28" s="10">
        <f>IF(CABLES[[#This Row],[SEG46]]&gt;0,CABLES[[#This Row],[CABLE_MASS]],0)</f>
        <v>0</v>
      </c>
      <c r="IA28" s="10">
        <f>IF(CABLES[[#This Row],[SEG47]]&gt;0,CABLES[[#This Row],[CABLE_MASS]],0)</f>
        <v>0</v>
      </c>
      <c r="IB28" s="10">
        <f>IF(CABLES[[#This Row],[SEG48]]&gt;0,CABLES[[#This Row],[CABLE_MASS]],0)</f>
        <v>0</v>
      </c>
      <c r="IC28" s="10">
        <f>IF(CABLES[[#This Row],[SEG49]]&gt;0,CABLES[[#This Row],[CABLE_MASS]],0)</f>
        <v>0</v>
      </c>
      <c r="ID28" s="10">
        <f>IF(CABLES[[#This Row],[SEG50]]&gt;0,CABLES[[#This Row],[CABLE_MASS]],0)</f>
        <v>0</v>
      </c>
      <c r="IE28" s="10">
        <f>IF(CABLES[[#This Row],[SEG51]]&gt;0,CABLES[[#This Row],[CABLE_MASS]],0)</f>
        <v>0</v>
      </c>
      <c r="IF28" s="10">
        <f>IF(CABLES[[#This Row],[SEG52]]&gt;0,CABLES[[#This Row],[CABLE_MASS]],0)</f>
        <v>0</v>
      </c>
      <c r="IG28" s="10">
        <f>IF(CABLES[[#This Row],[SEG53]]&gt;0,CABLES[[#This Row],[CABLE_MASS]],0)</f>
        <v>0</v>
      </c>
      <c r="IH28" s="10">
        <f>IF(CABLES[[#This Row],[SEG54]]&gt;0,CABLES[[#This Row],[CABLE_MASS]],0)</f>
        <v>0</v>
      </c>
      <c r="II28" s="10">
        <f>IF(CABLES[[#This Row],[SEG55]]&gt;0,CABLES[[#This Row],[CABLE_MASS]],0)</f>
        <v>0</v>
      </c>
      <c r="IJ28" s="10">
        <f>IF(CABLES[[#This Row],[SEG56]]&gt;0,CABLES[[#This Row],[CABLE_MASS]],0)</f>
        <v>0</v>
      </c>
      <c r="IK28" s="10">
        <f>IF(CABLES[[#This Row],[SEG57]]&gt;0,CABLES[[#This Row],[CABLE_MASS]],0)</f>
        <v>0</v>
      </c>
      <c r="IL28" s="10">
        <f>IF(CABLES[[#This Row],[SEG58]]&gt;0,CABLES[[#This Row],[CABLE_MASS]],0)</f>
        <v>0</v>
      </c>
      <c r="IM28" s="10">
        <f>IF(CABLES[[#This Row],[SEG59]]&gt;0,CABLES[[#This Row],[CABLE_MASS]],0)</f>
        <v>0</v>
      </c>
      <c r="IN28" s="10">
        <f>IF(CABLES[[#This Row],[SEG60]]&gt;0,CABLES[[#This Row],[CABLE_MASS]],0)</f>
        <v>0</v>
      </c>
      <c r="IO28" s="10">
        <f xml:space="preserve">  (CABLES[[#This Row],[LOAD_KW]]/(SQRT(3)*SYSTEM_VOLTAGE*POWER_FACTOR))*1000</f>
        <v>48.112522432468815</v>
      </c>
      <c r="IP28" s="10">
        <v>45</v>
      </c>
      <c r="IQ28" s="10">
        <f xml:space="preserve"> INDEX(AS3000_AMBIENTDERATE[], MATCH(CABLES[[#This Row],[AMBIENT]],AS3000_AMBIENTDERATE[AMBIENT],0), 2)</f>
        <v>0.94</v>
      </c>
      <c r="IR28" s="10">
        <f xml:space="preserve"> ROUNDUP( CABLES[[#This Row],[CALCULATED_AMPS]]/CABLES[[#This Row],[AMBIENT_DERATING]],1)</f>
        <v>51.2</v>
      </c>
      <c r="IS28" s="10" t="s">
        <v>531</v>
      </c>
      <c r="IT2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16</v>
      </c>
      <c r="IU28" s="10">
        <f t="shared" si="0"/>
        <v>28.000000000000004</v>
      </c>
      <c r="IV28" s="10">
        <f>(1000*CABLES[[#This Row],[MAX_VDROP]])/(CABLES[[#This Row],[ESTIMATED_CABLE_LENGTH]]*CABLES[[#This Row],[AMP_RATING]])</f>
        <v>8.7640224358974361</v>
      </c>
      <c r="IW28" s="10">
        <f xml:space="preserve"> INDEX(AS3000_VDROP[], MATCH(CABLES[[#This Row],[VC_CALC]],AS3000_VDROP[Vc],1),1)</f>
        <v>6</v>
      </c>
      <c r="IX28" s="10">
        <f>MAX(CABLES[[#This Row],[CABLESIZE_METHOD1]],CABLES[[#This Row],[CABLESIZE_METHOD2]])</f>
        <v>16</v>
      </c>
      <c r="IY28" s="10"/>
      <c r="IZ28" s="10">
        <f>IF(LEN(CABLES[[#This Row],[OVERRIDE_CABLESIZE]])&gt;0,CABLES[[#This Row],[OVERRIDE_CABLESIZE]],CABLES[[#This Row],[INITIAL_CABLESIZE]])</f>
        <v>16</v>
      </c>
      <c r="JA28" s="10">
        <f>INDEX(PROTECTIVE_DEVICE[DEVICE], MATCH(CABLES[[#This Row],[CALCULATED_AMPS]],PROTECTIVE_DEVICE[DEVICE],-1),1)</f>
        <v>50</v>
      </c>
      <c r="JB28" s="10"/>
      <c r="JC28" s="10">
        <f>IF(LEN(CABLES[[#This Row],[OVERRIDE_PDEVICE]])&gt;0, CABLES[[#This Row],[OVERRIDE_PDEVICE]],CABLES[[#This Row],[RECOMMEND_PDEVICE]])</f>
        <v>50</v>
      </c>
      <c r="JD28" s="10" t="s">
        <v>450</v>
      </c>
      <c r="JE28" s="10">
        <f xml:space="preserve"> CABLES[[#This Row],[SELECTED_PDEVICE]] * INDEX(DEVICE_CURVE[], MATCH(CABLES[[#This Row],[PDEVICE_CURVE]], DEVICE_CURVE[DEVICE_CURVE],0),2)</f>
        <v>325</v>
      </c>
      <c r="JF28" s="10" t="s">
        <v>458</v>
      </c>
      <c r="JG28" s="10">
        <f xml:space="preserve"> INDEX(CONDUCTOR_MATERIAL[], MATCH(CABLES[[#This Row],[CONDUCTOR_MATERIAL]],CONDUCTOR_MATERIAL[CONDUCTOR_MATERIAL],0),2)</f>
        <v>2.2499999999999999E-2</v>
      </c>
      <c r="JH28" s="10">
        <f>CABLES[[#This Row],[SELECTED_CABLESIZE]]</f>
        <v>16</v>
      </c>
      <c r="JI28" s="10">
        <f xml:space="preserve"> INDEX( EARTH_CONDUCTOR_SIZE[], MATCH(CABLES[[#This Row],[SPH]],EARTH_CONDUCTOR_SIZE[MM^2],-1), 2)</f>
        <v>6</v>
      </c>
      <c r="JJ28" s="10">
        <f>(0.8*PHASE_VOLTAGE*CABLES[[#This Row],[SPH]]*CABLES[[#This Row],[SPE]])/(CABLES[[#This Row],[PDEVICE_IA]]*CABLES[[#This Row],[MATERIAL_CONSTANT]]*(CABLES[[#This Row],[SPH]]+CABLES[[#This Row],[SPE]]))</f>
        <v>109.7995337995338</v>
      </c>
      <c r="JK28" s="10" t="str">
        <f>IF(CABLES[[#This Row],[LMAX]]&gt;CABLES[[#This Row],[ESTIMATED_CABLE_LENGTH]], "PASS", "ERROR")</f>
        <v>PASS</v>
      </c>
      <c r="JL2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20.3</v>
      </c>
      <c r="JM2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0.86</v>
      </c>
      <c r="JN28" s="6">
        <f xml:space="preserve"> ROUNDUP( CABLES[[#This Row],[CALCULATED_AMPS]],1)</f>
        <v>48.2</v>
      </c>
      <c r="JO28" s="6">
        <f>CABLES[[#This Row],[SELECTED_CABLESIZE]]</f>
        <v>16</v>
      </c>
      <c r="JP28" s="10">
        <f>CABLES[[#This Row],[ESTIMATED_CABLE_LENGTH]]</f>
        <v>62.4</v>
      </c>
      <c r="JQ28" s="6">
        <f>CABLES[[#This Row],[SELECTED_PDEVICE]]</f>
        <v>50</v>
      </c>
    </row>
    <row r="29" spans="1:277" x14ac:dyDescent="0.35">
      <c r="A29" s="5" t="s">
        <v>28</v>
      </c>
      <c r="B29" s="5" t="s">
        <v>92</v>
      </c>
      <c r="C29" s="10" t="s">
        <v>261</v>
      </c>
      <c r="D29" s="9">
        <v>30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f xml:space="preserve"> IF(CABLES[[#This Row],[SEG1]] &gt;0, INDEX(SEGMENTS[], MATCH(CABLES[[#Headers],[SEG1]],SEGMENTS[SEG_ID],0),4),0)</f>
        <v>13</v>
      </c>
      <c r="BN29" s="9">
        <f xml:space="preserve"> IF(CABLES[[#This Row],[SEG2]] &gt;0, INDEX(SEGMENTS[], MATCH(CABLES[[#Headers],[SEG2]],SEGMENTS[SEG_ID],0),4),0)</f>
        <v>2</v>
      </c>
      <c r="BO29" s="9">
        <f xml:space="preserve"> IF(CABLES[[#This Row],[SEG3]] &gt;0, INDEX(SEGMENTS[], MATCH(CABLES[[#Headers],[SEG3]],SEGMENTS[SEG_ID],0),4),0)</f>
        <v>0</v>
      </c>
      <c r="BP29" s="9">
        <f xml:space="preserve"> IF(CABLES[[#This Row],[SEG4]] &gt;0, INDEX(SEGMENTS[], MATCH(CABLES[[#Headers],[SEG4]],SEGMENTS[SEG_ID],0),4),0)</f>
        <v>14</v>
      </c>
      <c r="BQ29" s="9">
        <f xml:space="preserve"> IF(CABLES[[#This Row],[SEG5]] &gt;0,INDEX(SEGMENTS[], MATCH(CABLES[[#Headers],[SEG5]],SEGMENTS[SEG_ID],0),4),0)</f>
        <v>8</v>
      </c>
      <c r="BR29" s="9">
        <f xml:space="preserve"> IF(CABLES[[#This Row],[SEG6]] &gt;0,INDEX(SEGMENTS[], MATCH(CABLES[[#Headers],[SEG6]],SEGMENTS[SEG_ID],0),4),0)</f>
        <v>2</v>
      </c>
      <c r="BS29" s="9">
        <f xml:space="preserve"> IF(CABLES[[#This Row],[SEG7]] &gt;0,INDEX(SEGMENTS[], MATCH(CABLES[[#Headers],[SEG7]],SEGMENTS[SEG_ID],0),4),0)</f>
        <v>8</v>
      </c>
      <c r="BT29" s="9">
        <f xml:space="preserve"> IF(CABLES[[#This Row],[SEG8]] &gt;0,INDEX(SEGMENTS[], MATCH(CABLES[[#Headers],[SEG8]],SEGMENTS[SEG_ID],0),4),0)</f>
        <v>0</v>
      </c>
      <c r="BU29" s="9">
        <f xml:space="preserve"> IF(CABLES[[#This Row],[SEG9]] &gt;0,INDEX(SEGMENTS[], MATCH(CABLES[[#Headers],[SEG9]],SEGMENTS[SEG_ID],0),4),0)</f>
        <v>0</v>
      </c>
      <c r="BV29" s="9">
        <f xml:space="preserve"> IF(CABLES[[#This Row],[SEG10]] &gt;0,INDEX(SEGMENTS[], MATCH(CABLES[[#Headers],[SEG10]],SEGMENTS[SEG_ID],0),4),0)</f>
        <v>0</v>
      </c>
      <c r="BW29" s="9">
        <f xml:space="preserve"> IF(CABLES[[#This Row],[SEG11]] &gt;0,INDEX(SEGMENTS[], MATCH(CABLES[[#Headers],[SEG11]],SEGMENTS[SEG_ID],0),4),0)</f>
        <v>0</v>
      </c>
      <c r="BX29" s="9">
        <f>IF(CABLES[[#This Row],[SEG12]] &gt;0, INDEX(SEGMENTS[], MATCH(CABLES[[#Headers],[SEG12]],SEGMENTS[SEG_ID],0),4),0)</f>
        <v>0</v>
      </c>
      <c r="BY29" s="9">
        <f xml:space="preserve"> IF(CABLES[[#This Row],[SEG13]] &gt;0,INDEX(SEGMENTS[], MATCH(CABLES[[#Headers],[SEG13]],SEGMENTS[SEG_ID],0),4),0)</f>
        <v>0</v>
      </c>
      <c r="BZ29" s="9">
        <f xml:space="preserve"> IF(CABLES[[#This Row],[SEG14]] &gt;0,INDEX(SEGMENTS[], MATCH(CABLES[[#Headers],[SEG14]],SEGMENTS[SEG_ID],0),4),0)</f>
        <v>0</v>
      </c>
      <c r="CA29" s="9">
        <f xml:space="preserve"> IF(CABLES[[#This Row],[SEG15]] &gt;0,INDEX(SEGMENTS[], MATCH(CABLES[[#Headers],[SEG15]],SEGMENTS[SEG_ID],0),4),0)</f>
        <v>0</v>
      </c>
      <c r="CB29" s="9">
        <f xml:space="preserve"> IF(CABLES[[#This Row],[SEG16]] &gt;0,INDEX(SEGMENTS[], MATCH(CABLES[[#Headers],[SEG16]],SEGMENTS[SEG_ID],0),4),0)</f>
        <v>0</v>
      </c>
      <c r="CC29" s="9">
        <f xml:space="preserve"> IF(CABLES[[#This Row],[SEG17]] &gt;0,INDEX(SEGMENTS[], MATCH(CABLES[[#Headers],[SEG17]],SEGMENTS[SEG_ID],0),4),0)</f>
        <v>0</v>
      </c>
      <c r="CD29" s="9">
        <f xml:space="preserve"> IF(CABLES[[#This Row],[SEG18]] &gt;0,INDEX(SEGMENTS[], MATCH(CABLES[[#Headers],[SEG18]],SEGMENTS[SEG_ID],0),4),0)</f>
        <v>0</v>
      </c>
      <c r="CE29" s="9">
        <f>IF(CABLES[[#This Row],[SEG19]] &gt;0, INDEX(SEGMENTS[], MATCH(CABLES[[#Headers],[SEG19]],SEGMENTS[SEG_ID],0),4),0)</f>
        <v>0</v>
      </c>
      <c r="CF29" s="9">
        <f>IF(CABLES[[#This Row],[SEG20]] &gt;0, INDEX(SEGMENTS[], MATCH(CABLES[[#Headers],[SEG20]],SEGMENTS[SEG_ID],0),4),0)</f>
        <v>0</v>
      </c>
      <c r="CG29" s="9">
        <f xml:space="preserve"> IF(CABLES[[#This Row],[SEG21]] &gt;0,INDEX(SEGMENTS[], MATCH(CABLES[[#Headers],[SEG21]],SEGMENTS[SEG_ID],0),4),0)</f>
        <v>0</v>
      </c>
      <c r="CH29" s="9">
        <f xml:space="preserve"> IF(CABLES[[#This Row],[SEG22]] &gt;0,INDEX(SEGMENTS[], MATCH(CABLES[[#Headers],[SEG22]],SEGMENTS[SEG_ID],0),4),0)</f>
        <v>0</v>
      </c>
      <c r="CI29" s="9">
        <f>IF(CABLES[[#This Row],[SEG23]] &gt;0, INDEX(SEGMENTS[], MATCH(CABLES[[#Headers],[SEG23]],SEGMENTS[SEG_ID],0),4),0)</f>
        <v>0</v>
      </c>
      <c r="CJ29" s="9">
        <f xml:space="preserve"> IF(CABLES[[#This Row],[SEG24]] &gt;0,INDEX(SEGMENTS[], MATCH(CABLES[[#Headers],[SEG24]],SEGMENTS[SEG_ID],0),4),0)</f>
        <v>0</v>
      </c>
      <c r="CK29" s="9">
        <f>IF(CABLES[[#This Row],[SEG25]] &gt;0, INDEX(SEGMENTS[], MATCH(CABLES[[#Headers],[SEG25]],SEGMENTS[SEG_ID],0),4),0)</f>
        <v>0</v>
      </c>
      <c r="CL29" s="9">
        <f>IF(CABLES[[#This Row],[SEG26]] &gt;0, INDEX(SEGMENTS[], MATCH(CABLES[[#Headers],[SEG26]],SEGMENTS[SEG_ID],0),4),0)</f>
        <v>0</v>
      </c>
      <c r="CM29" s="9">
        <f xml:space="preserve"> IF(CABLES[[#This Row],[SEG27]] &gt;0,INDEX(SEGMENTS[], MATCH(CABLES[[#Headers],[SEG27]],SEGMENTS[SEG_ID],0),4),0)</f>
        <v>0</v>
      </c>
      <c r="CN29" s="9">
        <f xml:space="preserve"> IF(CABLES[[#This Row],[SEG28]] &gt;0,INDEX(SEGMENTS[], MATCH(CABLES[[#Headers],[SEG28]],SEGMENTS[SEG_ID],0),4),0)</f>
        <v>0</v>
      </c>
      <c r="CO29" s="9">
        <f xml:space="preserve"> IF(CABLES[[#This Row],[SEG29]] &gt;0,INDEX(SEGMENTS[], MATCH(CABLES[[#Headers],[SEG29]],SEGMENTS[SEG_ID],0),4),0)</f>
        <v>0</v>
      </c>
      <c r="CP29" s="9">
        <f xml:space="preserve"> IF(CABLES[[#This Row],[SEG30]] &gt;0,INDEX(SEGMENTS[], MATCH(CABLES[[#Headers],[SEG30]],SEGMENTS[SEG_ID],0),4),0)</f>
        <v>0</v>
      </c>
      <c r="CQ29" s="9">
        <f>IF(CABLES[[#This Row],[SEG31]] &gt;0, INDEX(SEGMENTS[], MATCH(CABLES[[#Headers],[SEG31]],SEGMENTS[SEG_ID],0),4),0)</f>
        <v>0</v>
      </c>
      <c r="CR29" s="9">
        <f xml:space="preserve"> IF(CABLES[[#This Row],[SEG32]] &gt;0,INDEX(SEGMENTS[], MATCH(CABLES[[#Headers],[SEG32]],SEGMENTS[SEG_ID],0),4),0)</f>
        <v>0</v>
      </c>
      <c r="CS29" s="9">
        <f xml:space="preserve"> IF(CABLES[[#This Row],[SEG33]] &gt;0,INDEX(SEGMENTS[], MATCH(CABLES[[#Headers],[SEG33]],SEGMENTS[SEG_ID],0),4),0)</f>
        <v>0</v>
      </c>
      <c r="CT29" s="9">
        <f>IF(CABLES[[#This Row],[SEG34]] &gt;0, INDEX(SEGMENTS[], MATCH(CABLES[[#Headers],[SEG34]],SEGMENTS[SEG_ID],0),4),0)</f>
        <v>0</v>
      </c>
      <c r="CU29" s="9">
        <f xml:space="preserve"> IF(CABLES[[#This Row],[SEG35]] &gt;0,INDEX(SEGMENTS[], MATCH(CABLES[[#Headers],[SEG35]],SEGMENTS[SEG_ID],0),4),0)</f>
        <v>0</v>
      </c>
      <c r="CV29" s="9">
        <f xml:space="preserve"> IF(CABLES[[#This Row],[SEG36]] &gt;0,INDEX(SEGMENTS[], MATCH(CABLES[[#Headers],[SEG36]],SEGMENTS[SEG_ID],0),4),0)</f>
        <v>0</v>
      </c>
      <c r="CW29" s="9">
        <f xml:space="preserve"> IF(CABLES[[#This Row],[SEG37]] &gt;0,INDEX(SEGMENTS[], MATCH(CABLES[[#Headers],[SEG37]],SEGMENTS[SEG_ID],0),4),0)</f>
        <v>0</v>
      </c>
      <c r="CX29" s="9">
        <f xml:space="preserve"> IF(CABLES[[#This Row],[SEG38]] &gt;0,INDEX(SEGMENTS[], MATCH(CABLES[[#Headers],[SEG38]],SEGMENTS[SEG_ID],0),4),0)</f>
        <v>0</v>
      </c>
      <c r="CY29" s="9">
        <f xml:space="preserve"> IF(CABLES[[#This Row],[SEG39]] &gt;0,INDEX(SEGMENTS[], MATCH(CABLES[[#Headers],[SEG39]],SEGMENTS[SEG_ID],0),4),0)</f>
        <v>0</v>
      </c>
      <c r="CZ29" s="9">
        <f xml:space="preserve"> IF(CABLES[[#This Row],[SEG40]] &gt;0,INDEX(SEGMENTS[], MATCH(CABLES[[#Headers],[SEG40]],SEGMENTS[SEG_ID],0),4),0)</f>
        <v>0</v>
      </c>
      <c r="DA29" s="9">
        <f xml:space="preserve"> IF(CABLES[[#This Row],[SEG41]] &gt;0,INDEX(SEGMENTS[], MATCH(CABLES[[#Headers],[SEG41]],SEGMENTS[SEG_ID],0),4),0)</f>
        <v>0</v>
      </c>
      <c r="DB29" s="9">
        <f xml:space="preserve"> IF(CABLES[[#This Row],[SEG42]] &gt;0,INDEX(SEGMENTS[], MATCH(CABLES[[#Headers],[SEG42]],SEGMENTS[SEG_ID],0),4),0)</f>
        <v>0</v>
      </c>
      <c r="DC29" s="9">
        <f xml:space="preserve"> IF(CABLES[[#This Row],[SEG43]] &gt;0,INDEX(SEGMENTS[], MATCH(CABLES[[#Headers],[SEG43]],SEGMENTS[SEG_ID],0),4),0)</f>
        <v>0</v>
      </c>
      <c r="DD29" s="9">
        <f xml:space="preserve"> IF(CABLES[[#This Row],[SEG44]] &gt;0,INDEX(SEGMENTS[], MATCH(CABLES[[#Headers],[SEG44]],SEGMENTS[SEG_ID],0),4),0)</f>
        <v>0</v>
      </c>
      <c r="DE29" s="9">
        <f xml:space="preserve"> IF(CABLES[[#This Row],[SEG45]] &gt;0,INDEX(SEGMENTS[], MATCH(CABLES[[#Headers],[SEG45]],SEGMENTS[SEG_ID],0),4),0)</f>
        <v>0</v>
      </c>
      <c r="DF29" s="9">
        <f xml:space="preserve"> IF(CABLES[[#This Row],[SEG46]] &gt;0,INDEX(SEGMENTS[], MATCH(CABLES[[#Headers],[SEG46]],SEGMENTS[SEG_ID],0),4),0)</f>
        <v>0</v>
      </c>
      <c r="DG29" s="9">
        <f xml:space="preserve"> IF(CABLES[[#This Row],[SEG47]] &gt;0,INDEX(SEGMENTS[], MATCH(CABLES[[#Headers],[SEG47]],SEGMENTS[SEG_ID],0),4),0)</f>
        <v>0</v>
      </c>
      <c r="DH29" s="9">
        <f xml:space="preserve"> IF(CABLES[[#This Row],[SEG48]] &gt;0,INDEX(SEGMENTS[], MATCH(CABLES[[#Headers],[SEG48]],SEGMENTS[SEG_ID],0),4),0)</f>
        <v>0</v>
      </c>
      <c r="DI29" s="9">
        <f xml:space="preserve"> IF(CABLES[[#This Row],[SEG49]] &gt;0,INDEX(SEGMENTS[], MATCH(CABLES[[#Headers],[SEG49]],SEGMENTS[SEG_ID],0),4),0)</f>
        <v>0</v>
      </c>
      <c r="DJ29" s="9">
        <f xml:space="preserve"> IF(CABLES[[#This Row],[SEG50]] &gt;0,INDEX(SEGMENTS[], MATCH(CABLES[[#Headers],[SEG50]],SEGMENTS[SEG_ID],0),4),0)</f>
        <v>0</v>
      </c>
      <c r="DK29" s="9">
        <f xml:space="preserve"> IF(CABLES[[#This Row],[SEG51]] &gt;0,INDEX(SEGMENTS[], MATCH(CABLES[[#Headers],[SEG51]],SEGMENTS[SEG_ID],0),4),0)</f>
        <v>0</v>
      </c>
      <c r="DL29" s="9">
        <f xml:space="preserve"> IF(CABLES[[#This Row],[SEG52]] &gt;0,INDEX(SEGMENTS[], MATCH(CABLES[[#Headers],[SEG52]],SEGMENTS[SEG_ID],0),4),0)</f>
        <v>0</v>
      </c>
      <c r="DM29" s="9">
        <f xml:space="preserve"> IF(CABLES[[#This Row],[SEG53]] &gt;0,INDEX(SEGMENTS[], MATCH(CABLES[[#Headers],[SEG53]],SEGMENTS[SEG_ID],0),4),0)</f>
        <v>0</v>
      </c>
      <c r="DN29" s="9">
        <f xml:space="preserve"> IF(CABLES[[#This Row],[SEG54]] &gt;0,INDEX(SEGMENTS[], MATCH(CABLES[[#Headers],[SEG54]],SEGMENTS[SEG_ID],0),4),0)</f>
        <v>0</v>
      </c>
      <c r="DO29" s="9">
        <f xml:space="preserve"> IF(CABLES[[#This Row],[SEG55]] &gt;0,INDEX(SEGMENTS[], MATCH(CABLES[[#Headers],[SEG55]],SEGMENTS[SEG_ID],0),4),0)</f>
        <v>0</v>
      </c>
      <c r="DP29" s="9">
        <f xml:space="preserve"> IF(CABLES[[#This Row],[SEG56]] &gt;0,INDEX(SEGMENTS[], MATCH(CABLES[[#Headers],[SEG56]],SEGMENTS[SEG_ID],0),4),0)</f>
        <v>0</v>
      </c>
      <c r="DQ29" s="9">
        <f xml:space="preserve"> IF(CABLES[[#This Row],[SEG57]] &gt;0,INDEX(SEGMENTS[], MATCH(CABLES[[#Headers],[SEG57]],SEGMENTS[SEG_ID],0),4),0)</f>
        <v>0</v>
      </c>
      <c r="DR29" s="9">
        <f xml:space="preserve"> IF(CABLES[[#This Row],[SEG58]] &gt;0,INDEX(SEGMENTS[], MATCH(CABLES[[#Headers],[SEG58]],SEGMENTS[SEG_ID],0),4),0)</f>
        <v>0</v>
      </c>
      <c r="DS29" s="9">
        <f xml:space="preserve"> IF(CABLES[[#This Row],[SEG59]] &gt;0,INDEX(SEGMENTS[], MATCH(CABLES[[#Headers],[SEG59]],SEGMENTS[SEG_ID],0),4),0)</f>
        <v>0</v>
      </c>
      <c r="DT29" s="9">
        <f xml:space="preserve"> IF(CABLES[[#This Row],[SEG60]] &gt;0,INDEX(SEGMENTS[], MATCH(CABLES[[#Headers],[SEG60]],SEGMENTS[SEG_ID],0),4),0)</f>
        <v>0</v>
      </c>
      <c r="DU29" s="10">
        <f>SUM(CABLES[[#This Row],[SEGL1]:[SEGL60]])</f>
        <v>47</v>
      </c>
      <c r="DV29" s="10">
        <v>5</v>
      </c>
      <c r="DW29" s="10">
        <v>1.2</v>
      </c>
      <c r="DX29" s="10">
        <f xml:space="preserve"> IF(CABLES[[#This Row],[SEGL_TOTAL]]&gt;0, (CABLES[[#This Row],[SEGL_TOTAL]] + CABLES[[#This Row],[FITOFF]]) *CABLES[[#This Row],[XCAPACITY]],0)</f>
        <v>62.4</v>
      </c>
      <c r="DY29" s="10">
        <f>IF(CABLES[[#This Row],[SEG1]]&gt;0,CABLES[[#This Row],[CABLE_DIAMETER]],0)</f>
        <v>20.3</v>
      </c>
      <c r="DZ29" s="10">
        <f>IF(CABLES[[#This Row],[SEG2]]&gt;0,CABLES[[#This Row],[CABLE_DIAMETER]],0)</f>
        <v>20.3</v>
      </c>
      <c r="EA29" s="10">
        <f>IF(CABLES[[#This Row],[SEG3]]&gt;0,CABLES[[#This Row],[CABLE_DIAMETER]],0)</f>
        <v>0</v>
      </c>
      <c r="EB29" s="10">
        <f>IF(CABLES[[#This Row],[SEG4]]&gt;0,CABLES[[#This Row],[CABLE_DIAMETER]],0)</f>
        <v>20.3</v>
      </c>
      <c r="EC29" s="10">
        <f>IF(CABLES[[#This Row],[SEG5]]&gt;0,CABLES[[#This Row],[CABLE_DIAMETER]],0)</f>
        <v>20.3</v>
      </c>
      <c r="ED29" s="10">
        <f>IF(CABLES[[#This Row],[SEG6]]&gt;0,CABLES[[#This Row],[CABLE_DIAMETER]],0)</f>
        <v>20.3</v>
      </c>
      <c r="EE29" s="10">
        <f>IF(CABLES[[#This Row],[SEG7]]&gt;0,CABLES[[#This Row],[CABLE_DIAMETER]],0)</f>
        <v>20.3</v>
      </c>
      <c r="EF29" s="10">
        <f>IF(CABLES[[#This Row],[SEG9]]&gt;0,CABLES[[#This Row],[CABLE_DIAMETER]],0)</f>
        <v>0</v>
      </c>
      <c r="EG29" s="10">
        <f>IF(CABLES[[#This Row],[SEG9]]&gt;0,CABLES[[#This Row],[CABLE_DIAMETER]],0)</f>
        <v>0</v>
      </c>
      <c r="EH29" s="10">
        <f>IF(CABLES[[#This Row],[SEG10]]&gt;0,CABLES[[#This Row],[CABLE_DIAMETER]],0)</f>
        <v>0</v>
      </c>
      <c r="EI29" s="10">
        <f>IF(CABLES[[#This Row],[SEG11]]&gt;0,CABLES[[#This Row],[CABLE_DIAMETER]],0)</f>
        <v>0</v>
      </c>
      <c r="EJ29" s="10">
        <f>IF(CABLES[[#This Row],[SEG12]]&gt;0,CABLES[[#This Row],[CABLE_DIAMETER]],0)</f>
        <v>0</v>
      </c>
      <c r="EK29" s="10">
        <f>IF(CABLES[[#This Row],[SEG13]]&gt;0,CABLES[[#This Row],[CABLE_DIAMETER]],0)</f>
        <v>0</v>
      </c>
      <c r="EL29" s="10">
        <f>IF(CABLES[[#This Row],[SEG14]]&gt;0,CABLES[[#This Row],[CABLE_DIAMETER]],0)</f>
        <v>0</v>
      </c>
      <c r="EM29" s="10">
        <f>IF(CABLES[[#This Row],[SEG15]]&gt;0,CABLES[[#This Row],[CABLE_DIAMETER]],0)</f>
        <v>0</v>
      </c>
      <c r="EN29" s="10">
        <f>IF(CABLES[[#This Row],[SEG16]]&gt;0,CABLES[[#This Row],[CABLE_DIAMETER]],0)</f>
        <v>0</v>
      </c>
      <c r="EO29" s="10">
        <f>IF(CABLES[[#This Row],[SEG17]]&gt;0,CABLES[[#This Row],[CABLE_DIAMETER]],0)</f>
        <v>0</v>
      </c>
      <c r="EP29" s="10">
        <f>IF(CABLES[[#This Row],[SEG18]]&gt;0,CABLES[[#This Row],[CABLE_DIAMETER]],0)</f>
        <v>0</v>
      </c>
      <c r="EQ29" s="10">
        <f>IF(CABLES[[#This Row],[SEG19]]&gt;0,CABLES[[#This Row],[CABLE_DIAMETER]],0)</f>
        <v>0</v>
      </c>
      <c r="ER29" s="10">
        <f>IF(CABLES[[#This Row],[SEG20]]&gt;0,CABLES[[#This Row],[CABLE_DIAMETER]],0)</f>
        <v>0</v>
      </c>
      <c r="ES29" s="10">
        <f>IF(CABLES[[#This Row],[SEG21]]&gt;0,CABLES[[#This Row],[CABLE_DIAMETER]],0)</f>
        <v>0</v>
      </c>
      <c r="ET29" s="10">
        <f>IF(CABLES[[#This Row],[SEG22]]&gt;0,CABLES[[#This Row],[CABLE_DIAMETER]],0)</f>
        <v>0</v>
      </c>
      <c r="EU29" s="10">
        <f>IF(CABLES[[#This Row],[SEG23]]&gt;0,CABLES[[#This Row],[CABLE_DIAMETER]],0)</f>
        <v>0</v>
      </c>
      <c r="EV29" s="10">
        <f>IF(CABLES[[#This Row],[SEG24]]&gt;0,CABLES[[#This Row],[CABLE_DIAMETER]],0)</f>
        <v>0</v>
      </c>
      <c r="EW29" s="10">
        <f>IF(CABLES[[#This Row],[SEG25]]&gt;0,CABLES[[#This Row],[CABLE_DIAMETER]],0)</f>
        <v>0</v>
      </c>
      <c r="EX29" s="10">
        <f>IF(CABLES[[#This Row],[SEG26]]&gt;0,CABLES[[#This Row],[CABLE_DIAMETER]],0)</f>
        <v>0</v>
      </c>
      <c r="EY29" s="10">
        <f>IF(CABLES[[#This Row],[SEG27]]&gt;0,CABLES[[#This Row],[CABLE_DIAMETER]],0)</f>
        <v>0</v>
      </c>
      <c r="EZ29" s="10">
        <f>IF(CABLES[[#This Row],[SEG28]]&gt;0,CABLES[[#This Row],[CABLE_DIAMETER]],0)</f>
        <v>0</v>
      </c>
      <c r="FA29" s="10">
        <f>IF(CABLES[[#This Row],[SEG29]]&gt;0,CABLES[[#This Row],[CABLE_DIAMETER]],0)</f>
        <v>0</v>
      </c>
      <c r="FB29" s="10">
        <f>IF(CABLES[[#This Row],[SEG30]]&gt;0,CABLES[[#This Row],[CABLE_DIAMETER]],0)</f>
        <v>0</v>
      </c>
      <c r="FC29" s="10">
        <f>IF(CABLES[[#This Row],[SEG31]]&gt;0,CABLES[[#This Row],[CABLE_DIAMETER]],0)</f>
        <v>0</v>
      </c>
      <c r="FD29" s="10">
        <f>IF(CABLES[[#This Row],[SEG32]]&gt;0,CABLES[[#This Row],[CABLE_DIAMETER]],0)</f>
        <v>0</v>
      </c>
      <c r="FE29" s="10">
        <f>IF(CABLES[[#This Row],[SEG33]]&gt;0,CABLES[[#This Row],[CABLE_DIAMETER]],0)</f>
        <v>0</v>
      </c>
      <c r="FF29" s="10">
        <f>IF(CABLES[[#This Row],[SEG34]]&gt;0,CABLES[[#This Row],[CABLE_DIAMETER]],0)</f>
        <v>0</v>
      </c>
      <c r="FG29" s="10">
        <f>IF(CABLES[[#This Row],[SEG35]]&gt;0,CABLES[[#This Row],[CABLE_DIAMETER]],0)</f>
        <v>0</v>
      </c>
      <c r="FH29" s="10">
        <f>IF(CABLES[[#This Row],[SEG36]]&gt;0,CABLES[[#This Row],[CABLE_DIAMETER]],0)</f>
        <v>0</v>
      </c>
      <c r="FI29" s="10">
        <f>IF(CABLES[[#This Row],[SEG37]]&gt;0,CABLES[[#This Row],[CABLE_DIAMETER]],0)</f>
        <v>0</v>
      </c>
      <c r="FJ29" s="10">
        <f>IF(CABLES[[#This Row],[SEG38]]&gt;0,CABLES[[#This Row],[CABLE_DIAMETER]],0)</f>
        <v>0</v>
      </c>
      <c r="FK29" s="10">
        <f>IF(CABLES[[#This Row],[SEG39]]&gt;0,CABLES[[#This Row],[CABLE_DIAMETER]],0)</f>
        <v>0</v>
      </c>
      <c r="FL29" s="10">
        <f>IF(CABLES[[#This Row],[SEG40]]&gt;0,CABLES[[#This Row],[CABLE_DIAMETER]],0)</f>
        <v>0</v>
      </c>
      <c r="FM29" s="10">
        <f>IF(CABLES[[#This Row],[SEG41]]&gt;0,CABLES[[#This Row],[CABLE_DIAMETER]],0)</f>
        <v>0</v>
      </c>
      <c r="FN29" s="10">
        <f>IF(CABLES[[#This Row],[SEG42]]&gt;0,CABLES[[#This Row],[CABLE_DIAMETER]],0)</f>
        <v>0</v>
      </c>
      <c r="FO29" s="10">
        <f>IF(CABLES[[#This Row],[SEG43]]&gt;0,CABLES[[#This Row],[CABLE_DIAMETER]],0)</f>
        <v>0</v>
      </c>
      <c r="FP29" s="10">
        <f>IF(CABLES[[#This Row],[SEG44]]&gt;0,CABLES[[#This Row],[CABLE_DIAMETER]],0)</f>
        <v>0</v>
      </c>
      <c r="FQ29" s="10">
        <f>IF(CABLES[[#This Row],[SEG45]]&gt;0,CABLES[[#This Row],[CABLE_DIAMETER]],0)</f>
        <v>0</v>
      </c>
      <c r="FR29" s="10">
        <f>IF(CABLES[[#This Row],[SEG46]]&gt;0,CABLES[[#This Row],[CABLE_DIAMETER]],0)</f>
        <v>0</v>
      </c>
      <c r="FS29" s="10">
        <f>IF(CABLES[[#This Row],[SEG47]]&gt;0,CABLES[[#This Row],[CABLE_DIAMETER]],0)</f>
        <v>0</v>
      </c>
      <c r="FT29" s="10">
        <f>IF(CABLES[[#This Row],[SEG48]]&gt;0,CABLES[[#This Row],[CABLE_DIAMETER]],0)</f>
        <v>0</v>
      </c>
      <c r="FU29" s="10">
        <f>IF(CABLES[[#This Row],[SEG49]]&gt;0,CABLES[[#This Row],[CABLE_DIAMETER]],0)</f>
        <v>0</v>
      </c>
      <c r="FV29" s="10">
        <f>IF(CABLES[[#This Row],[SEG50]]&gt;0,CABLES[[#This Row],[CABLE_DIAMETER]],0)</f>
        <v>0</v>
      </c>
      <c r="FW29" s="10">
        <f>IF(CABLES[[#This Row],[SEG51]]&gt;0,CABLES[[#This Row],[CABLE_DIAMETER]],0)</f>
        <v>0</v>
      </c>
      <c r="FX29" s="10">
        <f>IF(CABLES[[#This Row],[SEG52]]&gt;0,CABLES[[#This Row],[CABLE_DIAMETER]],0)</f>
        <v>0</v>
      </c>
      <c r="FY29" s="10">
        <f>IF(CABLES[[#This Row],[SEG53]]&gt;0,CABLES[[#This Row],[CABLE_DIAMETER]],0)</f>
        <v>0</v>
      </c>
      <c r="FZ29" s="10">
        <f>IF(CABLES[[#This Row],[SEG54]]&gt;0,CABLES[[#This Row],[CABLE_DIAMETER]],0)</f>
        <v>0</v>
      </c>
      <c r="GA29" s="10">
        <f>IF(CABLES[[#This Row],[SEG55]]&gt;0,CABLES[[#This Row],[CABLE_DIAMETER]],0)</f>
        <v>0</v>
      </c>
      <c r="GB29" s="10">
        <f>IF(CABLES[[#This Row],[SEG56]]&gt;0,CABLES[[#This Row],[CABLE_DIAMETER]],0)</f>
        <v>0</v>
      </c>
      <c r="GC29" s="10">
        <f>IF(CABLES[[#This Row],[SEG57]]&gt;0,CABLES[[#This Row],[CABLE_DIAMETER]],0)</f>
        <v>0</v>
      </c>
      <c r="GD29" s="10">
        <f>IF(CABLES[[#This Row],[SEG58]]&gt;0,CABLES[[#This Row],[CABLE_DIAMETER]],0)</f>
        <v>0</v>
      </c>
      <c r="GE29" s="10">
        <f>IF(CABLES[[#This Row],[SEG59]]&gt;0,CABLES[[#This Row],[CABLE_DIAMETER]],0)</f>
        <v>0</v>
      </c>
      <c r="GF29" s="10">
        <f>IF(CABLES[[#This Row],[SEG60]]&gt;0,CABLES[[#This Row],[CABLE_DIAMETER]],0)</f>
        <v>0</v>
      </c>
      <c r="GG29" s="10">
        <f>IF(CABLES[[#This Row],[SEG1]]&gt;0,CABLES[[#This Row],[CABLE_MASS]],0)</f>
        <v>0.86</v>
      </c>
      <c r="GH29" s="10">
        <f>IF(CABLES[[#This Row],[SEG2]]&gt;0,CABLES[[#This Row],[CABLE_MASS]],0)</f>
        <v>0.86</v>
      </c>
      <c r="GI29" s="10">
        <f>IF(CABLES[[#This Row],[SEG3]]&gt;0,CABLES[[#This Row],[CABLE_MASS]],0)</f>
        <v>0</v>
      </c>
      <c r="GJ29" s="10">
        <f>IF(CABLES[[#This Row],[SEG4]]&gt;0,CABLES[[#This Row],[CABLE_MASS]],0)</f>
        <v>0.86</v>
      </c>
      <c r="GK29" s="10">
        <f>IF(CABLES[[#This Row],[SEG5]]&gt;0,CABLES[[#This Row],[CABLE_MASS]],0)</f>
        <v>0.86</v>
      </c>
      <c r="GL29" s="10">
        <f>IF(CABLES[[#This Row],[SEG6]]&gt;0,CABLES[[#This Row],[CABLE_MASS]],0)</f>
        <v>0.86</v>
      </c>
      <c r="GM29" s="10">
        <f>IF(CABLES[[#This Row],[SEG7]]&gt;0,CABLES[[#This Row],[CABLE_MASS]],0)</f>
        <v>0.86</v>
      </c>
      <c r="GN29" s="10">
        <f>IF(CABLES[[#This Row],[SEG8]]&gt;0,CABLES[[#This Row],[CABLE_MASS]],0)</f>
        <v>0</v>
      </c>
      <c r="GO29" s="10">
        <f>IF(CABLES[[#This Row],[SEG9]]&gt;0,CABLES[[#This Row],[CABLE_MASS]],0)</f>
        <v>0</v>
      </c>
      <c r="GP29" s="10">
        <f>IF(CABLES[[#This Row],[SEG10]]&gt;0,CABLES[[#This Row],[CABLE_MASS]],0)</f>
        <v>0</v>
      </c>
      <c r="GQ29" s="10">
        <f>IF(CABLES[[#This Row],[SEG11]]&gt;0,CABLES[[#This Row],[CABLE_MASS]],0)</f>
        <v>0</v>
      </c>
      <c r="GR29" s="10">
        <f>IF(CABLES[[#This Row],[SEG12]]&gt;0,CABLES[[#This Row],[CABLE_MASS]],0)</f>
        <v>0</v>
      </c>
      <c r="GS29" s="10">
        <f>IF(CABLES[[#This Row],[SEG13]]&gt;0,CABLES[[#This Row],[CABLE_MASS]],0)</f>
        <v>0</v>
      </c>
      <c r="GT29" s="10">
        <f>IF(CABLES[[#This Row],[SEG14]]&gt;0,CABLES[[#This Row],[CABLE_MASS]],0)</f>
        <v>0</v>
      </c>
      <c r="GU29" s="10">
        <f>IF(CABLES[[#This Row],[SEG15]]&gt;0,CABLES[[#This Row],[CABLE_MASS]],0)</f>
        <v>0</v>
      </c>
      <c r="GV29" s="10">
        <f>IF(CABLES[[#This Row],[SEG16]]&gt;0,CABLES[[#This Row],[CABLE_MASS]],0)</f>
        <v>0</v>
      </c>
      <c r="GW29" s="10">
        <f>IF(CABLES[[#This Row],[SEG17]]&gt;0,CABLES[[#This Row],[CABLE_MASS]],0)</f>
        <v>0</v>
      </c>
      <c r="GX29" s="10">
        <f>IF(CABLES[[#This Row],[SEG18]]&gt;0,CABLES[[#This Row],[CABLE_MASS]],0)</f>
        <v>0</v>
      </c>
      <c r="GY29" s="10">
        <f>IF(CABLES[[#This Row],[SEG19]]&gt;0,CABLES[[#This Row],[CABLE_MASS]],0)</f>
        <v>0</v>
      </c>
      <c r="GZ29" s="10">
        <f>IF(CABLES[[#This Row],[SEG20]]&gt;0,CABLES[[#This Row],[CABLE_MASS]],0)</f>
        <v>0</v>
      </c>
      <c r="HA29" s="10">
        <f>IF(CABLES[[#This Row],[SEG21]]&gt;0,CABLES[[#This Row],[CABLE_MASS]],0)</f>
        <v>0</v>
      </c>
      <c r="HB29" s="10">
        <f>IF(CABLES[[#This Row],[SEG22]]&gt;0,CABLES[[#This Row],[CABLE_MASS]],0)</f>
        <v>0</v>
      </c>
      <c r="HC29" s="10">
        <f>IF(CABLES[[#This Row],[SEG23]]&gt;0,CABLES[[#This Row],[CABLE_MASS]],0)</f>
        <v>0</v>
      </c>
      <c r="HD29" s="10">
        <f>IF(CABLES[[#This Row],[SEG24]]&gt;0,CABLES[[#This Row],[CABLE_MASS]],0)</f>
        <v>0</v>
      </c>
      <c r="HE29" s="10">
        <f>IF(CABLES[[#This Row],[SEG25]]&gt;0,CABLES[[#This Row],[CABLE_MASS]],0)</f>
        <v>0</v>
      </c>
      <c r="HF29" s="10">
        <f>IF(CABLES[[#This Row],[SEG26]]&gt;0,CABLES[[#This Row],[CABLE_MASS]],0)</f>
        <v>0</v>
      </c>
      <c r="HG29" s="10">
        <f>IF(CABLES[[#This Row],[SEG27]]&gt;0,CABLES[[#This Row],[CABLE_MASS]],0)</f>
        <v>0</v>
      </c>
      <c r="HH29" s="10">
        <f>IF(CABLES[[#This Row],[SEG28]]&gt;0,CABLES[[#This Row],[CABLE_MASS]],0)</f>
        <v>0</v>
      </c>
      <c r="HI29" s="10">
        <f>IF(CABLES[[#This Row],[SEG29]]&gt;0,CABLES[[#This Row],[CABLE_MASS]],0)</f>
        <v>0</v>
      </c>
      <c r="HJ29" s="10">
        <f>IF(CABLES[[#This Row],[SEG30]]&gt;0,CABLES[[#This Row],[CABLE_MASS]],0)</f>
        <v>0</v>
      </c>
      <c r="HK29" s="10">
        <f>IF(CABLES[[#This Row],[SEG31]]&gt;0,CABLES[[#This Row],[CABLE_MASS]],0)</f>
        <v>0</v>
      </c>
      <c r="HL29" s="10">
        <f>IF(CABLES[[#This Row],[SEG32]]&gt;0,CABLES[[#This Row],[CABLE_MASS]],0)</f>
        <v>0</v>
      </c>
      <c r="HM29" s="10">
        <f>IF(CABLES[[#This Row],[SEG33]]&gt;0,CABLES[[#This Row],[CABLE_MASS]],0)</f>
        <v>0</v>
      </c>
      <c r="HN29" s="10">
        <f>IF(CABLES[[#This Row],[SEG34]]&gt;0,CABLES[[#This Row],[CABLE_MASS]],0)</f>
        <v>0</v>
      </c>
      <c r="HO29" s="10">
        <f>IF(CABLES[[#This Row],[SEG35]]&gt;0,CABLES[[#This Row],[CABLE_MASS]],0)</f>
        <v>0</v>
      </c>
      <c r="HP29" s="10">
        <f>IF(CABLES[[#This Row],[SEG36]]&gt;0,CABLES[[#This Row],[CABLE_MASS]],0)</f>
        <v>0</v>
      </c>
      <c r="HQ29" s="10">
        <f>IF(CABLES[[#This Row],[SEG37]]&gt;0,CABLES[[#This Row],[CABLE_MASS]],0)</f>
        <v>0</v>
      </c>
      <c r="HR29" s="10">
        <f>IF(CABLES[[#This Row],[SEG38]]&gt;0,CABLES[[#This Row],[CABLE_MASS]],0)</f>
        <v>0</v>
      </c>
      <c r="HS29" s="10">
        <f>IF(CABLES[[#This Row],[SEG39]]&gt;0,CABLES[[#This Row],[CABLE_MASS]],0)</f>
        <v>0</v>
      </c>
      <c r="HT29" s="10">
        <f>IF(CABLES[[#This Row],[SEG40]]&gt;0,CABLES[[#This Row],[CABLE_MASS]],0)</f>
        <v>0</v>
      </c>
      <c r="HU29" s="10">
        <f>IF(CABLES[[#This Row],[SEG41]]&gt;0,CABLES[[#This Row],[CABLE_MASS]],0)</f>
        <v>0</v>
      </c>
      <c r="HV29" s="10">
        <f>IF(CABLES[[#This Row],[SEG42]]&gt;0,CABLES[[#This Row],[CABLE_MASS]],0)</f>
        <v>0</v>
      </c>
      <c r="HW29" s="10">
        <f>IF(CABLES[[#This Row],[SEG43]]&gt;0,CABLES[[#This Row],[CABLE_MASS]],0)</f>
        <v>0</v>
      </c>
      <c r="HX29" s="10">
        <f>IF(CABLES[[#This Row],[SEG44]]&gt;0,CABLES[[#This Row],[CABLE_MASS]],0)</f>
        <v>0</v>
      </c>
      <c r="HY29" s="10">
        <f>IF(CABLES[[#This Row],[SEG45]]&gt;0,CABLES[[#This Row],[CABLE_MASS]],0)</f>
        <v>0</v>
      </c>
      <c r="HZ29" s="10">
        <f>IF(CABLES[[#This Row],[SEG46]]&gt;0,CABLES[[#This Row],[CABLE_MASS]],0)</f>
        <v>0</v>
      </c>
      <c r="IA29" s="10">
        <f>IF(CABLES[[#This Row],[SEG47]]&gt;0,CABLES[[#This Row],[CABLE_MASS]],0)</f>
        <v>0</v>
      </c>
      <c r="IB29" s="10">
        <f>IF(CABLES[[#This Row],[SEG48]]&gt;0,CABLES[[#This Row],[CABLE_MASS]],0)</f>
        <v>0</v>
      </c>
      <c r="IC29" s="10">
        <f>IF(CABLES[[#This Row],[SEG49]]&gt;0,CABLES[[#This Row],[CABLE_MASS]],0)</f>
        <v>0</v>
      </c>
      <c r="ID29" s="10">
        <f>IF(CABLES[[#This Row],[SEG50]]&gt;0,CABLES[[#This Row],[CABLE_MASS]],0)</f>
        <v>0</v>
      </c>
      <c r="IE29" s="10">
        <f>IF(CABLES[[#This Row],[SEG51]]&gt;0,CABLES[[#This Row],[CABLE_MASS]],0)</f>
        <v>0</v>
      </c>
      <c r="IF29" s="10">
        <f>IF(CABLES[[#This Row],[SEG52]]&gt;0,CABLES[[#This Row],[CABLE_MASS]],0)</f>
        <v>0</v>
      </c>
      <c r="IG29" s="10">
        <f>IF(CABLES[[#This Row],[SEG53]]&gt;0,CABLES[[#This Row],[CABLE_MASS]],0)</f>
        <v>0</v>
      </c>
      <c r="IH29" s="10">
        <f>IF(CABLES[[#This Row],[SEG54]]&gt;0,CABLES[[#This Row],[CABLE_MASS]],0)</f>
        <v>0</v>
      </c>
      <c r="II29" s="10">
        <f>IF(CABLES[[#This Row],[SEG55]]&gt;0,CABLES[[#This Row],[CABLE_MASS]],0)</f>
        <v>0</v>
      </c>
      <c r="IJ29" s="10">
        <f>IF(CABLES[[#This Row],[SEG56]]&gt;0,CABLES[[#This Row],[CABLE_MASS]],0)</f>
        <v>0</v>
      </c>
      <c r="IK29" s="10">
        <f>IF(CABLES[[#This Row],[SEG57]]&gt;0,CABLES[[#This Row],[CABLE_MASS]],0)</f>
        <v>0</v>
      </c>
      <c r="IL29" s="10">
        <f>IF(CABLES[[#This Row],[SEG58]]&gt;0,CABLES[[#This Row],[CABLE_MASS]],0)</f>
        <v>0</v>
      </c>
      <c r="IM29" s="10">
        <f>IF(CABLES[[#This Row],[SEG59]]&gt;0,CABLES[[#This Row],[CABLE_MASS]],0)</f>
        <v>0</v>
      </c>
      <c r="IN29" s="10">
        <f>IF(CABLES[[#This Row],[SEG60]]&gt;0,CABLES[[#This Row],[CABLE_MASS]],0)</f>
        <v>0</v>
      </c>
      <c r="IO29" s="10">
        <f xml:space="preserve">  (CABLES[[#This Row],[LOAD_KW]]/(SQRT(3)*SYSTEM_VOLTAGE*POWER_FACTOR))*1000</f>
        <v>48.112522432468815</v>
      </c>
      <c r="IP29" s="10">
        <v>45</v>
      </c>
      <c r="IQ29" s="10">
        <f xml:space="preserve"> INDEX(AS3000_AMBIENTDERATE[], MATCH(CABLES[[#This Row],[AMBIENT]],AS3000_AMBIENTDERATE[AMBIENT],0), 2)</f>
        <v>0.94</v>
      </c>
      <c r="IR29" s="10">
        <f xml:space="preserve"> ROUNDUP( CABLES[[#This Row],[CALCULATED_AMPS]]/CABLES[[#This Row],[AMBIENT_DERATING]],1)</f>
        <v>51.2</v>
      </c>
      <c r="IS29" s="10" t="s">
        <v>531</v>
      </c>
      <c r="IT2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16</v>
      </c>
      <c r="IU29" s="10">
        <f t="shared" si="0"/>
        <v>28.000000000000004</v>
      </c>
      <c r="IV29" s="10">
        <f>(1000*CABLES[[#This Row],[MAX_VDROP]])/(CABLES[[#This Row],[ESTIMATED_CABLE_LENGTH]]*CABLES[[#This Row],[AMP_RATING]])</f>
        <v>8.7640224358974361</v>
      </c>
      <c r="IW29" s="10">
        <f xml:space="preserve"> INDEX(AS3000_VDROP[], MATCH(CABLES[[#This Row],[VC_CALC]],AS3000_VDROP[Vc],1),1)</f>
        <v>6</v>
      </c>
      <c r="IX29" s="10">
        <f>MAX(CABLES[[#This Row],[CABLESIZE_METHOD1]],CABLES[[#This Row],[CABLESIZE_METHOD2]])</f>
        <v>16</v>
      </c>
      <c r="IY29" s="10"/>
      <c r="IZ29" s="10">
        <f>IF(LEN(CABLES[[#This Row],[OVERRIDE_CABLESIZE]])&gt;0,CABLES[[#This Row],[OVERRIDE_CABLESIZE]],CABLES[[#This Row],[INITIAL_CABLESIZE]])</f>
        <v>16</v>
      </c>
      <c r="JA29" s="10">
        <f>INDEX(PROTECTIVE_DEVICE[DEVICE], MATCH(CABLES[[#This Row],[CALCULATED_AMPS]],PROTECTIVE_DEVICE[DEVICE],-1),1)</f>
        <v>50</v>
      </c>
      <c r="JB29" s="10"/>
      <c r="JC29" s="10">
        <f>IF(LEN(CABLES[[#This Row],[OVERRIDE_PDEVICE]])&gt;0, CABLES[[#This Row],[OVERRIDE_PDEVICE]],CABLES[[#This Row],[RECOMMEND_PDEVICE]])</f>
        <v>50</v>
      </c>
      <c r="JD29" s="10" t="s">
        <v>450</v>
      </c>
      <c r="JE29" s="10">
        <f xml:space="preserve"> CABLES[[#This Row],[SELECTED_PDEVICE]] * INDEX(DEVICE_CURVE[], MATCH(CABLES[[#This Row],[PDEVICE_CURVE]], DEVICE_CURVE[DEVICE_CURVE],0),2)</f>
        <v>325</v>
      </c>
      <c r="JF29" s="10" t="s">
        <v>458</v>
      </c>
      <c r="JG29" s="10">
        <f xml:space="preserve"> INDEX(CONDUCTOR_MATERIAL[], MATCH(CABLES[[#This Row],[CONDUCTOR_MATERIAL]],CONDUCTOR_MATERIAL[CONDUCTOR_MATERIAL],0),2)</f>
        <v>2.2499999999999999E-2</v>
      </c>
      <c r="JH29" s="10">
        <f>CABLES[[#This Row],[SELECTED_CABLESIZE]]</f>
        <v>16</v>
      </c>
      <c r="JI29" s="10">
        <f xml:space="preserve"> INDEX( EARTH_CONDUCTOR_SIZE[], MATCH(CABLES[[#This Row],[SPH]],EARTH_CONDUCTOR_SIZE[MM^2],-1), 2)</f>
        <v>6</v>
      </c>
      <c r="JJ29" s="10">
        <f>(0.8*PHASE_VOLTAGE*CABLES[[#This Row],[SPH]]*CABLES[[#This Row],[SPE]])/(CABLES[[#This Row],[PDEVICE_IA]]*CABLES[[#This Row],[MATERIAL_CONSTANT]]*(CABLES[[#This Row],[SPH]]+CABLES[[#This Row],[SPE]]))</f>
        <v>109.7995337995338</v>
      </c>
      <c r="JK29" s="10" t="str">
        <f>IF(CABLES[[#This Row],[LMAX]]&gt;CABLES[[#This Row],[ESTIMATED_CABLE_LENGTH]], "PASS", "ERROR")</f>
        <v>PASS</v>
      </c>
      <c r="JL2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20.3</v>
      </c>
      <c r="JM2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0.86</v>
      </c>
      <c r="JN29" s="6">
        <f xml:space="preserve"> ROUNDUP( CABLES[[#This Row],[CALCULATED_AMPS]],1)</f>
        <v>48.2</v>
      </c>
      <c r="JO29" s="6">
        <f>CABLES[[#This Row],[SELECTED_CABLESIZE]]</f>
        <v>16</v>
      </c>
      <c r="JP29" s="10">
        <f>CABLES[[#This Row],[ESTIMATED_CABLE_LENGTH]]</f>
        <v>62.4</v>
      </c>
      <c r="JQ29" s="6">
        <f>CABLES[[#This Row],[SELECTED_PDEVICE]]</f>
        <v>50</v>
      </c>
    </row>
    <row r="30" spans="1:277" x14ac:dyDescent="0.35">
      <c r="A30" s="5" t="s">
        <v>29</v>
      </c>
      <c r="B30" s="5" t="s">
        <v>93</v>
      </c>
      <c r="C30" s="10" t="s">
        <v>261</v>
      </c>
      <c r="D30" s="9">
        <v>11</v>
      </c>
      <c r="E30" s="9">
        <v>1</v>
      </c>
      <c r="F30" s="9">
        <v>1</v>
      </c>
      <c r="G30" s="9">
        <v>0</v>
      </c>
      <c r="H30" s="9">
        <v>1</v>
      </c>
      <c r="I30" s="9">
        <v>0</v>
      </c>
      <c r="J30" s="9">
        <v>1</v>
      </c>
      <c r="K30" s="9">
        <v>0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1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f xml:space="preserve"> IF(CABLES[[#This Row],[SEG1]] &gt;0, INDEX(SEGMENTS[], MATCH(CABLES[[#Headers],[SEG1]],SEGMENTS[SEG_ID],0),4),0)</f>
        <v>13</v>
      </c>
      <c r="BN30" s="9">
        <f xml:space="preserve"> IF(CABLES[[#This Row],[SEG2]] &gt;0, INDEX(SEGMENTS[], MATCH(CABLES[[#Headers],[SEG2]],SEGMENTS[SEG_ID],0),4),0)</f>
        <v>2</v>
      </c>
      <c r="BO30" s="9">
        <f xml:space="preserve"> IF(CABLES[[#This Row],[SEG3]] &gt;0, INDEX(SEGMENTS[], MATCH(CABLES[[#Headers],[SEG3]],SEGMENTS[SEG_ID],0),4),0)</f>
        <v>0</v>
      </c>
      <c r="BP30" s="9">
        <f xml:space="preserve"> IF(CABLES[[#This Row],[SEG4]] &gt;0, INDEX(SEGMENTS[], MATCH(CABLES[[#Headers],[SEG4]],SEGMENTS[SEG_ID],0),4),0)</f>
        <v>14</v>
      </c>
      <c r="BQ30" s="9">
        <f xml:space="preserve"> IF(CABLES[[#This Row],[SEG5]] &gt;0,INDEX(SEGMENTS[], MATCH(CABLES[[#Headers],[SEG5]],SEGMENTS[SEG_ID],0),4),0)</f>
        <v>0</v>
      </c>
      <c r="BR30" s="9">
        <f xml:space="preserve"> IF(CABLES[[#This Row],[SEG6]] &gt;0,INDEX(SEGMENTS[], MATCH(CABLES[[#Headers],[SEG6]],SEGMENTS[SEG_ID],0),4),0)</f>
        <v>2</v>
      </c>
      <c r="BS30" s="9">
        <f xml:space="preserve"> IF(CABLES[[#This Row],[SEG7]] &gt;0,INDEX(SEGMENTS[], MATCH(CABLES[[#Headers],[SEG7]],SEGMENTS[SEG_ID],0),4),0)</f>
        <v>0</v>
      </c>
      <c r="BT30" s="9">
        <f xml:space="preserve"> IF(CABLES[[#This Row],[SEG8]] &gt;0,INDEX(SEGMENTS[], MATCH(CABLES[[#Headers],[SEG8]],SEGMENTS[SEG_ID],0),4),0)</f>
        <v>3</v>
      </c>
      <c r="BU30" s="9">
        <f xml:space="preserve"> IF(CABLES[[#This Row],[SEG9]] &gt;0,INDEX(SEGMENTS[], MATCH(CABLES[[#Headers],[SEG9]],SEGMENTS[SEG_ID],0),4),0)</f>
        <v>0</v>
      </c>
      <c r="BV30" s="9">
        <f xml:space="preserve"> IF(CABLES[[#This Row],[SEG10]] &gt;0,INDEX(SEGMENTS[], MATCH(CABLES[[#Headers],[SEG10]],SEGMENTS[SEG_ID],0),4),0)</f>
        <v>0</v>
      </c>
      <c r="BW30" s="9">
        <f xml:space="preserve"> IF(CABLES[[#This Row],[SEG11]] &gt;0,INDEX(SEGMENTS[], MATCH(CABLES[[#Headers],[SEG11]],SEGMENTS[SEG_ID],0),4),0)</f>
        <v>0</v>
      </c>
      <c r="BX30" s="9">
        <f>IF(CABLES[[#This Row],[SEG12]] &gt;0, INDEX(SEGMENTS[], MATCH(CABLES[[#Headers],[SEG12]],SEGMENTS[SEG_ID],0),4),0)</f>
        <v>0</v>
      </c>
      <c r="BY30" s="9">
        <f xml:space="preserve"> IF(CABLES[[#This Row],[SEG13]] &gt;0,INDEX(SEGMENTS[], MATCH(CABLES[[#Headers],[SEG13]],SEGMENTS[SEG_ID],0),4),0)</f>
        <v>0</v>
      </c>
      <c r="BZ30" s="9">
        <f xml:space="preserve"> IF(CABLES[[#This Row],[SEG14]] &gt;0,INDEX(SEGMENTS[], MATCH(CABLES[[#Headers],[SEG14]],SEGMENTS[SEG_ID],0),4),0)</f>
        <v>4</v>
      </c>
      <c r="CA30" s="9">
        <f xml:space="preserve"> IF(CABLES[[#This Row],[SEG15]] &gt;0,INDEX(SEGMENTS[], MATCH(CABLES[[#Headers],[SEG15]],SEGMENTS[SEG_ID],0),4),0)</f>
        <v>8</v>
      </c>
      <c r="CB30" s="9">
        <f xml:space="preserve"> IF(CABLES[[#This Row],[SEG16]] &gt;0,INDEX(SEGMENTS[], MATCH(CABLES[[#Headers],[SEG16]],SEGMENTS[SEG_ID],0),4),0)</f>
        <v>0</v>
      </c>
      <c r="CC30" s="9">
        <f xml:space="preserve"> IF(CABLES[[#This Row],[SEG17]] &gt;0,INDEX(SEGMENTS[], MATCH(CABLES[[#Headers],[SEG17]],SEGMENTS[SEG_ID],0),4),0)</f>
        <v>0</v>
      </c>
      <c r="CD30" s="9">
        <f xml:space="preserve"> IF(CABLES[[#This Row],[SEG18]] &gt;0,INDEX(SEGMENTS[], MATCH(CABLES[[#Headers],[SEG18]],SEGMENTS[SEG_ID],0),4),0)</f>
        <v>0</v>
      </c>
      <c r="CE30" s="9">
        <f>IF(CABLES[[#This Row],[SEG19]] &gt;0, INDEX(SEGMENTS[], MATCH(CABLES[[#Headers],[SEG19]],SEGMENTS[SEG_ID],0),4),0)</f>
        <v>0</v>
      </c>
      <c r="CF30" s="9">
        <f>IF(CABLES[[#This Row],[SEG20]] &gt;0, INDEX(SEGMENTS[], MATCH(CABLES[[#Headers],[SEG20]],SEGMENTS[SEG_ID],0),4),0)</f>
        <v>0</v>
      </c>
      <c r="CG30" s="9">
        <f xml:space="preserve"> IF(CABLES[[#This Row],[SEG21]] &gt;0,INDEX(SEGMENTS[], MATCH(CABLES[[#Headers],[SEG21]],SEGMENTS[SEG_ID],0),4),0)</f>
        <v>0</v>
      </c>
      <c r="CH30" s="9">
        <f xml:space="preserve"> IF(CABLES[[#This Row],[SEG22]] &gt;0,INDEX(SEGMENTS[], MATCH(CABLES[[#Headers],[SEG22]],SEGMENTS[SEG_ID],0),4),0)</f>
        <v>0</v>
      </c>
      <c r="CI30" s="9">
        <f>IF(CABLES[[#This Row],[SEG23]] &gt;0, INDEX(SEGMENTS[], MATCH(CABLES[[#Headers],[SEG23]],SEGMENTS[SEG_ID],0),4),0)</f>
        <v>0</v>
      </c>
      <c r="CJ30" s="9">
        <f xml:space="preserve"> IF(CABLES[[#This Row],[SEG24]] &gt;0,INDEX(SEGMENTS[], MATCH(CABLES[[#Headers],[SEG24]],SEGMENTS[SEG_ID],0),4),0)</f>
        <v>0</v>
      </c>
      <c r="CK30" s="9">
        <f>IF(CABLES[[#This Row],[SEG25]] &gt;0, INDEX(SEGMENTS[], MATCH(CABLES[[#Headers],[SEG25]],SEGMENTS[SEG_ID],0),4),0)</f>
        <v>0</v>
      </c>
      <c r="CL30" s="9">
        <f>IF(CABLES[[#This Row],[SEG26]] &gt;0, INDEX(SEGMENTS[], MATCH(CABLES[[#Headers],[SEG26]],SEGMENTS[SEG_ID],0),4),0)</f>
        <v>0</v>
      </c>
      <c r="CM30" s="9">
        <f xml:space="preserve"> IF(CABLES[[#This Row],[SEG27]] &gt;0,INDEX(SEGMENTS[], MATCH(CABLES[[#Headers],[SEG27]],SEGMENTS[SEG_ID],0),4),0)</f>
        <v>0</v>
      </c>
      <c r="CN30" s="9">
        <f xml:space="preserve"> IF(CABLES[[#This Row],[SEG28]] &gt;0,INDEX(SEGMENTS[], MATCH(CABLES[[#Headers],[SEG28]],SEGMENTS[SEG_ID],0),4),0)</f>
        <v>0</v>
      </c>
      <c r="CO30" s="9">
        <f xml:space="preserve"> IF(CABLES[[#This Row],[SEG29]] &gt;0,INDEX(SEGMENTS[], MATCH(CABLES[[#Headers],[SEG29]],SEGMENTS[SEG_ID],0),4),0)</f>
        <v>0</v>
      </c>
      <c r="CP30" s="9">
        <f xml:space="preserve"> IF(CABLES[[#This Row],[SEG30]] &gt;0,INDEX(SEGMENTS[], MATCH(CABLES[[#Headers],[SEG30]],SEGMENTS[SEG_ID],0),4),0)</f>
        <v>0</v>
      </c>
      <c r="CQ30" s="9">
        <f>IF(CABLES[[#This Row],[SEG31]] &gt;0, INDEX(SEGMENTS[], MATCH(CABLES[[#Headers],[SEG31]],SEGMENTS[SEG_ID],0),4),0)</f>
        <v>0</v>
      </c>
      <c r="CR30" s="9">
        <f xml:space="preserve"> IF(CABLES[[#This Row],[SEG32]] &gt;0,INDEX(SEGMENTS[], MATCH(CABLES[[#Headers],[SEG32]],SEGMENTS[SEG_ID],0),4),0)</f>
        <v>0</v>
      </c>
      <c r="CS30" s="9">
        <f xml:space="preserve"> IF(CABLES[[#This Row],[SEG33]] &gt;0,INDEX(SEGMENTS[], MATCH(CABLES[[#Headers],[SEG33]],SEGMENTS[SEG_ID],0),4),0)</f>
        <v>0</v>
      </c>
      <c r="CT30" s="9">
        <f>IF(CABLES[[#This Row],[SEG34]] &gt;0, INDEX(SEGMENTS[], MATCH(CABLES[[#Headers],[SEG34]],SEGMENTS[SEG_ID],0),4),0)</f>
        <v>0</v>
      </c>
      <c r="CU30" s="9">
        <f xml:space="preserve"> IF(CABLES[[#This Row],[SEG35]] &gt;0,INDEX(SEGMENTS[], MATCH(CABLES[[#Headers],[SEG35]],SEGMENTS[SEG_ID],0),4),0)</f>
        <v>0</v>
      </c>
      <c r="CV30" s="9">
        <f xml:space="preserve"> IF(CABLES[[#This Row],[SEG36]] &gt;0,INDEX(SEGMENTS[], MATCH(CABLES[[#Headers],[SEG36]],SEGMENTS[SEG_ID],0),4),0)</f>
        <v>0</v>
      </c>
      <c r="CW30" s="9">
        <f xml:space="preserve"> IF(CABLES[[#This Row],[SEG37]] &gt;0,INDEX(SEGMENTS[], MATCH(CABLES[[#Headers],[SEG37]],SEGMENTS[SEG_ID],0),4),0)</f>
        <v>0</v>
      </c>
      <c r="CX30" s="9">
        <f xml:space="preserve"> IF(CABLES[[#This Row],[SEG38]] &gt;0,INDEX(SEGMENTS[], MATCH(CABLES[[#Headers],[SEG38]],SEGMENTS[SEG_ID],0),4),0)</f>
        <v>0</v>
      </c>
      <c r="CY30" s="9">
        <f xml:space="preserve"> IF(CABLES[[#This Row],[SEG39]] &gt;0,INDEX(SEGMENTS[], MATCH(CABLES[[#Headers],[SEG39]],SEGMENTS[SEG_ID],0),4),0)</f>
        <v>0</v>
      </c>
      <c r="CZ30" s="9">
        <f xml:space="preserve"> IF(CABLES[[#This Row],[SEG40]] &gt;0,INDEX(SEGMENTS[], MATCH(CABLES[[#Headers],[SEG40]],SEGMENTS[SEG_ID],0),4),0)</f>
        <v>0</v>
      </c>
      <c r="DA30" s="9">
        <f xml:space="preserve"> IF(CABLES[[#This Row],[SEG41]] &gt;0,INDEX(SEGMENTS[], MATCH(CABLES[[#Headers],[SEG41]],SEGMENTS[SEG_ID],0),4),0)</f>
        <v>0</v>
      </c>
      <c r="DB30" s="9">
        <f xml:space="preserve"> IF(CABLES[[#This Row],[SEG42]] &gt;0,INDEX(SEGMENTS[], MATCH(CABLES[[#Headers],[SEG42]],SEGMENTS[SEG_ID],0),4),0)</f>
        <v>0</v>
      </c>
      <c r="DC30" s="9">
        <f xml:space="preserve"> IF(CABLES[[#This Row],[SEG43]] &gt;0,INDEX(SEGMENTS[], MATCH(CABLES[[#Headers],[SEG43]],SEGMENTS[SEG_ID],0),4),0)</f>
        <v>0</v>
      </c>
      <c r="DD30" s="9">
        <f xml:space="preserve"> IF(CABLES[[#This Row],[SEG44]] &gt;0,INDEX(SEGMENTS[], MATCH(CABLES[[#Headers],[SEG44]],SEGMENTS[SEG_ID],0),4),0)</f>
        <v>0</v>
      </c>
      <c r="DE30" s="9">
        <f xml:space="preserve"> IF(CABLES[[#This Row],[SEG45]] &gt;0,INDEX(SEGMENTS[], MATCH(CABLES[[#Headers],[SEG45]],SEGMENTS[SEG_ID],0),4),0)</f>
        <v>0</v>
      </c>
      <c r="DF30" s="9">
        <f xml:space="preserve"> IF(CABLES[[#This Row],[SEG46]] &gt;0,INDEX(SEGMENTS[], MATCH(CABLES[[#Headers],[SEG46]],SEGMENTS[SEG_ID],0),4),0)</f>
        <v>0</v>
      </c>
      <c r="DG30" s="9">
        <f xml:space="preserve"> IF(CABLES[[#This Row],[SEG47]] &gt;0,INDEX(SEGMENTS[], MATCH(CABLES[[#Headers],[SEG47]],SEGMENTS[SEG_ID],0),4),0)</f>
        <v>0</v>
      </c>
      <c r="DH30" s="9">
        <f xml:space="preserve"> IF(CABLES[[#This Row],[SEG48]] &gt;0,INDEX(SEGMENTS[], MATCH(CABLES[[#Headers],[SEG48]],SEGMENTS[SEG_ID],0),4),0)</f>
        <v>0</v>
      </c>
      <c r="DI30" s="9">
        <f xml:space="preserve"> IF(CABLES[[#This Row],[SEG49]] &gt;0,INDEX(SEGMENTS[], MATCH(CABLES[[#Headers],[SEG49]],SEGMENTS[SEG_ID],0),4),0)</f>
        <v>0</v>
      </c>
      <c r="DJ30" s="9">
        <f xml:space="preserve"> IF(CABLES[[#This Row],[SEG50]] &gt;0,INDEX(SEGMENTS[], MATCH(CABLES[[#Headers],[SEG50]],SEGMENTS[SEG_ID],0),4),0)</f>
        <v>0</v>
      </c>
      <c r="DK30" s="9">
        <f xml:space="preserve"> IF(CABLES[[#This Row],[SEG51]] &gt;0,INDEX(SEGMENTS[], MATCH(CABLES[[#Headers],[SEG51]],SEGMENTS[SEG_ID],0),4),0)</f>
        <v>0</v>
      </c>
      <c r="DL30" s="9">
        <f xml:space="preserve"> IF(CABLES[[#This Row],[SEG52]] &gt;0,INDEX(SEGMENTS[], MATCH(CABLES[[#Headers],[SEG52]],SEGMENTS[SEG_ID],0),4),0)</f>
        <v>0</v>
      </c>
      <c r="DM30" s="9">
        <f xml:space="preserve"> IF(CABLES[[#This Row],[SEG53]] &gt;0,INDEX(SEGMENTS[], MATCH(CABLES[[#Headers],[SEG53]],SEGMENTS[SEG_ID],0),4),0)</f>
        <v>0</v>
      </c>
      <c r="DN30" s="9">
        <f xml:space="preserve"> IF(CABLES[[#This Row],[SEG54]] &gt;0,INDEX(SEGMENTS[], MATCH(CABLES[[#Headers],[SEG54]],SEGMENTS[SEG_ID],0),4),0)</f>
        <v>0</v>
      </c>
      <c r="DO30" s="9">
        <f xml:space="preserve"> IF(CABLES[[#This Row],[SEG55]] &gt;0,INDEX(SEGMENTS[], MATCH(CABLES[[#Headers],[SEG55]],SEGMENTS[SEG_ID],0),4),0)</f>
        <v>0</v>
      </c>
      <c r="DP30" s="9">
        <f xml:space="preserve"> IF(CABLES[[#This Row],[SEG56]] &gt;0,INDEX(SEGMENTS[], MATCH(CABLES[[#Headers],[SEG56]],SEGMENTS[SEG_ID],0),4),0)</f>
        <v>0</v>
      </c>
      <c r="DQ30" s="9">
        <f xml:space="preserve"> IF(CABLES[[#This Row],[SEG57]] &gt;0,INDEX(SEGMENTS[], MATCH(CABLES[[#Headers],[SEG57]],SEGMENTS[SEG_ID],0),4),0)</f>
        <v>0</v>
      </c>
      <c r="DR30" s="9">
        <f xml:space="preserve"> IF(CABLES[[#This Row],[SEG58]] &gt;0,INDEX(SEGMENTS[], MATCH(CABLES[[#Headers],[SEG58]],SEGMENTS[SEG_ID],0),4),0)</f>
        <v>0</v>
      </c>
      <c r="DS30" s="9">
        <f xml:space="preserve"> IF(CABLES[[#This Row],[SEG59]] &gt;0,INDEX(SEGMENTS[], MATCH(CABLES[[#Headers],[SEG59]],SEGMENTS[SEG_ID],0),4),0)</f>
        <v>0</v>
      </c>
      <c r="DT30" s="9">
        <f xml:space="preserve"> IF(CABLES[[#This Row],[SEG60]] &gt;0,INDEX(SEGMENTS[], MATCH(CABLES[[#Headers],[SEG60]],SEGMENTS[SEG_ID],0),4),0)</f>
        <v>0</v>
      </c>
      <c r="DU30" s="10">
        <f>SUM(CABLES[[#This Row],[SEGL1]:[SEGL60]])</f>
        <v>46</v>
      </c>
      <c r="DV30" s="10">
        <v>5</v>
      </c>
      <c r="DW30" s="10">
        <v>1.2</v>
      </c>
      <c r="DX30" s="10">
        <f xml:space="preserve"> IF(CABLES[[#This Row],[SEGL_TOTAL]]&gt;0, (CABLES[[#This Row],[SEGL_TOTAL]] + CABLES[[#This Row],[FITOFF]]) *CABLES[[#This Row],[XCAPACITY]],0)</f>
        <v>61.199999999999996</v>
      </c>
      <c r="DY30" s="10">
        <f>IF(CABLES[[#This Row],[SEG1]]&gt;0,CABLES[[#This Row],[CABLE_DIAMETER]],0)</f>
        <v>14.5</v>
      </c>
      <c r="DZ30" s="10">
        <f>IF(CABLES[[#This Row],[SEG2]]&gt;0,CABLES[[#This Row],[CABLE_DIAMETER]],0)</f>
        <v>14.5</v>
      </c>
      <c r="EA30" s="10">
        <f>IF(CABLES[[#This Row],[SEG3]]&gt;0,CABLES[[#This Row],[CABLE_DIAMETER]],0)</f>
        <v>0</v>
      </c>
      <c r="EB30" s="10">
        <f>IF(CABLES[[#This Row],[SEG4]]&gt;0,CABLES[[#This Row],[CABLE_DIAMETER]],0)</f>
        <v>14.5</v>
      </c>
      <c r="EC30" s="10">
        <f>IF(CABLES[[#This Row],[SEG5]]&gt;0,CABLES[[#This Row],[CABLE_DIAMETER]],0)</f>
        <v>0</v>
      </c>
      <c r="ED30" s="10">
        <f>IF(CABLES[[#This Row],[SEG6]]&gt;0,CABLES[[#This Row],[CABLE_DIAMETER]],0)</f>
        <v>14.5</v>
      </c>
      <c r="EE30" s="10">
        <f>IF(CABLES[[#This Row],[SEG7]]&gt;0,CABLES[[#This Row],[CABLE_DIAMETER]],0)</f>
        <v>0</v>
      </c>
      <c r="EF30" s="10">
        <f>IF(CABLES[[#This Row],[SEG9]]&gt;0,CABLES[[#This Row],[CABLE_DIAMETER]],0)</f>
        <v>0</v>
      </c>
      <c r="EG30" s="10">
        <f>IF(CABLES[[#This Row],[SEG9]]&gt;0,CABLES[[#This Row],[CABLE_DIAMETER]],0)</f>
        <v>0</v>
      </c>
      <c r="EH30" s="10">
        <f>IF(CABLES[[#This Row],[SEG10]]&gt;0,CABLES[[#This Row],[CABLE_DIAMETER]],0)</f>
        <v>0</v>
      </c>
      <c r="EI30" s="10">
        <f>IF(CABLES[[#This Row],[SEG11]]&gt;0,CABLES[[#This Row],[CABLE_DIAMETER]],0)</f>
        <v>0</v>
      </c>
      <c r="EJ30" s="10">
        <f>IF(CABLES[[#This Row],[SEG12]]&gt;0,CABLES[[#This Row],[CABLE_DIAMETER]],0)</f>
        <v>0</v>
      </c>
      <c r="EK30" s="10">
        <f>IF(CABLES[[#This Row],[SEG13]]&gt;0,CABLES[[#This Row],[CABLE_DIAMETER]],0)</f>
        <v>0</v>
      </c>
      <c r="EL30" s="10">
        <f>IF(CABLES[[#This Row],[SEG14]]&gt;0,CABLES[[#This Row],[CABLE_DIAMETER]],0)</f>
        <v>14.5</v>
      </c>
      <c r="EM30" s="10">
        <f>IF(CABLES[[#This Row],[SEG15]]&gt;0,CABLES[[#This Row],[CABLE_DIAMETER]],0)</f>
        <v>14.5</v>
      </c>
      <c r="EN30" s="10">
        <f>IF(CABLES[[#This Row],[SEG16]]&gt;0,CABLES[[#This Row],[CABLE_DIAMETER]],0)</f>
        <v>0</v>
      </c>
      <c r="EO30" s="10">
        <f>IF(CABLES[[#This Row],[SEG17]]&gt;0,CABLES[[#This Row],[CABLE_DIAMETER]],0)</f>
        <v>0</v>
      </c>
      <c r="EP30" s="10">
        <f>IF(CABLES[[#This Row],[SEG18]]&gt;0,CABLES[[#This Row],[CABLE_DIAMETER]],0)</f>
        <v>0</v>
      </c>
      <c r="EQ30" s="10">
        <f>IF(CABLES[[#This Row],[SEG19]]&gt;0,CABLES[[#This Row],[CABLE_DIAMETER]],0)</f>
        <v>0</v>
      </c>
      <c r="ER30" s="10">
        <f>IF(CABLES[[#This Row],[SEG20]]&gt;0,CABLES[[#This Row],[CABLE_DIAMETER]],0)</f>
        <v>0</v>
      </c>
      <c r="ES30" s="10">
        <f>IF(CABLES[[#This Row],[SEG21]]&gt;0,CABLES[[#This Row],[CABLE_DIAMETER]],0)</f>
        <v>0</v>
      </c>
      <c r="ET30" s="10">
        <f>IF(CABLES[[#This Row],[SEG22]]&gt;0,CABLES[[#This Row],[CABLE_DIAMETER]],0)</f>
        <v>0</v>
      </c>
      <c r="EU30" s="10">
        <f>IF(CABLES[[#This Row],[SEG23]]&gt;0,CABLES[[#This Row],[CABLE_DIAMETER]],0)</f>
        <v>0</v>
      </c>
      <c r="EV30" s="10">
        <f>IF(CABLES[[#This Row],[SEG24]]&gt;0,CABLES[[#This Row],[CABLE_DIAMETER]],0)</f>
        <v>0</v>
      </c>
      <c r="EW30" s="10">
        <f>IF(CABLES[[#This Row],[SEG25]]&gt;0,CABLES[[#This Row],[CABLE_DIAMETER]],0)</f>
        <v>0</v>
      </c>
      <c r="EX30" s="10">
        <f>IF(CABLES[[#This Row],[SEG26]]&gt;0,CABLES[[#This Row],[CABLE_DIAMETER]],0)</f>
        <v>0</v>
      </c>
      <c r="EY30" s="10">
        <f>IF(CABLES[[#This Row],[SEG27]]&gt;0,CABLES[[#This Row],[CABLE_DIAMETER]],0)</f>
        <v>0</v>
      </c>
      <c r="EZ30" s="10">
        <f>IF(CABLES[[#This Row],[SEG28]]&gt;0,CABLES[[#This Row],[CABLE_DIAMETER]],0)</f>
        <v>0</v>
      </c>
      <c r="FA30" s="10">
        <f>IF(CABLES[[#This Row],[SEG29]]&gt;0,CABLES[[#This Row],[CABLE_DIAMETER]],0)</f>
        <v>0</v>
      </c>
      <c r="FB30" s="10">
        <f>IF(CABLES[[#This Row],[SEG30]]&gt;0,CABLES[[#This Row],[CABLE_DIAMETER]],0)</f>
        <v>0</v>
      </c>
      <c r="FC30" s="10">
        <f>IF(CABLES[[#This Row],[SEG31]]&gt;0,CABLES[[#This Row],[CABLE_DIAMETER]],0)</f>
        <v>0</v>
      </c>
      <c r="FD30" s="10">
        <f>IF(CABLES[[#This Row],[SEG32]]&gt;0,CABLES[[#This Row],[CABLE_DIAMETER]],0)</f>
        <v>0</v>
      </c>
      <c r="FE30" s="10">
        <f>IF(CABLES[[#This Row],[SEG33]]&gt;0,CABLES[[#This Row],[CABLE_DIAMETER]],0)</f>
        <v>0</v>
      </c>
      <c r="FF30" s="10">
        <f>IF(CABLES[[#This Row],[SEG34]]&gt;0,CABLES[[#This Row],[CABLE_DIAMETER]],0)</f>
        <v>0</v>
      </c>
      <c r="FG30" s="10">
        <f>IF(CABLES[[#This Row],[SEG35]]&gt;0,CABLES[[#This Row],[CABLE_DIAMETER]],0)</f>
        <v>0</v>
      </c>
      <c r="FH30" s="10">
        <f>IF(CABLES[[#This Row],[SEG36]]&gt;0,CABLES[[#This Row],[CABLE_DIAMETER]],0)</f>
        <v>0</v>
      </c>
      <c r="FI30" s="10">
        <f>IF(CABLES[[#This Row],[SEG37]]&gt;0,CABLES[[#This Row],[CABLE_DIAMETER]],0)</f>
        <v>0</v>
      </c>
      <c r="FJ30" s="10">
        <f>IF(CABLES[[#This Row],[SEG38]]&gt;0,CABLES[[#This Row],[CABLE_DIAMETER]],0)</f>
        <v>0</v>
      </c>
      <c r="FK30" s="10">
        <f>IF(CABLES[[#This Row],[SEG39]]&gt;0,CABLES[[#This Row],[CABLE_DIAMETER]],0)</f>
        <v>0</v>
      </c>
      <c r="FL30" s="10">
        <f>IF(CABLES[[#This Row],[SEG40]]&gt;0,CABLES[[#This Row],[CABLE_DIAMETER]],0)</f>
        <v>0</v>
      </c>
      <c r="FM30" s="10">
        <f>IF(CABLES[[#This Row],[SEG41]]&gt;0,CABLES[[#This Row],[CABLE_DIAMETER]],0)</f>
        <v>0</v>
      </c>
      <c r="FN30" s="10">
        <f>IF(CABLES[[#This Row],[SEG42]]&gt;0,CABLES[[#This Row],[CABLE_DIAMETER]],0)</f>
        <v>0</v>
      </c>
      <c r="FO30" s="10">
        <f>IF(CABLES[[#This Row],[SEG43]]&gt;0,CABLES[[#This Row],[CABLE_DIAMETER]],0)</f>
        <v>0</v>
      </c>
      <c r="FP30" s="10">
        <f>IF(CABLES[[#This Row],[SEG44]]&gt;0,CABLES[[#This Row],[CABLE_DIAMETER]],0)</f>
        <v>0</v>
      </c>
      <c r="FQ30" s="10">
        <f>IF(CABLES[[#This Row],[SEG45]]&gt;0,CABLES[[#This Row],[CABLE_DIAMETER]],0)</f>
        <v>0</v>
      </c>
      <c r="FR30" s="10">
        <f>IF(CABLES[[#This Row],[SEG46]]&gt;0,CABLES[[#This Row],[CABLE_DIAMETER]],0)</f>
        <v>0</v>
      </c>
      <c r="FS30" s="10">
        <f>IF(CABLES[[#This Row],[SEG47]]&gt;0,CABLES[[#This Row],[CABLE_DIAMETER]],0)</f>
        <v>0</v>
      </c>
      <c r="FT30" s="10">
        <f>IF(CABLES[[#This Row],[SEG48]]&gt;0,CABLES[[#This Row],[CABLE_DIAMETER]],0)</f>
        <v>0</v>
      </c>
      <c r="FU30" s="10">
        <f>IF(CABLES[[#This Row],[SEG49]]&gt;0,CABLES[[#This Row],[CABLE_DIAMETER]],0)</f>
        <v>0</v>
      </c>
      <c r="FV30" s="10">
        <f>IF(CABLES[[#This Row],[SEG50]]&gt;0,CABLES[[#This Row],[CABLE_DIAMETER]],0)</f>
        <v>0</v>
      </c>
      <c r="FW30" s="10">
        <f>IF(CABLES[[#This Row],[SEG51]]&gt;0,CABLES[[#This Row],[CABLE_DIAMETER]],0)</f>
        <v>0</v>
      </c>
      <c r="FX30" s="10">
        <f>IF(CABLES[[#This Row],[SEG52]]&gt;0,CABLES[[#This Row],[CABLE_DIAMETER]],0)</f>
        <v>0</v>
      </c>
      <c r="FY30" s="10">
        <f>IF(CABLES[[#This Row],[SEG53]]&gt;0,CABLES[[#This Row],[CABLE_DIAMETER]],0)</f>
        <v>0</v>
      </c>
      <c r="FZ30" s="10">
        <f>IF(CABLES[[#This Row],[SEG54]]&gt;0,CABLES[[#This Row],[CABLE_DIAMETER]],0)</f>
        <v>0</v>
      </c>
      <c r="GA30" s="10">
        <f>IF(CABLES[[#This Row],[SEG55]]&gt;0,CABLES[[#This Row],[CABLE_DIAMETER]],0)</f>
        <v>0</v>
      </c>
      <c r="GB30" s="10">
        <f>IF(CABLES[[#This Row],[SEG56]]&gt;0,CABLES[[#This Row],[CABLE_DIAMETER]],0)</f>
        <v>0</v>
      </c>
      <c r="GC30" s="10">
        <f>IF(CABLES[[#This Row],[SEG57]]&gt;0,CABLES[[#This Row],[CABLE_DIAMETER]],0)</f>
        <v>0</v>
      </c>
      <c r="GD30" s="10">
        <f>IF(CABLES[[#This Row],[SEG58]]&gt;0,CABLES[[#This Row],[CABLE_DIAMETER]],0)</f>
        <v>0</v>
      </c>
      <c r="GE30" s="10">
        <f>IF(CABLES[[#This Row],[SEG59]]&gt;0,CABLES[[#This Row],[CABLE_DIAMETER]],0)</f>
        <v>0</v>
      </c>
      <c r="GF30" s="10">
        <f>IF(CABLES[[#This Row],[SEG60]]&gt;0,CABLES[[#This Row],[CABLE_DIAMETER]],0)</f>
        <v>0</v>
      </c>
      <c r="GG30" s="10">
        <f>IF(CABLES[[#This Row],[SEG1]]&gt;0,CABLES[[#This Row],[CABLE_MASS]],0)</f>
        <v>0.33</v>
      </c>
      <c r="GH30" s="10">
        <f>IF(CABLES[[#This Row],[SEG2]]&gt;0,CABLES[[#This Row],[CABLE_MASS]],0)</f>
        <v>0.33</v>
      </c>
      <c r="GI30" s="10">
        <f>IF(CABLES[[#This Row],[SEG3]]&gt;0,CABLES[[#This Row],[CABLE_MASS]],0)</f>
        <v>0</v>
      </c>
      <c r="GJ30" s="10">
        <f>IF(CABLES[[#This Row],[SEG4]]&gt;0,CABLES[[#This Row],[CABLE_MASS]],0)</f>
        <v>0.33</v>
      </c>
      <c r="GK30" s="10">
        <f>IF(CABLES[[#This Row],[SEG5]]&gt;0,CABLES[[#This Row],[CABLE_MASS]],0)</f>
        <v>0</v>
      </c>
      <c r="GL30" s="10">
        <f>IF(CABLES[[#This Row],[SEG6]]&gt;0,CABLES[[#This Row],[CABLE_MASS]],0)</f>
        <v>0.33</v>
      </c>
      <c r="GM30" s="10">
        <f>IF(CABLES[[#This Row],[SEG7]]&gt;0,CABLES[[#This Row],[CABLE_MASS]],0)</f>
        <v>0</v>
      </c>
      <c r="GN30" s="10">
        <f>IF(CABLES[[#This Row],[SEG8]]&gt;0,CABLES[[#This Row],[CABLE_MASS]],0)</f>
        <v>0.33</v>
      </c>
      <c r="GO30" s="10">
        <f>IF(CABLES[[#This Row],[SEG9]]&gt;0,CABLES[[#This Row],[CABLE_MASS]],0)</f>
        <v>0</v>
      </c>
      <c r="GP30" s="10">
        <f>IF(CABLES[[#This Row],[SEG10]]&gt;0,CABLES[[#This Row],[CABLE_MASS]],0)</f>
        <v>0</v>
      </c>
      <c r="GQ30" s="10">
        <f>IF(CABLES[[#This Row],[SEG11]]&gt;0,CABLES[[#This Row],[CABLE_MASS]],0)</f>
        <v>0</v>
      </c>
      <c r="GR30" s="10">
        <f>IF(CABLES[[#This Row],[SEG12]]&gt;0,CABLES[[#This Row],[CABLE_MASS]],0)</f>
        <v>0</v>
      </c>
      <c r="GS30" s="10">
        <f>IF(CABLES[[#This Row],[SEG13]]&gt;0,CABLES[[#This Row],[CABLE_MASS]],0)</f>
        <v>0</v>
      </c>
      <c r="GT30" s="10">
        <f>IF(CABLES[[#This Row],[SEG14]]&gt;0,CABLES[[#This Row],[CABLE_MASS]],0)</f>
        <v>0.33</v>
      </c>
      <c r="GU30" s="10">
        <f>IF(CABLES[[#This Row],[SEG15]]&gt;0,CABLES[[#This Row],[CABLE_MASS]],0)</f>
        <v>0.33</v>
      </c>
      <c r="GV30" s="10">
        <f>IF(CABLES[[#This Row],[SEG16]]&gt;0,CABLES[[#This Row],[CABLE_MASS]],0)</f>
        <v>0</v>
      </c>
      <c r="GW30" s="10">
        <f>IF(CABLES[[#This Row],[SEG17]]&gt;0,CABLES[[#This Row],[CABLE_MASS]],0)</f>
        <v>0</v>
      </c>
      <c r="GX30" s="10">
        <f>IF(CABLES[[#This Row],[SEG18]]&gt;0,CABLES[[#This Row],[CABLE_MASS]],0)</f>
        <v>0</v>
      </c>
      <c r="GY30" s="10">
        <f>IF(CABLES[[#This Row],[SEG19]]&gt;0,CABLES[[#This Row],[CABLE_MASS]],0)</f>
        <v>0</v>
      </c>
      <c r="GZ30" s="10">
        <f>IF(CABLES[[#This Row],[SEG20]]&gt;0,CABLES[[#This Row],[CABLE_MASS]],0)</f>
        <v>0</v>
      </c>
      <c r="HA30" s="10">
        <f>IF(CABLES[[#This Row],[SEG21]]&gt;0,CABLES[[#This Row],[CABLE_MASS]],0)</f>
        <v>0</v>
      </c>
      <c r="HB30" s="10">
        <f>IF(CABLES[[#This Row],[SEG22]]&gt;0,CABLES[[#This Row],[CABLE_MASS]],0)</f>
        <v>0</v>
      </c>
      <c r="HC30" s="10">
        <f>IF(CABLES[[#This Row],[SEG23]]&gt;0,CABLES[[#This Row],[CABLE_MASS]],0)</f>
        <v>0</v>
      </c>
      <c r="HD30" s="10">
        <f>IF(CABLES[[#This Row],[SEG24]]&gt;0,CABLES[[#This Row],[CABLE_MASS]],0)</f>
        <v>0</v>
      </c>
      <c r="HE30" s="10">
        <f>IF(CABLES[[#This Row],[SEG25]]&gt;0,CABLES[[#This Row],[CABLE_MASS]],0)</f>
        <v>0</v>
      </c>
      <c r="HF30" s="10">
        <f>IF(CABLES[[#This Row],[SEG26]]&gt;0,CABLES[[#This Row],[CABLE_MASS]],0)</f>
        <v>0</v>
      </c>
      <c r="HG30" s="10">
        <f>IF(CABLES[[#This Row],[SEG27]]&gt;0,CABLES[[#This Row],[CABLE_MASS]],0)</f>
        <v>0</v>
      </c>
      <c r="HH30" s="10">
        <f>IF(CABLES[[#This Row],[SEG28]]&gt;0,CABLES[[#This Row],[CABLE_MASS]],0)</f>
        <v>0</v>
      </c>
      <c r="HI30" s="10">
        <f>IF(CABLES[[#This Row],[SEG29]]&gt;0,CABLES[[#This Row],[CABLE_MASS]],0)</f>
        <v>0</v>
      </c>
      <c r="HJ30" s="10">
        <f>IF(CABLES[[#This Row],[SEG30]]&gt;0,CABLES[[#This Row],[CABLE_MASS]],0)</f>
        <v>0</v>
      </c>
      <c r="HK30" s="10">
        <f>IF(CABLES[[#This Row],[SEG31]]&gt;0,CABLES[[#This Row],[CABLE_MASS]],0)</f>
        <v>0</v>
      </c>
      <c r="HL30" s="10">
        <f>IF(CABLES[[#This Row],[SEG32]]&gt;0,CABLES[[#This Row],[CABLE_MASS]],0)</f>
        <v>0</v>
      </c>
      <c r="HM30" s="10">
        <f>IF(CABLES[[#This Row],[SEG33]]&gt;0,CABLES[[#This Row],[CABLE_MASS]],0)</f>
        <v>0</v>
      </c>
      <c r="HN30" s="10">
        <f>IF(CABLES[[#This Row],[SEG34]]&gt;0,CABLES[[#This Row],[CABLE_MASS]],0)</f>
        <v>0</v>
      </c>
      <c r="HO30" s="10">
        <f>IF(CABLES[[#This Row],[SEG35]]&gt;0,CABLES[[#This Row],[CABLE_MASS]],0)</f>
        <v>0</v>
      </c>
      <c r="HP30" s="10">
        <f>IF(CABLES[[#This Row],[SEG36]]&gt;0,CABLES[[#This Row],[CABLE_MASS]],0)</f>
        <v>0</v>
      </c>
      <c r="HQ30" s="10">
        <f>IF(CABLES[[#This Row],[SEG37]]&gt;0,CABLES[[#This Row],[CABLE_MASS]],0)</f>
        <v>0</v>
      </c>
      <c r="HR30" s="10">
        <f>IF(CABLES[[#This Row],[SEG38]]&gt;0,CABLES[[#This Row],[CABLE_MASS]],0)</f>
        <v>0</v>
      </c>
      <c r="HS30" s="10">
        <f>IF(CABLES[[#This Row],[SEG39]]&gt;0,CABLES[[#This Row],[CABLE_MASS]],0)</f>
        <v>0</v>
      </c>
      <c r="HT30" s="10">
        <f>IF(CABLES[[#This Row],[SEG40]]&gt;0,CABLES[[#This Row],[CABLE_MASS]],0)</f>
        <v>0</v>
      </c>
      <c r="HU30" s="10">
        <f>IF(CABLES[[#This Row],[SEG41]]&gt;0,CABLES[[#This Row],[CABLE_MASS]],0)</f>
        <v>0</v>
      </c>
      <c r="HV30" s="10">
        <f>IF(CABLES[[#This Row],[SEG42]]&gt;0,CABLES[[#This Row],[CABLE_MASS]],0)</f>
        <v>0</v>
      </c>
      <c r="HW30" s="10">
        <f>IF(CABLES[[#This Row],[SEG43]]&gt;0,CABLES[[#This Row],[CABLE_MASS]],0)</f>
        <v>0</v>
      </c>
      <c r="HX30" s="10">
        <f>IF(CABLES[[#This Row],[SEG44]]&gt;0,CABLES[[#This Row],[CABLE_MASS]],0)</f>
        <v>0</v>
      </c>
      <c r="HY30" s="10">
        <f>IF(CABLES[[#This Row],[SEG45]]&gt;0,CABLES[[#This Row],[CABLE_MASS]],0)</f>
        <v>0</v>
      </c>
      <c r="HZ30" s="10">
        <f>IF(CABLES[[#This Row],[SEG46]]&gt;0,CABLES[[#This Row],[CABLE_MASS]],0)</f>
        <v>0</v>
      </c>
      <c r="IA30" s="10">
        <f>IF(CABLES[[#This Row],[SEG47]]&gt;0,CABLES[[#This Row],[CABLE_MASS]],0)</f>
        <v>0</v>
      </c>
      <c r="IB30" s="10">
        <f>IF(CABLES[[#This Row],[SEG48]]&gt;0,CABLES[[#This Row],[CABLE_MASS]],0)</f>
        <v>0</v>
      </c>
      <c r="IC30" s="10">
        <f>IF(CABLES[[#This Row],[SEG49]]&gt;0,CABLES[[#This Row],[CABLE_MASS]],0)</f>
        <v>0</v>
      </c>
      <c r="ID30" s="10">
        <f>IF(CABLES[[#This Row],[SEG50]]&gt;0,CABLES[[#This Row],[CABLE_MASS]],0)</f>
        <v>0</v>
      </c>
      <c r="IE30" s="10">
        <f>IF(CABLES[[#This Row],[SEG51]]&gt;0,CABLES[[#This Row],[CABLE_MASS]],0)</f>
        <v>0</v>
      </c>
      <c r="IF30" s="10">
        <f>IF(CABLES[[#This Row],[SEG52]]&gt;0,CABLES[[#This Row],[CABLE_MASS]],0)</f>
        <v>0</v>
      </c>
      <c r="IG30" s="10">
        <f>IF(CABLES[[#This Row],[SEG53]]&gt;0,CABLES[[#This Row],[CABLE_MASS]],0)</f>
        <v>0</v>
      </c>
      <c r="IH30" s="10">
        <f>IF(CABLES[[#This Row],[SEG54]]&gt;0,CABLES[[#This Row],[CABLE_MASS]],0)</f>
        <v>0</v>
      </c>
      <c r="II30" s="10">
        <f>IF(CABLES[[#This Row],[SEG55]]&gt;0,CABLES[[#This Row],[CABLE_MASS]],0)</f>
        <v>0</v>
      </c>
      <c r="IJ30" s="10">
        <f>IF(CABLES[[#This Row],[SEG56]]&gt;0,CABLES[[#This Row],[CABLE_MASS]],0)</f>
        <v>0</v>
      </c>
      <c r="IK30" s="10">
        <f>IF(CABLES[[#This Row],[SEG57]]&gt;0,CABLES[[#This Row],[CABLE_MASS]],0)</f>
        <v>0</v>
      </c>
      <c r="IL30" s="10">
        <f>IF(CABLES[[#This Row],[SEG58]]&gt;0,CABLES[[#This Row],[CABLE_MASS]],0)</f>
        <v>0</v>
      </c>
      <c r="IM30" s="10">
        <f>IF(CABLES[[#This Row],[SEG59]]&gt;0,CABLES[[#This Row],[CABLE_MASS]],0)</f>
        <v>0</v>
      </c>
      <c r="IN30" s="10">
        <f>IF(CABLES[[#This Row],[SEG60]]&gt;0,CABLES[[#This Row],[CABLE_MASS]],0)</f>
        <v>0</v>
      </c>
      <c r="IO30" s="10">
        <f xml:space="preserve">  (CABLES[[#This Row],[LOAD_KW]]/(SQRT(3)*SYSTEM_VOLTAGE*POWER_FACTOR))*1000</f>
        <v>17.641258225238563</v>
      </c>
      <c r="IP30" s="10">
        <v>45</v>
      </c>
      <c r="IQ30" s="10">
        <f xml:space="preserve"> INDEX(AS3000_AMBIENTDERATE[], MATCH(CABLES[[#This Row],[AMBIENT]],AS3000_AMBIENTDERATE[AMBIENT],0), 2)</f>
        <v>0.94</v>
      </c>
      <c r="IR30" s="10">
        <f xml:space="preserve"> ROUNDUP( CABLES[[#This Row],[CALCULATED_AMPS]]/CABLES[[#This Row],[AMBIENT_DERATING]],1)</f>
        <v>18.8</v>
      </c>
      <c r="IS30" s="10" t="s">
        <v>531</v>
      </c>
      <c r="IT3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30" s="10">
        <f t="shared" si="0"/>
        <v>28.000000000000004</v>
      </c>
      <c r="IV30" s="10">
        <f>(1000*CABLES[[#This Row],[MAX_VDROP]])/(CABLES[[#This Row],[ESTIMATED_CABLE_LENGTH]]*CABLES[[#This Row],[AMP_RATING]])</f>
        <v>24.335975524961761</v>
      </c>
      <c r="IW30" s="10">
        <f xml:space="preserve"> INDEX(AS3000_VDROP[], MATCH(CABLES[[#This Row],[VC_CALC]],AS3000_VDROP[Vc],1),1)</f>
        <v>2.5</v>
      </c>
      <c r="IX30" s="10">
        <f>MAX(CABLES[[#This Row],[CABLESIZE_METHOD1]],CABLES[[#This Row],[CABLESIZE_METHOD2]])</f>
        <v>2.5</v>
      </c>
      <c r="IY30" s="10"/>
      <c r="IZ30" s="10">
        <f>IF(LEN(CABLES[[#This Row],[OVERRIDE_CABLESIZE]])&gt;0,CABLES[[#This Row],[OVERRIDE_CABLESIZE]],CABLES[[#This Row],[INITIAL_CABLESIZE]])</f>
        <v>2.5</v>
      </c>
      <c r="JA30" s="10">
        <f>INDEX(PROTECTIVE_DEVICE[DEVICE], MATCH(CABLES[[#This Row],[CALCULATED_AMPS]],PROTECTIVE_DEVICE[DEVICE],-1),1)</f>
        <v>20</v>
      </c>
      <c r="JB30" s="10"/>
      <c r="JC30" s="10">
        <f>IF(LEN(CABLES[[#This Row],[OVERRIDE_PDEVICE]])&gt;0, CABLES[[#This Row],[OVERRIDE_PDEVICE]],CABLES[[#This Row],[RECOMMEND_PDEVICE]])</f>
        <v>20</v>
      </c>
      <c r="JD30" s="10" t="s">
        <v>450</v>
      </c>
      <c r="JE30" s="10">
        <f xml:space="preserve"> CABLES[[#This Row],[SELECTED_PDEVICE]] * INDEX(DEVICE_CURVE[], MATCH(CABLES[[#This Row],[PDEVICE_CURVE]], DEVICE_CURVE[DEVICE_CURVE],0),2)</f>
        <v>130</v>
      </c>
      <c r="JF30" s="10" t="s">
        <v>458</v>
      </c>
      <c r="JG30" s="10">
        <f xml:space="preserve"> INDEX(CONDUCTOR_MATERIAL[], MATCH(CABLES[[#This Row],[CONDUCTOR_MATERIAL]],CONDUCTOR_MATERIAL[CONDUCTOR_MATERIAL],0),2)</f>
        <v>2.2499999999999999E-2</v>
      </c>
      <c r="JH30" s="10">
        <f>CABLES[[#This Row],[SELECTED_CABLESIZE]]</f>
        <v>2.5</v>
      </c>
      <c r="JI30" s="10">
        <f xml:space="preserve"> INDEX( EARTH_CONDUCTOR_SIZE[], MATCH(CABLES[[#This Row],[SPH]],EARTH_CONDUCTOR_SIZE[MM^2],-1), 2)</f>
        <v>2.5</v>
      </c>
      <c r="JJ30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30" s="10" t="str">
        <f>IF(CABLES[[#This Row],[LMAX]]&gt;CABLES[[#This Row],[ESTIMATED_CABLE_LENGTH]], "PASS", "ERROR")</f>
        <v>PASS</v>
      </c>
      <c r="JL3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0" s="6">
        <f xml:space="preserve"> ROUNDUP( CABLES[[#This Row],[CALCULATED_AMPS]],1)</f>
        <v>17.700000000000003</v>
      </c>
      <c r="JO30" s="6">
        <f>CABLES[[#This Row],[SELECTED_CABLESIZE]]</f>
        <v>2.5</v>
      </c>
      <c r="JP30" s="10">
        <f>CABLES[[#This Row],[ESTIMATED_CABLE_LENGTH]]</f>
        <v>61.199999999999996</v>
      </c>
      <c r="JQ30" s="6">
        <f>CABLES[[#This Row],[SELECTED_PDEVICE]]</f>
        <v>20</v>
      </c>
    </row>
    <row r="31" spans="1:277" x14ac:dyDescent="0.35">
      <c r="A31" s="5" t="s">
        <v>30</v>
      </c>
      <c r="B31" s="5" t="s">
        <v>94</v>
      </c>
      <c r="C31" s="10" t="s">
        <v>261</v>
      </c>
      <c r="D31" s="9">
        <v>3</v>
      </c>
      <c r="E31" s="9">
        <v>1</v>
      </c>
      <c r="F31" s="9">
        <v>1</v>
      </c>
      <c r="G31" s="9">
        <v>0</v>
      </c>
      <c r="H31" s="9">
        <v>1</v>
      </c>
      <c r="I31" s="9">
        <v>0</v>
      </c>
      <c r="J31" s="9">
        <v>1</v>
      </c>
      <c r="K31" s="9">
        <v>0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1</v>
      </c>
      <c r="S31" s="9">
        <v>1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f xml:space="preserve"> IF(CABLES[[#This Row],[SEG1]] &gt;0, INDEX(SEGMENTS[], MATCH(CABLES[[#Headers],[SEG1]],SEGMENTS[SEG_ID],0),4),0)</f>
        <v>13</v>
      </c>
      <c r="BN31" s="9">
        <f xml:space="preserve"> IF(CABLES[[#This Row],[SEG2]] &gt;0, INDEX(SEGMENTS[], MATCH(CABLES[[#Headers],[SEG2]],SEGMENTS[SEG_ID],0),4),0)</f>
        <v>2</v>
      </c>
      <c r="BO31" s="9">
        <f xml:space="preserve"> IF(CABLES[[#This Row],[SEG3]] &gt;0, INDEX(SEGMENTS[], MATCH(CABLES[[#Headers],[SEG3]],SEGMENTS[SEG_ID],0),4),0)</f>
        <v>0</v>
      </c>
      <c r="BP31" s="9">
        <f xml:space="preserve"> IF(CABLES[[#This Row],[SEG4]] &gt;0, INDEX(SEGMENTS[], MATCH(CABLES[[#Headers],[SEG4]],SEGMENTS[SEG_ID],0),4),0)</f>
        <v>14</v>
      </c>
      <c r="BQ31" s="9">
        <f xml:space="preserve"> IF(CABLES[[#This Row],[SEG5]] &gt;0,INDEX(SEGMENTS[], MATCH(CABLES[[#Headers],[SEG5]],SEGMENTS[SEG_ID],0),4),0)</f>
        <v>0</v>
      </c>
      <c r="BR31" s="9">
        <f xml:space="preserve"> IF(CABLES[[#This Row],[SEG6]] &gt;0,INDEX(SEGMENTS[], MATCH(CABLES[[#Headers],[SEG6]],SEGMENTS[SEG_ID],0),4),0)</f>
        <v>2</v>
      </c>
      <c r="BS31" s="9">
        <f xml:space="preserve"> IF(CABLES[[#This Row],[SEG7]] &gt;0,INDEX(SEGMENTS[], MATCH(CABLES[[#Headers],[SEG7]],SEGMENTS[SEG_ID],0),4),0)</f>
        <v>0</v>
      </c>
      <c r="BT31" s="9">
        <f xml:space="preserve"> IF(CABLES[[#This Row],[SEG8]] &gt;0,INDEX(SEGMENTS[], MATCH(CABLES[[#Headers],[SEG8]],SEGMENTS[SEG_ID],0),4),0)</f>
        <v>3</v>
      </c>
      <c r="BU31" s="9">
        <f xml:space="preserve"> IF(CABLES[[#This Row],[SEG9]] &gt;0,INDEX(SEGMENTS[], MATCH(CABLES[[#Headers],[SEG9]],SEGMENTS[SEG_ID],0),4),0)</f>
        <v>0</v>
      </c>
      <c r="BV31" s="9">
        <f xml:space="preserve"> IF(CABLES[[#This Row],[SEG10]] &gt;0,INDEX(SEGMENTS[], MATCH(CABLES[[#Headers],[SEG10]],SEGMENTS[SEG_ID],0),4),0)</f>
        <v>0</v>
      </c>
      <c r="BW31" s="9">
        <f xml:space="preserve"> IF(CABLES[[#This Row],[SEG11]] &gt;0,INDEX(SEGMENTS[], MATCH(CABLES[[#Headers],[SEG11]],SEGMENTS[SEG_ID],0),4),0)</f>
        <v>0</v>
      </c>
      <c r="BX31" s="9">
        <f>IF(CABLES[[#This Row],[SEG12]] &gt;0, INDEX(SEGMENTS[], MATCH(CABLES[[#Headers],[SEG12]],SEGMENTS[SEG_ID],0),4),0)</f>
        <v>0</v>
      </c>
      <c r="BY31" s="9">
        <f xml:space="preserve"> IF(CABLES[[#This Row],[SEG13]] &gt;0,INDEX(SEGMENTS[], MATCH(CABLES[[#Headers],[SEG13]],SEGMENTS[SEG_ID],0),4),0)</f>
        <v>0</v>
      </c>
      <c r="BZ31" s="9">
        <f xml:space="preserve"> IF(CABLES[[#This Row],[SEG14]] &gt;0,INDEX(SEGMENTS[], MATCH(CABLES[[#Headers],[SEG14]],SEGMENTS[SEG_ID],0),4),0)</f>
        <v>4</v>
      </c>
      <c r="CA31" s="9">
        <f xml:space="preserve"> IF(CABLES[[#This Row],[SEG15]] &gt;0,INDEX(SEGMENTS[], MATCH(CABLES[[#Headers],[SEG15]],SEGMENTS[SEG_ID],0),4),0)</f>
        <v>8</v>
      </c>
      <c r="CB31" s="9">
        <f xml:space="preserve"> IF(CABLES[[#This Row],[SEG16]] &gt;0,INDEX(SEGMENTS[], MATCH(CABLES[[#Headers],[SEG16]],SEGMENTS[SEG_ID],0),4),0)</f>
        <v>0</v>
      </c>
      <c r="CC31" s="9">
        <f xml:space="preserve"> IF(CABLES[[#This Row],[SEG17]] &gt;0,INDEX(SEGMENTS[], MATCH(CABLES[[#Headers],[SEG17]],SEGMENTS[SEG_ID],0),4),0)</f>
        <v>0</v>
      </c>
      <c r="CD31" s="9">
        <f xml:space="preserve"> IF(CABLES[[#This Row],[SEG18]] &gt;0,INDEX(SEGMENTS[], MATCH(CABLES[[#Headers],[SEG18]],SEGMENTS[SEG_ID],0),4),0)</f>
        <v>0</v>
      </c>
      <c r="CE31" s="9">
        <f>IF(CABLES[[#This Row],[SEG19]] &gt;0, INDEX(SEGMENTS[], MATCH(CABLES[[#Headers],[SEG19]],SEGMENTS[SEG_ID],0),4),0)</f>
        <v>0</v>
      </c>
      <c r="CF31" s="9">
        <f>IF(CABLES[[#This Row],[SEG20]] &gt;0, INDEX(SEGMENTS[], MATCH(CABLES[[#Headers],[SEG20]],SEGMENTS[SEG_ID],0),4),0)</f>
        <v>0</v>
      </c>
      <c r="CG31" s="9">
        <f xml:space="preserve"> IF(CABLES[[#This Row],[SEG21]] &gt;0,INDEX(SEGMENTS[], MATCH(CABLES[[#Headers],[SEG21]],SEGMENTS[SEG_ID],0),4),0)</f>
        <v>0</v>
      </c>
      <c r="CH31" s="9">
        <f xml:space="preserve"> IF(CABLES[[#This Row],[SEG22]] &gt;0,INDEX(SEGMENTS[], MATCH(CABLES[[#Headers],[SEG22]],SEGMENTS[SEG_ID],0),4),0)</f>
        <v>0</v>
      </c>
      <c r="CI31" s="9">
        <f>IF(CABLES[[#This Row],[SEG23]] &gt;0, INDEX(SEGMENTS[], MATCH(CABLES[[#Headers],[SEG23]],SEGMENTS[SEG_ID],0),4),0)</f>
        <v>0</v>
      </c>
      <c r="CJ31" s="9">
        <f xml:space="preserve"> IF(CABLES[[#This Row],[SEG24]] &gt;0,INDEX(SEGMENTS[], MATCH(CABLES[[#Headers],[SEG24]],SEGMENTS[SEG_ID],0),4),0)</f>
        <v>0</v>
      </c>
      <c r="CK31" s="9">
        <f>IF(CABLES[[#This Row],[SEG25]] &gt;0, INDEX(SEGMENTS[], MATCH(CABLES[[#Headers],[SEG25]],SEGMENTS[SEG_ID],0),4),0)</f>
        <v>0</v>
      </c>
      <c r="CL31" s="9">
        <f>IF(CABLES[[#This Row],[SEG26]] &gt;0, INDEX(SEGMENTS[], MATCH(CABLES[[#Headers],[SEG26]],SEGMENTS[SEG_ID],0),4),0)</f>
        <v>0</v>
      </c>
      <c r="CM31" s="9">
        <f xml:space="preserve"> IF(CABLES[[#This Row],[SEG27]] &gt;0,INDEX(SEGMENTS[], MATCH(CABLES[[#Headers],[SEG27]],SEGMENTS[SEG_ID],0),4),0)</f>
        <v>0</v>
      </c>
      <c r="CN31" s="9">
        <f xml:space="preserve"> IF(CABLES[[#This Row],[SEG28]] &gt;0,INDEX(SEGMENTS[], MATCH(CABLES[[#Headers],[SEG28]],SEGMENTS[SEG_ID],0),4),0)</f>
        <v>0</v>
      </c>
      <c r="CO31" s="9">
        <f xml:space="preserve"> IF(CABLES[[#This Row],[SEG29]] &gt;0,INDEX(SEGMENTS[], MATCH(CABLES[[#Headers],[SEG29]],SEGMENTS[SEG_ID],0),4),0)</f>
        <v>0</v>
      </c>
      <c r="CP31" s="9">
        <f xml:space="preserve"> IF(CABLES[[#This Row],[SEG30]] &gt;0,INDEX(SEGMENTS[], MATCH(CABLES[[#Headers],[SEG30]],SEGMENTS[SEG_ID],0),4),0)</f>
        <v>0</v>
      </c>
      <c r="CQ31" s="9">
        <f>IF(CABLES[[#This Row],[SEG31]] &gt;0, INDEX(SEGMENTS[], MATCH(CABLES[[#Headers],[SEG31]],SEGMENTS[SEG_ID],0),4),0)</f>
        <v>0</v>
      </c>
      <c r="CR31" s="9">
        <f xml:space="preserve"> IF(CABLES[[#This Row],[SEG32]] &gt;0,INDEX(SEGMENTS[], MATCH(CABLES[[#Headers],[SEG32]],SEGMENTS[SEG_ID],0),4),0)</f>
        <v>0</v>
      </c>
      <c r="CS31" s="9">
        <f xml:space="preserve"> IF(CABLES[[#This Row],[SEG33]] &gt;0,INDEX(SEGMENTS[], MATCH(CABLES[[#Headers],[SEG33]],SEGMENTS[SEG_ID],0),4),0)</f>
        <v>0</v>
      </c>
      <c r="CT31" s="9">
        <f>IF(CABLES[[#This Row],[SEG34]] &gt;0, INDEX(SEGMENTS[], MATCH(CABLES[[#Headers],[SEG34]],SEGMENTS[SEG_ID],0),4),0)</f>
        <v>0</v>
      </c>
      <c r="CU31" s="9">
        <f xml:space="preserve"> IF(CABLES[[#This Row],[SEG35]] &gt;0,INDEX(SEGMENTS[], MATCH(CABLES[[#Headers],[SEG35]],SEGMENTS[SEG_ID],0),4),0)</f>
        <v>0</v>
      </c>
      <c r="CV31" s="9">
        <f xml:space="preserve"> IF(CABLES[[#This Row],[SEG36]] &gt;0,INDEX(SEGMENTS[], MATCH(CABLES[[#Headers],[SEG36]],SEGMENTS[SEG_ID],0),4),0)</f>
        <v>0</v>
      </c>
      <c r="CW31" s="9">
        <f xml:space="preserve"> IF(CABLES[[#This Row],[SEG37]] &gt;0,INDEX(SEGMENTS[], MATCH(CABLES[[#Headers],[SEG37]],SEGMENTS[SEG_ID],0),4),0)</f>
        <v>0</v>
      </c>
      <c r="CX31" s="9">
        <f xml:space="preserve"> IF(CABLES[[#This Row],[SEG38]] &gt;0,INDEX(SEGMENTS[], MATCH(CABLES[[#Headers],[SEG38]],SEGMENTS[SEG_ID],0),4),0)</f>
        <v>0</v>
      </c>
      <c r="CY31" s="9">
        <f xml:space="preserve"> IF(CABLES[[#This Row],[SEG39]] &gt;0,INDEX(SEGMENTS[], MATCH(CABLES[[#Headers],[SEG39]],SEGMENTS[SEG_ID],0),4),0)</f>
        <v>0</v>
      </c>
      <c r="CZ31" s="9">
        <f xml:space="preserve"> IF(CABLES[[#This Row],[SEG40]] &gt;0,INDEX(SEGMENTS[], MATCH(CABLES[[#Headers],[SEG40]],SEGMENTS[SEG_ID],0),4),0)</f>
        <v>0</v>
      </c>
      <c r="DA31" s="9">
        <f xml:space="preserve"> IF(CABLES[[#This Row],[SEG41]] &gt;0,INDEX(SEGMENTS[], MATCH(CABLES[[#Headers],[SEG41]],SEGMENTS[SEG_ID],0),4),0)</f>
        <v>0</v>
      </c>
      <c r="DB31" s="9">
        <f xml:space="preserve"> IF(CABLES[[#This Row],[SEG42]] &gt;0,INDEX(SEGMENTS[], MATCH(CABLES[[#Headers],[SEG42]],SEGMENTS[SEG_ID],0),4),0)</f>
        <v>0</v>
      </c>
      <c r="DC31" s="9">
        <f xml:space="preserve"> IF(CABLES[[#This Row],[SEG43]] &gt;0,INDEX(SEGMENTS[], MATCH(CABLES[[#Headers],[SEG43]],SEGMENTS[SEG_ID],0),4),0)</f>
        <v>0</v>
      </c>
      <c r="DD31" s="9">
        <f xml:space="preserve"> IF(CABLES[[#This Row],[SEG44]] &gt;0,INDEX(SEGMENTS[], MATCH(CABLES[[#Headers],[SEG44]],SEGMENTS[SEG_ID],0),4),0)</f>
        <v>0</v>
      </c>
      <c r="DE31" s="9">
        <f xml:space="preserve"> IF(CABLES[[#This Row],[SEG45]] &gt;0,INDEX(SEGMENTS[], MATCH(CABLES[[#Headers],[SEG45]],SEGMENTS[SEG_ID],0),4),0)</f>
        <v>0</v>
      </c>
      <c r="DF31" s="9">
        <f xml:space="preserve"> IF(CABLES[[#This Row],[SEG46]] &gt;0,INDEX(SEGMENTS[], MATCH(CABLES[[#Headers],[SEG46]],SEGMENTS[SEG_ID],0),4),0)</f>
        <v>0</v>
      </c>
      <c r="DG31" s="9">
        <f xml:space="preserve"> IF(CABLES[[#This Row],[SEG47]] &gt;0,INDEX(SEGMENTS[], MATCH(CABLES[[#Headers],[SEG47]],SEGMENTS[SEG_ID],0),4),0)</f>
        <v>0</v>
      </c>
      <c r="DH31" s="9">
        <f xml:space="preserve"> IF(CABLES[[#This Row],[SEG48]] &gt;0,INDEX(SEGMENTS[], MATCH(CABLES[[#Headers],[SEG48]],SEGMENTS[SEG_ID],0),4),0)</f>
        <v>0</v>
      </c>
      <c r="DI31" s="9">
        <f xml:space="preserve"> IF(CABLES[[#This Row],[SEG49]] &gt;0,INDEX(SEGMENTS[], MATCH(CABLES[[#Headers],[SEG49]],SEGMENTS[SEG_ID],0),4),0)</f>
        <v>0</v>
      </c>
      <c r="DJ31" s="9">
        <f xml:space="preserve"> IF(CABLES[[#This Row],[SEG50]] &gt;0,INDEX(SEGMENTS[], MATCH(CABLES[[#Headers],[SEG50]],SEGMENTS[SEG_ID],0),4),0)</f>
        <v>0</v>
      </c>
      <c r="DK31" s="9">
        <f xml:space="preserve"> IF(CABLES[[#This Row],[SEG51]] &gt;0,INDEX(SEGMENTS[], MATCH(CABLES[[#Headers],[SEG51]],SEGMENTS[SEG_ID],0),4),0)</f>
        <v>0</v>
      </c>
      <c r="DL31" s="9">
        <f xml:space="preserve"> IF(CABLES[[#This Row],[SEG52]] &gt;0,INDEX(SEGMENTS[], MATCH(CABLES[[#Headers],[SEG52]],SEGMENTS[SEG_ID],0),4),0)</f>
        <v>0</v>
      </c>
      <c r="DM31" s="9">
        <f xml:space="preserve"> IF(CABLES[[#This Row],[SEG53]] &gt;0,INDEX(SEGMENTS[], MATCH(CABLES[[#Headers],[SEG53]],SEGMENTS[SEG_ID],0),4),0)</f>
        <v>0</v>
      </c>
      <c r="DN31" s="9">
        <f xml:space="preserve"> IF(CABLES[[#This Row],[SEG54]] &gt;0,INDEX(SEGMENTS[], MATCH(CABLES[[#Headers],[SEG54]],SEGMENTS[SEG_ID],0),4),0)</f>
        <v>0</v>
      </c>
      <c r="DO31" s="9">
        <f xml:space="preserve"> IF(CABLES[[#This Row],[SEG55]] &gt;0,INDEX(SEGMENTS[], MATCH(CABLES[[#Headers],[SEG55]],SEGMENTS[SEG_ID],0),4),0)</f>
        <v>0</v>
      </c>
      <c r="DP31" s="9">
        <f xml:space="preserve"> IF(CABLES[[#This Row],[SEG56]] &gt;0,INDEX(SEGMENTS[], MATCH(CABLES[[#Headers],[SEG56]],SEGMENTS[SEG_ID],0),4),0)</f>
        <v>0</v>
      </c>
      <c r="DQ31" s="9">
        <f xml:space="preserve"> IF(CABLES[[#This Row],[SEG57]] &gt;0,INDEX(SEGMENTS[], MATCH(CABLES[[#Headers],[SEG57]],SEGMENTS[SEG_ID],0),4),0)</f>
        <v>0</v>
      </c>
      <c r="DR31" s="9">
        <f xml:space="preserve"> IF(CABLES[[#This Row],[SEG58]] &gt;0,INDEX(SEGMENTS[], MATCH(CABLES[[#Headers],[SEG58]],SEGMENTS[SEG_ID],0),4),0)</f>
        <v>0</v>
      </c>
      <c r="DS31" s="9">
        <f xml:space="preserve"> IF(CABLES[[#This Row],[SEG59]] &gt;0,INDEX(SEGMENTS[], MATCH(CABLES[[#Headers],[SEG59]],SEGMENTS[SEG_ID],0),4),0)</f>
        <v>0</v>
      </c>
      <c r="DT31" s="9">
        <f xml:space="preserve"> IF(CABLES[[#This Row],[SEG60]] &gt;0,INDEX(SEGMENTS[], MATCH(CABLES[[#Headers],[SEG60]],SEGMENTS[SEG_ID],0),4),0)</f>
        <v>0</v>
      </c>
      <c r="DU31" s="10">
        <f>SUM(CABLES[[#This Row],[SEGL1]:[SEGL60]])</f>
        <v>46</v>
      </c>
      <c r="DV31" s="10">
        <v>5</v>
      </c>
      <c r="DW31" s="10">
        <v>1.2</v>
      </c>
      <c r="DX31" s="10">
        <f xml:space="preserve"> IF(CABLES[[#This Row],[SEGL_TOTAL]]&gt;0, (CABLES[[#This Row],[SEGL_TOTAL]] + CABLES[[#This Row],[FITOFF]]) *CABLES[[#This Row],[XCAPACITY]],0)</f>
        <v>61.199999999999996</v>
      </c>
      <c r="DY31" s="10">
        <f>IF(CABLES[[#This Row],[SEG1]]&gt;0,CABLES[[#This Row],[CABLE_DIAMETER]],0)</f>
        <v>14.5</v>
      </c>
      <c r="DZ31" s="10">
        <f>IF(CABLES[[#This Row],[SEG2]]&gt;0,CABLES[[#This Row],[CABLE_DIAMETER]],0)</f>
        <v>14.5</v>
      </c>
      <c r="EA31" s="10">
        <f>IF(CABLES[[#This Row],[SEG3]]&gt;0,CABLES[[#This Row],[CABLE_DIAMETER]],0)</f>
        <v>0</v>
      </c>
      <c r="EB31" s="10">
        <f>IF(CABLES[[#This Row],[SEG4]]&gt;0,CABLES[[#This Row],[CABLE_DIAMETER]],0)</f>
        <v>14.5</v>
      </c>
      <c r="EC31" s="10">
        <f>IF(CABLES[[#This Row],[SEG5]]&gt;0,CABLES[[#This Row],[CABLE_DIAMETER]],0)</f>
        <v>0</v>
      </c>
      <c r="ED31" s="10">
        <f>IF(CABLES[[#This Row],[SEG6]]&gt;0,CABLES[[#This Row],[CABLE_DIAMETER]],0)</f>
        <v>14.5</v>
      </c>
      <c r="EE31" s="10">
        <f>IF(CABLES[[#This Row],[SEG7]]&gt;0,CABLES[[#This Row],[CABLE_DIAMETER]],0)</f>
        <v>0</v>
      </c>
      <c r="EF31" s="10">
        <f>IF(CABLES[[#This Row],[SEG9]]&gt;0,CABLES[[#This Row],[CABLE_DIAMETER]],0)</f>
        <v>0</v>
      </c>
      <c r="EG31" s="10">
        <f>IF(CABLES[[#This Row],[SEG9]]&gt;0,CABLES[[#This Row],[CABLE_DIAMETER]],0)</f>
        <v>0</v>
      </c>
      <c r="EH31" s="10">
        <f>IF(CABLES[[#This Row],[SEG10]]&gt;0,CABLES[[#This Row],[CABLE_DIAMETER]],0)</f>
        <v>0</v>
      </c>
      <c r="EI31" s="10">
        <f>IF(CABLES[[#This Row],[SEG11]]&gt;0,CABLES[[#This Row],[CABLE_DIAMETER]],0)</f>
        <v>0</v>
      </c>
      <c r="EJ31" s="10">
        <f>IF(CABLES[[#This Row],[SEG12]]&gt;0,CABLES[[#This Row],[CABLE_DIAMETER]],0)</f>
        <v>0</v>
      </c>
      <c r="EK31" s="10">
        <f>IF(CABLES[[#This Row],[SEG13]]&gt;0,CABLES[[#This Row],[CABLE_DIAMETER]],0)</f>
        <v>0</v>
      </c>
      <c r="EL31" s="10">
        <f>IF(CABLES[[#This Row],[SEG14]]&gt;0,CABLES[[#This Row],[CABLE_DIAMETER]],0)</f>
        <v>14.5</v>
      </c>
      <c r="EM31" s="10">
        <f>IF(CABLES[[#This Row],[SEG15]]&gt;0,CABLES[[#This Row],[CABLE_DIAMETER]],0)</f>
        <v>14.5</v>
      </c>
      <c r="EN31" s="10">
        <f>IF(CABLES[[#This Row],[SEG16]]&gt;0,CABLES[[#This Row],[CABLE_DIAMETER]],0)</f>
        <v>0</v>
      </c>
      <c r="EO31" s="10">
        <f>IF(CABLES[[#This Row],[SEG17]]&gt;0,CABLES[[#This Row],[CABLE_DIAMETER]],0)</f>
        <v>0</v>
      </c>
      <c r="EP31" s="10">
        <f>IF(CABLES[[#This Row],[SEG18]]&gt;0,CABLES[[#This Row],[CABLE_DIAMETER]],0)</f>
        <v>0</v>
      </c>
      <c r="EQ31" s="10">
        <f>IF(CABLES[[#This Row],[SEG19]]&gt;0,CABLES[[#This Row],[CABLE_DIAMETER]],0)</f>
        <v>0</v>
      </c>
      <c r="ER31" s="10">
        <f>IF(CABLES[[#This Row],[SEG20]]&gt;0,CABLES[[#This Row],[CABLE_DIAMETER]],0)</f>
        <v>0</v>
      </c>
      <c r="ES31" s="10">
        <f>IF(CABLES[[#This Row],[SEG21]]&gt;0,CABLES[[#This Row],[CABLE_DIAMETER]],0)</f>
        <v>0</v>
      </c>
      <c r="ET31" s="10">
        <f>IF(CABLES[[#This Row],[SEG22]]&gt;0,CABLES[[#This Row],[CABLE_DIAMETER]],0)</f>
        <v>0</v>
      </c>
      <c r="EU31" s="10">
        <f>IF(CABLES[[#This Row],[SEG23]]&gt;0,CABLES[[#This Row],[CABLE_DIAMETER]],0)</f>
        <v>0</v>
      </c>
      <c r="EV31" s="10">
        <f>IF(CABLES[[#This Row],[SEG24]]&gt;0,CABLES[[#This Row],[CABLE_DIAMETER]],0)</f>
        <v>0</v>
      </c>
      <c r="EW31" s="10">
        <f>IF(CABLES[[#This Row],[SEG25]]&gt;0,CABLES[[#This Row],[CABLE_DIAMETER]],0)</f>
        <v>0</v>
      </c>
      <c r="EX31" s="10">
        <f>IF(CABLES[[#This Row],[SEG26]]&gt;0,CABLES[[#This Row],[CABLE_DIAMETER]],0)</f>
        <v>0</v>
      </c>
      <c r="EY31" s="10">
        <f>IF(CABLES[[#This Row],[SEG27]]&gt;0,CABLES[[#This Row],[CABLE_DIAMETER]],0)</f>
        <v>0</v>
      </c>
      <c r="EZ31" s="10">
        <f>IF(CABLES[[#This Row],[SEG28]]&gt;0,CABLES[[#This Row],[CABLE_DIAMETER]],0)</f>
        <v>0</v>
      </c>
      <c r="FA31" s="10">
        <f>IF(CABLES[[#This Row],[SEG29]]&gt;0,CABLES[[#This Row],[CABLE_DIAMETER]],0)</f>
        <v>0</v>
      </c>
      <c r="FB31" s="10">
        <f>IF(CABLES[[#This Row],[SEG30]]&gt;0,CABLES[[#This Row],[CABLE_DIAMETER]],0)</f>
        <v>0</v>
      </c>
      <c r="FC31" s="10">
        <f>IF(CABLES[[#This Row],[SEG31]]&gt;0,CABLES[[#This Row],[CABLE_DIAMETER]],0)</f>
        <v>0</v>
      </c>
      <c r="FD31" s="10">
        <f>IF(CABLES[[#This Row],[SEG32]]&gt;0,CABLES[[#This Row],[CABLE_DIAMETER]],0)</f>
        <v>0</v>
      </c>
      <c r="FE31" s="10">
        <f>IF(CABLES[[#This Row],[SEG33]]&gt;0,CABLES[[#This Row],[CABLE_DIAMETER]],0)</f>
        <v>0</v>
      </c>
      <c r="FF31" s="10">
        <f>IF(CABLES[[#This Row],[SEG34]]&gt;0,CABLES[[#This Row],[CABLE_DIAMETER]],0)</f>
        <v>0</v>
      </c>
      <c r="FG31" s="10">
        <f>IF(CABLES[[#This Row],[SEG35]]&gt;0,CABLES[[#This Row],[CABLE_DIAMETER]],0)</f>
        <v>0</v>
      </c>
      <c r="FH31" s="10">
        <f>IF(CABLES[[#This Row],[SEG36]]&gt;0,CABLES[[#This Row],[CABLE_DIAMETER]],0)</f>
        <v>0</v>
      </c>
      <c r="FI31" s="10">
        <f>IF(CABLES[[#This Row],[SEG37]]&gt;0,CABLES[[#This Row],[CABLE_DIAMETER]],0)</f>
        <v>0</v>
      </c>
      <c r="FJ31" s="10">
        <f>IF(CABLES[[#This Row],[SEG38]]&gt;0,CABLES[[#This Row],[CABLE_DIAMETER]],0)</f>
        <v>0</v>
      </c>
      <c r="FK31" s="10">
        <f>IF(CABLES[[#This Row],[SEG39]]&gt;0,CABLES[[#This Row],[CABLE_DIAMETER]],0)</f>
        <v>0</v>
      </c>
      <c r="FL31" s="10">
        <f>IF(CABLES[[#This Row],[SEG40]]&gt;0,CABLES[[#This Row],[CABLE_DIAMETER]],0)</f>
        <v>0</v>
      </c>
      <c r="FM31" s="10">
        <f>IF(CABLES[[#This Row],[SEG41]]&gt;0,CABLES[[#This Row],[CABLE_DIAMETER]],0)</f>
        <v>0</v>
      </c>
      <c r="FN31" s="10">
        <f>IF(CABLES[[#This Row],[SEG42]]&gt;0,CABLES[[#This Row],[CABLE_DIAMETER]],0)</f>
        <v>0</v>
      </c>
      <c r="FO31" s="10">
        <f>IF(CABLES[[#This Row],[SEG43]]&gt;0,CABLES[[#This Row],[CABLE_DIAMETER]],0)</f>
        <v>0</v>
      </c>
      <c r="FP31" s="10">
        <f>IF(CABLES[[#This Row],[SEG44]]&gt;0,CABLES[[#This Row],[CABLE_DIAMETER]],0)</f>
        <v>0</v>
      </c>
      <c r="FQ31" s="10">
        <f>IF(CABLES[[#This Row],[SEG45]]&gt;0,CABLES[[#This Row],[CABLE_DIAMETER]],0)</f>
        <v>0</v>
      </c>
      <c r="FR31" s="10">
        <f>IF(CABLES[[#This Row],[SEG46]]&gt;0,CABLES[[#This Row],[CABLE_DIAMETER]],0)</f>
        <v>0</v>
      </c>
      <c r="FS31" s="10">
        <f>IF(CABLES[[#This Row],[SEG47]]&gt;0,CABLES[[#This Row],[CABLE_DIAMETER]],0)</f>
        <v>0</v>
      </c>
      <c r="FT31" s="10">
        <f>IF(CABLES[[#This Row],[SEG48]]&gt;0,CABLES[[#This Row],[CABLE_DIAMETER]],0)</f>
        <v>0</v>
      </c>
      <c r="FU31" s="10">
        <f>IF(CABLES[[#This Row],[SEG49]]&gt;0,CABLES[[#This Row],[CABLE_DIAMETER]],0)</f>
        <v>0</v>
      </c>
      <c r="FV31" s="10">
        <f>IF(CABLES[[#This Row],[SEG50]]&gt;0,CABLES[[#This Row],[CABLE_DIAMETER]],0)</f>
        <v>0</v>
      </c>
      <c r="FW31" s="10">
        <f>IF(CABLES[[#This Row],[SEG51]]&gt;0,CABLES[[#This Row],[CABLE_DIAMETER]],0)</f>
        <v>0</v>
      </c>
      <c r="FX31" s="10">
        <f>IF(CABLES[[#This Row],[SEG52]]&gt;0,CABLES[[#This Row],[CABLE_DIAMETER]],0)</f>
        <v>0</v>
      </c>
      <c r="FY31" s="10">
        <f>IF(CABLES[[#This Row],[SEG53]]&gt;0,CABLES[[#This Row],[CABLE_DIAMETER]],0)</f>
        <v>0</v>
      </c>
      <c r="FZ31" s="10">
        <f>IF(CABLES[[#This Row],[SEG54]]&gt;0,CABLES[[#This Row],[CABLE_DIAMETER]],0)</f>
        <v>0</v>
      </c>
      <c r="GA31" s="10">
        <f>IF(CABLES[[#This Row],[SEG55]]&gt;0,CABLES[[#This Row],[CABLE_DIAMETER]],0)</f>
        <v>0</v>
      </c>
      <c r="GB31" s="10">
        <f>IF(CABLES[[#This Row],[SEG56]]&gt;0,CABLES[[#This Row],[CABLE_DIAMETER]],0)</f>
        <v>0</v>
      </c>
      <c r="GC31" s="10">
        <f>IF(CABLES[[#This Row],[SEG57]]&gt;0,CABLES[[#This Row],[CABLE_DIAMETER]],0)</f>
        <v>0</v>
      </c>
      <c r="GD31" s="10">
        <f>IF(CABLES[[#This Row],[SEG58]]&gt;0,CABLES[[#This Row],[CABLE_DIAMETER]],0)</f>
        <v>0</v>
      </c>
      <c r="GE31" s="10">
        <f>IF(CABLES[[#This Row],[SEG59]]&gt;0,CABLES[[#This Row],[CABLE_DIAMETER]],0)</f>
        <v>0</v>
      </c>
      <c r="GF31" s="10">
        <f>IF(CABLES[[#This Row],[SEG60]]&gt;0,CABLES[[#This Row],[CABLE_DIAMETER]],0)</f>
        <v>0</v>
      </c>
      <c r="GG31" s="10">
        <f>IF(CABLES[[#This Row],[SEG1]]&gt;0,CABLES[[#This Row],[CABLE_MASS]],0)</f>
        <v>0.33</v>
      </c>
      <c r="GH31" s="10">
        <f>IF(CABLES[[#This Row],[SEG2]]&gt;0,CABLES[[#This Row],[CABLE_MASS]],0)</f>
        <v>0.33</v>
      </c>
      <c r="GI31" s="10">
        <f>IF(CABLES[[#This Row],[SEG3]]&gt;0,CABLES[[#This Row],[CABLE_MASS]],0)</f>
        <v>0</v>
      </c>
      <c r="GJ31" s="10">
        <f>IF(CABLES[[#This Row],[SEG4]]&gt;0,CABLES[[#This Row],[CABLE_MASS]],0)</f>
        <v>0.33</v>
      </c>
      <c r="GK31" s="10">
        <f>IF(CABLES[[#This Row],[SEG5]]&gt;0,CABLES[[#This Row],[CABLE_MASS]],0)</f>
        <v>0</v>
      </c>
      <c r="GL31" s="10">
        <f>IF(CABLES[[#This Row],[SEG6]]&gt;0,CABLES[[#This Row],[CABLE_MASS]],0)</f>
        <v>0.33</v>
      </c>
      <c r="GM31" s="10">
        <f>IF(CABLES[[#This Row],[SEG7]]&gt;0,CABLES[[#This Row],[CABLE_MASS]],0)</f>
        <v>0</v>
      </c>
      <c r="GN31" s="10">
        <f>IF(CABLES[[#This Row],[SEG8]]&gt;0,CABLES[[#This Row],[CABLE_MASS]],0)</f>
        <v>0.33</v>
      </c>
      <c r="GO31" s="10">
        <f>IF(CABLES[[#This Row],[SEG9]]&gt;0,CABLES[[#This Row],[CABLE_MASS]],0)</f>
        <v>0</v>
      </c>
      <c r="GP31" s="10">
        <f>IF(CABLES[[#This Row],[SEG10]]&gt;0,CABLES[[#This Row],[CABLE_MASS]],0)</f>
        <v>0</v>
      </c>
      <c r="GQ31" s="10">
        <f>IF(CABLES[[#This Row],[SEG11]]&gt;0,CABLES[[#This Row],[CABLE_MASS]],0)</f>
        <v>0</v>
      </c>
      <c r="GR31" s="10">
        <f>IF(CABLES[[#This Row],[SEG12]]&gt;0,CABLES[[#This Row],[CABLE_MASS]],0)</f>
        <v>0</v>
      </c>
      <c r="GS31" s="10">
        <f>IF(CABLES[[#This Row],[SEG13]]&gt;0,CABLES[[#This Row],[CABLE_MASS]],0)</f>
        <v>0</v>
      </c>
      <c r="GT31" s="10">
        <f>IF(CABLES[[#This Row],[SEG14]]&gt;0,CABLES[[#This Row],[CABLE_MASS]],0)</f>
        <v>0.33</v>
      </c>
      <c r="GU31" s="10">
        <f>IF(CABLES[[#This Row],[SEG15]]&gt;0,CABLES[[#This Row],[CABLE_MASS]],0)</f>
        <v>0.33</v>
      </c>
      <c r="GV31" s="10">
        <f>IF(CABLES[[#This Row],[SEG16]]&gt;0,CABLES[[#This Row],[CABLE_MASS]],0)</f>
        <v>0</v>
      </c>
      <c r="GW31" s="10">
        <f>IF(CABLES[[#This Row],[SEG17]]&gt;0,CABLES[[#This Row],[CABLE_MASS]],0)</f>
        <v>0</v>
      </c>
      <c r="GX31" s="10">
        <f>IF(CABLES[[#This Row],[SEG18]]&gt;0,CABLES[[#This Row],[CABLE_MASS]],0)</f>
        <v>0</v>
      </c>
      <c r="GY31" s="10">
        <f>IF(CABLES[[#This Row],[SEG19]]&gt;0,CABLES[[#This Row],[CABLE_MASS]],0)</f>
        <v>0</v>
      </c>
      <c r="GZ31" s="10">
        <f>IF(CABLES[[#This Row],[SEG20]]&gt;0,CABLES[[#This Row],[CABLE_MASS]],0)</f>
        <v>0</v>
      </c>
      <c r="HA31" s="10">
        <f>IF(CABLES[[#This Row],[SEG21]]&gt;0,CABLES[[#This Row],[CABLE_MASS]],0)</f>
        <v>0</v>
      </c>
      <c r="HB31" s="10">
        <f>IF(CABLES[[#This Row],[SEG22]]&gt;0,CABLES[[#This Row],[CABLE_MASS]],0)</f>
        <v>0</v>
      </c>
      <c r="HC31" s="10">
        <f>IF(CABLES[[#This Row],[SEG23]]&gt;0,CABLES[[#This Row],[CABLE_MASS]],0)</f>
        <v>0</v>
      </c>
      <c r="HD31" s="10">
        <f>IF(CABLES[[#This Row],[SEG24]]&gt;0,CABLES[[#This Row],[CABLE_MASS]],0)</f>
        <v>0</v>
      </c>
      <c r="HE31" s="10">
        <f>IF(CABLES[[#This Row],[SEG25]]&gt;0,CABLES[[#This Row],[CABLE_MASS]],0)</f>
        <v>0</v>
      </c>
      <c r="HF31" s="10">
        <f>IF(CABLES[[#This Row],[SEG26]]&gt;0,CABLES[[#This Row],[CABLE_MASS]],0)</f>
        <v>0</v>
      </c>
      <c r="HG31" s="10">
        <f>IF(CABLES[[#This Row],[SEG27]]&gt;0,CABLES[[#This Row],[CABLE_MASS]],0)</f>
        <v>0</v>
      </c>
      <c r="HH31" s="10">
        <f>IF(CABLES[[#This Row],[SEG28]]&gt;0,CABLES[[#This Row],[CABLE_MASS]],0)</f>
        <v>0</v>
      </c>
      <c r="HI31" s="10">
        <f>IF(CABLES[[#This Row],[SEG29]]&gt;0,CABLES[[#This Row],[CABLE_MASS]],0)</f>
        <v>0</v>
      </c>
      <c r="HJ31" s="10">
        <f>IF(CABLES[[#This Row],[SEG30]]&gt;0,CABLES[[#This Row],[CABLE_MASS]],0)</f>
        <v>0</v>
      </c>
      <c r="HK31" s="10">
        <f>IF(CABLES[[#This Row],[SEG31]]&gt;0,CABLES[[#This Row],[CABLE_MASS]],0)</f>
        <v>0</v>
      </c>
      <c r="HL31" s="10">
        <f>IF(CABLES[[#This Row],[SEG32]]&gt;0,CABLES[[#This Row],[CABLE_MASS]],0)</f>
        <v>0</v>
      </c>
      <c r="HM31" s="10">
        <f>IF(CABLES[[#This Row],[SEG33]]&gt;0,CABLES[[#This Row],[CABLE_MASS]],0)</f>
        <v>0</v>
      </c>
      <c r="HN31" s="10">
        <f>IF(CABLES[[#This Row],[SEG34]]&gt;0,CABLES[[#This Row],[CABLE_MASS]],0)</f>
        <v>0</v>
      </c>
      <c r="HO31" s="10">
        <f>IF(CABLES[[#This Row],[SEG35]]&gt;0,CABLES[[#This Row],[CABLE_MASS]],0)</f>
        <v>0</v>
      </c>
      <c r="HP31" s="10">
        <f>IF(CABLES[[#This Row],[SEG36]]&gt;0,CABLES[[#This Row],[CABLE_MASS]],0)</f>
        <v>0</v>
      </c>
      <c r="HQ31" s="10">
        <f>IF(CABLES[[#This Row],[SEG37]]&gt;0,CABLES[[#This Row],[CABLE_MASS]],0)</f>
        <v>0</v>
      </c>
      <c r="HR31" s="10">
        <f>IF(CABLES[[#This Row],[SEG38]]&gt;0,CABLES[[#This Row],[CABLE_MASS]],0)</f>
        <v>0</v>
      </c>
      <c r="HS31" s="10">
        <f>IF(CABLES[[#This Row],[SEG39]]&gt;0,CABLES[[#This Row],[CABLE_MASS]],0)</f>
        <v>0</v>
      </c>
      <c r="HT31" s="10">
        <f>IF(CABLES[[#This Row],[SEG40]]&gt;0,CABLES[[#This Row],[CABLE_MASS]],0)</f>
        <v>0</v>
      </c>
      <c r="HU31" s="10">
        <f>IF(CABLES[[#This Row],[SEG41]]&gt;0,CABLES[[#This Row],[CABLE_MASS]],0)</f>
        <v>0</v>
      </c>
      <c r="HV31" s="10">
        <f>IF(CABLES[[#This Row],[SEG42]]&gt;0,CABLES[[#This Row],[CABLE_MASS]],0)</f>
        <v>0</v>
      </c>
      <c r="HW31" s="10">
        <f>IF(CABLES[[#This Row],[SEG43]]&gt;0,CABLES[[#This Row],[CABLE_MASS]],0)</f>
        <v>0</v>
      </c>
      <c r="HX31" s="10">
        <f>IF(CABLES[[#This Row],[SEG44]]&gt;0,CABLES[[#This Row],[CABLE_MASS]],0)</f>
        <v>0</v>
      </c>
      <c r="HY31" s="10">
        <f>IF(CABLES[[#This Row],[SEG45]]&gt;0,CABLES[[#This Row],[CABLE_MASS]],0)</f>
        <v>0</v>
      </c>
      <c r="HZ31" s="10">
        <f>IF(CABLES[[#This Row],[SEG46]]&gt;0,CABLES[[#This Row],[CABLE_MASS]],0)</f>
        <v>0</v>
      </c>
      <c r="IA31" s="10">
        <f>IF(CABLES[[#This Row],[SEG47]]&gt;0,CABLES[[#This Row],[CABLE_MASS]],0)</f>
        <v>0</v>
      </c>
      <c r="IB31" s="10">
        <f>IF(CABLES[[#This Row],[SEG48]]&gt;0,CABLES[[#This Row],[CABLE_MASS]],0)</f>
        <v>0</v>
      </c>
      <c r="IC31" s="10">
        <f>IF(CABLES[[#This Row],[SEG49]]&gt;0,CABLES[[#This Row],[CABLE_MASS]],0)</f>
        <v>0</v>
      </c>
      <c r="ID31" s="10">
        <f>IF(CABLES[[#This Row],[SEG50]]&gt;0,CABLES[[#This Row],[CABLE_MASS]],0)</f>
        <v>0</v>
      </c>
      <c r="IE31" s="10">
        <f>IF(CABLES[[#This Row],[SEG51]]&gt;0,CABLES[[#This Row],[CABLE_MASS]],0)</f>
        <v>0</v>
      </c>
      <c r="IF31" s="10">
        <f>IF(CABLES[[#This Row],[SEG52]]&gt;0,CABLES[[#This Row],[CABLE_MASS]],0)</f>
        <v>0</v>
      </c>
      <c r="IG31" s="10">
        <f>IF(CABLES[[#This Row],[SEG53]]&gt;0,CABLES[[#This Row],[CABLE_MASS]],0)</f>
        <v>0</v>
      </c>
      <c r="IH31" s="10">
        <f>IF(CABLES[[#This Row],[SEG54]]&gt;0,CABLES[[#This Row],[CABLE_MASS]],0)</f>
        <v>0</v>
      </c>
      <c r="II31" s="10">
        <f>IF(CABLES[[#This Row],[SEG55]]&gt;0,CABLES[[#This Row],[CABLE_MASS]],0)</f>
        <v>0</v>
      </c>
      <c r="IJ31" s="10">
        <f>IF(CABLES[[#This Row],[SEG56]]&gt;0,CABLES[[#This Row],[CABLE_MASS]],0)</f>
        <v>0</v>
      </c>
      <c r="IK31" s="10">
        <f>IF(CABLES[[#This Row],[SEG57]]&gt;0,CABLES[[#This Row],[CABLE_MASS]],0)</f>
        <v>0</v>
      </c>
      <c r="IL31" s="10">
        <f>IF(CABLES[[#This Row],[SEG58]]&gt;0,CABLES[[#This Row],[CABLE_MASS]],0)</f>
        <v>0</v>
      </c>
      <c r="IM31" s="10">
        <f>IF(CABLES[[#This Row],[SEG59]]&gt;0,CABLES[[#This Row],[CABLE_MASS]],0)</f>
        <v>0</v>
      </c>
      <c r="IN31" s="10">
        <f>IF(CABLES[[#This Row],[SEG60]]&gt;0,CABLES[[#This Row],[CABLE_MASS]],0)</f>
        <v>0</v>
      </c>
      <c r="IO31" s="10">
        <f xml:space="preserve">  (CABLES[[#This Row],[LOAD_KW]]/(SQRT(3)*SYSTEM_VOLTAGE*POWER_FACTOR))*1000</f>
        <v>4.8112522432468809</v>
      </c>
      <c r="IP31" s="10">
        <v>45</v>
      </c>
      <c r="IQ31" s="10">
        <f xml:space="preserve"> INDEX(AS3000_AMBIENTDERATE[], MATCH(CABLES[[#This Row],[AMBIENT]],AS3000_AMBIENTDERATE[AMBIENT],0), 2)</f>
        <v>0.94</v>
      </c>
      <c r="IR31" s="10">
        <f xml:space="preserve"> ROUNDUP( CABLES[[#This Row],[CALCULATED_AMPS]]/CABLES[[#This Row],[AMBIENT_DERATING]],1)</f>
        <v>5.1999999999999993</v>
      </c>
      <c r="IS31" s="10" t="s">
        <v>531</v>
      </c>
      <c r="IT3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31" s="10">
        <f t="shared" si="0"/>
        <v>28.000000000000004</v>
      </c>
      <c r="IV31" s="10">
        <f>(1000*CABLES[[#This Row],[MAX_VDROP]])/(CABLES[[#This Row],[ESTIMATED_CABLE_LENGTH]]*CABLES[[#This Row],[AMP_RATING]])</f>
        <v>87.983911513323307</v>
      </c>
      <c r="IW31" s="10">
        <f xml:space="preserve"> INDEX(AS3000_VDROP[], MATCH(CABLES[[#This Row],[VC_CALC]],AS3000_VDROP[Vc],1),1)</f>
        <v>2.5</v>
      </c>
      <c r="IX31" s="10">
        <f>MAX(CABLES[[#This Row],[CABLESIZE_METHOD1]],CABLES[[#This Row],[CABLESIZE_METHOD2]])</f>
        <v>2.5</v>
      </c>
      <c r="IY31" s="10"/>
      <c r="IZ31" s="10">
        <f>IF(LEN(CABLES[[#This Row],[OVERRIDE_CABLESIZE]])&gt;0,CABLES[[#This Row],[OVERRIDE_CABLESIZE]],CABLES[[#This Row],[INITIAL_CABLESIZE]])</f>
        <v>2.5</v>
      </c>
      <c r="JA31" s="10">
        <f>INDEX(PROTECTIVE_DEVICE[DEVICE], MATCH(CABLES[[#This Row],[CALCULATED_AMPS]],PROTECTIVE_DEVICE[DEVICE],-1),1)</f>
        <v>6</v>
      </c>
      <c r="JB31" s="10"/>
      <c r="JC31" s="10">
        <f>IF(LEN(CABLES[[#This Row],[OVERRIDE_PDEVICE]])&gt;0, CABLES[[#This Row],[OVERRIDE_PDEVICE]],CABLES[[#This Row],[RECOMMEND_PDEVICE]])</f>
        <v>6</v>
      </c>
      <c r="JD31" s="10" t="s">
        <v>450</v>
      </c>
      <c r="JE31" s="10">
        <f xml:space="preserve"> CABLES[[#This Row],[SELECTED_PDEVICE]] * INDEX(DEVICE_CURVE[], MATCH(CABLES[[#This Row],[PDEVICE_CURVE]], DEVICE_CURVE[DEVICE_CURVE],0),2)</f>
        <v>39</v>
      </c>
      <c r="JF31" s="10" t="s">
        <v>458</v>
      </c>
      <c r="JG31" s="10">
        <f xml:space="preserve"> INDEX(CONDUCTOR_MATERIAL[], MATCH(CABLES[[#This Row],[CONDUCTOR_MATERIAL]],CONDUCTOR_MATERIAL[CONDUCTOR_MATERIAL],0),2)</f>
        <v>2.2499999999999999E-2</v>
      </c>
      <c r="JH31" s="10">
        <f>CABLES[[#This Row],[SELECTED_CABLESIZE]]</f>
        <v>2.5</v>
      </c>
      <c r="JI31" s="10">
        <f xml:space="preserve"> INDEX( EARTH_CONDUCTOR_SIZE[], MATCH(CABLES[[#This Row],[SPH]],EARTH_CONDUCTOR_SIZE[MM^2],-1), 2)</f>
        <v>2.5</v>
      </c>
      <c r="JJ31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31" s="10" t="str">
        <f>IF(CABLES[[#This Row],[LMAX]]&gt;CABLES[[#This Row],[ESTIMATED_CABLE_LENGTH]], "PASS", "ERROR")</f>
        <v>PASS</v>
      </c>
      <c r="JL3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1" s="6">
        <f xml:space="preserve"> ROUNDUP( CABLES[[#This Row],[CALCULATED_AMPS]],1)</f>
        <v>4.8999999999999995</v>
      </c>
      <c r="JO31" s="6">
        <f>CABLES[[#This Row],[SELECTED_CABLESIZE]]</f>
        <v>2.5</v>
      </c>
      <c r="JP31" s="10">
        <f>CABLES[[#This Row],[ESTIMATED_CABLE_LENGTH]]</f>
        <v>61.199999999999996</v>
      </c>
      <c r="JQ31" s="6">
        <f>CABLES[[#This Row],[SELECTED_PDEVICE]]</f>
        <v>6</v>
      </c>
    </row>
    <row r="32" spans="1:277" x14ac:dyDescent="0.35">
      <c r="A32" s="5" t="s">
        <v>31</v>
      </c>
      <c r="B32" s="5" t="s">
        <v>95</v>
      </c>
      <c r="C32" s="10" t="s">
        <v>261</v>
      </c>
      <c r="D32" s="9">
        <v>5.5</v>
      </c>
      <c r="E32" s="9">
        <v>1</v>
      </c>
      <c r="F32" s="9">
        <v>1</v>
      </c>
      <c r="G32" s="9">
        <v>0</v>
      </c>
      <c r="H32" s="9">
        <v>1</v>
      </c>
      <c r="I32" s="9">
        <v>0</v>
      </c>
      <c r="J32" s="9">
        <v>1</v>
      </c>
      <c r="K32" s="9">
        <v>0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1</v>
      </c>
      <c r="S32" s="9">
        <v>1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f xml:space="preserve"> IF(CABLES[[#This Row],[SEG1]] &gt;0, INDEX(SEGMENTS[], MATCH(CABLES[[#Headers],[SEG1]],SEGMENTS[SEG_ID],0),4),0)</f>
        <v>13</v>
      </c>
      <c r="BN32" s="9">
        <f xml:space="preserve"> IF(CABLES[[#This Row],[SEG2]] &gt;0, INDEX(SEGMENTS[], MATCH(CABLES[[#Headers],[SEG2]],SEGMENTS[SEG_ID],0),4),0)</f>
        <v>2</v>
      </c>
      <c r="BO32" s="9">
        <f xml:space="preserve"> IF(CABLES[[#This Row],[SEG3]] &gt;0, INDEX(SEGMENTS[], MATCH(CABLES[[#Headers],[SEG3]],SEGMENTS[SEG_ID],0),4),0)</f>
        <v>0</v>
      </c>
      <c r="BP32" s="9">
        <f xml:space="preserve"> IF(CABLES[[#This Row],[SEG4]] &gt;0, INDEX(SEGMENTS[], MATCH(CABLES[[#Headers],[SEG4]],SEGMENTS[SEG_ID],0),4),0)</f>
        <v>14</v>
      </c>
      <c r="BQ32" s="9">
        <f xml:space="preserve"> IF(CABLES[[#This Row],[SEG5]] &gt;0,INDEX(SEGMENTS[], MATCH(CABLES[[#Headers],[SEG5]],SEGMENTS[SEG_ID],0),4),0)</f>
        <v>0</v>
      </c>
      <c r="BR32" s="9">
        <f xml:space="preserve"> IF(CABLES[[#This Row],[SEG6]] &gt;0,INDEX(SEGMENTS[], MATCH(CABLES[[#Headers],[SEG6]],SEGMENTS[SEG_ID],0),4),0)</f>
        <v>2</v>
      </c>
      <c r="BS32" s="9">
        <f xml:space="preserve"> IF(CABLES[[#This Row],[SEG7]] &gt;0,INDEX(SEGMENTS[], MATCH(CABLES[[#Headers],[SEG7]],SEGMENTS[SEG_ID],0),4),0)</f>
        <v>0</v>
      </c>
      <c r="BT32" s="9">
        <f xml:space="preserve"> IF(CABLES[[#This Row],[SEG8]] &gt;0,INDEX(SEGMENTS[], MATCH(CABLES[[#Headers],[SEG8]],SEGMENTS[SEG_ID],0),4),0)</f>
        <v>3</v>
      </c>
      <c r="BU32" s="9">
        <f xml:space="preserve"> IF(CABLES[[#This Row],[SEG9]] &gt;0,INDEX(SEGMENTS[], MATCH(CABLES[[#Headers],[SEG9]],SEGMENTS[SEG_ID],0),4),0)</f>
        <v>0</v>
      </c>
      <c r="BV32" s="9">
        <f xml:space="preserve"> IF(CABLES[[#This Row],[SEG10]] &gt;0,INDEX(SEGMENTS[], MATCH(CABLES[[#Headers],[SEG10]],SEGMENTS[SEG_ID],0),4),0)</f>
        <v>0</v>
      </c>
      <c r="BW32" s="9">
        <f xml:space="preserve"> IF(CABLES[[#This Row],[SEG11]] &gt;0,INDEX(SEGMENTS[], MATCH(CABLES[[#Headers],[SEG11]],SEGMENTS[SEG_ID],0),4),0)</f>
        <v>0</v>
      </c>
      <c r="BX32" s="9">
        <f>IF(CABLES[[#This Row],[SEG12]] &gt;0, INDEX(SEGMENTS[], MATCH(CABLES[[#Headers],[SEG12]],SEGMENTS[SEG_ID],0),4),0)</f>
        <v>0</v>
      </c>
      <c r="BY32" s="9">
        <f xml:space="preserve"> IF(CABLES[[#This Row],[SEG13]] &gt;0,INDEX(SEGMENTS[], MATCH(CABLES[[#Headers],[SEG13]],SEGMENTS[SEG_ID],0),4),0)</f>
        <v>0</v>
      </c>
      <c r="BZ32" s="9">
        <f xml:space="preserve"> IF(CABLES[[#This Row],[SEG14]] &gt;0,INDEX(SEGMENTS[], MATCH(CABLES[[#Headers],[SEG14]],SEGMENTS[SEG_ID],0),4),0)</f>
        <v>4</v>
      </c>
      <c r="CA32" s="9">
        <f xml:space="preserve"> IF(CABLES[[#This Row],[SEG15]] &gt;0,INDEX(SEGMENTS[], MATCH(CABLES[[#Headers],[SEG15]],SEGMENTS[SEG_ID],0),4),0)</f>
        <v>8</v>
      </c>
      <c r="CB32" s="9">
        <f xml:space="preserve"> IF(CABLES[[#This Row],[SEG16]] &gt;0,INDEX(SEGMENTS[], MATCH(CABLES[[#Headers],[SEG16]],SEGMENTS[SEG_ID],0),4),0)</f>
        <v>0</v>
      </c>
      <c r="CC32" s="9">
        <f xml:space="preserve"> IF(CABLES[[#This Row],[SEG17]] &gt;0,INDEX(SEGMENTS[], MATCH(CABLES[[#Headers],[SEG17]],SEGMENTS[SEG_ID],0),4),0)</f>
        <v>0</v>
      </c>
      <c r="CD32" s="9">
        <f xml:space="preserve"> IF(CABLES[[#This Row],[SEG18]] &gt;0,INDEX(SEGMENTS[], MATCH(CABLES[[#Headers],[SEG18]],SEGMENTS[SEG_ID],0),4),0)</f>
        <v>0</v>
      </c>
      <c r="CE32" s="9">
        <f>IF(CABLES[[#This Row],[SEG19]] &gt;0, INDEX(SEGMENTS[], MATCH(CABLES[[#Headers],[SEG19]],SEGMENTS[SEG_ID],0),4),0)</f>
        <v>0</v>
      </c>
      <c r="CF32" s="9">
        <f>IF(CABLES[[#This Row],[SEG20]] &gt;0, INDEX(SEGMENTS[], MATCH(CABLES[[#Headers],[SEG20]],SEGMENTS[SEG_ID],0),4),0)</f>
        <v>0</v>
      </c>
      <c r="CG32" s="9">
        <f xml:space="preserve"> IF(CABLES[[#This Row],[SEG21]] &gt;0,INDEX(SEGMENTS[], MATCH(CABLES[[#Headers],[SEG21]],SEGMENTS[SEG_ID],0),4),0)</f>
        <v>0</v>
      </c>
      <c r="CH32" s="9">
        <f xml:space="preserve"> IF(CABLES[[#This Row],[SEG22]] &gt;0,INDEX(SEGMENTS[], MATCH(CABLES[[#Headers],[SEG22]],SEGMENTS[SEG_ID],0),4),0)</f>
        <v>0</v>
      </c>
      <c r="CI32" s="9">
        <f>IF(CABLES[[#This Row],[SEG23]] &gt;0, INDEX(SEGMENTS[], MATCH(CABLES[[#Headers],[SEG23]],SEGMENTS[SEG_ID],0),4),0)</f>
        <v>0</v>
      </c>
      <c r="CJ32" s="9">
        <f xml:space="preserve"> IF(CABLES[[#This Row],[SEG24]] &gt;0,INDEX(SEGMENTS[], MATCH(CABLES[[#Headers],[SEG24]],SEGMENTS[SEG_ID],0),4),0)</f>
        <v>0</v>
      </c>
      <c r="CK32" s="9">
        <f>IF(CABLES[[#This Row],[SEG25]] &gt;0, INDEX(SEGMENTS[], MATCH(CABLES[[#Headers],[SEG25]],SEGMENTS[SEG_ID],0),4),0)</f>
        <v>0</v>
      </c>
      <c r="CL32" s="9">
        <f>IF(CABLES[[#This Row],[SEG26]] &gt;0, INDEX(SEGMENTS[], MATCH(CABLES[[#Headers],[SEG26]],SEGMENTS[SEG_ID],0),4),0)</f>
        <v>0</v>
      </c>
      <c r="CM32" s="9">
        <f xml:space="preserve"> IF(CABLES[[#This Row],[SEG27]] &gt;0,INDEX(SEGMENTS[], MATCH(CABLES[[#Headers],[SEG27]],SEGMENTS[SEG_ID],0),4),0)</f>
        <v>0</v>
      </c>
      <c r="CN32" s="9">
        <f xml:space="preserve"> IF(CABLES[[#This Row],[SEG28]] &gt;0,INDEX(SEGMENTS[], MATCH(CABLES[[#Headers],[SEG28]],SEGMENTS[SEG_ID],0),4),0)</f>
        <v>0</v>
      </c>
      <c r="CO32" s="9">
        <f xml:space="preserve"> IF(CABLES[[#This Row],[SEG29]] &gt;0,INDEX(SEGMENTS[], MATCH(CABLES[[#Headers],[SEG29]],SEGMENTS[SEG_ID],0),4),0)</f>
        <v>0</v>
      </c>
      <c r="CP32" s="9">
        <f xml:space="preserve"> IF(CABLES[[#This Row],[SEG30]] &gt;0,INDEX(SEGMENTS[], MATCH(CABLES[[#Headers],[SEG30]],SEGMENTS[SEG_ID],0),4),0)</f>
        <v>0</v>
      </c>
      <c r="CQ32" s="9">
        <f>IF(CABLES[[#This Row],[SEG31]] &gt;0, INDEX(SEGMENTS[], MATCH(CABLES[[#Headers],[SEG31]],SEGMENTS[SEG_ID],0),4),0)</f>
        <v>0</v>
      </c>
      <c r="CR32" s="9">
        <f xml:space="preserve"> IF(CABLES[[#This Row],[SEG32]] &gt;0,INDEX(SEGMENTS[], MATCH(CABLES[[#Headers],[SEG32]],SEGMENTS[SEG_ID],0),4),0)</f>
        <v>0</v>
      </c>
      <c r="CS32" s="9">
        <f xml:space="preserve"> IF(CABLES[[#This Row],[SEG33]] &gt;0,INDEX(SEGMENTS[], MATCH(CABLES[[#Headers],[SEG33]],SEGMENTS[SEG_ID],0),4),0)</f>
        <v>0</v>
      </c>
      <c r="CT32" s="9">
        <f>IF(CABLES[[#This Row],[SEG34]] &gt;0, INDEX(SEGMENTS[], MATCH(CABLES[[#Headers],[SEG34]],SEGMENTS[SEG_ID],0),4),0)</f>
        <v>0</v>
      </c>
      <c r="CU32" s="9">
        <f xml:space="preserve"> IF(CABLES[[#This Row],[SEG35]] &gt;0,INDEX(SEGMENTS[], MATCH(CABLES[[#Headers],[SEG35]],SEGMENTS[SEG_ID],0),4),0)</f>
        <v>0</v>
      </c>
      <c r="CV32" s="9">
        <f xml:space="preserve"> IF(CABLES[[#This Row],[SEG36]] &gt;0,INDEX(SEGMENTS[], MATCH(CABLES[[#Headers],[SEG36]],SEGMENTS[SEG_ID],0),4),0)</f>
        <v>0</v>
      </c>
      <c r="CW32" s="9">
        <f xml:space="preserve"> IF(CABLES[[#This Row],[SEG37]] &gt;0,INDEX(SEGMENTS[], MATCH(CABLES[[#Headers],[SEG37]],SEGMENTS[SEG_ID],0),4),0)</f>
        <v>0</v>
      </c>
      <c r="CX32" s="9">
        <f xml:space="preserve"> IF(CABLES[[#This Row],[SEG38]] &gt;0,INDEX(SEGMENTS[], MATCH(CABLES[[#Headers],[SEG38]],SEGMENTS[SEG_ID],0),4),0)</f>
        <v>0</v>
      </c>
      <c r="CY32" s="9">
        <f xml:space="preserve"> IF(CABLES[[#This Row],[SEG39]] &gt;0,INDEX(SEGMENTS[], MATCH(CABLES[[#Headers],[SEG39]],SEGMENTS[SEG_ID],0),4),0)</f>
        <v>0</v>
      </c>
      <c r="CZ32" s="9">
        <f xml:space="preserve"> IF(CABLES[[#This Row],[SEG40]] &gt;0,INDEX(SEGMENTS[], MATCH(CABLES[[#Headers],[SEG40]],SEGMENTS[SEG_ID],0),4),0)</f>
        <v>0</v>
      </c>
      <c r="DA32" s="9">
        <f xml:space="preserve"> IF(CABLES[[#This Row],[SEG41]] &gt;0,INDEX(SEGMENTS[], MATCH(CABLES[[#Headers],[SEG41]],SEGMENTS[SEG_ID],0),4),0)</f>
        <v>0</v>
      </c>
      <c r="DB32" s="9">
        <f xml:space="preserve"> IF(CABLES[[#This Row],[SEG42]] &gt;0,INDEX(SEGMENTS[], MATCH(CABLES[[#Headers],[SEG42]],SEGMENTS[SEG_ID],0),4),0)</f>
        <v>0</v>
      </c>
      <c r="DC32" s="9">
        <f xml:space="preserve"> IF(CABLES[[#This Row],[SEG43]] &gt;0,INDEX(SEGMENTS[], MATCH(CABLES[[#Headers],[SEG43]],SEGMENTS[SEG_ID],0),4),0)</f>
        <v>0</v>
      </c>
      <c r="DD32" s="9">
        <f xml:space="preserve"> IF(CABLES[[#This Row],[SEG44]] &gt;0,INDEX(SEGMENTS[], MATCH(CABLES[[#Headers],[SEG44]],SEGMENTS[SEG_ID],0),4),0)</f>
        <v>0</v>
      </c>
      <c r="DE32" s="9">
        <f xml:space="preserve"> IF(CABLES[[#This Row],[SEG45]] &gt;0,INDEX(SEGMENTS[], MATCH(CABLES[[#Headers],[SEG45]],SEGMENTS[SEG_ID],0),4),0)</f>
        <v>0</v>
      </c>
      <c r="DF32" s="9">
        <f xml:space="preserve"> IF(CABLES[[#This Row],[SEG46]] &gt;0,INDEX(SEGMENTS[], MATCH(CABLES[[#Headers],[SEG46]],SEGMENTS[SEG_ID],0),4),0)</f>
        <v>0</v>
      </c>
      <c r="DG32" s="9">
        <f xml:space="preserve"> IF(CABLES[[#This Row],[SEG47]] &gt;0,INDEX(SEGMENTS[], MATCH(CABLES[[#Headers],[SEG47]],SEGMENTS[SEG_ID],0),4),0)</f>
        <v>0</v>
      </c>
      <c r="DH32" s="9">
        <f xml:space="preserve"> IF(CABLES[[#This Row],[SEG48]] &gt;0,INDEX(SEGMENTS[], MATCH(CABLES[[#Headers],[SEG48]],SEGMENTS[SEG_ID],0),4),0)</f>
        <v>0</v>
      </c>
      <c r="DI32" s="9">
        <f xml:space="preserve"> IF(CABLES[[#This Row],[SEG49]] &gt;0,INDEX(SEGMENTS[], MATCH(CABLES[[#Headers],[SEG49]],SEGMENTS[SEG_ID],0),4),0)</f>
        <v>0</v>
      </c>
      <c r="DJ32" s="9">
        <f xml:space="preserve"> IF(CABLES[[#This Row],[SEG50]] &gt;0,INDEX(SEGMENTS[], MATCH(CABLES[[#Headers],[SEG50]],SEGMENTS[SEG_ID],0),4),0)</f>
        <v>0</v>
      </c>
      <c r="DK32" s="9">
        <f xml:space="preserve"> IF(CABLES[[#This Row],[SEG51]] &gt;0,INDEX(SEGMENTS[], MATCH(CABLES[[#Headers],[SEG51]],SEGMENTS[SEG_ID],0),4),0)</f>
        <v>0</v>
      </c>
      <c r="DL32" s="9">
        <f xml:space="preserve"> IF(CABLES[[#This Row],[SEG52]] &gt;0,INDEX(SEGMENTS[], MATCH(CABLES[[#Headers],[SEG52]],SEGMENTS[SEG_ID],0),4),0)</f>
        <v>0</v>
      </c>
      <c r="DM32" s="9">
        <f xml:space="preserve"> IF(CABLES[[#This Row],[SEG53]] &gt;0,INDEX(SEGMENTS[], MATCH(CABLES[[#Headers],[SEG53]],SEGMENTS[SEG_ID],0),4),0)</f>
        <v>0</v>
      </c>
      <c r="DN32" s="9">
        <f xml:space="preserve"> IF(CABLES[[#This Row],[SEG54]] &gt;0,INDEX(SEGMENTS[], MATCH(CABLES[[#Headers],[SEG54]],SEGMENTS[SEG_ID],0),4),0)</f>
        <v>0</v>
      </c>
      <c r="DO32" s="9">
        <f xml:space="preserve"> IF(CABLES[[#This Row],[SEG55]] &gt;0,INDEX(SEGMENTS[], MATCH(CABLES[[#Headers],[SEG55]],SEGMENTS[SEG_ID],0),4),0)</f>
        <v>0</v>
      </c>
      <c r="DP32" s="9">
        <f xml:space="preserve"> IF(CABLES[[#This Row],[SEG56]] &gt;0,INDEX(SEGMENTS[], MATCH(CABLES[[#Headers],[SEG56]],SEGMENTS[SEG_ID],0),4),0)</f>
        <v>0</v>
      </c>
      <c r="DQ32" s="9">
        <f xml:space="preserve"> IF(CABLES[[#This Row],[SEG57]] &gt;0,INDEX(SEGMENTS[], MATCH(CABLES[[#Headers],[SEG57]],SEGMENTS[SEG_ID],0),4),0)</f>
        <v>0</v>
      </c>
      <c r="DR32" s="9">
        <f xml:space="preserve"> IF(CABLES[[#This Row],[SEG58]] &gt;0,INDEX(SEGMENTS[], MATCH(CABLES[[#Headers],[SEG58]],SEGMENTS[SEG_ID],0),4),0)</f>
        <v>0</v>
      </c>
      <c r="DS32" s="9">
        <f xml:space="preserve"> IF(CABLES[[#This Row],[SEG59]] &gt;0,INDEX(SEGMENTS[], MATCH(CABLES[[#Headers],[SEG59]],SEGMENTS[SEG_ID],0),4),0)</f>
        <v>0</v>
      </c>
      <c r="DT32" s="9">
        <f xml:space="preserve"> IF(CABLES[[#This Row],[SEG60]] &gt;0,INDEX(SEGMENTS[], MATCH(CABLES[[#Headers],[SEG60]],SEGMENTS[SEG_ID],0),4),0)</f>
        <v>0</v>
      </c>
      <c r="DU32" s="10">
        <f>SUM(CABLES[[#This Row],[SEGL1]:[SEGL60]])</f>
        <v>46</v>
      </c>
      <c r="DV32" s="10">
        <v>5</v>
      </c>
      <c r="DW32" s="10">
        <v>1.2</v>
      </c>
      <c r="DX32" s="10">
        <f xml:space="preserve"> IF(CABLES[[#This Row],[SEGL_TOTAL]]&gt;0, (CABLES[[#This Row],[SEGL_TOTAL]] + CABLES[[#This Row],[FITOFF]]) *CABLES[[#This Row],[XCAPACITY]],0)</f>
        <v>61.199999999999996</v>
      </c>
      <c r="DY32" s="10">
        <f>IF(CABLES[[#This Row],[SEG1]]&gt;0,CABLES[[#This Row],[CABLE_DIAMETER]],0)</f>
        <v>14.5</v>
      </c>
      <c r="DZ32" s="10">
        <f>IF(CABLES[[#This Row],[SEG2]]&gt;0,CABLES[[#This Row],[CABLE_DIAMETER]],0)</f>
        <v>14.5</v>
      </c>
      <c r="EA32" s="10">
        <f>IF(CABLES[[#This Row],[SEG3]]&gt;0,CABLES[[#This Row],[CABLE_DIAMETER]],0)</f>
        <v>0</v>
      </c>
      <c r="EB32" s="10">
        <f>IF(CABLES[[#This Row],[SEG4]]&gt;0,CABLES[[#This Row],[CABLE_DIAMETER]],0)</f>
        <v>14.5</v>
      </c>
      <c r="EC32" s="10">
        <f>IF(CABLES[[#This Row],[SEG5]]&gt;0,CABLES[[#This Row],[CABLE_DIAMETER]],0)</f>
        <v>0</v>
      </c>
      <c r="ED32" s="10">
        <f>IF(CABLES[[#This Row],[SEG6]]&gt;0,CABLES[[#This Row],[CABLE_DIAMETER]],0)</f>
        <v>14.5</v>
      </c>
      <c r="EE32" s="10">
        <f>IF(CABLES[[#This Row],[SEG7]]&gt;0,CABLES[[#This Row],[CABLE_DIAMETER]],0)</f>
        <v>0</v>
      </c>
      <c r="EF32" s="10">
        <f>IF(CABLES[[#This Row],[SEG9]]&gt;0,CABLES[[#This Row],[CABLE_DIAMETER]],0)</f>
        <v>0</v>
      </c>
      <c r="EG32" s="10">
        <f>IF(CABLES[[#This Row],[SEG9]]&gt;0,CABLES[[#This Row],[CABLE_DIAMETER]],0)</f>
        <v>0</v>
      </c>
      <c r="EH32" s="10">
        <f>IF(CABLES[[#This Row],[SEG10]]&gt;0,CABLES[[#This Row],[CABLE_DIAMETER]],0)</f>
        <v>0</v>
      </c>
      <c r="EI32" s="10">
        <f>IF(CABLES[[#This Row],[SEG11]]&gt;0,CABLES[[#This Row],[CABLE_DIAMETER]],0)</f>
        <v>0</v>
      </c>
      <c r="EJ32" s="10">
        <f>IF(CABLES[[#This Row],[SEG12]]&gt;0,CABLES[[#This Row],[CABLE_DIAMETER]],0)</f>
        <v>0</v>
      </c>
      <c r="EK32" s="10">
        <f>IF(CABLES[[#This Row],[SEG13]]&gt;0,CABLES[[#This Row],[CABLE_DIAMETER]],0)</f>
        <v>0</v>
      </c>
      <c r="EL32" s="10">
        <f>IF(CABLES[[#This Row],[SEG14]]&gt;0,CABLES[[#This Row],[CABLE_DIAMETER]],0)</f>
        <v>14.5</v>
      </c>
      <c r="EM32" s="10">
        <f>IF(CABLES[[#This Row],[SEG15]]&gt;0,CABLES[[#This Row],[CABLE_DIAMETER]],0)</f>
        <v>14.5</v>
      </c>
      <c r="EN32" s="10">
        <f>IF(CABLES[[#This Row],[SEG16]]&gt;0,CABLES[[#This Row],[CABLE_DIAMETER]],0)</f>
        <v>0</v>
      </c>
      <c r="EO32" s="10">
        <f>IF(CABLES[[#This Row],[SEG17]]&gt;0,CABLES[[#This Row],[CABLE_DIAMETER]],0)</f>
        <v>0</v>
      </c>
      <c r="EP32" s="10">
        <f>IF(CABLES[[#This Row],[SEG18]]&gt;0,CABLES[[#This Row],[CABLE_DIAMETER]],0)</f>
        <v>0</v>
      </c>
      <c r="EQ32" s="10">
        <f>IF(CABLES[[#This Row],[SEG19]]&gt;0,CABLES[[#This Row],[CABLE_DIAMETER]],0)</f>
        <v>0</v>
      </c>
      <c r="ER32" s="10">
        <f>IF(CABLES[[#This Row],[SEG20]]&gt;0,CABLES[[#This Row],[CABLE_DIAMETER]],0)</f>
        <v>0</v>
      </c>
      <c r="ES32" s="10">
        <f>IF(CABLES[[#This Row],[SEG21]]&gt;0,CABLES[[#This Row],[CABLE_DIAMETER]],0)</f>
        <v>0</v>
      </c>
      <c r="ET32" s="10">
        <f>IF(CABLES[[#This Row],[SEG22]]&gt;0,CABLES[[#This Row],[CABLE_DIAMETER]],0)</f>
        <v>0</v>
      </c>
      <c r="EU32" s="10">
        <f>IF(CABLES[[#This Row],[SEG23]]&gt;0,CABLES[[#This Row],[CABLE_DIAMETER]],0)</f>
        <v>0</v>
      </c>
      <c r="EV32" s="10">
        <f>IF(CABLES[[#This Row],[SEG24]]&gt;0,CABLES[[#This Row],[CABLE_DIAMETER]],0)</f>
        <v>0</v>
      </c>
      <c r="EW32" s="10">
        <f>IF(CABLES[[#This Row],[SEG25]]&gt;0,CABLES[[#This Row],[CABLE_DIAMETER]],0)</f>
        <v>0</v>
      </c>
      <c r="EX32" s="10">
        <f>IF(CABLES[[#This Row],[SEG26]]&gt;0,CABLES[[#This Row],[CABLE_DIAMETER]],0)</f>
        <v>0</v>
      </c>
      <c r="EY32" s="10">
        <f>IF(CABLES[[#This Row],[SEG27]]&gt;0,CABLES[[#This Row],[CABLE_DIAMETER]],0)</f>
        <v>0</v>
      </c>
      <c r="EZ32" s="10">
        <f>IF(CABLES[[#This Row],[SEG28]]&gt;0,CABLES[[#This Row],[CABLE_DIAMETER]],0)</f>
        <v>0</v>
      </c>
      <c r="FA32" s="10">
        <f>IF(CABLES[[#This Row],[SEG29]]&gt;0,CABLES[[#This Row],[CABLE_DIAMETER]],0)</f>
        <v>0</v>
      </c>
      <c r="FB32" s="10">
        <f>IF(CABLES[[#This Row],[SEG30]]&gt;0,CABLES[[#This Row],[CABLE_DIAMETER]],0)</f>
        <v>0</v>
      </c>
      <c r="FC32" s="10">
        <f>IF(CABLES[[#This Row],[SEG31]]&gt;0,CABLES[[#This Row],[CABLE_DIAMETER]],0)</f>
        <v>0</v>
      </c>
      <c r="FD32" s="10">
        <f>IF(CABLES[[#This Row],[SEG32]]&gt;0,CABLES[[#This Row],[CABLE_DIAMETER]],0)</f>
        <v>0</v>
      </c>
      <c r="FE32" s="10">
        <f>IF(CABLES[[#This Row],[SEG33]]&gt;0,CABLES[[#This Row],[CABLE_DIAMETER]],0)</f>
        <v>0</v>
      </c>
      <c r="FF32" s="10">
        <f>IF(CABLES[[#This Row],[SEG34]]&gt;0,CABLES[[#This Row],[CABLE_DIAMETER]],0)</f>
        <v>0</v>
      </c>
      <c r="FG32" s="10">
        <f>IF(CABLES[[#This Row],[SEG35]]&gt;0,CABLES[[#This Row],[CABLE_DIAMETER]],0)</f>
        <v>0</v>
      </c>
      <c r="FH32" s="10">
        <f>IF(CABLES[[#This Row],[SEG36]]&gt;0,CABLES[[#This Row],[CABLE_DIAMETER]],0)</f>
        <v>0</v>
      </c>
      <c r="FI32" s="10">
        <f>IF(CABLES[[#This Row],[SEG37]]&gt;0,CABLES[[#This Row],[CABLE_DIAMETER]],0)</f>
        <v>0</v>
      </c>
      <c r="FJ32" s="10">
        <f>IF(CABLES[[#This Row],[SEG38]]&gt;0,CABLES[[#This Row],[CABLE_DIAMETER]],0)</f>
        <v>0</v>
      </c>
      <c r="FK32" s="10">
        <f>IF(CABLES[[#This Row],[SEG39]]&gt;0,CABLES[[#This Row],[CABLE_DIAMETER]],0)</f>
        <v>0</v>
      </c>
      <c r="FL32" s="10">
        <f>IF(CABLES[[#This Row],[SEG40]]&gt;0,CABLES[[#This Row],[CABLE_DIAMETER]],0)</f>
        <v>0</v>
      </c>
      <c r="FM32" s="10">
        <f>IF(CABLES[[#This Row],[SEG41]]&gt;0,CABLES[[#This Row],[CABLE_DIAMETER]],0)</f>
        <v>0</v>
      </c>
      <c r="FN32" s="10">
        <f>IF(CABLES[[#This Row],[SEG42]]&gt;0,CABLES[[#This Row],[CABLE_DIAMETER]],0)</f>
        <v>0</v>
      </c>
      <c r="FO32" s="10">
        <f>IF(CABLES[[#This Row],[SEG43]]&gt;0,CABLES[[#This Row],[CABLE_DIAMETER]],0)</f>
        <v>0</v>
      </c>
      <c r="FP32" s="10">
        <f>IF(CABLES[[#This Row],[SEG44]]&gt;0,CABLES[[#This Row],[CABLE_DIAMETER]],0)</f>
        <v>0</v>
      </c>
      <c r="FQ32" s="10">
        <f>IF(CABLES[[#This Row],[SEG45]]&gt;0,CABLES[[#This Row],[CABLE_DIAMETER]],0)</f>
        <v>0</v>
      </c>
      <c r="FR32" s="10">
        <f>IF(CABLES[[#This Row],[SEG46]]&gt;0,CABLES[[#This Row],[CABLE_DIAMETER]],0)</f>
        <v>0</v>
      </c>
      <c r="FS32" s="10">
        <f>IF(CABLES[[#This Row],[SEG47]]&gt;0,CABLES[[#This Row],[CABLE_DIAMETER]],0)</f>
        <v>0</v>
      </c>
      <c r="FT32" s="10">
        <f>IF(CABLES[[#This Row],[SEG48]]&gt;0,CABLES[[#This Row],[CABLE_DIAMETER]],0)</f>
        <v>0</v>
      </c>
      <c r="FU32" s="10">
        <f>IF(CABLES[[#This Row],[SEG49]]&gt;0,CABLES[[#This Row],[CABLE_DIAMETER]],0)</f>
        <v>0</v>
      </c>
      <c r="FV32" s="10">
        <f>IF(CABLES[[#This Row],[SEG50]]&gt;0,CABLES[[#This Row],[CABLE_DIAMETER]],0)</f>
        <v>0</v>
      </c>
      <c r="FW32" s="10">
        <f>IF(CABLES[[#This Row],[SEG51]]&gt;0,CABLES[[#This Row],[CABLE_DIAMETER]],0)</f>
        <v>0</v>
      </c>
      <c r="FX32" s="10">
        <f>IF(CABLES[[#This Row],[SEG52]]&gt;0,CABLES[[#This Row],[CABLE_DIAMETER]],0)</f>
        <v>0</v>
      </c>
      <c r="FY32" s="10">
        <f>IF(CABLES[[#This Row],[SEG53]]&gt;0,CABLES[[#This Row],[CABLE_DIAMETER]],0)</f>
        <v>0</v>
      </c>
      <c r="FZ32" s="10">
        <f>IF(CABLES[[#This Row],[SEG54]]&gt;0,CABLES[[#This Row],[CABLE_DIAMETER]],0)</f>
        <v>0</v>
      </c>
      <c r="GA32" s="10">
        <f>IF(CABLES[[#This Row],[SEG55]]&gt;0,CABLES[[#This Row],[CABLE_DIAMETER]],0)</f>
        <v>0</v>
      </c>
      <c r="GB32" s="10">
        <f>IF(CABLES[[#This Row],[SEG56]]&gt;0,CABLES[[#This Row],[CABLE_DIAMETER]],0)</f>
        <v>0</v>
      </c>
      <c r="GC32" s="10">
        <f>IF(CABLES[[#This Row],[SEG57]]&gt;0,CABLES[[#This Row],[CABLE_DIAMETER]],0)</f>
        <v>0</v>
      </c>
      <c r="GD32" s="10">
        <f>IF(CABLES[[#This Row],[SEG58]]&gt;0,CABLES[[#This Row],[CABLE_DIAMETER]],0)</f>
        <v>0</v>
      </c>
      <c r="GE32" s="10">
        <f>IF(CABLES[[#This Row],[SEG59]]&gt;0,CABLES[[#This Row],[CABLE_DIAMETER]],0)</f>
        <v>0</v>
      </c>
      <c r="GF32" s="10">
        <f>IF(CABLES[[#This Row],[SEG60]]&gt;0,CABLES[[#This Row],[CABLE_DIAMETER]],0)</f>
        <v>0</v>
      </c>
      <c r="GG32" s="10">
        <f>IF(CABLES[[#This Row],[SEG1]]&gt;0,CABLES[[#This Row],[CABLE_MASS]],0)</f>
        <v>0.33</v>
      </c>
      <c r="GH32" s="10">
        <f>IF(CABLES[[#This Row],[SEG2]]&gt;0,CABLES[[#This Row],[CABLE_MASS]],0)</f>
        <v>0.33</v>
      </c>
      <c r="GI32" s="10">
        <f>IF(CABLES[[#This Row],[SEG3]]&gt;0,CABLES[[#This Row],[CABLE_MASS]],0)</f>
        <v>0</v>
      </c>
      <c r="GJ32" s="10">
        <f>IF(CABLES[[#This Row],[SEG4]]&gt;0,CABLES[[#This Row],[CABLE_MASS]],0)</f>
        <v>0.33</v>
      </c>
      <c r="GK32" s="10">
        <f>IF(CABLES[[#This Row],[SEG5]]&gt;0,CABLES[[#This Row],[CABLE_MASS]],0)</f>
        <v>0</v>
      </c>
      <c r="GL32" s="10">
        <f>IF(CABLES[[#This Row],[SEG6]]&gt;0,CABLES[[#This Row],[CABLE_MASS]],0)</f>
        <v>0.33</v>
      </c>
      <c r="GM32" s="10">
        <f>IF(CABLES[[#This Row],[SEG7]]&gt;0,CABLES[[#This Row],[CABLE_MASS]],0)</f>
        <v>0</v>
      </c>
      <c r="GN32" s="10">
        <f>IF(CABLES[[#This Row],[SEG8]]&gt;0,CABLES[[#This Row],[CABLE_MASS]],0)</f>
        <v>0.33</v>
      </c>
      <c r="GO32" s="10">
        <f>IF(CABLES[[#This Row],[SEG9]]&gt;0,CABLES[[#This Row],[CABLE_MASS]],0)</f>
        <v>0</v>
      </c>
      <c r="GP32" s="10">
        <f>IF(CABLES[[#This Row],[SEG10]]&gt;0,CABLES[[#This Row],[CABLE_MASS]],0)</f>
        <v>0</v>
      </c>
      <c r="GQ32" s="10">
        <f>IF(CABLES[[#This Row],[SEG11]]&gt;0,CABLES[[#This Row],[CABLE_MASS]],0)</f>
        <v>0</v>
      </c>
      <c r="GR32" s="10">
        <f>IF(CABLES[[#This Row],[SEG12]]&gt;0,CABLES[[#This Row],[CABLE_MASS]],0)</f>
        <v>0</v>
      </c>
      <c r="GS32" s="10">
        <f>IF(CABLES[[#This Row],[SEG13]]&gt;0,CABLES[[#This Row],[CABLE_MASS]],0)</f>
        <v>0</v>
      </c>
      <c r="GT32" s="10">
        <f>IF(CABLES[[#This Row],[SEG14]]&gt;0,CABLES[[#This Row],[CABLE_MASS]],0)</f>
        <v>0.33</v>
      </c>
      <c r="GU32" s="10">
        <f>IF(CABLES[[#This Row],[SEG15]]&gt;0,CABLES[[#This Row],[CABLE_MASS]],0)</f>
        <v>0.33</v>
      </c>
      <c r="GV32" s="10">
        <f>IF(CABLES[[#This Row],[SEG16]]&gt;0,CABLES[[#This Row],[CABLE_MASS]],0)</f>
        <v>0</v>
      </c>
      <c r="GW32" s="10">
        <f>IF(CABLES[[#This Row],[SEG17]]&gt;0,CABLES[[#This Row],[CABLE_MASS]],0)</f>
        <v>0</v>
      </c>
      <c r="GX32" s="10">
        <f>IF(CABLES[[#This Row],[SEG18]]&gt;0,CABLES[[#This Row],[CABLE_MASS]],0)</f>
        <v>0</v>
      </c>
      <c r="GY32" s="10">
        <f>IF(CABLES[[#This Row],[SEG19]]&gt;0,CABLES[[#This Row],[CABLE_MASS]],0)</f>
        <v>0</v>
      </c>
      <c r="GZ32" s="10">
        <f>IF(CABLES[[#This Row],[SEG20]]&gt;0,CABLES[[#This Row],[CABLE_MASS]],0)</f>
        <v>0</v>
      </c>
      <c r="HA32" s="10">
        <f>IF(CABLES[[#This Row],[SEG21]]&gt;0,CABLES[[#This Row],[CABLE_MASS]],0)</f>
        <v>0</v>
      </c>
      <c r="HB32" s="10">
        <f>IF(CABLES[[#This Row],[SEG22]]&gt;0,CABLES[[#This Row],[CABLE_MASS]],0)</f>
        <v>0</v>
      </c>
      <c r="HC32" s="10">
        <f>IF(CABLES[[#This Row],[SEG23]]&gt;0,CABLES[[#This Row],[CABLE_MASS]],0)</f>
        <v>0</v>
      </c>
      <c r="HD32" s="10">
        <f>IF(CABLES[[#This Row],[SEG24]]&gt;0,CABLES[[#This Row],[CABLE_MASS]],0)</f>
        <v>0</v>
      </c>
      <c r="HE32" s="10">
        <f>IF(CABLES[[#This Row],[SEG25]]&gt;0,CABLES[[#This Row],[CABLE_MASS]],0)</f>
        <v>0</v>
      </c>
      <c r="HF32" s="10">
        <f>IF(CABLES[[#This Row],[SEG26]]&gt;0,CABLES[[#This Row],[CABLE_MASS]],0)</f>
        <v>0</v>
      </c>
      <c r="HG32" s="10">
        <f>IF(CABLES[[#This Row],[SEG27]]&gt;0,CABLES[[#This Row],[CABLE_MASS]],0)</f>
        <v>0</v>
      </c>
      <c r="HH32" s="10">
        <f>IF(CABLES[[#This Row],[SEG28]]&gt;0,CABLES[[#This Row],[CABLE_MASS]],0)</f>
        <v>0</v>
      </c>
      <c r="HI32" s="10">
        <f>IF(CABLES[[#This Row],[SEG29]]&gt;0,CABLES[[#This Row],[CABLE_MASS]],0)</f>
        <v>0</v>
      </c>
      <c r="HJ32" s="10">
        <f>IF(CABLES[[#This Row],[SEG30]]&gt;0,CABLES[[#This Row],[CABLE_MASS]],0)</f>
        <v>0</v>
      </c>
      <c r="HK32" s="10">
        <f>IF(CABLES[[#This Row],[SEG31]]&gt;0,CABLES[[#This Row],[CABLE_MASS]],0)</f>
        <v>0</v>
      </c>
      <c r="HL32" s="10">
        <f>IF(CABLES[[#This Row],[SEG32]]&gt;0,CABLES[[#This Row],[CABLE_MASS]],0)</f>
        <v>0</v>
      </c>
      <c r="HM32" s="10">
        <f>IF(CABLES[[#This Row],[SEG33]]&gt;0,CABLES[[#This Row],[CABLE_MASS]],0)</f>
        <v>0</v>
      </c>
      <c r="HN32" s="10">
        <f>IF(CABLES[[#This Row],[SEG34]]&gt;0,CABLES[[#This Row],[CABLE_MASS]],0)</f>
        <v>0</v>
      </c>
      <c r="HO32" s="10">
        <f>IF(CABLES[[#This Row],[SEG35]]&gt;0,CABLES[[#This Row],[CABLE_MASS]],0)</f>
        <v>0</v>
      </c>
      <c r="HP32" s="10">
        <f>IF(CABLES[[#This Row],[SEG36]]&gt;0,CABLES[[#This Row],[CABLE_MASS]],0)</f>
        <v>0</v>
      </c>
      <c r="HQ32" s="10">
        <f>IF(CABLES[[#This Row],[SEG37]]&gt;0,CABLES[[#This Row],[CABLE_MASS]],0)</f>
        <v>0</v>
      </c>
      <c r="HR32" s="10">
        <f>IF(CABLES[[#This Row],[SEG38]]&gt;0,CABLES[[#This Row],[CABLE_MASS]],0)</f>
        <v>0</v>
      </c>
      <c r="HS32" s="10">
        <f>IF(CABLES[[#This Row],[SEG39]]&gt;0,CABLES[[#This Row],[CABLE_MASS]],0)</f>
        <v>0</v>
      </c>
      <c r="HT32" s="10">
        <f>IF(CABLES[[#This Row],[SEG40]]&gt;0,CABLES[[#This Row],[CABLE_MASS]],0)</f>
        <v>0</v>
      </c>
      <c r="HU32" s="10">
        <f>IF(CABLES[[#This Row],[SEG41]]&gt;0,CABLES[[#This Row],[CABLE_MASS]],0)</f>
        <v>0</v>
      </c>
      <c r="HV32" s="10">
        <f>IF(CABLES[[#This Row],[SEG42]]&gt;0,CABLES[[#This Row],[CABLE_MASS]],0)</f>
        <v>0</v>
      </c>
      <c r="HW32" s="10">
        <f>IF(CABLES[[#This Row],[SEG43]]&gt;0,CABLES[[#This Row],[CABLE_MASS]],0)</f>
        <v>0</v>
      </c>
      <c r="HX32" s="10">
        <f>IF(CABLES[[#This Row],[SEG44]]&gt;0,CABLES[[#This Row],[CABLE_MASS]],0)</f>
        <v>0</v>
      </c>
      <c r="HY32" s="10">
        <f>IF(CABLES[[#This Row],[SEG45]]&gt;0,CABLES[[#This Row],[CABLE_MASS]],0)</f>
        <v>0</v>
      </c>
      <c r="HZ32" s="10">
        <f>IF(CABLES[[#This Row],[SEG46]]&gt;0,CABLES[[#This Row],[CABLE_MASS]],0)</f>
        <v>0</v>
      </c>
      <c r="IA32" s="10">
        <f>IF(CABLES[[#This Row],[SEG47]]&gt;0,CABLES[[#This Row],[CABLE_MASS]],0)</f>
        <v>0</v>
      </c>
      <c r="IB32" s="10">
        <f>IF(CABLES[[#This Row],[SEG48]]&gt;0,CABLES[[#This Row],[CABLE_MASS]],0)</f>
        <v>0</v>
      </c>
      <c r="IC32" s="10">
        <f>IF(CABLES[[#This Row],[SEG49]]&gt;0,CABLES[[#This Row],[CABLE_MASS]],0)</f>
        <v>0</v>
      </c>
      <c r="ID32" s="10">
        <f>IF(CABLES[[#This Row],[SEG50]]&gt;0,CABLES[[#This Row],[CABLE_MASS]],0)</f>
        <v>0</v>
      </c>
      <c r="IE32" s="10">
        <f>IF(CABLES[[#This Row],[SEG51]]&gt;0,CABLES[[#This Row],[CABLE_MASS]],0)</f>
        <v>0</v>
      </c>
      <c r="IF32" s="10">
        <f>IF(CABLES[[#This Row],[SEG52]]&gt;0,CABLES[[#This Row],[CABLE_MASS]],0)</f>
        <v>0</v>
      </c>
      <c r="IG32" s="10">
        <f>IF(CABLES[[#This Row],[SEG53]]&gt;0,CABLES[[#This Row],[CABLE_MASS]],0)</f>
        <v>0</v>
      </c>
      <c r="IH32" s="10">
        <f>IF(CABLES[[#This Row],[SEG54]]&gt;0,CABLES[[#This Row],[CABLE_MASS]],0)</f>
        <v>0</v>
      </c>
      <c r="II32" s="10">
        <f>IF(CABLES[[#This Row],[SEG55]]&gt;0,CABLES[[#This Row],[CABLE_MASS]],0)</f>
        <v>0</v>
      </c>
      <c r="IJ32" s="10">
        <f>IF(CABLES[[#This Row],[SEG56]]&gt;0,CABLES[[#This Row],[CABLE_MASS]],0)</f>
        <v>0</v>
      </c>
      <c r="IK32" s="10">
        <f>IF(CABLES[[#This Row],[SEG57]]&gt;0,CABLES[[#This Row],[CABLE_MASS]],0)</f>
        <v>0</v>
      </c>
      <c r="IL32" s="10">
        <f>IF(CABLES[[#This Row],[SEG58]]&gt;0,CABLES[[#This Row],[CABLE_MASS]],0)</f>
        <v>0</v>
      </c>
      <c r="IM32" s="10">
        <f>IF(CABLES[[#This Row],[SEG59]]&gt;0,CABLES[[#This Row],[CABLE_MASS]],0)</f>
        <v>0</v>
      </c>
      <c r="IN32" s="10">
        <f>IF(CABLES[[#This Row],[SEG60]]&gt;0,CABLES[[#This Row],[CABLE_MASS]],0)</f>
        <v>0</v>
      </c>
      <c r="IO32" s="10">
        <f xml:space="preserve">  (CABLES[[#This Row],[LOAD_KW]]/(SQRT(3)*SYSTEM_VOLTAGE*POWER_FACTOR))*1000</f>
        <v>8.8206291126192813</v>
      </c>
      <c r="IP32" s="10">
        <v>45</v>
      </c>
      <c r="IQ32" s="10">
        <f xml:space="preserve"> INDEX(AS3000_AMBIENTDERATE[], MATCH(CABLES[[#This Row],[AMBIENT]],AS3000_AMBIENTDERATE[AMBIENT],0), 2)</f>
        <v>0.94</v>
      </c>
      <c r="IR32" s="10">
        <f xml:space="preserve"> ROUNDUP( CABLES[[#This Row],[CALCULATED_AMPS]]/CABLES[[#This Row],[AMBIENT_DERATING]],1)</f>
        <v>9.4</v>
      </c>
      <c r="IS32" s="10" t="s">
        <v>531</v>
      </c>
      <c r="IT3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32" s="10">
        <f t="shared" si="0"/>
        <v>28.000000000000004</v>
      </c>
      <c r="IV32" s="10">
        <f>(1000*CABLES[[#This Row],[MAX_VDROP]])/(CABLES[[#This Row],[ESTIMATED_CABLE_LENGTH]]*CABLES[[#This Row],[AMP_RATING]])</f>
        <v>48.671951049923521</v>
      </c>
      <c r="IW32" s="10">
        <f xml:space="preserve"> INDEX(AS3000_VDROP[], MATCH(CABLES[[#This Row],[VC_CALC]],AS3000_VDROP[Vc],1),1)</f>
        <v>2.5</v>
      </c>
      <c r="IX32" s="10">
        <f>MAX(CABLES[[#This Row],[CABLESIZE_METHOD1]],CABLES[[#This Row],[CABLESIZE_METHOD2]])</f>
        <v>2.5</v>
      </c>
      <c r="IY32" s="10"/>
      <c r="IZ32" s="10">
        <f>IF(LEN(CABLES[[#This Row],[OVERRIDE_CABLESIZE]])&gt;0,CABLES[[#This Row],[OVERRIDE_CABLESIZE]],CABLES[[#This Row],[INITIAL_CABLESIZE]])</f>
        <v>2.5</v>
      </c>
      <c r="JA32" s="10">
        <f>INDEX(PROTECTIVE_DEVICE[DEVICE], MATCH(CABLES[[#This Row],[CALCULATED_AMPS]],PROTECTIVE_DEVICE[DEVICE],-1),1)</f>
        <v>10</v>
      </c>
      <c r="JB32" s="10"/>
      <c r="JC32" s="10">
        <f>IF(LEN(CABLES[[#This Row],[OVERRIDE_PDEVICE]])&gt;0, CABLES[[#This Row],[OVERRIDE_PDEVICE]],CABLES[[#This Row],[RECOMMEND_PDEVICE]])</f>
        <v>10</v>
      </c>
      <c r="JD32" s="10" t="s">
        <v>450</v>
      </c>
      <c r="JE32" s="10">
        <f xml:space="preserve"> CABLES[[#This Row],[SELECTED_PDEVICE]] * INDEX(DEVICE_CURVE[], MATCH(CABLES[[#This Row],[PDEVICE_CURVE]], DEVICE_CURVE[DEVICE_CURVE],0),2)</f>
        <v>65</v>
      </c>
      <c r="JF32" s="10" t="s">
        <v>458</v>
      </c>
      <c r="JG32" s="10">
        <f xml:space="preserve"> INDEX(CONDUCTOR_MATERIAL[], MATCH(CABLES[[#This Row],[CONDUCTOR_MATERIAL]],CONDUCTOR_MATERIAL[CONDUCTOR_MATERIAL],0),2)</f>
        <v>2.2499999999999999E-2</v>
      </c>
      <c r="JH32" s="10">
        <f>CABLES[[#This Row],[SELECTED_CABLESIZE]]</f>
        <v>2.5</v>
      </c>
      <c r="JI32" s="10">
        <f xml:space="preserve"> INDEX( EARTH_CONDUCTOR_SIZE[], MATCH(CABLES[[#This Row],[SPH]],EARTH_CONDUCTOR_SIZE[MM^2],-1), 2)</f>
        <v>2.5</v>
      </c>
      <c r="JJ32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32" s="10" t="str">
        <f>IF(CABLES[[#This Row],[LMAX]]&gt;CABLES[[#This Row],[ESTIMATED_CABLE_LENGTH]], "PASS", "ERROR")</f>
        <v>PASS</v>
      </c>
      <c r="JL3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2" s="6">
        <f xml:space="preserve"> ROUNDUP( CABLES[[#This Row],[CALCULATED_AMPS]],1)</f>
        <v>8.9</v>
      </c>
      <c r="JO32" s="6">
        <f>CABLES[[#This Row],[SELECTED_CABLESIZE]]</f>
        <v>2.5</v>
      </c>
      <c r="JP32" s="10">
        <f>CABLES[[#This Row],[ESTIMATED_CABLE_LENGTH]]</f>
        <v>61.199999999999996</v>
      </c>
      <c r="JQ32" s="6">
        <f>CABLES[[#This Row],[SELECTED_PDEVICE]]</f>
        <v>10</v>
      </c>
    </row>
    <row r="33" spans="1:277" x14ac:dyDescent="0.35">
      <c r="A33" s="5" t="s">
        <v>32</v>
      </c>
      <c r="B33" s="5" t="s">
        <v>96</v>
      </c>
      <c r="C33" s="10" t="s">
        <v>262</v>
      </c>
      <c r="D33" s="9">
        <v>3</v>
      </c>
      <c r="E33" s="9">
        <v>1</v>
      </c>
      <c r="F33" s="9">
        <v>1</v>
      </c>
      <c r="G33" s="9">
        <v>0</v>
      </c>
      <c r="H33" s="9">
        <v>1</v>
      </c>
      <c r="I33" s="9">
        <v>0</v>
      </c>
      <c r="J33" s="9">
        <v>1</v>
      </c>
      <c r="K33" s="9">
        <v>0</v>
      </c>
      <c r="L33" s="9">
        <v>1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1</v>
      </c>
      <c r="S33" s="9">
        <v>1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f xml:space="preserve"> IF(CABLES[[#This Row],[SEG1]] &gt;0, INDEX(SEGMENTS[], MATCH(CABLES[[#Headers],[SEG1]],SEGMENTS[SEG_ID],0),4),0)</f>
        <v>13</v>
      </c>
      <c r="BN33" s="9">
        <f xml:space="preserve"> IF(CABLES[[#This Row],[SEG2]] &gt;0, INDEX(SEGMENTS[], MATCH(CABLES[[#Headers],[SEG2]],SEGMENTS[SEG_ID],0),4),0)</f>
        <v>2</v>
      </c>
      <c r="BO33" s="9">
        <f xml:space="preserve"> IF(CABLES[[#This Row],[SEG3]] &gt;0, INDEX(SEGMENTS[], MATCH(CABLES[[#Headers],[SEG3]],SEGMENTS[SEG_ID],0),4),0)</f>
        <v>0</v>
      </c>
      <c r="BP33" s="9">
        <f xml:space="preserve"> IF(CABLES[[#This Row],[SEG4]] &gt;0, INDEX(SEGMENTS[], MATCH(CABLES[[#Headers],[SEG4]],SEGMENTS[SEG_ID],0),4),0)</f>
        <v>14</v>
      </c>
      <c r="BQ33" s="9">
        <f xml:space="preserve"> IF(CABLES[[#This Row],[SEG5]] &gt;0,INDEX(SEGMENTS[], MATCH(CABLES[[#Headers],[SEG5]],SEGMENTS[SEG_ID],0),4),0)</f>
        <v>0</v>
      </c>
      <c r="BR33" s="9">
        <f xml:space="preserve"> IF(CABLES[[#This Row],[SEG6]] &gt;0,INDEX(SEGMENTS[], MATCH(CABLES[[#Headers],[SEG6]],SEGMENTS[SEG_ID],0),4),0)</f>
        <v>2</v>
      </c>
      <c r="BS33" s="9">
        <f xml:space="preserve"> IF(CABLES[[#This Row],[SEG7]] &gt;0,INDEX(SEGMENTS[], MATCH(CABLES[[#Headers],[SEG7]],SEGMENTS[SEG_ID],0),4),0)</f>
        <v>0</v>
      </c>
      <c r="BT33" s="9">
        <f xml:space="preserve"> IF(CABLES[[#This Row],[SEG8]] &gt;0,INDEX(SEGMENTS[], MATCH(CABLES[[#Headers],[SEG8]],SEGMENTS[SEG_ID],0),4),0)</f>
        <v>3</v>
      </c>
      <c r="BU33" s="9">
        <f xml:space="preserve"> IF(CABLES[[#This Row],[SEG9]] &gt;0,INDEX(SEGMENTS[], MATCH(CABLES[[#Headers],[SEG9]],SEGMENTS[SEG_ID],0),4),0)</f>
        <v>0</v>
      </c>
      <c r="BV33" s="9">
        <f xml:space="preserve"> IF(CABLES[[#This Row],[SEG10]] &gt;0,INDEX(SEGMENTS[], MATCH(CABLES[[#Headers],[SEG10]],SEGMENTS[SEG_ID],0),4),0)</f>
        <v>0</v>
      </c>
      <c r="BW33" s="9">
        <f xml:space="preserve"> IF(CABLES[[#This Row],[SEG11]] &gt;0,INDEX(SEGMENTS[], MATCH(CABLES[[#Headers],[SEG11]],SEGMENTS[SEG_ID],0),4),0)</f>
        <v>0</v>
      </c>
      <c r="BX33" s="9">
        <f>IF(CABLES[[#This Row],[SEG12]] &gt;0, INDEX(SEGMENTS[], MATCH(CABLES[[#Headers],[SEG12]],SEGMENTS[SEG_ID],0),4),0)</f>
        <v>0</v>
      </c>
      <c r="BY33" s="9">
        <f xml:space="preserve"> IF(CABLES[[#This Row],[SEG13]] &gt;0,INDEX(SEGMENTS[], MATCH(CABLES[[#Headers],[SEG13]],SEGMENTS[SEG_ID],0),4),0)</f>
        <v>0</v>
      </c>
      <c r="BZ33" s="9">
        <f xml:space="preserve"> IF(CABLES[[#This Row],[SEG14]] &gt;0,INDEX(SEGMENTS[], MATCH(CABLES[[#Headers],[SEG14]],SEGMENTS[SEG_ID],0),4),0)</f>
        <v>4</v>
      </c>
      <c r="CA33" s="9">
        <f xml:space="preserve"> IF(CABLES[[#This Row],[SEG15]] &gt;0,INDEX(SEGMENTS[], MATCH(CABLES[[#Headers],[SEG15]],SEGMENTS[SEG_ID],0),4),0)</f>
        <v>8</v>
      </c>
      <c r="CB33" s="9">
        <f xml:space="preserve"> IF(CABLES[[#This Row],[SEG16]] &gt;0,INDEX(SEGMENTS[], MATCH(CABLES[[#Headers],[SEG16]],SEGMENTS[SEG_ID],0),4),0)</f>
        <v>0</v>
      </c>
      <c r="CC33" s="9">
        <f xml:space="preserve"> IF(CABLES[[#This Row],[SEG17]] &gt;0,INDEX(SEGMENTS[], MATCH(CABLES[[#Headers],[SEG17]],SEGMENTS[SEG_ID],0),4),0)</f>
        <v>0</v>
      </c>
      <c r="CD33" s="9">
        <f xml:space="preserve"> IF(CABLES[[#This Row],[SEG18]] &gt;0,INDEX(SEGMENTS[], MATCH(CABLES[[#Headers],[SEG18]],SEGMENTS[SEG_ID],0),4),0)</f>
        <v>0</v>
      </c>
      <c r="CE33" s="9">
        <f>IF(CABLES[[#This Row],[SEG19]] &gt;0, INDEX(SEGMENTS[], MATCH(CABLES[[#Headers],[SEG19]],SEGMENTS[SEG_ID],0),4),0)</f>
        <v>0</v>
      </c>
      <c r="CF33" s="9">
        <f>IF(CABLES[[#This Row],[SEG20]] &gt;0, INDEX(SEGMENTS[], MATCH(CABLES[[#Headers],[SEG20]],SEGMENTS[SEG_ID],0),4),0)</f>
        <v>0</v>
      </c>
      <c r="CG33" s="9">
        <f xml:space="preserve"> IF(CABLES[[#This Row],[SEG21]] &gt;0,INDEX(SEGMENTS[], MATCH(CABLES[[#Headers],[SEG21]],SEGMENTS[SEG_ID],0),4),0)</f>
        <v>0</v>
      </c>
      <c r="CH33" s="9">
        <f xml:space="preserve"> IF(CABLES[[#This Row],[SEG22]] &gt;0,INDEX(SEGMENTS[], MATCH(CABLES[[#Headers],[SEG22]],SEGMENTS[SEG_ID],0),4),0)</f>
        <v>0</v>
      </c>
      <c r="CI33" s="9">
        <f>IF(CABLES[[#This Row],[SEG23]] &gt;0, INDEX(SEGMENTS[], MATCH(CABLES[[#Headers],[SEG23]],SEGMENTS[SEG_ID],0),4),0)</f>
        <v>0</v>
      </c>
      <c r="CJ33" s="9">
        <f xml:space="preserve"> IF(CABLES[[#This Row],[SEG24]] &gt;0,INDEX(SEGMENTS[], MATCH(CABLES[[#Headers],[SEG24]],SEGMENTS[SEG_ID],0),4),0)</f>
        <v>0</v>
      </c>
      <c r="CK33" s="9">
        <f>IF(CABLES[[#This Row],[SEG25]] &gt;0, INDEX(SEGMENTS[], MATCH(CABLES[[#Headers],[SEG25]],SEGMENTS[SEG_ID],0),4),0)</f>
        <v>0</v>
      </c>
      <c r="CL33" s="9">
        <f>IF(CABLES[[#This Row],[SEG26]] &gt;0, INDEX(SEGMENTS[], MATCH(CABLES[[#Headers],[SEG26]],SEGMENTS[SEG_ID],0),4),0)</f>
        <v>0</v>
      </c>
      <c r="CM33" s="9">
        <f xml:space="preserve"> IF(CABLES[[#This Row],[SEG27]] &gt;0,INDEX(SEGMENTS[], MATCH(CABLES[[#Headers],[SEG27]],SEGMENTS[SEG_ID],0),4),0)</f>
        <v>0</v>
      </c>
      <c r="CN33" s="9">
        <f xml:space="preserve"> IF(CABLES[[#This Row],[SEG28]] &gt;0,INDEX(SEGMENTS[], MATCH(CABLES[[#Headers],[SEG28]],SEGMENTS[SEG_ID],0),4),0)</f>
        <v>0</v>
      </c>
      <c r="CO33" s="9">
        <f xml:space="preserve"> IF(CABLES[[#This Row],[SEG29]] &gt;0,INDEX(SEGMENTS[], MATCH(CABLES[[#Headers],[SEG29]],SEGMENTS[SEG_ID],0),4),0)</f>
        <v>0</v>
      </c>
      <c r="CP33" s="9">
        <f xml:space="preserve"> IF(CABLES[[#This Row],[SEG30]] &gt;0,INDEX(SEGMENTS[], MATCH(CABLES[[#Headers],[SEG30]],SEGMENTS[SEG_ID],0),4),0)</f>
        <v>0</v>
      </c>
      <c r="CQ33" s="9">
        <f>IF(CABLES[[#This Row],[SEG31]] &gt;0, INDEX(SEGMENTS[], MATCH(CABLES[[#Headers],[SEG31]],SEGMENTS[SEG_ID],0),4),0)</f>
        <v>0</v>
      </c>
      <c r="CR33" s="9">
        <f xml:space="preserve"> IF(CABLES[[#This Row],[SEG32]] &gt;0,INDEX(SEGMENTS[], MATCH(CABLES[[#Headers],[SEG32]],SEGMENTS[SEG_ID],0),4),0)</f>
        <v>0</v>
      </c>
      <c r="CS33" s="9">
        <f xml:space="preserve"> IF(CABLES[[#This Row],[SEG33]] &gt;0,INDEX(SEGMENTS[], MATCH(CABLES[[#Headers],[SEG33]],SEGMENTS[SEG_ID],0),4),0)</f>
        <v>0</v>
      </c>
      <c r="CT33" s="9">
        <f>IF(CABLES[[#This Row],[SEG34]] &gt;0, INDEX(SEGMENTS[], MATCH(CABLES[[#Headers],[SEG34]],SEGMENTS[SEG_ID],0),4),0)</f>
        <v>0</v>
      </c>
      <c r="CU33" s="9">
        <f xml:space="preserve"> IF(CABLES[[#This Row],[SEG35]] &gt;0,INDEX(SEGMENTS[], MATCH(CABLES[[#Headers],[SEG35]],SEGMENTS[SEG_ID],0),4),0)</f>
        <v>0</v>
      </c>
      <c r="CV33" s="9">
        <f xml:space="preserve"> IF(CABLES[[#This Row],[SEG36]] &gt;0,INDEX(SEGMENTS[], MATCH(CABLES[[#Headers],[SEG36]],SEGMENTS[SEG_ID],0),4),0)</f>
        <v>0</v>
      </c>
      <c r="CW33" s="9">
        <f xml:space="preserve"> IF(CABLES[[#This Row],[SEG37]] &gt;0,INDEX(SEGMENTS[], MATCH(CABLES[[#Headers],[SEG37]],SEGMENTS[SEG_ID],0),4),0)</f>
        <v>0</v>
      </c>
      <c r="CX33" s="9">
        <f xml:space="preserve"> IF(CABLES[[#This Row],[SEG38]] &gt;0,INDEX(SEGMENTS[], MATCH(CABLES[[#Headers],[SEG38]],SEGMENTS[SEG_ID],0),4),0)</f>
        <v>0</v>
      </c>
      <c r="CY33" s="9">
        <f xml:space="preserve"> IF(CABLES[[#This Row],[SEG39]] &gt;0,INDEX(SEGMENTS[], MATCH(CABLES[[#Headers],[SEG39]],SEGMENTS[SEG_ID],0),4),0)</f>
        <v>0</v>
      </c>
      <c r="CZ33" s="9">
        <f xml:space="preserve"> IF(CABLES[[#This Row],[SEG40]] &gt;0,INDEX(SEGMENTS[], MATCH(CABLES[[#Headers],[SEG40]],SEGMENTS[SEG_ID],0),4),0)</f>
        <v>0</v>
      </c>
      <c r="DA33" s="9">
        <f xml:space="preserve"> IF(CABLES[[#This Row],[SEG41]] &gt;0,INDEX(SEGMENTS[], MATCH(CABLES[[#Headers],[SEG41]],SEGMENTS[SEG_ID],0),4),0)</f>
        <v>0</v>
      </c>
      <c r="DB33" s="9">
        <f xml:space="preserve"> IF(CABLES[[#This Row],[SEG42]] &gt;0,INDEX(SEGMENTS[], MATCH(CABLES[[#Headers],[SEG42]],SEGMENTS[SEG_ID],0),4),0)</f>
        <v>0</v>
      </c>
      <c r="DC33" s="9">
        <f xml:space="preserve"> IF(CABLES[[#This Row],[SEG43]] &gt;0,INDEX(SEGMENTS[], MATCH(CABLES[[#Headers],[SEG43]],SEGMENTS[SEG_ID],0),4),0)</f>
        <v>0</v>
      </c>
      <c r="DD33" s="9">
        <f xml:space="preserve"> IF(CABLES[[#This Row],[SEG44]] &gt;0,INDEX(SEGMENTS[], MATCH(CABLES[[#Headers],[SEG44]],SEGMENTS[SEG_ID],0),4),0)</f>
        <v>0</v>
      </c>
      <c r="DE33" s="9">
        <f xml:space="preserve"> IF(CABLES[[#This Row],[SEG45]] &gt;0,INDEX(SEGMENTS[], MATCH(CABLES[[#Headers],[SEG45]],SEGMENTS[SEG_ID],0),4),0)</f>
        <v>0</v>
      </c>
      <c r="DF33" s="9">
        <f xml:space="preserve"> IF(CABLES[[#This Row],[SEG46]] &gt;0,INDEX(SEGMENTS[], MATCH(CABLES[[#Headers],[SEG46]],SEGMENTS[SEG_ID],0),4),0)</f>
        <v>0</v>
      </c>
      <c r="DG33" s="9">
        <f xml:space="preserve"> IF(CABLES[[#This Row],[SEG47]] &gt;0,INDEX(SEGMENTS[], MATCH(CABLES[[#Headers],[SEG47]],SEGMENTS[SEG_ID],0),4),0)</f>
        <v>0</v>
      </c>
      <c r="DH33" s="9">
        <f xml:space="preserve"> IF(CABLES[[#This Row],[SEG48]] &gt;0,INDEX(SEGMENTS[], MATCH(CABLES[[#Headers],[SEG48]],SEGMENTS[SEG_ID],0),4),0)</f>
        <v>0</v>
      </c>
      <c r="DI33" s="9">
        <f xml:space="preserve"> IF(CABLES[[#This Row],[SEG49]] &gt;0,INDEX(SEGMENTS[], MATCH(CABLES[[#Headers],[SEG49]],SEGMENTS[SEG_ID],0),4),0)</f>
        <v>0</v>
      </c>
      <c r="DJ33" s="9">
        <f xml:space="preserve"> IF(CABLES[[#This Row],[SEG50]] &gt;0,INDEX(SEGMENTS[], MATCH(CABLES[[#Headers],[SEG50]],SEGMENTS[SEG_ID],0),4),0)</f>
        <v>0</v>
      </c>
      <c r="DK33" s="9">
        <f xml:space="preserve"> IF(CABLES[[#This Row],[SEG51]] &gt;0,INDEX(SEGMENTS[], MATCH(CABLES[[#Headers],[SEG51]],SEGMENTS[SEG_ID],0),4),0)</f>
        <v>0</v>
      </c>
      <c r="DL33" s="9">
        <f xml:space="preserve"> IF(CABLES[[#This Row],[SEG52]] &gt;0,INDEX(SEGMENTS[], MATCH(CABLES[[#Headers],[SEG52]],SEGMENTS[SEG_ID],0),4),0)</f>
        <v>0</v>
      </c>
      <c r="DM33" s="9">
        <f xml:space="preserve"> IF(CABLES[[#This Row],[SEG53]] &gt;0,INDEX(SEGMENTS[], MATCH(CABLES[[#Headers],[SEG53]],SEGMENTS[SEG_ID],0),4),0)</f>
        <v>0</v>
      </c>
      <c r="DN33" s="9">
        <f xml:space="preserve"> IF(CABLES[[#This Row],[SEG54]] &gt;0,INDEX(SEGMENTS[], MATCH(CABLES[[#Headers],[SEG54]],SEGMENTS[SEG_ID],0),4),0)</f>
        <v>0</v>
      </c>
      <c r="DO33" s="9">
        <f xml:space="preserve"> IF(CABLES[[#This Row],[SEG55]] &gt;0,INDEX(SEGMENTS[], MATCH(CABLES[[#Headers],[SEG55]],SEGMENTS[SEG_ID],0),4),0)</f>
        <v>0</v>
      </c>
      <c r="DP33" s="9">
        <f xml:space="preserve"> IF(CABLES[[#This Row],[SEG56]] &gt;0,INDEX(SEGMENTS[], MATCH(CABLES[[#Headers],[SEG56]],SEGMENTS[SEG_ID],0),4),0)</f>
        <v>0</v>
      </c>
      <c r="DQ33" s="9">
        <f xml:space="preserve"> IF(CABLES[[#This Row],[SEG57]] &gt;0,INDEX(SEGMENTS[], MATCH(CABLES[[#Headers],[SEG57]],SEGMENTS[SEG_ID],0),4),0)</f>
        <v>0</v>
      </c>
      <c r="DR33" s="9">
        <f xml:space="preserve"> IF(CABLES[[#This Row],[SEG58]] &gt;0,INDEX(SEGMENTS[], MATCH(CABLES[[#Headers],[SEG58]],SEGMENTS[SEG_ID],0),4),0)</f>
        <v>0</v>
      </c>
      <c r="DS33" s="9">
        <f xml:space="preserve"> IF(CABLES[[#This Row],[SEG59]] &gt;0,INDEX(SEGMENTS[], MATCH(CABLES[[#Headers],[SEG59]],SEGMENTS[SEG_ID],0),4),0)</f>
        <v>0</v>
      </c>
      <c r="DT33" s="9">
        <f xml:space="preserve"> IF(CABLES[[#This Row],[SEG60]] &gt;0,INDEX(SEGMENTS[], MATCH(CABLES[[#Headers],[SEG60]],SEGMENTS[SEG_ID],0),4),0)</f>
        <v>0</v>
      </c>
      <c r="DU33" s="10">
        <f>SUM(CABLES[[#This Row],[SEGL1]:[SEGL60]])</f>
        <v>46</v>
      </c>
      <c r="DV33" s="10">
        <v>5</v>
      </c>
      <c r="DW33" s="10">
        <v>1.2</v>
      </c>
      <c r="DX33" s="10">
        <f xml:space="preserve"> IF(CABLES[[#This Row],[SEGL_TOTAL]]&gt;0, (CABLES[[#This Row],[SEGL_TOTAL]] + CABLES[[#This Row],[FITOFF]]) *CABLES[[#This Row],[XCAPACITY]],0)</f>
        <v>61.199999999999996</v>
      </c>
      <c r="DY33" s="10">
        <f>IF(CABLES[[#This Row],[SEG1]]&gt;0,CABLES[[#This Row],[CABLE_DIAMETER]],0)</f>
        <v>12</v>
      </c>
      <c r="DZ33" s="10">
        <f>IF(CABLES[[#This Row],[SEG2]]&gt;0,CABLES[[#This Row],[CABLE_DIAMETER]],0)</f>
        <v>12</v>
      </c>
      <c r="EA33" s="10">
        <f>IF(CABLES[[#This Row],[SEG3]]&gt;0,CABLES[[#This Row],[CABLE_DIAMETER]],0)</f>
        <v>0</v>
      </c>
      <c r="EB33" s="10">
        <f>IF(CABLES[[#This Row],[SEG4]]&gt;0,CABLES[[#This Row],[CABLE_DIAMETER]],0)</f>
        <v>12</v>
      </c>
      <c r="EC33" s="10">
        <f>IF(CABLES[[#This Row],[SEG5]]&gt;0,CABLES[[#This Row],[CABLE_DIAMETER]],0)</f>
        <v>0</v>
      </c>
      <c r="ED33" s="10">
        <f>IF(CABLES[[#This Row],[SEG6]]&gt;0,CABLES[[#This Row],[CABLE_DIAMETER]],0)</f>
        <v>12</v>
      </c>
      <c r="EE33" s="10">
        <f>IF(CABLES[[#This Row],[SEG7]]&gt;0,CABLES[[#This Row],[CABLE_DIAMETER]],0)</f>
        <v>0</v>
      </c>
      <c r="EF33" s="10">
        <f>IF(CABLES[[#This Row],[SEG9]]&gt;0,CABLES[[#This Row],[CABLE_DIAMETER]],0)</f>
        <v>0</v>
      </c>
      <c r="EG33" s="10">
        <f>IF(CABLES[[#This Row],[SEG9]]&gt;0,CABLES[[#This Row],[CABLE_DIAMETER]],0)</f>
        <v>0</v>
      </c>
      <c r="EH33" s="10">
        <f>IF(CABLES[[#This Row],[SEG10]]&gt;0,CABLES[[#This Row],[CABLE_DIAMETER]],0)</f>
        <v>0</v>
      </c>
      <c r="EI33" s="10">
        <f>IF(CABLES[[#This Row],[SEG11]]&gt;0,CABLES[[#This Row],[CABLE_DIAMETER]],0)</f>
        <v>0</v>
      </c>
      <c r="EJ33" s="10">
        <f>IF(CABLES[[#This Row],[SEG12]]&gt;0,CABLES[[#This Row],[CABLE_DIAMETER]],0)</f>
        <v>0</v>
      </c>
      <c r="EK33" s="10">
        <f>IF(CABLES[[#This Row],[SEG13]]&gt;0,CABLES[[#This Row],[CABLE_DIAMETER]],0)</f>
        <v>0</v>
      </c>
      <c r="EL33" s="10">
        <f>IF(CABLES[[#This Row],[SEG14]]&gt;0,CABLES[[#This Row],[CABLE_DIAMETER]],0)</f>
        <v>12</v>
      </c>
      <c r="EM33" s="10">
        <f>IF(CABLES[[#This Row],[SEG15]]&gt;0,CABLES[[#This Row],[CABLE_DIAMETER]],0)</f>
        <v>12</v>
      </c>
      <c r="EN33" s="10">
        <f>IF(CABLES[[#This Row],[SEG16]]&gt;0,CABLES[[#This Row],[CABLE_DIAMETER]],0)</f>
        <v>0</v>
      </c>
      <c r="EO33" s="10">
        <f>IF(CABLES[[#This Row],[SEG17]]&gt;0,CABLES[[#This Row],[CABLE_DIAMETER]],0)</f>
        <v>0</v>
      </c>
      <c r="EP33" s="10">
        <f>IF(CABLES[[#This Row],[SEG18]]&gt;0,CABLES[[#This Row],[CABLE_DIAMETER]],0)</f>
        <v>0</v>
      </c>
      <c r="EQ33" s="10">
        <f>IF(CABLES[[#This Row],[SEG19]]&gt;0,CABLES[[#This Row],[CABLE_DIAMETER]],0)</f>
        <v>0</v>
      </c>
      <c r="ER33" s="10">
        <f>IF(CABLES[[#This Row],[SEG20]]&gt;0,CABLES[[#This Row],[CABLE_DIAMETER]],0)</f>
        <v>0</v>
      </c>
      <c r="ES33" s="10">
        <f>IF(CABLES[[#This Row],[SEG21]]&gt;0,CABLES[[#This Row],[CABLE_DIAMETER]],0)</f>
        <v>0</v>
      </c>
      <c r="ET33" s="10">
        <f>IF(CABLES[[#This Row],[SEG22]]&gt;0,CABLES[[#This Row],[CABLE_DIAMETER]],0)</f>
        <v>0</v>
      </c>
      <c r="EU33" s="10">
        <f>IF(CABLES[[#This Row],[SEG23]]&gt;0,CABLES[[#This Row],[CABLE_DIAMETER]],0)</f>
        <v>0</v>
      </c>
      <c r="EV33" s="10">
        <f>IF(CABLES[[#This Row],[SEG24]]&gt;0,CABLES[[#This Row],[CABLE_DIAMETER]],0)</f>
        <v>0</v>
      </c>
      <c r="EW33" s="10">
        <f>IF(CABLES[[#This Row],[SEG25]]&gt;0,CABLES[[#This Row],[CABLE_DIAMETER]],0)</f>
        <v>0</v>
      </c>
      <c r="EX33" s="10">
        <f>IF(CABLES[[#This Row],[SEG26]]&gt;0,CABLES[[#This Row],[CABLE_DIAMETER]],0)</f>
        <v>0</v>
      </c>
      <c r="EY33" s="10">
        <f>IF(CABLES[[#This Row],[SEG27]]&gt;0,CABLES[[#This Row],[CABLE_DIAMETER]],0)</f>
        <v>0</v>
      </c>
      <c r="EZ33" s="10">
        <f>IF(CABLES[[#This Row],[SEG28]]&gt;0,CABLES[[#This Row],[CABLE_DIAMETER]],0)</f>
        <v>0</v>
      </c>
      <c r="FA33" s="10">
        <f>IF(CABLES[[#This Row],[SEG29]]&gt;0,CABLES[[#This Row],[CABLE_DIAMETER]],0)</f>
        <v>0</v>
      </c>
      <c r="FB33" s="10">
        <f>IF(CABLES[[#This Row],[SEG30]]&gt;0,CABLES[[#This Row],[CABLE_DIAMETER]],0)</f>
        <v>0</v>
      </c>
      <c r="FC33" s="10">
        <f>IF(CABLES[[#This Row],[SEG31]]&gt;0,CABLES[[#This Row],[CABLE_DIAMETER]],0)</f>
        <v>0</v>
      </c>
      <c r="FD33" s="10">
        <f>IF(CABLES[[#This Row],[SEG32]]&gt;0,CABLES[[#This Row],[CABLE_DIAMETER]],0)</f>
        <v>0</v>
      </c>
      <c r="FE33" s="10">
        <f>IF(CABLES[[#This Row],[SEG33]]&gt;0,CABLES[[#This Row],[CABLE_DIAMETER]],0)</f>
        <v>0</v>
      </c>
      <c r="FF33" s="10">
        <f>IF(CABLES[[#This Row],[SEG34]]&gt;0,CABLES[[#This Row],[CABLE_DIAMETER]],0)</f>
        <v>0</v>
      </c>
      <c r="FG33" s="10">
        <f>IF(CABLES[[#This Row],[SEG35]]&gt;0,CABLES[[#This Row],[CABLE_DIAMETER]],0)</f>
        <v>0</v>
      </c>
      <c r="FH33" s="10">
        <f>IF(CABLES[[#This Row],[SEG36]]&gt;0,CABLES[[#This Row],[CABLE_DIAMETER]],0)</f>
        <v>0</v>
      </c>
      <c r="FI33" s="10">
        <f>IF(CABLES[[#This Row],[SEG37]]&gt;0,CABLES[[#This Row],[CABLE_DIAMETER]],0)</f>
        <v>0</v>
      </c>
      <c r="FJ33" s="10">
        <f>IF(CABLES[[#This Row],[SEG38]]&gt;0,CABLES[[#This Row],[CABLE_DIAMETER]],0)</f>
        <v>0</v>
      </c>
      <c r="FK33" s="10">
        <f>IF(CABLES[[#This Row],[SEG39]]&gt;0,CABLES[[#This Row],[CABLE_DIAMETER]],0)</f>
        <v>0</v>
      </c>
      <c r="FL33" s="10">
        <f>IF(CABLES[[#This Row],[SEG40]]&gt;0,CABLES[[#This Row],[CABLE_DIAMETER]],0)</f>
        <v>0</v>
      </c>
      <c r="FM33" s="10">
        <f>IF(CABLES[[#This Row],[SEG41]]&gt;0,CABLES[[#This Row],[CABLE_DIAMETER]],0)</f>
        <v>0</v>
      </c>
      <c r="FN33" s="10">
        <f>IF(CABLES[[#This Row],[SEG42]]&gt;0,CABLES[[#This Row],[CABLE_DIAMETER]],0)</f>
        <v>0</v>
      </c>
      <c r="FO33" s="10">
        <f>IF(CABLES[[#This Row],[SEG43]]&gt;0,CABLES[[#This Row],[CABLE_DIAMETER]],0)</f>
        <v>0</v>
      </c>
      <c r="FP33" s="10">
        <f>IF(CABLES[[#This Row],[SEG44]]&gt;0,CABLES[[#This Row],[CABLE_DIAMETER]],0)</f>
        <v>0</v>
      </c>
      <c r="FQ33" s="10">
        <f>IF(CABLES[[#This Row],[SEG45]]&gt;0,CABLES[[#This Row],[CABLE_DIAMETER]],0)</f>
        <v>0</v>
      </c>
      <c r="FR33" s="10">
        <f>IF(CABLES[[#This Row],[SEG46]]&gt;0,CABLES[[#This Row],[CABLE_DIAMETER]],0)</f>
        <v>0</v>
      </c>
      <c r="FS33" s="10">
        <f>IF(CABLES[[#This Row],[SEG47]]&gt;0,CABLES[[#This Row],[CABLE_DIAMETER]],0)</f>
        <v>0</v>
      </c>
      <c r="FT33" s="10">
        <f>IF(CABLES[[#This Row],[SEG48]]&gt;0,CABLES[[#This Row],[CABLE_DIAMETER]],0)</f>
        <v>0</v>
      </c>
      <c r="FU33" s="10">
        <f>IF(CABLES[[#This Row],[SEG49]]&gt;0,CABLES[[#This Row],[CABLE_DIAMETER]],0)</f>
        <v>0</v>
      </c>
      <c r="FV33" s="10">
        <f>IF(CABLES[[#This Row],[SEG50]]&gt;0,CABLES[[#This Row],[CABLE_DIAMETER]],0)</f>
        <v>0</v>
      </c>
      <c r="FW33" s="10">
        <f>IF(CABLES[[#This Row],[SEG51]]&gt;0,CABLES[[#This Row],[CABLE_DIAMETER]],0)</f>
        <v>0</v>
      </c>
      <c r="FX33" s="10">
        <f>IF(CABLES[[#This Row],[SEG52]]&gt;0,CABLES[[#This Row],[CABLE_DIAMETER]],0)</f>
        <v>0</v>
      </c>
      <c r="FY33" s="10">
        <f>IF(CABLES[[#This Row],[SEG53]]&gt;0,CABLES[[#This Row],[CABLE_DIAMETER]],0)</f>
        <v>0</v>
      </c>
      <c r="FZ33" s="10">
        <f>IF(CABLES[[#This Row],[SEG54]]&gt;0,CABLES[[#This Row],[CABLE_DIAMETER]],0)</f>
        <v>0</v>
      </c>
      <c r="GA33" s="10">
        <f>IF(CABLES[[#This Row],[SEG55]]&gt;0,CABLES[[#This Row],[CABLE_DIAMETER]],0)</f>
        <v>0</v>
      </c>
      <c r="GB33" s="10">
        <f>IF(CABLES[[#This Row],[SEG56]]&gt;0,CABLES[[#This Row],[CABLE_DIAMETER]],0)</f>
        <v>0</v>
      </c>
      <c r="GC33" s="10">
        <f>IF(CABLES[[#This Row],[SEG57]]&gt;0,CABLES[[#This Row],[CABLE_DIAMETER]],0)</f>
        <v>0</v>
      </c>
      <c r="GD33" s="10">
        <f>IF(CABLES[[#This Row],[SEG58]]&gt;0,CABLES[[#This Row],[CABLE_DIAMETER]],0)</f>
        <v>0</v>
      </c>
      <c r="GE33" s="10">
        <f>IF(CABLES[[#This Row],[SEG59]]&gt;0,CABLES[[#This Row],[CABLE_DIAMETER]],0)</f>
        <v>0</v>
      </c>
      <c r="GF33" s="10">
        <f>IF(CABLES[[#This Row],[SEG60]]&gt;0,CABLES[[#This Row],[CABLE_DIAMETER]],0)</f>
        <v>0</v>
      </c>
      <c r="GG33" s="10">
        <f>IF(CABLES[[#This Row],[SEG1]]&gt;0,CABLES[[#This Row],[CABLE_MASS]],0)</f>
        <v>0.21</v>
      </c>
      <c r="GH33" s="10">
        <f>IF(CABLES[[#This Row],[SEG2]]&gt;0,CABLES[[#This Row],[CABLE_MASS]],0)</f>
        <v>0.21</v>
      </c>
      <c r="GI33" s="10">
        <f>IF(CABLES[[#This Row],[SEG3]]&gt;0,CABLES[[#This Row],[CABLE_MASS]],0)</f>
        <v>0</v>
      </c>
      <c r="GJ33" s="10">
        <f>IF(CABLES[[#This Row],[SEG4]]&gt;0,CABLES[[#This Row],[CABLE_MASS]],0)</f>
        <v>0.21</v>
      </c>
      <c r="GK33" s="10">
        <f>IF(CABLES[[#This Row],[SEG5]]&gt;0,CABLES[[#This Row],[CABLE_MASS]],0)</f>
        <v>0</v>
      </c>
      <c r="GL33" s="10">
        <f>IF(CABLES[[#This Row],[SEG6]]&gt;0,CABLES[[#This Row],[CABLE_MASS]],0)</f>
        <v>0.21</v>
      </c>
      <c r="GM33" s="10">
        <f>IF(CABLES[[#This Row],[SEG7]]&gt;0,CABLES[[#This Row],[CABLE_MASS]],0)</f>
        <v>0</v>
      </c>
      <c r="GN33" s="10">
        <f>IF(CABLES[[#This Row],[SEG8]]&gt;0,CABLES[[#This Row],[CABLE_MASS]],0)</f>
        <v>0.21</v>
      </c>
      <c r="GO33" s="10">
        <f>IF(CABLES[[#This Row],[SEG9]]&gt;0,CABLES[[#This Row],[CABLE_MASS]],0)</f>
        <v>0</v>
      </c>
      <c r="GP33" s="10">
        <f>IF(CABLES[[#This Row],[SEG10]]&gt;0,CABLES[[#This Row],[CABLE_MASS]],0)</f>
        <v>0</v>
      </c>
      <c r="GQ33" s="10">
        <f>IF(CABLES[[#This Row],[SEG11]]&gt;0,CABLES[[#This Row],[CABLE_MASS]],0)</f>
        <v>0</v>
      </c>
      <c r="GR33" s="10">
        <f>IF(CABLES[[#This Row],[SEG12]]&gt;0,CABLES[[#This Row],[CABLE_MASS]],0)</f>
        <v>0</v>
      </c>
      <c r="GS33" s="10">
        <f>IF(CABLES[[#This Row],[SEG13]]&gt;0,CABLES[[#This Row],[CABLE_MASS]],0)</f>
        <v>0</v>
      </c>
      <c r="GT33" s="10">
        <f>IF(CABLES[[#This Row],[SEG14]]&gt;0,CABLES[[#This Row],[CABLE_MASS]],0)</f>
        <v>0.21</v>
      </c>
      <c r="GU33" s="10">
        <f>IF(CABLES[[#This Row],[SEG15]]&gt;0,CABLES[[#This Row],[CABLE_MASS]],0)</f>
        <v>0.21</v>
      </c>
      <c r="GV33" s="10">
        <f>IF(CABLES[[#This Row],[SEG16]]&gt;0,CABLES[[#This Row],[CABLE_MASS]],0)</f>
        <v>0</v>
      </c>
      <c r="GW33" s="10">
        <f>IF(CABLES[[#This Row],[SEG17]]&gt;0,CABLES[[#This Row],[CABLE_MASS]],0)</f>
        <v>0</v>
      </c>
      <c r="GX33" s="10">
        <f>IF(CABLES[[#This Row],[SEG18]]&gt;0,CABLES[[#This Row],[CABLE_MASS]],0)</f>
        <v>0</v>
      </c>
      <c r="GY33" s="10">
        <f>IF(CABLES[[#This Row],[SEG19]]&gt;0,CABLES[[#This Row],[CABLE_MASS]],0)</f>
        <v>0</v>
      </c>
      <c r="GZ33" s="10">
        <f>IF(CABLES[[#This Row],[SEG20]]&gt;0,CABLES[[#This Row],[CABLE_MASS]],0)</f>
        <v>0</v>
      </c>
      <c r="HA33" s="10">
        <f>IF(CABLES[[#This Row],[SEG21]]&gt;0,CABLES[[#This Row],[CABLE_MASS]],0)</f>
        <v>0</v>
      </c>
      <c r="HB33" s="10">
        <f>IF(CABLES[[#This Row],[SEG22]]&gt;0,CABLES[[#This Row],[CABLE_MASS]],0)</f>
        <v>0</v>
      </c>
      <c r="HC33" s="10">
        <f>IF(CABLES[[#This Row],[SEG23]]&gt;0,CABLES[[#This Row],[CABLE_MASS]],0)</f>
        <v>0</v>
      </c>
      <c r="HD33" s="10">
        <f>IF(CABLES[[#This Row],[SEG24]]&gt;0,CABLES[[#This Row],[CABLE_MASS]],0)</f>
        <v>0</v>
      </c>
      <c r="HE33" s="10">
        <f>IF(CABLES[[#This Row],[SEG25]]&gt;0,CABLES[[#This Row],[CABLE_MASS]],0)</f>
        <v>0</v>
      </c>
      <c r="HF33" s="10">
        <f>IF(CABLES[[#This Row],[SEG26]]&gt;0,CABLES[[#This Row],[CABLE_MASS]],0)</f>
        <v>0</v>
      </c>
      <c r="HG33" s="10">
        <f>IF(CABLES[[#This Row],[SEG27]]&gt;0,CABLES[[#This Row],[CABLE_MASS]],0)</f>
        <v>0</v>
      </c>
      <c r="HH33" s="10">
        <f>IF(CABLES[[#This Row],[SEG28]]&gt;0,CABLES[[#This Row],[CABLE_MASS]],0)</f>
        <v>0</v>
      </c>
      <c r="HI33" s="10">
        <f>IF(CABLES[[#This Row],[SEG29]]&gt;0,CABLES[[#This Row],[CABLE_MASS]],0)</f>
        <v>0</v>
      </c>
      <c r="HJ33" s="10">
        <f>IF(CABLES[[#This Row],[SEG30]]&gt;0,CABLES[[#This Row],[CABLE_MASS]],0)</f>
        <v>0</v>
      </c>
      <c r="HK33" s="10">
        <f>IF(CABLES[[#This Row],[SEG31]]&gt;0,CABLES[[#This Row],[CABLE_MASS]],0)</f>
        <v>0</v>
      </c>
      <c r="HL33" s="10">
        <f>IF(CABLES[[#This Row],[SEG32]]&gt;0,CABLES[[#This Row],[CABLE_MASS]],0)</f>
        <v>0</v>
      </c>
      <c r="HM33" s="10">
        <f>IF(CABLES[[#This Row],[SEG33]]&gt;0,CABLES[[#This Row],[CABLE_MASS]],0)</f>
        <v>0</v>
      </c>
      <c r="HN33" s="10">
        <f>IF(CABLES[[#This Row],[SEG34]]&gt;0,CABLES[[#This Row],[CABLE_MASS]],0)</f>
        <v>0</v>
      </c>
      <c r="HO33" s="10">
        <f>IF(CABLES[[#This Row],[SEG35]]&gt;0,CABLES[[#This Row],[CABLE_MASS]],0)</f>
        <v>0</v>
      </c>
      <c r="HP33" s="10">
        <f>IF(CABLES[[#This Row],[SEG36]]&gt;0,CABLES[[#This Row],[CABLE_MASS]],0)</f>
        <v>0</v>
      </c>
      <c r="HQ33" s="10">
        <f>IF(CABLES[[#This Row],[SEG37]]&gt;0,CABLES[[#This Row],[CABLE_MASS]],0)</f>
        <v>0</v>
      </c>
      <c r="HR33" s="10">
        <f>IF(CABLES[[#This Row],[SEG38]]&gt;0,CABLES[[#This Row],[CABLE_MASS]],0)</f>
        <v>0</v>
      </c>
      <c r="HS33" s="10">
        <f>IF(CABLES[[#This Row],[SEG39]]&gt;0,CABLES[[#This Row],[CABLE_MASS]],0)</f>
        <v>0</v>
      </c>
      <c r="HT33" s="10">
        <f>IF(CABLES[[#This Row],[SEG40]]&gt;0,CABLES[[#This Row],[CABLE_MASS]],0)</f>
        <v>0</v>
      </c>
      <c r="HU33" s="10">
        <f>IF(CABLES[[#This Row],[SEG41]]&gt;0,CABLES[[#This Row],[CABLE_MASS]],0)</f>
        <v>0</v>
      </c>
      <c r="HV33" s="10">
        <f>IF(CABLES[[#This Row],[SEG42]]&gt;0,CABLES[[#This Row],[CABLE_MASS]],0)</f>
        <v>0</v>
      </c>
      <c r="HW33" s="10">
        <f>IF(CABLES[[#This Row],[SEG43]]&gt;0,CABLES[[#This Row],[CABLE_MASS]],0)</f>
        <v>0</v>
      </c>
      <c r="HX33" s="10">
        <f>IF(CABLES[[#This Row],[SEG44]]&gt;0,CABLES[[#This Row],[CABLE_MASS]],0)</f>
        <v>0</v>
      </c>
      <c r="HY33" s="10">
        <f>IF(CABLES[[#This Row],[SEG45]]&gt;0,CABLES[[#This Row],[CABLE_MASS]],0)</f>
        <v>0</v>
      </c>
      <c r="HZ33" s="10">
        <f>IF(CABLES[[#This Row],[SEG46]]&gt;0,CABLES[[#This Row],[CABLE_MASS]],0)</f>
        <v>0</v>
      </c>
      <c r="IA33" s="10">
        <f>IF(CABLES[[#This Row],[SEG47]]&gt;0,CABLES[[#This Row],[CABLE_MASS]],0)</f>
        <v>0</v>
      </c>
      <c r="IB33" s="10">
        <f>IF(CABLES[[#This Row],[SEG48]]&gt;0,CABLES[[#This Row],[CABLE_MASS]],0)</f>
        <v>0</v>
      </c>
      <c r="IC33" s="10">
        <f>IF(CABLES[[#This Row],[SEG49]]&gt;0,CABLES[[#This Row],[CABLE_MASS]],0)</f>
        <v>0</v>
      </c>
      <c r="ID33" s="10">
        <f>IF(CABLES[[#This Row],[SEG50]]&gt;0,CABLES[[#This Row],[CABLE_MASS]],0)</f>
        <v>0</v>
      </c>
      <c r="IE33" s="10">
        <f>IF(CABLES[[#This Row],[SEG51]]&gt;0,CABLES[[#This Row],[CABLE_MASS]],0)</f>
        <v>0</v>
      </c>
      <c r="IF33" s="10">
        <f>IF(CABLES[[#This Row],[SEG52]]&gt;0,CABLES[[#This Row],[CABLE_MASS]],0)</f>
        <v>0</v>
      </c>
      <c r="IG33" s="10">
        <f>IF(CABLES[[#This Row],[SEG53]]&gt;0,CABLES[[#This Row],[CABLE_MASS]],0)</f>
        <v>0</v>
      </c>
      <c r="IH33" s="10">
        <f>IF(CABLES[[#This Row],[SEG54]]&gt;0,CABLES[[#This Row],[CABLE_MASS]],0)</f>
        <v>0</v>
      </c>
      <c r="II33" s="10">
        <f>IF(CABLES[[#This Row],[SEG55]]&gt;0,CABLES[[#This Row],[CABLE_MASS]],0)</f>
        <v>0</v>
      </c>
      <c r="IJ33" s="10">
        <f>IF(CABLES[[#This Row],[SEG56]]&gt;0,CABLES[[#This Row],[CABLE_MASS]],0)</f>
        <v>0</v>
      </c>
      <c r="IK33" s="10">
        <f>IF(CABLES[[#This Row],[SEG57]]&gt;0,CABLES[[#This Row],[CABLE_MASS]],0)</f>
        <v>0</v>
      </c>
      <c r="IL33" s="10">
        <f>IF(CABLES[[#This Row],[SEG58]]&gt;0,CABLES[[#This Row],[CABLE_MASS]],0)</f>
        <v>0</v>
      </c>
      <c r="IM33" s="10">
        <f>IF(CABLES[[#This Row],[SEG59]]&gt;0,CABLES[[#This Row],[CABLE_MASS]],0)</f>
        <v>0</v>
      </c>
      <c r="IN33" s="10">
        <f>IF(CABLES[[#This Row],[SEG60]]&gt;0,CABLES[[#This Row],[CABLE_MASS]],0)</f>
        <v>0</v>
      </c>
      <c r="IO33" s="10">
        <f xml:space="preserve">  (CABLES[[#This Row],[LOAD_KW]]/(SQRT(3)*SYSTEM_VOLTAGE*POWER_FACTOR))*1000</f>
        <v>4.8112522432468809</v>
      </c>
      <c r="IP33" s="10">
        <v>45</v>
      </c>
      <c r="IQ33" s="10">
        <f xml:space="preserve"> INDEX(AS3000_AMBIENTDERATE[], MATCH(CABLES[[#This Row],[AMBIENT]],AS3000_AMBIENTDERATE[AMBIENT],0), 2)</f>
        <v>0.94</v>
      </c>
      <c r="IR33" s="10">
        <f xml:space="preserve"> ROUNDUP( CABLES[[#This Row],[CALCULATED_AMPS]]/CABLES[[#This Row],[AMBIENT_DERATING]],1)</f>
        <v>5.1999999999999993</v>
      </c>
      <c r="IS33" s="10" t="s">
        <v>531</v>
      </c>
      <c r="IT3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33" s="10">
        <f t="shared" si="0"/>
        <v>28.000000000000004</v>
      </c>
      <c r="IV33" s="10">
        <f>(1000*CABLES[[#This Row],[MAX_VDROP]])/(CABLES[[#This Row],[ESTIMATED_CABLE_LENGTH]]*CABLES[[#This Row],[AMP_RATING]])</f>
        <v>87.983911513323307</v>
      </c>
      <c r="IW33" s="10">
        <f xml:space="preserve"> INDEX(AS3000_VDROP[], MATCH(CABLES[[#This Row],[VC_CALC]],AS3000_VDROP[Vc],1),1)</f>
        <v>2.5</v>
      </c>
      <c r="IX33" s="10">
        <f>MAX(CABLES[[#This Row],[CABLESIZE_METHOD1]],CABLES[[#This Row],[CABLESIZE_METHOD2]])</f>
        <v>2.5</v>
      </c>
      <c r="IY33" s="10"/>
      <c r="IZ33" s="10">
        <f>IF(LEN(CABLES[[#This Row],[OVERRIDE_CABLESIZE]])&gt;0,CABLES[[#This Row],[OVERRIDE_CABLESIZE]],CABLES[[#This Row],[INITIAL_CABLESIZE]])</f>
        <v>2.5</v>
      </c>
      <c r="JA33" s="10">
        <f>INDEX(PROTECTIVE_DEVICE[DEVICE], MATCH(CABLES[[#This Row],[CALCULATED_AMPS]],PROTECTIVE_DEVICE[DEVICE],-1),1)</f>
        <v>6</v>
      </c>
      <c r="JB33" s="10"/>
      <c r="JC33" s="10">
        <f>IF(LEN(CABLES[[#This Row],[OVERRIDE_PDEVICE]])&gt;0, CABLES[[#This Row],[OVERRIDE_PDEVICE]],CABLES[[#This Row],[RECOMMEND_PDEVICE]])</f>
        <v>6</v>
      </c>
      <c r="JD33" s="10" t="s">
        <v>450</v>
      </c>
      <c r="JE33" s="10">
        <f xml:space="preserve"> CABLES[[#This Row],[SELECTED_PDEVICE]] * INDEX(DEVICE_CURVE[], MATCH(CABLES[[#This Row],[PDEVICE_CURVE]], DEVICE_CURVE[DEVICE_CURVE],0),2)</f>
        <v>39</v>
      </c>
      <c r="JF33" s="10" t="s">
        <v>458</v>
      </c>
      <c r="JG33" s="10">
        <f xml:space="preserve"> INDEX(CONDUCTOR_MATERIAL[], MATCH(CABLES[[#This Row],[CONDUCTOR_MATERIAL]],CONDUCTOR_MATERIAL[CONDUCTOR_MATERIAL],0),2)</f>
        <v>2.2499999999999999E-2</v>
      </c>
      <c r="JH33" s="10">
        <f>CABLES[[#This Row],[SELECTED_CABLESIZE]]</f>
        <v>2.5</v>
      </c>
      <c r="JI33" s="10">
        <f xml:space="preserve"> INDEX( EARTH_CONDUCTOR_SIZE[], MATCH(CABLES[[#This Row],[SPH]],EARTH_CONDUCTOR_SIZE[MM^2],-1), 2)</f>
        <v>2.5</v>
      </c>
      <c r="JJ33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33" s="10" t="str">
        <f>IF(CABLES[[#This Row],[LMAX]]&gt;CABLES[[#This Row],[ESTIMATED_CABLE_LENGTH]], "PASS", "ERROR")</f>
        <v>PASS</v>
      </c>
      <c r="JL3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3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33" s="6">
        <f xml:space="preserve"> ROUNDUP( CABLES[[#This Row],[CALCULATED_AMPS]],1)</f>
        <v>4.8999999999999995</v>
      </c>
      <c r="JO33" s="6">
        <f>CABLES[[#This Row],[SELECTED_CABLESIZE]]</f>
        <v>2.5</v>
      </c>
      <c r="JP33" s="10">
        <f>CABLES[[#This Row],[ESTIMATED_CABLE_LENGTH]]</f>
        <v>61.199999999999996</v>
      </c>
      <c r="JQ33" s="6">
        <f>CABLES[[#This Row],[SELECTED_PDEVICE]]</f>
        <v>6</v>
      </c>
    </row>
    <row r="34" spans="1:277" x14ac:dyDescent="0.35">
      <c r="A34" s="5" t="s">
        <v>33</v>
      </c>
      <c r="B34" s="5" t="s">
        <v>97</v>
      </c>
      <c r="C34" s="10" t="s">
        <v>261</v>
      </c>
      <c r="D34" s="9">
        <v>11</v>
      </c>
      <c r="E34" s="9">
        <v>1</v>
      </c>
      <c r="F34" s="9">
        <v>1</v>
      </c>
      <c r="G34" s="9">
        <v>0</v>
      </c>
      <c r="H34" s="9">
        <v>1</v>
      </c>
      <c r="I34" s="9">
        <v>0</v>
      </c>
      <c r="J34" s="9">
        <v>1</v>
      </c>
      <c r="K34" s="9">
        <v>0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1</v>
      </c>
      <c r="S34" s="9">
        <v>1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f xml:space="preserve"> IF(CABLES[[#This Row],[SEG1]] &gt;0, INDEX(SEGMENTS[], MATCH(CABLES[[#Headers],[SEG1]],SEGMENTS[SEG_ID],0),4),0)</f>
        <v>13</v>
      </c>
      <c r="BN34" s="9">
        <f xml:space="preserve"> IF(CABLES[[#This Row],[SEG2]] &gt;0, INDEX(SEGMENTS[], MATCH(CABLES[[#Headers],[SEG2]],SEGMENTS[SEG_ID],0),4),0)</f>
        <v>2</v>
      </c>
      <c r="BO34" s="9">
        <f xml:space="preserve"> IF(CABLES[[#This Row],[SEG3]] &gt;0, INDEX(SEGMENTS[], MATCH(CABLES[[#Headers],[SEG3]],SEGMENTS[SEG_ID],0),4),0)</f>
        <v>0</v>
      </c>
      <c r="BP34" s="9">
        <f xml:space="preserve"> IF(CABLES[[#This Row],[SEG4]] &gt;0, INDEX(SEGMENTS[], MATCH(CABLES[[#Headers],[SEG4]],SEGMENTS[SEG_ID],0),4),0)</f>
        <v>14</v>
      </c>
      <c r="BQ34" s="9">
        <f xml:space="preserve"> IF(CABLES[[#This Row],[SEG5]] &gt;0,INDEX(SEGMENTS[], MATCH(CABLES[[#Headers],[SEG5]],SEGMENTS[SEG_ID],0),4),0)</f>
        <v>0</v>
      </c>
      <c r="BR34" s="9">
        <f xml:space="preserve"> IF(CABLES[[#This Row],[SEG6]] &gt;0,INDEX(SEGMENTS[], MATCH(CABLES[[#Headers],[SEG6]],SEGMENTS[SEG_ID],0),4),0)</f>
        <v>2</v>
      </c>
      <c r="BS34" s="9">
        <f xml:space="preserve"> IF(CABLES[[#This Row],[SEG7]] &gt;0,INDEX(SEGMENTS[], MATCH(CABLES[[#Headers],[SEG7]],SEGMENTS[SEG_ID],0),4),0)</f>
        <v>0</v>
      </c>
      <c r="BT34" s="9">
        <f xml:space="preserve"> IF(CABLES[[#This Row],[SEG8]] &gt;0,INDEX(SEGMENTS[], MATCH(CABLES[[#Headers],[SEG8]],SEGMENTS[SEG_ID],0),4),0)</f>
        <v>3</v>
      </c>
      <c r="BU34" s="9">
        <f xml:space="preserve"> IF(CABLES[[#This Row],[SEG9]] &gt;0,INDEX(SEGMENTS[], MATCH(CABLES[[#Headers],[SEG9]],SEGMENTS[SEG_ID],0),4),0)</f>
        <v>0</v>
      </c>
      <c r="BV34" s="9">
        <f xml:space="preserve"> IF(CABLES[[#This Row],[SEG10]] &gt;0,INDEX(SEGMENTS[], MATCH(CABLES[[#Headers],[SEG10]],SEGMENTS[SEG_ID],0),4),0)</f>
        <v>0</v>
      </c>
      <c r="BW34" s="9">
        <f xml:space="preserve"> IF(CABLES[[#This Row],[SEG11]] &gt;0,INDEX(SEGMENTS[], MATCH(CABLES[[#Headers],[SEG11]],SEGMENTS[SEG_ID],0),4),0)</f>
        <v>0</v>
      </c>
      <c r="BX34" s="9">
        <f>IF(CABLES[[#This Row],[SEG12]] &gt;0, INDEX(SEGMENTS[], MATCH(CABLES[[#Headers],[SEG12]],SEGMENTS[SEG_ID],0),4),0)</f>
        <v>0</v>
      </c>
      <c r="BY34" s="9">
        <f xml:space="preserve"> IF(CABLES[[#This Row],[SEG13]] &gt;0,INDEX(SEGMENTS[], MATCH(CABLES[[#Headers],[SEG13]],SEGMENTS[SEG_ID],0),4),0)</f>
        <v>0</v>
      </c>
      <c r="BZ34" s="9">
        <f xml:space="preserve"> IF(CABLES[[#This Row],[SEG14]] &gt;0,INDEX(SEGMENTS[], MATCH(CABLES[[#Headers],[SEG14]],SEGMENTS[SEG_ID],0),4),0)</f>
        <v>4</v>
      </c>
      <c r="CA34" s="9">
        <f xml:space="preserve"> IF(CABLES[[#This Row],[SEG15]] &gt;0,INDEX(SEGMENTS[], MATCH(CABLES[[#Headers],[SEG15]],SEGMENTS[SEG_ID],0),4),0)</f>
        <v>8</v>
      </c>
      <c r="CB34" s="9">
        <f xml:space="preserve"> IF(CABLES[[#This Row],[SEG16]] &gt;0,INDEX(SEGMENTS[], MATCH(CABLES[[#Headers],[SEG16]],SEGMENTS[SEG_ID],0),4),0)</f>
        <v>0</v>
      </c>
      <c r="CC34" s="9">
        <f xml:space="preserve"> IF(CABLES[[#This Row],[SEG17]] &gt;0,INDEX(SEGMENTS[], MATCH(CABLES[[#Headers],[SEG17]],SEGMENTS[SEG_ID],0),4),0)</f>
        <v>0</v>
      </c>
      <c r="CD34" s="9">
        <f xml:space="preserve"> IF(CABLES[[#This Row],[SEG18]] &gt;0,INDEX(SEGMENTS[], MATCH(CABLES[[#Headers],[SEG18]],SEGMENTS[SEG_ID],0),4),0)</f>
        <v>0</v>
      </c>
      <c r="CE34" s="9">
        <f>IF(CABLES[[#This Row],[SEG19]] &gt;0, INDEX(SEGMENTS[], MATCH(CABLES[[#Headers],[SEG19]],SEGMENTS[SEG_ID],0),4),0)</f>
        <v>0</v>
      </c>
      <c r="CF34" s="9">
        <f>IF(CABLES[[#This Row],[SEG20]] &gt;0, INDEX(SEGMENTS[], MATCH(CABLES[[#Headers],[SEG20]],SEGMENTS[SEG_ID],0),4),0)</f>
        <v>0</v>
      </c>
      <c r="CG34" s="9">
        <f xml:space="preserve"> IF(CABLES[[#This Row],[SEG21]] &gt;0,INDEX(SEGMENTS[], MATCH(CABLES[[#Headers],[SEG21]],SEGMENTS[SEG_ID],0),4),0)</f>
        <v>0</v>
      </c>
      <c r="CH34" s="9">
        <f xml:space="preserve"> IF(CABLES[[#This Row],[SEG22]] &gt;0,INDEX(SEGMENTS[], MATCH(CABLES[[#Headers],[SEG22]],SEGMENTS[SEG_ID],0),4),0)</f>
        <v>0</v>
      </c>
      <c r="CI34" s="9">
        <f>IF(CABLES[[#This Row],[SEG23]] &gt;0, INDEX(SEGMENTS[], MATCH(CABLES[[#Headers],[SEG23]],SEGMENTS[SEG_ID],0),4),0)</f>
        <v>0</v>
      </c>
      <c r="CJ34" s="9">
        <f xml:space="preserve"> IF(CABLES[[#This Row],[SEG24]] &gt;0,INDEX(SEGMENTS[], MATCH(CABLES[[#Headers],[SEG24]],SEGMENTS[SEG_ID],0),4),0)</f>
        <v>0</v>
      </c>
      <c r="CK34" s="9">
        <f>IF(CABLES[[#This Row],[SEG25]] &gt;0, INDEX(SEGMENTS[], MATCH(CABLES[[#Headers],[SEG25]],SEGMENTS[SEG_ID],0),4),0)</f>
        <v>0</v>
      </c>
      <c r="CL34" s="9">
        <f>IF(CABLES[[#This Row],[SEG26]] &gt;0, INDEX(SEGMENTS[], MATCH(CABLES[[#Headers],[SEG26]],SEGMENTS[SEG_ID],0),4),0)</f>
        <v>0</v>
      </c>
      <c r="CM34" s="9">
        <f xml:space="preserve"> IF(CABLES[[#This Row],[SEG27]] &gt;0,INDEX(SEGMENTS[], MATCH(CABLES[[#Headers],[SEG27]],SEGMENTS[SEG_ID],0),4),0)</f>
        <v>0</v>
      </c>
      <c r="CN34" s="9">
        <f xml:space="preserve"> IF(CABLES[[#This Row],[SEG28]] &gt;0,INDEX(SEGMENTS[], MATCH(CABLES[[#Headers],[SEG28]],SEGMENTS[SEG_ID],0),4),0)</f>
        <v>0</v>
      </c>
      <c r="CO34" s="9">
        <f xml:space="preserve"> IF(CABLES[[#This Row],[SEG29]] &gt;0,INDEX(SEGMENTS[], MATCH(CABLES[[#Headers],[SEG29]],SEGMENTS[SEG_ID],0),4),0)</f>
        <v>0</v>
      </c>
      <c r="CP34" s="9">
        <f xml:space="preserve"> IF(CABLES[[#This Row],[SEG30]] &gt;0,INDEX(SEGMENTS[], MATCH(CABLES[[#Headers],[SEG30]],SEGMENTS[SEG_ID],0),4),0)</f>
        <v>0</v>
      </c>
      <c r="CQ34" s="9">
        <f>IF(CABLES[[#This Row],[SEG31]] &gt;0, INDEX(SEGMENTS[], MATCH(CABLES[[#Headers],[SEG31]],SEGMENTS[SEG_ID],0),4),0)</f>
        <v>0</v>
      </c>
      <c r="CR34" s="9">
        <f xml:space="preserve"> IF(CABLES[[#This Row],[SEG32]] &gt;0,INDEX(SEGMENTS[], MATCH(CABLES[[#Headers],[SEG32]],SEGMENTS[SEG_ID],0),4),0)</f>
        <v>0</v>
      </c>
      <c r="CS34" s="9">
        <f xml:space="preserve"> IF(CABLES[[#This Row],[SEG33]] &gt;0,INDEX(SEGMENTS[], MATCH(CABLES[[#Headers],[SEG33]],SEGMENTS[SEG_ID],0),4),0)</f>
        <v>0</v>
      </c>
      <c r="CT34" s="9">
        <f>IF(CABLES[[#This Row],[SEG34]] &gt;0, INDEX(SEGMENTS[], MATCH(CABLES[[#Headers],[SEG34]],SEGMENTS[SEG_ID],0),4),0)</f>
        <v>0</v>
      </c>
      <c r="CU34" s="9">
        <f xml:space="preserve"> IF(CABLES[[#This Row],[SEG35]] &gt;0,INDEX(SEGMENTS[], MATCH(CABLES[[#Headers],[SEG35]],SEGMENTS[SEG_ID],0),4),0)</f>
        <v>0</v>
      </c>
      <c r="CV34" s="9">
        <f xml:space="preserve"> IF(CABLES[[#This Row],[SEG36]] &gt;0,INDEX(SEGMENTS[], MATCH(CABLES[[#Headers],[SEG36]],SEGMENTS[SEG_ID],0),4),0)</f>
        <v>0</v>
      </c>
      <c r="CW34" s="9">
        <f xml:space="preserve"> IF(CABLES[[#This Row],[SEG37]] &gt;0,INDEX(SEGMENTS[], MATCH(CABLES[[#Headers],[SEG37]],SEGMENTS[SEG_ID],0),4),0)</f>
        <v>0</v>
      </c>
      <c r="CX34" s="9">
        <f xml:space="preserve"> IF(CABLES[[#This Row],[SEG38]] &gt;0,INDEX(SEGMENTS[], MATCH(CABLES[[#Headers],[SEG38]],SEGMENTS[SEG_ID],0),4),0)</f>
        <v>0</v>
      </c>
      <c r="CY34" s="9">
        <f xml:space="preserve"> IF(CABLES[[#This Row],[SEG39]] &gt;0,INDEX(SEGMENTS[], MATCH(CABLES[[#Headers],[SEG39]],SEGMENTS[SEG_ID],0),4),0)</f>
        <v>0</v>
      </c>
      <c r="CZ34" s="9">
        <f xml:space="preserve"> IF(CABLES[[#This Row],[SEG40]] &gt;0,INDEX(SEGMENTS[], MATCH(CABLES[[#Headers],[SEG40]],SEGMENTS[SEG_ID],0),4),0)</f>
        <v>0</v>
      </c>
      <c r="DA34" s="9">
        <f xml:space="preserve"> IF(CABLES[[#This Row],[SEG41]] &gt;0,INDEX(SEGMENTS[], MATCH(CABLES[[#Headers],[SEG41]],SEGMENTS[SEG_ID],0),4),0)</f>
        <v>0</v>
      </c>
      <c r="DB34" s="9">
        <f xml:space="preserve"> IF(CABLES[[#This Row],[SEG42]] &gt;0,INDEX(SEGMENTS[], MATCH(CABLES[[#Headers],[SEG42]],SEGMENTS[SEG_ID],0),4),0)</f>
        <v>0</v>
      </c>
      <c r="DC34" s="9">
        <f xml:space="preserve"> IF(CABLES[[#This Row],[SEG43]] &gt;0,INDEX(SEGMENTS[], MATCH(CABLES[[#Headers],[SEG43]],SEGMENTS[SEG_ID],0),4),0)</f>
        <v>0</v>
      </c>
      <c r="DD34" s="9">
        <f xml:space="preserve"> IF(CABLES[[#This Row],[SEG44]] &gt;0,INDEX(SEGMENTS[], MATCH(CABLES[[#Headers],[SEG44]],SEGMENTS[SEG_ID],0),4),0)</f>
        <v>0</v>
      </c>
      <c r="DE34" s="9">
        <f xml:space="preserve"> IF(CABLES[[#This Row],[SEG45]] &gt;0,INDEX(SEGMENTS[], MATCH(CABLES[[#Headers],[SEG45]],SEGMENTS[SEG_ID],0),4),0)</f>
        <v>0</v>
      </c>
      <c r="DF34" s="9">
        <f xml:space="preserve"> IF(CABLES[[#This Row],[SEG46]] &gt;0,INDEX(SEGMENTS[], MATCH(CABLES[[#Headers],[SEG46]],SEGMENTS[SEG_ID],0),4),0)</f>
        <v>0</v>
      </c>
      <c r="DG34" s="9">
        <f xml:space="preserve"> IF(CABLES[[#This Row],[SEG47]] &gt;0,INDEX(SEGMENTS[], MATCH(CABLES[[#Headers],[SEG47]],SEGMENTS[SEG_ID],0),4),0)</f>
        <v>0</v>
      </c>
      <c r="DH34" s="9">
        <f xml:space="preserve"> IF(CABLES[[#This Row],[SEG48]] &gt;0,INDEX(SEGMENTS[], MATCH(CABLES[[#Headers],[SEG48]],SEGMENTS[SEG_ID],0),4),0)</f>
        <v>0</v>
      </c>
      <c r="DI34" s="9">
        <f xml:space="preserve"> IF(CABLES[[#This Row],[SEG49]] &gt;0,INDEX(SEGMENTS[], MATCH(CABLES[[#Headers],[SEG49]],SEGMENTS[SEG_ID],0),4),0)</f>
        <v>0</v>
      </c>
      <c r="DJ34" s="9">
        <f xml:space="preserve"> IF(CABLES[[#This Row],[SEG50]] &gt;0,INDEX(SEGMENTS[], MATCH(CABLES[[#Headers],[SEG50]],SEGMENTS[SEG_ID],0),4),0)</f>
        <v>0</v>
      </c>
      <c r="DK34" s="9">
        <f xml:space="preserve"> IF(CABLES[[#This Row],[SEG51]] &gt;0,INDEX(SEGMENTS[], MATCH(CABLES[[#Headers],[SEG51]],SEGMENTS[SEG_ID],0),4),0)</f>
        <v>0</v>
      </c>
      <c r="DL34" s="9">
        <f xml:space="preserve"> IF(CABLES[[#This Row],[SEG52]] &gt;0,INDEX(SEGMENTS[], MATCH(CABLES[[#Headers],[SEG52]],SEGMENTS[SEG_ID],0),4),0)</f>
        <v>0</v>
      </c>
      <c r="DM34" s="9">
        <f xml:space="preserve"> IF(CABLES[[#This Row],[SEG53]] &gt;0,INDEX(SEGMENTS[], MATCH(CABLES[[#Headers],[SEG53]],SEGMENTS[SEG_ID],0),4),0)</f>
        <v>0</v>
      </c>
      <c r="DN34" s="9">
        <f xml:space="preserve"> IF(CABLES[[#This Row],[SEG54]] &gt;0,INDEX(SEGMENTS[], MATCH(CABLES[[#Headers],[SEG54]],SEGMENTS[SEG_ID],0),4),0)</f>
        <v>0</v>
      </c>
      <c r="DO34" s="9">
        <f xml:space="preserve"> IF(CABLES[[#This Row],[SEG55]] &gt;0,INDEX(SEGMENTS[], MATCH(CABLES[[#Headers],[SEG55]],SEGMENTS[SEG_ID],0),4),0)</f>
        <v>0</v>
      </c>
      <c r="DP34" s="9">
        <f xml:space="preserve"> IF(CABLES[[#This Row],[SEG56]] &gt;0,INDEX(SEGMENTS[], MATCH(CABLES[[#Headers],[SEG56]],SEGMENTS[SEG_ID],0),4),0)</f>
        <v>0</v>
      </c>
      <c r="DQ34" s="9">
        <f xml:space="preserve"> IF(CABLES[[#This Row],[SEG57]] &gt;0,INDEX(SEGMENTS[], MATCH(CABLES[[#Headers],[SEG57]],SEGMENTS[SEG_ID],0),4),0)</f>
        <v>0</v>
      </c>
      <c r="DR34" s="9">
        <f xml:space="preserve"> IF(CABLES[[#This Row],[SEG58]] &gt;0,INDEX(SEGMENTS[], MATCH(CABLES[[#Headers],[SEG58]],SEGMENTS[SEG_ID],0),4),0)</f>
        <v>0</v>
      </c>
      <c r="DS34" s="9">
        <f xml:space="preserve"> IF(CABLES[[#This Row],[SEG59]] &gt;0,INDEX(SEGMENTS[], MATCH(CABLES[[#Headers],[SEG59]],SEGMENTS[SEG_ID],0),4),0)</f>
        <v>0</v>
      </c>
      <c r="DT34" s="9">
        <f xml:space="preserve"> IF(CABLES[[#This Row],[SEG60]] &gt;0,INDEX(SEGMENTS[], MATCH(CABLES[[#Headers],[SEG60]],SEGMENTS[SEG_ID],0),4),0)</f>
        <v>0</v>
      </c>
      <c r="DU34" s="10">
        <f>SUM(CABLES[[#This Row],[SEGL1]:[SEGL60]])</f>
        <v>46</v>
      </c>
      <c r="DV34" s="10">
        <v>5</v>
      </c>
      <c r="DW34" s="10">
        <v>1.2</v>
      </c>
      <c r="DX34" s="10">
        <f xml:space="preserve"> IF(CABLES[[#This Row],[SEGL_TOTAL]]&gt;0, (CABLES[[#This Row],[SEGL_TOTAL]] + CABLES[[#This Row],[FITOFF]]) *CABLES[[#This Row],[XCAPACITY]],0)</f>
        <v>61.199999999999996</v>
      </c>
      <c r="DY34" s="10">
        <f>IF(CABLES[[#This Row],[SEG1]]&gt;0,CABLES[[#This Row],[CABLE_DIAMETER]],0)</f>
        <v>14.5</v>
      </c>
      <c r="DZ34" s="10">
        <f>IF(CABLES[[#This Row],[SEG2]]&gt;0,CABLES[[#This Row],[CABLE_DIAMETER]],0)</f>
        <v>14.5</v>
      </c>
      <c r="EA34" s="10">
        <f>IF(CABLES[[#This Row],[SEG3]]&gt;0,CABLES[[#This Row],[CABLE_DIAMETER]],0)</f>
        <v>0</v>
      </c>
      <c r="EB34" s="10">
        <f>IF(CABLES[[#This Row],[SEG4]]&gt;0,CABLES[[#This Row],[CABLE_DIAMETER]],0)</f>
        <v>14.5</v>
      </c>
      <c r="EC34" s="10">
        <f>IF(CABLES[[#This Row],[SEG5]]&gt;0,CABLES[[#This Row],[CABLE_DIAMETER]],0)</f>
        <v>0</v>
      </c>
      <c r="ED34" s="10">
        <f>IF(CABLES[[#This Row],[SEG6]]&gt;0,CABLES[[#This Row],[CABLE_DIAMETER]],0)</f>
        <v>14.5</v>
      </c>
      <c r="EE34" s="10">
        <f>IF(CABLES[[#This Row],[SEG7]]&gt;0,CABLES[[#This Row],[CABLE_DIAMETER]],0)</f>
        <v>0</v>
      </c>
      <c r="EF34" s="10">
        <f>IF(CABLES[[#This Row],[SEG9]]&gt;0,CABLES[[#This Row],[CABLE_DIAMETER]],0)</f>
        <v>0</v>
      </c>
      <c r="EG34" s="10">
        <f>IF(CABLES[[#This Row],[SEG9]]&gt;0,CABLES[[#This Row],[CABLE_DIAMETER]],0)</f>
        <v>0</v>
      </c>
      <c r="EH34" s="10">
        <f>IF(CABLES[[#This Row],[SEG10]]&gt;0,CABLES[[#This Row],[CABLE_DIAMETER]],0)</f>
        <v>0</v>
      </c>
      <c r="EI34" s="10">
        <f>IF(CABLES[[#This Row],[SEG11]]&gt;0,CABLES[[#This Row],[CABLE_DIAMETER]],0)</f>
        <v>0</v>
      </c>
      <c r="EJ34" s="10">
        <f>IF(CABLES[[#This Row],[SEG12]]&gt;0,CABLES[[#This Row],[CABLE_DIAMETER]],0)</f>
        <v>0</v>
      </c>
      <c r="EK34" s="10">
        <f>IF(CABLES[[#This Row],[SEG13]]&gt;0,CABLES[[#This Row],[CABLE_DIAMETER]],0)</f>
        <v>0</v>
      </c>
      <c r="EL34" s="10">
        <f>IF(CABLES[[#This Row],[SEG14]]&gt;0,CABLES[[#This Row],[CABLE_DIAMETER]],0)</f>
        <v>14.5</v>
      </c>
      <c r="EM34" s="10">
        <f>IF(CABLES[[#This Row],[SEG15]]&gt;0,CABLES[[#This Row],[CABLE_DIAMETER]],0)</f>
        <v>14.5</v>
      </c>
      <c r="EN34" s="10">
        <f>IF(CABLES[[#This Row],[SEG16]]&gt;0,CABLES[[#This Row],[CABLE_DIAMETER]],0)</f>
        <v>0</v>
      </c>
      <c r="EO34" s="10">
        <f>IF(CABLES[[#This Row],[SEG17]]&gt;0,CABLES[[#This Row],[CABLE_DIAMETER]],0)</f>
        <v>0</v>
      </c>
      <c r="EP34" s="10">
        <f>IF(CABLES[[#This Row],[SEG18]]&gt;0,CABLES[[#This Row],[CABLE_DIAMETER]],0)</f>
        <v>0</v>
      </c>
      <c r="EQ34" s="10">
        <f>IF(CABLES[[#This Row],[SEG19]]&gt;0,CABLES[[#This Row],[CABLE_DIAMETER]],0)</f>
        <v>0</v>
      </c>
      <c r="ER34" s="10">
        <f>IF(CABLES[[#This Row],[SEG20]]&gt;0,CABLES[[#This Row],[CABLE_DIAMETER]],0)</f>
        <v>0</v>
      </c>
      <c r="ES34" s="10">
        <f>IF(CABLES[[#This Row],[SEG21]]&gt;0,CABLES[[#This Row],[CABLE_DIAMETER]],0)</f>
        <v>0</v>
      </c>
      <c r="ET34" s="10">
        <f>IF(CABLES[[#This Row],[SEG22]]&gt;0,CABLES[[#This Row],[CABLE_DIAMETER]],0)</f>
        <v>0</v>
      </c>
      <c r="EU34" s="10">
        <f>IF(CABLES[[#This Row],[SEG23]]&gt;0,CABLES[[#This Row],[CABLE_DIAMETER]],0)</f>
        <v>0</v>
      </c>
      <c r="EV34" s="10">
        <f>IF(CABLES[[#This Row],[SEG24]]&gt;0,CABLES[[#This Row],[CABLE_DIAMETER]],0)</f>
        <v>0</v>
      </c>
      <c r="EW34" s="10">
        <f>IF(CABLES[[#This Row],[SEG25]]&gt;0,CABLES[[#This Row],[CABLE_DIAMETER]],0)</f>
        <v>0</v>
      </c>
      <c r="EX34" s="10">
        <f>IF(CABLES[[#This Row],[SEG26]]&gt;0,CABLES[[#This Row],[CABLE_DIAMETER]],0)</f>
        <v>0</v>
      </c>
      <c r="EY34" s="10">
        <f>IF(CABLES[[#This Row],[SEG27]]&gt;0,CABLES[[#This Row],[CABLE_DIAMETER]],0)</f>
        <v>0</v>
      </c>
      <c r="EZ34" s="10">
        <f>IF(CABLES[[#This Row],[SEG28]]&gt;0,CABLES[[#This Row],[CABLE_DIAMETER]],0)</f>
        <v>0</v>
      </c>
      <c r="FA34" s="10">
        <f>IF(CABLES[[#This Row],[SEG29]]&gt;0,CABLES[[#This Row],[CABLE_DIAMETER]],0)</f>
        <v>0</v>
      </c>
      <c r="FB34" s="10">
        <f>IF(CABLES[[#This Row],[SEG30]]&gt;0,CABLES[[#This Row],[CABLE_DIAMETER]],0)</f>
        <v>0</v>
      </c>
      <c r="FC34" s="10">
        <f>IF(CABLES[[#This Row],[SEG31]]&gt;0,CABLES[[#This Row],[CABLE_DIAMETER]],0)</f>
        <v>0</v>
      </c>
      <c r="FD34" s="10">
        <f>IF(CABLES[[#This Row],[SEG32]]&gt;0,CABLES[[#This Row],[CABLE_DIAMETER]],0)</f>
        <v>0</v>
      </c>
      <c r="FE34" s="10">
        <f>IF(CABLES[[#This Row],[SEG33]]&gt;0,CABLES[[#This Row],[CABLE_DIAMETER]],0)</f>
        <v>0</v>
      </c>
      <c r="FF34" s="10">
        <f>IF(CABLES[[#This Row],[SEG34]]&gt;0,CABLES[[#This Row],[CABLE_DIAMETER]],0)</f>
        <v>0</v>
      </c>
      <c r="FG34" s="10">
        <f>IF(CABLES[[#This Row],[SEG35]]&gt;0,CABLES[[#This Row],[CABLE_DIAMETER]],0)</f>
        <v>0</v>
      </c>
      <c r="FH34" s="10">
        <f>IF(CABLES[[#This Row],[SEG36]]&gt;0,CABLES[[#This Row],[CABLE_DIAMETER]],0)</f>
        <v>0</v>
      </c>
      <c r="FI34" s="10">
        <f>IF(CABLES[[#This Row],[SEG37]]&gt;0,CABLES[[#This Row],[CABLE_DIAMETER]],0)</f>
        <v>0</v>
      </c>
      <c r="FJ34" s="10">
        <f>IF(CABLES[[#This Row],[SEG38]]&gt;0,CABLES[[#This Row],[CABLE_DIAMETER]],0)</f>
        <v>0</v>
      </c>
      <c r="FK34" s="10">
        <f>IF(CABLES[[#This Row],[SEG39]]&gt;0,CABLES[[#This Row],[CABLE_DIAMETER]],0)</f>
        <v>0</v>
      </c>
      <c r="FL34" s="10">
        <f>IF(CABLES[[#This Row],[SEG40]]&gt;0,CABLES[[#This Row],[CABLE_DIAMETER]],0)</f>
        <v>0</v>
      </c>
      <c r="FM34" s="10">
        <f>IF(CABLES[[#This Row],[SEG41]]&gt;0,CABLES[[#This Row],[CABLE_DIAMETER]],0)</f>
        <v>0</v>
      </c>
      <c r="FN34" s="10">
        <f>IF(CABLES[[#This Row],[SEG42]]&gt;0,CABLES[[#This Row],[CABLE_DIAMETER]],0)</f>
        <v>0</v>
      </c>
      <c r="FO34" s="10">
        <f>IF(CABLES[[#This Row],[SEG43]]&gt;0,CABLES[[#This Row],[CABLE_DIAMETER]],0)</f>
        <v>0</v>
      </c>
      <c r="FP34" s="10">
        <f>IF(CABLES[[#This Row],[SEG44]]&gt;0,CABLES[[#This Row],[CABLE_DIAMETER]],0)</f>
        <v>0</v>
      </c>
      <c r="FQ34" s="10">
        <f>IF(CABLES[[#This Row],[SEG45]]&gt;0,CABLES[[#This Row],[CABLE_DIAMETER]],0)</f>
        <v>0</v>
      </c>
      <c r="FR34" s="10">
        <f>IF(CABLES[[#This Row],[SEG46]]&gt;0,CABLES[[#This Row],[CABLE_DIAMETER]],0)</f>
        <v>0</v>
      </c>
      <c r="FS34" s="10">
        <f>IF(CABLES[[#This Row],[SEG47]]&gt;0,CABLES[[#This Row],[CABLE_DIAMETER]],0)</f>
        <v>0</v>
      </c>
      <c r="FT34" s="10">
        <f>IF(CABLES[[#This Row],[SEG48]]&gt;0,CABLES[[#This Row],[CABLE_DIAMETER]],0)</f>
        <v>0</v>
      </c>
      <c r="FU34" s="10">
        <f>IF(CABLES[[#This Row],[SEG49]]&gt;0,CABLES[[#This Row],[CABLE_DIAMETER]],0)</f>
        <v>0</v>
      </c>
      <c r="FV34" s="10">
        <f>IF(CABLES[[#This Row],[SEG50]]&gt;0,CABLES[[#This Row],[CABLE_DIAMETER]],0)</f>
        <v>0</v>
      </c>
      <c r="FW34" s="10">
        <f>IF(CABLES[[#This Row],[SEG51]]&gt;0,CABLES[[#This Row],[CABLE_DIAMETER]],0)</f>
        <v>0</v>
      </c>
      <c r="FX34" s="10">
        <f>IF(CABLES[[#This Row],[SEG52]]&gt;0,CABLES[[#This Row],[CABLE_DIAMETER]],0)</f>
        <v>0</v>
      </c>
      <c r="FY34" s="10">
        <f>IF(CABLES[[#This Row],[SEG53]]&gt;0,CABLES[[#This Row],[CABLE_DIAMETER]],0)</f>
        <v>0</v>
      </c>
      <c r="FZ34" s="10">
        <f>IF(CABLES[[#This Row],[SEG54]]&gt;0,CABLES[[#This Row],[CABLE_DIAMETER]],0)</f>
        <v>0</v>
      </c>
      <c r="GA34" s="10">
        <f>IF(CABLES[[#This Row],[SEG55]]&gt;0,CABLES[[#This Row],[CABLE_DIAMETER]],0)</f>
        <v>0</v>
      </c>
      <c r="GB34" s="10">
        <f>IF(CABLES[[#This Row],[SEG56]]&gt;0,CABLES[[#This Row],[CABLE_DIAMETER]],0)</f>
        <v>0</v>
      </c>
      <c r="GC34" s="10">
        <f>IF(CABLES[[#This Row],[SEG57]]&gt;0,CABLES[[#This Row],[CABLE_DIAMETER]],0)</f>
        <v>0</v>
      </c>
      <c r="GD34" s="10">
        <f>IF(CABLES[[#This Row],[SEG58]]&gt;0,CABLES[[#This Row],[CABLE_DIAMETER]],0)</f>
        <v>0</v>
      </c>
      <c r="GE34" s="10">
        <f>IF(CABLES[[#This Row],[SEG59]]&gt;0,CABLES[[#This Row],[CABLE_DIAMETER]],0)</f>
        <v>0</v>
      </c>
      <c r="GF34" s="10">
        <f>IF(CABLES[[#This Row],[SEG60]]&gt;0,CABLES[[#This Row],[CABLE_DIAMETER]],0)</f>
        <v>0</v>
      </c>
      <c r="GG34" s="10">
        <f>IF(CABLES[[#This Row],[SEG1]]&gt;0,CABLES[[#This Row],[CABLE_MASS]],0)</f>
        <v>0.33</v>
      </c>
      <c r="GH34" s="10">
        <f>IF(CABLES[[#This Row],[SEG2]]&gt;0,CABLES[[#This Row],[CABLE_MASS]],0)</f>
        <v>0.33</v>
      </c>
      <c r="GI34" s="10">
        <f>IF(CABLES[[#This Row],[SEG3]]&gt;0,CABLES[[#This Row],[CABLE_MASS]],0)</f>
        <v>0</v>
      </c>
      <c r="GJ34" s="10">
        <f>IF(CABLES[[#This Row],[SEG4]]&gt;0,CABLES[[#This Row],[CABLE_MASS]],0)</f>
        <v>0.33</v>
      </c>
      <c r="GK34" s="10">
        <f>IF(CABLES[[#This Row],[SEG5]]&gt;0,CABLES[[#This Row],[CABLE_MASS]],0)</f>
        <v>0</v>
      </c>
      <c r="GL34" s="10">
        <f>IF(CABLES[[#This Row],[SEG6]]&gt;0,CABLES[[#This Row],[CABLE_MASS]],0)</f>
        <v>0.33</v>
      </c>
      <c r="GM34" s="10">
        <f>IF(CABLES[[#This Row],[SEG7]]&gt;0,CABLES[[#This Row],[CABLE_MASS]],0)</f>
        <v>0</v>
      </c>
      <c r="GN34" s="10">
        <f>IF(CABLES[[#This Row],[SEG8]]&gt;0,CABLES[[#This Row],[CABLE_MASS]],0)</f>
        <v>0.33</v>
      </c>
      <c r="GO34" s="10">
        <f>IF(CABLES[[#This Row],[SEG9]]&gt;0,CABLES[[#This Row],[CABLE_MASS]],0)</f>
        <v>0</v>
      </c>
      <c r="GP34" s="10">
        <f>IF(CABLES[[#This Row],[SEG10]]&gt;0,CABLES[[#This Row],[CABLE_MASS]],0)</f>
        <v>0</v>
      </c>
      <c r="GQ34" s="10">
        <f>IF(CABLES[[#This Row],[SEG11]]&gt;0,CABLES[[#This Row],[CABLE_MASS]],0)</f>
        <v>0</v>
      </c>
      <c r="GR34" s="10">
        <f>IF(CABLES[[#This Row],[SEG12]]&gt;0,CABLES[[#This Row],[CABLE_MASS]],0)</f>
        <v>0</v>
      </c>
      <c r="GS34" s="10">
        <f>IF(CABLES[[#This Row],[SEG13]]&gt;0,CABLES[[#This Row],[CABLE_MASS]],0)</f>
        <v>0</v>
      </c>
      <c r="GT34" s="10">
        <f>IF(CABLES[[#This Row],[SEG14]]&gt;0,CABLES[[#This Row],[CABLE_MASS]],0)</f>
        <v>0.33</v>
      </c>
      <c r="GU34" s="10">
        <f>IF(CABLES[[#This Row],[SEG15]]&gt;0,CABLES[[#This Row],[CABLE_MASS]],0)</f>
        <v>0.33</v>
      </c>
      <c r="GV34" s="10">
        <f>IF(CABLES[[#This Row],[SEG16]]&gt;0,CABLES[[#This Row],[CABLE_MASS]],0)</f>
        <v>0</v>
      </c>
      <c r="GW34" s="10">
        <f>IF(CABLES[[#This Row],[SEG17]]&gt;0,CABLES[[#This Row],[CABLE_MASS]],0)</f>
        <v>0</v>
      </c>
      <c r="GX34" s="10">
        <f>IF(CABLES[[#This Row],[SEG18]]&gt;0,CABLES[[#This Row],[CABLE_MASS]],0)</f>
        <v>0</v>
      </c>
      <c r="GY34" s="10">
        <f>IF(CABLES[[#This Row],[SEG19]]&gt;0,CABLES[[#This Row],[CABLE_MASS]],0)</f>
        <v>0</v>
      </c>
      <c r="GZ34" s="10">
        <f>IF(CABLES[[#This Row],[SEG20]]&gt;0,CABLES[[#This Row],[CABLE_MASS]],0)</f>
        <v>0</v>
      </c>
      <c r="HA34" s="10">
        <f>IF(CABLES[[#This Row],[SEG21]]&gt;0,CABLES[[#This Row],[CABLE_MASS]],0)</f>
        <v>0</v>
      </c>
      <c r="HB34" s="10">
        <f>IF(CABLES[[#This Row],[SEG22]]&gt;0,CABLES[[#This Row],[CABLE_MASS]],0)</f>
        <v>0</v>
      </c>
      <c r="HC34" s="10">
        <f>IF(CABLES[[#This Row],[SEG23]]&gt;0,CABLES[[#This Row],[CABLE_MASS]],0)</f>
        <v>0</v>
      </c>
      <c r="HD34" s="10">
        <f>IF(CABLES[[#This Row],[SEG24]]&gt;0,CABLES[[#This Row],[CABLE_MASS]],0)</f>
        <v>0</v>
      </c>
      <c r="HE34" s="10">
        <f>IF(CABLES[[#This Row],[SEG25]]&gt;0,CABLES[[#This Row],[CABLE_MASS]],0)</f>
        <v>0</v>
      </c>
      <c r="HF34" s="10">
        <f>IF(CABLES[[#This Row],[SEG26]]&gt;0,CABLES[[#This Row],[CABLE_MASS]],0)</f>
        <v>0</v>
      </c>
      <c r="HG34" s="10">
        <f>IF(CABLES[[#This Row],[SEG27]]&gt;0,CABLES[[#This Row],[CABLE_MASS]],0)</f>
        <v>0</v>
      </c>
      <c r="HH34" s="10">
        <f>IF(CABLES[[#This Row],[SEG28]]&gt;0,CABLES[[#This Row],[CABLE_MASS]],0)</f>
        <v>0</v>
      </c>
      <c r="HI34" s="10">
        <f>IF(CABLES[[#This Row],[SEG29]]&gt;0,CABLES[[#This Row],[CABLE_MASS]],0)</f>
        <v>0</v>
      </c>
      <c r="HJ34" s="10">
        <f>IF(CABLES[[#This Row],[SEG30]]&gt;0,CABLES[[#This Row],[CABLE_MASS]],0)</f>
        <v>0</v>
      </c>
      <c r="HK34" s="10">
        <f>IF(CABLES[[#This Row],[SEG31]]&gt;0,CABLES[[#This Row],[CABLE_MASS]],0)</f>
        <v>0</v>
      </c>
      <c r="HL34" s="10">
        <f>IF(CABLES[[#This Row],[SEG32]]&gt;0,CABLES[[#This Row],[CABLE_MASS]],0)</f>
        <v>0</v>
      </c>
      <c r="HM34" s="10">
        <f>IF(CABLES[[#This Row],[SEG33]]&gt;0,CABLES[[#This Row],[CABLE_MASS]],0)</f>
        <v>0</v>
      </c>
      <c r="HN34" s="10">
        <f>IF(CABLES[[#This Row],[SEG34]]&gt;0,CABLES[[#This Row],[CABLE_MASS]],0)</f>
        <v>0</v>
      </c>
      <c r="HO34" s="10">
        <f>IF(CABLES[[#This Row],[SEG35]]&gt;0,CABLES[[#This Row],[CABLE_MASS]],0)</f>
        <v>0</v>
      </c>
      <c r="HP34" s="10">
        <f>IF(CABLES[[#This Row],[SEG36]]&gt;0,CABLES[[#This Row],[CABLE_MASS]],0)</f>
        <v>0</v>
      </c>
      <c r="HQ34" s="10">
        <f>IF(CABLES[[#This Row],[SEG37]]&gt;0,CABLES[[#This Row],[CABLE_MASS]],0)</f>
        <v>0</v>
      </c>
      <c r="HR34" s="10">
        <f>IF(CABLES[[#This Row],[SEG38]]&gt;0,CABLES[[#This Row],[CABLE_MASS]],0)</f>
        <v>0</v>
      </c>
      <c r="HS34" s="10">
        <f>IF(CABLES[[#This Row],[SEG39]]&gt;0,CABLES[[#This Row],[CABLE_MASS]],0)</f>
        <v>0</v>
      </c>
      <c r="HT34" s="10">
        <f>IF(CABLES[[#This Row],[SEG40]]&gt;0,CABLES[[#This Row],[CABLE_MASS]],0)</f>
        <v>0</v>
      </c>
      <c r="HU34" s="10">
        <f>IF(CABLES[[#This Row],[SEG41]]&gt;0,CABLES[[#This Row],[CABLE_MASS]],0)</f>
        <v>0</v>
      </c>
      <c r="HV34" s="10">
        <f>IF(CABLES[[#This Row],[SEG42]]&gt;0,CABLES[[#This Row],[CABLE_MASS]],0)</f>
        <v>0</v>
      </c>
      <c r="HW34" s="10">
        <f>IF(CABLES[[#This Row],[SEG43]]&gt;0,CABLES[[#This Row],[CABLE_MASS]],0)</f>
        <v>0</v>
      </c>
      <c r="HX34" s="10">
        <f>IF(CABLES[[#This Row],[SEG44]]&gt;0,CABLES[[#This Row],[CABLE_MASS]],0)</f>
        <v>0</v>
      </c>
      <c r="HY34" s="10">
        <f>IF(CABLES[[#This Row],[SEG45]]&gt;0,CABLES[[#This Row],[CABLE_MASS]],0)</f>
        <v>0</v>
      </c>
      <c r="HZ34" s="10">
        <f>IF(CABLES[[#This Row],[SEG46]]&gt;0,CABLES[[#This Row],[CABLE_MASS]],0)</f>
        <v>0</v>
      </c>
      <c r="IA34" s="10">
        <f>IF(CABLES[[#This Row],[SEG47]]&gt;0,CABLES[[#This Row],[CABLE_MASS]],0)</f>
        <v>0</v>
      </c>
      <c r="IB34" s="10">
        <f>IF(CABLES[[#This Row],[SEG48]]&gt;0,CABLES[[#This Row],[CABLE_MASS]],0)</f>
        <v>0</v>
      </c>
      <c r="IC34" s="10">
        <f>IF(CABLES[[#This Row],[SEG49]]&gt;0,CABLES[[#This Row],[CABLE_MASS]],0)</f>
        <v>0</v>
      </c>
      <c r="ID34" s="10">
        <f>IF(CABLES[[#This Row],[SEG50]]&gt;0,CABLES[[#This Row],[CABLE_MASS]],0)</f>
        <v>0</v>
      </c>
      <c r="IE34" s="10">
        <f>IF(CABLES[[#This Row],[SEG51]]&gt;0,CABLES[[#This Row],[CABLE_MASS]],0)</f>
        <v>0</v>
      </c>
      <c r="IF34" s="10">
        <f>IF(CABLES[[#This Row],[SEG52]]&gt;0,CABLES[[#This Row],[CABLE_MASS]],0)</f>
        <v>0</v>
      </c>
      <c r="IG34" s="10">
        <f>IF(CABLES[[#This Row],[SEG53]]&gt;0,CABLES[[#This Row],[CABLE_MASS]],0)</f>
        <v>0</v>
      </c>
      <c r="IH34" s="10">
        <f>IF(CABLES[[#This Row],[SEG54]]&gt;0,CABLES[[#This Row],[CABLE_MASS]],0)</f>
        <v>0</v>
      </c>
      <c r="II34" s="10">
        <f>IF(CABLES[[#This Row],[SEG55]]&gt;0,CABLES[[#This Row],[CABLE_MASS]],0)</f>
        <v>0</v>
      </c>
      <c r="IJ34" s="10">
        <f>IF(CABLES[[#This Row],[SEG56]]&gt;0,CABLES[[#This Row],[CABLE_MASS]],0)</f>
        <v>0</v>
      </c>
      <c r="IK34" s="10">
        <f>IF(CABLES[[#This Row],[SEG57]]&gt;0,CABLES[[#This Row],[CABLE_MASS]],0)</f>
        <v>0</v>
      </c>
      <c r="IL34" s="10">
        <f>IF(CABLES[[#This Row],[SEG58]]&gt;0,CABLES[[#This Row],[CABLE_MASS]],0)</f>
        <v>0</v>
      </c>
      <c r="IM34" s="10">
        <f>IF(CABLES[[#This Row],[SEG59]]&gt;0,CABLES[[#This Row],[CABLE_MASS]],0)</f>
        <v>0</v>
      </c>
      <c r="IN34" s="10">
        <f>IF(CABLES[[#This Row],[SEG60]]&gt;0,CABLES[[#This Row],[CABLE_MASS]],0)</f>
        <v>0</v>
      </c>
      <c r="IO34" s="10">
        <f xml:space="preserve">  (CABLES[[#This Row],[LOAD_KW]]/(SQRT(3)*SYSTEM_VOLTAGE*POWER_FACTOR))*1000</f>
        <v>17.641258225238563</v>
      </c>
      <c r="IP34" s="10">
        <v>45</v>
      </c>
      <c r="IQ34" s="10">
        <f xml:space="preserve"> INDEX(AS3000_AMBIENTDERATE[], MATCH(CABLES[[#This Row],[AMBIENT]],AS3000_AMBIENTDERATE[AMBIENT],0), 2)</f>
        <v>0.94</v>
      </c>
      <c r="IR34" s="10">
        <f xml:space="preserve"> ROUNDUP( CABLES[[#This Row],[CALCULATED_AMPS]]/CABLES[[#This Row],[AMBIENT_DERATING]],1)</f>
        <v>18.8</v>
      </c>
      <c r="IS34" s="10" t="s">
        <v>531</v>
      </c>
      <c r="IT3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34" s="10">
        <f t="shared" ref="IU34:IU66" si="1">SYSTEM_VOLTAGE * MAX_VDROP_PERCENT</f>
        <v>28.000000000000004</v>
      </c>
      <c r="IV34" s="10">
        <f>(1000*CABLES[[#This Row],[MAX_VDROP]])/(CABLES[[#This Row],[ESTIMATED_CABLE_LENGTH]]*CABLES[[#This Row],[AMP_RATING]])</f>
        <v>24.335975524961761</v>
      </c>
      <c r="IW34" s="10">
        <f xml:space="preserve"> INDEX(AS3000_VDROP[], MATCH(CABLES[[#This Row],[VC_CALC]],AS3000_VDROP[Vc],1),1)</f>
        <v>2.5</v>
      </c>
      <c r="IX34" s="10">
        <f>MAX(CABLES[[#This Row],[CABLESIZE_METHOD1]],CABLES[[#This Row],[CABLESIZE_METHOD2]])</f>
        <v>2.5</v>
      </c>
      <c r="IY34" s="10"/>
      <c r="IZ34" s="10">
        <f>IF(LEN(CABLES[[#This Row],[OVERRIDE_CABLESIZE]])&gt;0,CABLES[[#This Row],[OVERRIDE_CABLESIZE]],CABLES[[#This Row],[INITIAL_CABLESIZE]])</f>
        <v>2.5</v>
      </c>
      <c r="JA34" s="10">
        <f>INDEX(PROTECTIVE_DEVICE[DEVICE], MATCH(CABLES[[#This Row],[CALCULATED_AMPS]],PROTECTIVE_DEVICE[DEVICE],-1),1)</f>
        <v>20</v>
      </c>
      <c r="JB34" s="10"/>
      <c r="JC34" s="10">
        <f>IF(LEN(CABLES[[#This Row],[OVERRIDE_PDEVICE]])&gt;0, CABLES[[#This Row],[OVERRIDE_PDEVICE]],CABLES[[#This Row],[RECOMMEND_PDEVICE]])</f>
        <v>20</v>
      </c>
      <c r="JD34" s="10" t="s">
        <v>450</v>
      </c>
      <c r="JE34" s="10">
        <f xml:space="preserve"> CABLES[[#This Row],[SELECTED_PDEVICE]] * INDEX(DEVICE_CURVE[], MATCH(CABLES[[#This Row],[PDEVICE_CURVE]], DEVICE_CURVE[DEVICE_CURVE],0),2)</f>
        <v>130</v>
      </c>
      <c r="JF34" s="10" t="s">
        <v>458</v>
      </c>
      <c r="JG34" s="10">
        <f xml:space="preserve"> INDEX(CONDUCTOR_MATERIAL[], MATCH(CABLES[[#This Row],[CONDUCTOR_MATERIAL]],CONDUCTOR_MATERIAL[CONDUCTOR_MATERIAL],0),2)</f>
        <v>2.2499999999999999E-2</v>
      </c>
      <c r="JH34" s="10">
        <f>CABLES[[#This Row],[SELECTED_CABLESIZE]]</f>
        <v>2.5</v>
      </c>
      <c r="JI34" s="10">
        <f xml:space="preserve"> INDEX( EARTH_CONDUCTOR_SIZE[], MATCH(CABLES[[#This Row],[SPH]],EARTH_CONDUCTOR_SIZE[MM^2],-1), 2)</f>
        <v>2.5</v>
      </c>
      <c r="JJ34" s="10">
        <f>(0.8*PHASE_VOLTAGE*CABLES[[#This Row],[SPH]]*CABLES[[#This Row],[SPE]])/(CABLES[[#This Row],[PDEVICE_IA]]*CABLES[[#This Row],[MATERIAL_CONSTANT]]*(CABLES[[#This Row],[SPH]]+CABLES[[#This Row],[SPE]]))</f>
        <v>78.632478632478637</v>
      </c>
      <c r="JK34" s="10" t="str">
        <f>IF(CABLES[[#This Row],[LMAX]]&gt;CABLES[[#This Row],[ESTIMATED_CABLE_LENGTH]], "PASS", "ERROR")</f>
        <v>PASS</v>
      </c>
      <c r="JL3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4" s="6">
        <f xml:space="preserve"> ROUNDUP( CABLES[[#This Row],[CALCULATED_AMPS]],1)</f>
        <v>17.700000000000003</v>
      </c>
      <c r="JO34" s="6">
        <f>CABLES[[#This Row],[SELECTED_CABLESIZE]]</f>
        <v>2.5</v>
      </c>
      <c r="JP34" s="10">
        <f>CABLES[[#This Row],[ESTIMATED_CABLE_LENGTH]]</f>
        <v>61.199999999999996</v>
      </c>
      <c r="JQ34" s="6">
        <f>CABLES[[#This Row],[SELECTED_PDEVICE]]</f>
        <v>20</v>
      </c>
    </row>
    <row r="35" spans="1:277" x14ac:dyDescent="0.35">
      <c r="A35" s="5" t="s">
        <v>34</v>
      </c>
      <c r="B35" s="5" t="s">
        <v>98</v>
      </c>
      <c r="C35" s="10" t="s">
        <v>261</v>
      </c>
      <c r="D35" s="9">
        <v>30</v>
      </c>
      <c r="E35" s="9">
        <v>1</v>
      </c>
      <c r="F35" s="9">
        <v>1</v>
      </c>
      <c r="G35" s="9">
        <v>0</v>
      </c>
      <c r="H35" s="9">
        <v>1</v>
      </c>
      <c r="I35" s="9">
        <v>0</v>
      </c>
      <c r="J35" s="9">
        <v>1</v>
      </c>
      <c r="K35" s="9">
        <v>0</v>
      </c>
      <c r="L35" s="9">
        <v>1</v>
      </c>
      <c r="M35" s="9">
        <v>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f xml:space="preserve"> IF(CABLES[[#This Row],[SEG1]] &gt;0, INDEX(SEGMENTS[], MATCH(CABLES[[#Headers],[SEG1]],SEGMENTS[SEG_ID],0),4),0)</f>
        <v>13</v>
      </c>
      <c r="BN35" s="9">
        <f xml:space="preserve"> IF(CABLES[[#This Row],[SEG2]] &gt;0, INDEX(SEGMENTS[], MATCH(CABLES[[#Headers],[SEG2]],SEGMENTS[SEG_ID],0),4),0)</f>
        <v>2</v>
      </c>
      <c r="BO35" s="9">
        <f xml:space="preserve"> IF(CABLES[[#This Row],[SEG3]] &gt;0, INDEX(SEGMENTS[], MATCH(CABLES[[#Headers],[SEG3]],SEGMENTS[SEG_ID],0),4),0)</f>
        <v>0</v>
      </c>
      <c r="BP35" s="9">
        <f xml:space="preserve"> IF(CABLES[[#This Row],[SEG4]] &gt;0, INDEX(SEGMENTS[], MATCH(CABLES[[#Headers],[SEG4]],SEGMENTS[SEG_ID],0),4),0)</f>
        <v>14</v>
      </c>
      <c r="BQ35" s="9">
        <f xml:space="preserve"> IF(CABLES[[#This Row],[SEG5]] &gt;0,INDEX(SEGMENTS[], MATCH(CABLES[[#Headers],[SEG5]],SEGMENTS[SEG_ID],0),4),0)</f>
        <v>0</v>
      </c>
      <c r="BR35" s="9">
        <f xml:space="preserve"> IF(CABLES[[#This Row],[SEG6]] &gt;0,INDEX(SEGMENTS[], MATCH(CABLES[[#Headers],[SEG6]],SEGMENTS[SEG_ID],0),4),0)</f>
        <v>2</v>
      </c>
      <c r="BS35" s="9">
        <f xml:space="preserve"> IF(CABLES[[#This Row],[SEG7]] &gt;0,INDEX(SEGMENTS[], MATCH(CABLES[[#Headers],[SEG7]],SEGMENTS[SEG_ID],0),4),0)</f>
        <v>0</v>
      </c>
      <c r="BT35" s="9">
        <f xml:space="preserve"> IF(CABLES[[#This Row],[SEG8]] &gt;0,INDEX(SEGMENTS[], MATCH(CABLES[[#Headers],[SEG8]],SEGMENTS[SEG_ID],0),4),0)</f>
        <v>3</v>
      </c>
      <c r="BU35" s="9">
        <f xml:space="preserve"> IF(CABLES[[#This Row],[SEG9]] &gt;0,INDEX(SEGMENTS[], MATCH(CABLES[[#Headers],[SEG9]],SEGMENTS[SEG_ID],0),4),0)</f>
        <v>8</v>
      </c>
      <c r="BV35" s="9">
        <f xml:space="preserve"> IF(CABLES[[#This Row],[SEG10]] &gt;0,INDEX(SEGMENTS[], MATCH(CABLES[[#Headers],[SEG10]],SEGMENTS[SEG_ID],0),4),0)</f>
        <v>0</v>
      </c>
      <c r="BW35" s="9">
        <f xml:space="preserve"> IF(CABLES[[#This Row],[SEG11]] &gt;0,INDEX(SEGMENTS[], MATCH(CABLES[[#Headers],[SEG11]],SEGMENTS[SEG_ID],0),4),0)</f>
        <v>0</v>
      </c>
      <c r="BX35" s="9">
        <f>IF(CABLES[[#This Row],[SEG12]] &gt;0, INDEX(SEGMENTS[], MATCH(CABLES[[#Headers],[SEG12]],SEGMENTS[SEG_ID],0),4),0)</f>
        <v>0</v>
      </c>
      <c r="BY35" s="9">
        <f xml:space="preserve"> IF(CABLES[[#This Row],[SEG13]] &gt;0,INDEX(SEGMENTS[], MATCH(CABLES[[#Headers],[SEG13]],SEGMENTS[SEG_ID],0),4),0)</f>
        <v>0</v>
      </c>
      <c r="BZ35" s="9">
        <f xml:space="preserve"> IF(CABLES[[#This Row],[SEG14]] &gt;0,INDEX(SEGMENTS[], MATCH(CABLES[[#Headers],[SEG14]],SEGMENTS[SEG_ID],0),4),0)</f>
        <v>0</v>
      </c>
      <c r="CA35" s="9">
        <f xml:space="preserve"> IF(CABLES[[#This Row],[SEG15]] &gt;0,INDEX(SEGMENTS[], MATCH(CABLES[[#Headers],[SEG15]],SEGMENTS[SEG_ID],0),4),0)</f>
        <v>0</v>
      </c>
      <c r="CB35" s="9">
        <f xml:space="preserve"> IF(CABLES[[#This Row],[SEG16]] &gt;0,INDEX(SEGMENTS[], MATCH(CABLES[[#Headers],[SEG16]],SEGMENTS[SEG_ID],0),4),0)</f>
        <v>0</v>
      </c>
      <c r="CC35" s="9">
        <f xml:space="preserve"> IF(CABLES[[#This Row],[SEG17]] &gt;0,INDEX(SEGMENTS[], MATCH(CABLES[[#Headers],[SEG17]],SEGMENTS[SEG_ID],0),4),0)</f>
        <v>0</v>
      </c>
      <c r="CD35" s="9">
        <f xml:space="preserve"> IF(CABLES[[#This Row],[SEG18]] &gt;0,INDEX(SEGMENTS[], MATCH(CABLES[[#Headers],[SEG18]],SEGMENTS[SEG_ID],0),4),0)</f>
        <v>0</v>
      </c>
      <c r="CE35" s="9">
        <f>IF(CABLES[[#This Row],[SEG19]] &gt;0, INDEX(SEGMENTS[], MATCH(CABLES[[#Headers],[SEG19]],SEGMENTS[SEG_ID],0),4),0)</f>
        <v>0</v>
      </c>
      <c r="CF35" s="9">
        <f>IF(CABLES[[#This Row],[SEG20]] &gt;0, INDEX(SEGMENTS[], MATCH(CABLES[[#Headers],[SEG20]],SEGMENTS[SEG_ID],0),4),0)</f>
        <v>0</v>
      </c>
      <c r="CG35" s="9">
        <f xml:space="preserve"> IF(CABLES[[#This Row],[SEG21]] &gt;0,INDEX(SEGMENTS[], MATCH(CABLES[[#Headers],[SEG21]],SEGMENTS[SEG_ID],0),4),0)</f>
        <v>0</v>
      </c>
      <c r="CH35" s="9">
        <f xml:space="preserve"> IF(CABLES[[#This Row],[SEG22]] &gt;0,INDEX(SEGMENTS[], MATCH(CABLES[[#Headers],[SEG22]],SEGMENTS[SEG_ID],0),4),0)</f>
        <v>0</v>
      </c>
      <c r="CI35" s="9">
        <f>IF(CABLES[[#This Row],[SEG23]] &gt;0, INDEX(SEGMENTS[], MATCH(CABLES[[#Headers],[SEG23]],SEGMENTS[SEG_ID],0),4),0)</f>
        <v>0</v>
      </c>
      <c r="CJ35" s="9">
        <f xml:space="preserve"> IF(CABLES[[#This Row],[SEG24]] &gt;0,INDEX(SEGMENTS[], MATCH(CABLES[[#Headers],[SEG24]],SEGMENTS[SEG_ID],0),4),0)</f>
        <v>0</v>
      </c>
      <c r="CK35" s="9">
        <f>IF(CABLES[[#This Row],[SEG25]] &gt;0, INDEX(SEGMENTS[], MATCH(CABLES[[#Headers],[SEG25]],SEGMENTS[SEG_ID],0),4),0)</f>
        <v>0</v>
      </c>
      <c r="CL35" s="9">
        <f>IF(CABLES[[#This Row],[SEG26]] &gt;0, INDEX(SEGMENTS[], MATCH(CABLES[[#Headers],[SEG26]],SEGMENTS[SEG_ID],0),4),0)</f>
        <v>0</v>
      </c>
      <c r="CM35" s="9">
        <f xml:space="preserve"> IF(CABLES[[#This Row],[SEG27]] &gt;0,INDEX(SEGMENTS[], MATCH(CABLES[[#Headers],[SEG27]],SEGMENTS[SEG_ID],0),4),0)</f>
        <v>0</v>
      </c>
      <c r="CN35" s="9">
        <f xml:space="preserve"> IF(CABLES[[#This Row],[SEG28]] &gt;0,INDEX(SEGMENTS[], MATCH(CABLES[[#Headers],[SEG28]],SEGMENTS[SEG_ID],0),4),0)</f>
        <v>0</v>
      </c>
      <c r="CO35" s="9">
        <f xml:space="preserve"> IF(CABLES[[#This Row],[SEG29]] &gt;0,INDEX(SEGMENTS[], MATCH(CABLES[[#Headers],[SEG29]],SEGMENTS[SEG_ID],0),4),0)</f>
        <v>0</v>
      </c>
      <c r="CP35" s="9">
        <f xml:space="preserve"> IF(CABLES[[#This Row],[SEG30]] &gt;0,INDEX(SEGMENTS[], MATCH(CABLES[[#Headers],[SEG30]],SEGMENTS[SEG_ID],0),4),0)</f>
        <v>0</v>
      </c>
      <c r="CQ35" s="9">
        <f>IF(CABLES[[#This Row],[SEG31]] &gt;0, INDEX(SEGMENTS[], MATCH(CABLES[[#Headers],[SEG31]],SEGMENTS[SEG_ID],0),4),0)</f>
        <v>0</v>
      </c>
      <c r="CR35" s="9">
        <f xml:space="preserve"> IF(CABLES[[#This Row],[SEG32]] &gt;0,INDEX(SEGMENTS[], MATCH(CABLES[[#Headers],[SEG32]],SEGMENTS[SEG_ID],0),4),0)</f>
        <v>0</v>
      </c>
      <c r="CS35" s="9">
        <f xml:space="preserve"> IF(CABLES[[#This Row],[SEG33]] &gt;0,INDEX(SEGMENTS[], MATCH(CABLES[[#Headers],[SEG33]],SEGMENTS[SEG_ID],0),4),0)</f>
        <v>0</v>
      </c>
      <c r="CT35" s="9">
        <f>IF(CABLES[[#This Row],[SEG34]] &gt;0, INDEX(SEGMENTS[], MATCH(CABLES[[#Headers],[SEG34]],SEGMENTS[SEG_ID],0),4),0)</f>
        <v>0</v>
      </c>
      <c r="CU35" s="9">
        <f xml:space="preserve"> IF(CABLES[[#This Row],[SEG35]] &gt;0,INDEX(SEGMENTS[], MATCH(CABLES[[#Headers],[SEG35]],SEGMENTS[SEG_ID],0),4),0)</f>
        <v>0</v>
      </c>
      <c r="CV35" s="9">
        <f xml:space="preserve"> IF(CABLES[[#This Row],[SEG36]] &gt;0,INDEX(SEGMENTS[], MATCH(CABLES[[#Headers],[SEG36]],SEGMENTS[SEG_ID],0),4),0)</f>
        <v>0</v>
      </c>
      <c r="CW35" s="9">
        <f xml:space="preserve"> IF(CABLES[[#This Row],[SEG37]] &gt;0,INDEX(SEGMENTS[], MATCH(CABLES[[#Headers],[SEG37]],SEGMENTS[SEG_ID],0),4),0)</f>
        <v>0</v>
      </c>
      <c r="CX35" s="9">
        <f xml:space="preserve"> IF(CABLES[[#This Row],[SEG38]] &gt;0,INDEX(SEGMENTS[], MATCH(CABLES[[#Headers],[SEG38]],SEGMENTS[SEG_ID],0),4),0)</f>
        <v>0</v>
      </c>
      <c r="CY35" s="9">
        <f xml:space="preserve"> IF(CABLES[[#This Row],[SEG39]] &gt;0,INDEX(SEGMENTS[], MATCH(CABLES[[#Headers],[SEG39]],SEGMENTS[SEG_ID],0),4),0)</f>
        <v>0</v>
      </c>
      <c r="CZ35" s="9">
        <f xml:space="preserve"> IF(CABLES[[#This Row],[SEG40]] &gt;0,INDEX(SEGMENTS[], MATCH(CABLES[[#Headers],[SEG40]],SEGMENTS[SEG_ID],0),4),0)</f>
        <v>0</v>
      </c>
      <c r="DA35" s="9">
        <f xml:space="preserve"> IF(CABLES[[#This Row],[SEG41]] &gt;0,INDEX(SEGMENTS[], MATCH(CABLES[[#Headers],[SEG41]],SEGMENTS[SEG_ID],0),4),0)</f>
        <v>0</v>
      </c>
      <c r="DB35" s="9">
        <f xml:space="preserve"> IF(CABLES[[#This Row],[SEG42]] &gt;0,INDEX(SEGMENTS[], MATCH(CABLES[[#Headers],[SEG42]],SEGMENTS[SEG_ID],0),4),0)</f>
        <v>0</v>
      </c>
      <c r="DC35" s="9">
        <f xml:space="preserve"> IF(CABLES[[#This Row],[SEG43]] &gt;0,INDEX(SEGMENTS[], MATCH(CABLES[[#Headers],[SEG43]],SEGMENTS[SEG_ID],0),4),0)</f>
        <v>0</v>
      </c>
      <c r="DD35" s="9">
        <f xml:space="preserve"> IF(CABLES[[#This Row],[SEG44]] &gt;0,INDEX(SEGMENTS[], MATCH(CABLES[[#Headers],[SEG44]],SEGMENTS[SEG_ID],0),4),0)</f>
        <v>0</v>
      </c>
      <c r="DE35" s="9">
        <f xml:space="preserve"> IF(CABLES[[#This Row],[SEG45]] &gt;0,INDEX(SEGMENTS[], MATCH(CABLES[[#Headers],[SEG45]],SEGMENTS[SEG_ID],0),4),0)</f>
        <v>0</v>
      </c>
      <c r="DF35" s="9">
        <f xml:space="preserve"> IF(CABLES[[#This Row],[SEG46]] &gt;0,INDEX(SEGMENTS[], MATCH(CABLES[[#Headers],[SEG46]],SEGMENTS[SEG_ID],0),4),0)</f>
        <v>0</v>
      </c>
      <c r="DG35" s="9">
        <f xml:space="preserve"> IF(CABLES[[#This Row],[SEG47]] &gt;0,INDEX(SEGMENTS[], MATCH(CABLES[[#Headers],[SEG47]],SEGMENTS[SEG_ID],0),4),0)</f>
        <v>0</v>
      </c>
      <c r="DH35" s="9">
        <f xml:space="preserve"> IF(CABLES[[#This Row],[SEG48]] &gt;0,INDEX(SEGMENTS[], MATCH(CABLES[[#Headers],[SEG48]],SEGMENTS[SEG_ID],0),4),0)</f>
        <v>0</v>
      </c>
      <c r="DI35" s="9">
        <f xml:space="preserve"> IF(CABLES[[#This Row],[SEG49]] &gt;0,INDEX(SEGMENTS[], MATCH(CABLES[[#Headers],[SEG49]],SEGMENTS[SEG_ID],0),4),0)</f>
        <v>0</v>
      </c>
      <c r="DJ35" s="9">
        <f xml:space="preserve"> IF(CABLES[[#This Row],[SEG50]] &gt;0,INDEX(SEGMENTS[], MATCH(CABLES[[#Headers],[SEG50]],SEGMENTS[SEG_ID],0),4),0)</f>
        <v>0</v>
      </c>
      <c r="DK35" s="9">
        <f xml:space="preserve"> IF(CABLES[[#This Row],[SEG51]] &gt;0,INDEX(SEGMENTS[], MATCH(CABLES[[#Headers],[SEG51]],SEGMENTS[SEG_ID],0),4),0)</f>
        <v>0</v>
      </c>
      <c r="DL35" s="9">
        <f xml:space="preserve"> IF(CABLES[[#This Row],[SEG52]] &gt;0,INDEX(SEGMENTS[], MATCH(CABLES[[#Headers],[SEG52]],SEGMENTS[SEG_ID],0),4),0)</f>
        <v>0</v>
      </c>
      <c r="DM35" s="9">
        <f xml:space="preserve"> IF(CABLES[[#This Row],[SEG53]] &gt;0,INDEX(SEGMENTS[], MATCH(CABLES[[#Headers],[SEG53]],SEGMENTS[SEG_ID],0),4),0)</f>
        <v>0</v>
      </c>
      <c r="DN35" s="9">
        <f xml:space="preserve"> IF(CABLES[[#This Row],[SEG54]] &gt;0,INDEX(SEGMENTS[], MATCH(CABLES[[#Headers],[SEG54]],SEGMENTS[SEG_ID],0),4),0)</f>
        <v>0</v>
      </c>
      <c r="DO35" s="9">
        <f xml:space="preserve"> IF(CABLES[[#This Row],[SEG55]] &gt;0,INDEX(SEGMENTS[], MATCH(CABLES[[#Headers],[SEG55]],SEGMENTS[SEG_ID],0),4),0)</f>
        <v>0</v>
      </c>
      <c r="DP35" s="9">
        <f xml:space="preserve"> IF(CABLES[[#This Row],[SEG56]] &gt;0,INDEX(SEGMENTS[], MATCH(CABLES[[#Headers],[SEG56]],SEGMENTS[SEG_ID],0),4),0)</f>
        <v>0</v>
      </c>
      <c r="DQ35" s="9">
        <f xml:space="preserve"> IF(CABLES[[#This Row],[SEG57]] &gt;0,INDEX(SEGMENTS[], MATCH(CABLES[[#Headers],[SEG57]],SEGMENTS[SEG_ID],0),4),0)</f>
        <v>0</v>
      </c>
      <c r="DR35" s="9">
        <f xml:space="preserve"> IF(CABLES[[#This Row],[SEG58]] &gt;0,INDEX(SEGMENTS[], MATCH(CABLES[[#Headers],[SEG58]],SEGMENTS[SEG_ID],0),4),0)</f>
        <v>0</v>
      </c>
      <c r="DS35" s="9">
        <f xml:space="preserve"> IF(CABLES[[#This Row],[SEG59]] &gt;0,INDEX(SEGMENTS[], MATCH(CABLES[[#Headers],[SEG59]],SEGMENTS[SEG_ID],0),4),0)</f>
        <v>0</v>
      </c>
      <c r="DT35" s="9">
        <f xml:space="preserve"> IF(CABLES[[#This Row],[SEG60]] &gt;0,INDEX(SEGMENTS[], MATCH(CABLES[[#Headers],[SEG60]],SEGMENTS[SEG_ID],0),4),0)</f>
        <v>0</v>
      </c>
      <c r="DU35" s="10">
        <f>SUM(CABLES[[#This Row],[SEGL1]:[SEGL60]])</f>
        <v>42</v>
      </c>
      <c r="DV35" s="10">
        <v>5</v>
      </c>
      <c r="DW35" s="10">
        <v>1.2</v>
      </c>
      <c r="DX35" s="10">
        <f xml:space="preserve"> IF(CABLES[[#This Row],[SEGL_TOTAL]]&gt;0, (CABLES[[#This Row],[SEGL_TOTAL]] + CABLES[[#This Row],[FITOFF]]) *CABLES[[#This Row],[XCAPACITY]],0)</f>
        <v>56.4</v>
      </c>
      <c r="DY35" s="10">
        <f>IF(CABLES[[#This Row],[SEG1]]&gt;0,CABLES[[#This Row],[CABLE_DIAMETER]],0)</f>
        <v>20.3</v>
      </c>
      <c r="DZ35" s="10">
        <f>IF(CABLES[[#This Row],[SEG2]]&gt;0,CABLES[[#This Row],[CABLE_DIAMETER]],0)</f>
        <v>20.3</v>
      </c>
      <c r="EA35" s="10">
        <f>IF(CABLES[[#This Row],[SEG3]]&gt;0,CABLES[[#This Row],[CABLE_DIAMETER]],0)</f>
        <v>0</v>
      </c>
      <c r="EB35" s="10">
        <f>IF(CABLES[[#This Row],[SEG4]]&gt;0,CABLES[[#This Row],[CABLE_DIAMETER]],0)</f>
        <v>20.3</v>
      </c>
      <c r="EC35" s="10">
        <f>IF(CABLES[[#This Row],[SEG5]]&gt;0,CABLES[[#This Row],[CABLE_DIAMETER]],0)</f>
        <v>0</v>
      </c>
      <c r="ED35" s="10">
        <f>IF(CABLES[[#This Row],[SEG6]]&gt;0,CABLES[[#This Row],[CABLE_DIAMETER]],0)</f>
        <v>20.3</v>
      </c>
      <c r="EE35" s="10">
        <f>IF(CABLES[[#This Row],[SEG7]]&gt;0,CABLES[[#This Row],[CABLE_DIAMETER]],0)</f>
        <v>0</v>
      </c>
      <c r="EF35" s="10">
        <f>IF(CABLES[[#This Row],[SEG9]]&gt;0,CABLES[[#This Row],[CABLE_DIAMETER]],0)</f>
        <v>20.3</v>
      </c>
      <c r="EG35" s="10">
        <f>IF(CABLES[[#This Row],[SEG9]]&gt;0,CABLES[[#This Row],[CABLE_DIAMETER]],0)</f>
        <v>20.3</v>
      </c>
      <c r="EH35" s="10">
        <f>IF(CABLES[[#This Row],[SEG10]]&gt;0,CABLES[[#This Row],[CABLE_DIAMETER]],0)</f>
        <v>0</v>
      </c>
      <c r="EI35" s="10">
        <f>IF(CABLES[[#This Row],[SEG11]]&gt;0,CABLES[[#This Row],[CABLE_DIAMETER]],0)</f>
        <v>0</v>
      </c>
      <c r="EJ35" s="10">
        <f>IF(CABLES[[#This Row],[SEG12]]&gt;0,CABLES[[#This Row],[CABLE_DIAMETER]],0)</f>
        <v>0</v>
      </c>
      <c r="EK35" s="10">
        <f>IF(CABLES[[#This Row],[SEG13]]&gt;0,CABLES[[#This Row],[CABLE_DIAMETER]],0)</f>
        <v>0</v>
      </c>
      <c r="EL35" s="10">
        <f>IF(CABLES[[#This Row],[SEG14]]&gt;0,CABLES[[#This Row],[CABLE_DIAMETER]],0)</f>
        <v>0</v>
      </c>
      <c r="EM35" s="10">
        <f>IF(CABLES[[#This Row],[SEG15]]&gt;0,CABLES[[#This Row],[CABLE_DIAMETER]],0)</f>
        <v>0</v>
      </c>
      <c r="EN35" s="10">
        <f>IF(CABLES[[#This Row],[SEG16]]&gt;0,CABLES[[#This Row],[CABLE_DIAMETER]],0)</f>
        <v>0</v>
      </c>
      <c r="EO35" s="10">
        <f>IF(CABLES[[#This Row],[SEG17]]&gt;0,CABLES[[#This Row],[CABLE_DIAMETER]],0)</f>
        <v>0</v>
      </c>
      <c r="EP35" s="10">
        <f>IF(CABLES[[#This Row],[SEG18]]&gt;0,CABLES[[#This Row],[CABLE_DIAMETER]],0)</f>
        <v>0</v>
      </c>
      <c r="EQ35" s="10">
        <f>IF(CABLES[[#This Row],[SEG19]]&gt;0,CABLES[[#This Row],[CABLE_DIAMETER]],0)</f>
        <v>0</v>
      </c>
      <c r="ER35" s="10">
        <f>IF(CABLES[[#This Row],[SEG20]]&gt;0,CABLES[[#This Row],[CABLE_DIAMETER]],0)</f>
        <v>0</v>
      </c>
      <c r="ES35" s="10">
        <f>IF(CABLES[[#This Row],[SEG21]]&gt;0,CABLES[[#This Row],[CABLE_DIAMETER]],0)</f>
        <v>0</v>
      </c>
      <c r="ET35" s="10">
        <f>IF(CABLES[[#This Row],[SEG22]]&gt;0,CABLES[[#This Row],[CABLE_DIAMETER]],0)</f>
        <v>0</v>
      </c>
      <c r="EU35" s="10">
        <f>IF(CABLES[[#This Row],[SEG23]]&gt;0,CABLES[[#This Row],[CABLE_DIAMETER]],0)</f>
        <v>0</v>
      </c>
      <c r="EV35" s="10">
        <f>IF(CABLES[[#This Row],[SEG24]]&gt;0,CABLES[[#This Row],[CABLE_DIAMETER]],0)</f>
        <v>0</v>
      </c>
      <c r="EW35" s="10">
        <f>IF(CABLES[[#This Row],[SEG25]]&gt;0,CABLES[[#This Row],[CABLE_DIAMETER]],0)</f>
        <v>0</v>
      </c>
      <c r="EX35" s="10">
        <f>IF(CABLES[[#This Row],[SEG26]]&gt;0,CABLES[[#This Row],[CABLE_DIAMETER]],0)</f>
        <v>0</v>
      </c>
      <c r="EY35" s="10">
        <f>IF(CABLES[[#This Row],[SEG27]]&gt;0,CABLES[[#This Row],[CABLE_DIAMETER]],0)</f>
        <v>0</v>
      </c>
      <c r="EZ35" s="10">
        <f>IF(CABLES[[#This Row],[SEG28]]&gt;0,CABLES[[#This Row],[CABLE_DIAMETER]],0)</f>
        <v>0</v>
      </c>
      <c r="FA35" s="10">
        <f>IF(CABLES[[#This Row],[SEG29]]&gt;0,CABLES[[#This Row],[CABLE_DIAMETER]],0)</f>
        <v>0</v>
      </c>
      <c r="FB35" s="10">
        <f>IF(CABLES[[#This Row],[SEG30]]&gt;0,CABLES[[#This Row],[CABLE_DIAMETER]],0)</f>
        <v>0</v>
      </c>
      <c r="FC35" s="10">
        <f>IF(CABLES[[#This Row],[SEG31]]&gt;0,CABLES[[#This Row],[CABLE_DIAMETER]],0)</f>
        <v>0</v>
      </c>
      <c r="FD35" s="10">
        <f>IF(CABLES[[#This Row],[SEG32]]&gt;0,CABLES[[#This Row],[CABLE_DIAMETER]],0)</f>
        <v>0</v>
      </c>
      <c r="FE35" s="10">
        <f>IF(CABLES[[#This Row],[SEG33]]&gt;0,CABLES[[#This Row],[CABLE_DIAMETER]],0)</f>
        <v>0</v>
      </c>
      <c r="FF35" s="10">
        <f>IF(CABLES[[#This Row],[SEG34]]&gt;0,CABLES[[#This Row],[CABLE_DIAMETER]],0)</f>
        <v>0</v>
      </c>
      <c r="FG35" s="10">
        <f>IF(CABLES[[#This Row],[SEG35]]&gt;0,CABLES[[#This Row],[CABLE_DIAMETER]],0)</f>
        <v>0</v>
      </c>
      <c r="FH35" s="10">
        <f>IF(CABLES[[#This Row],[SEG36]]&gt;0,CABLES[[#This Row],[CABLE_DIAMETER]],0)</f>
        <v>0</v>
      </c>
      <c r="FI35" s="10">
        <f>IF(CABLES[[#This Row],[SEG37]]&gt;0,CABLES[[#This Row],[CABLE_DIAMETER]],0)</f>
        <v>0</v>
      </c>
      <c r="FJ35" s="10">
        <f>IF(CABLES[[#This Row],[SEG38]]&gt;0,CABLES[[#This Row],[CABLE_DIAMETER]],0)</f>
        <v>0</v>
      </c>
      <c r="FK35" s="10">
        <f>IF(CABLES[[#This Row],[SEG39]]&gt;0,CABLES[[#This Row],[CABLE_DIAMETER]],0)</f>
        <v>0</v>
      </c>
      <c r="FL35" s="10">
        <f>IF(CABLES[[#This Row],[SEG40]]&gt;0,CABLES[[#This Row],[CABLE_DIAMETER]],0)</f>
        <v>0</v>
      </c>
      <c r="FM35" s="10">
        <f>IF(CABLES[[#This Row],[SEG41]]&gt;0,CABLES[[#This Row],[CABLE_DIAMETER]],0)</f>
        <v>0</v>
      </c>
      <c r="FN35" s="10">
        <f>IF(CABLES[[#This Row],[SEG42]]&gt;0,CABLES[[#This Row],[CABLE_DIAMETER]],0)</f>
        <v>0</v>
      </c>
      <c r="FO35" s="10">
        <f>IF(CABLES[[#This Row],[SEG43]]&gt;0,CABLES[[#This Row],[CABLE_DIAMETER]],0)</f>
        <v>0</v>
      </c>
      <c r="FP35" s="10">
        <f>IF(CABLES[[#This Row],[SEG44]]&gt;0,CABLES[[#This Row],[CABLE_DIAMETER]],0)</f>
        <v>0</v>
      </c>
      <c r="FQ35" s="10">
        <f>IF(CABLES[[#This Row],[SEG45]]&gt;0,CABLES[[#This Row],[CABLE_DIAMETER]],0)</f>
        <v>0</v>
      </c>
      <c r="FR35" s="10">
        <f>IF(CABLES[[#This Row],[SEG46]]&gt;0,CABLES[[#This Row],[CABLE_DIAMETER]],0)</f>
        <v>0</v>
      </c>
      <c r="FS35" s="10">
        <f>IF(CABLES[[#This Row],[SEG47]]&gt;0,CABLES[[#This Row],[CABLE_DIAMETER]],0)</f>
        <v>0</v>
      </c>
      <c r="FT35" s="10">
        <f>IF(CABLES[[#This Row],[SEG48]]&gt;0,CABLES[[#This Row],[CABLE_DIAMETER]],0)</f>
        <v>0</v>
      </c>
      <c r="FU35" s="10">
        <f>IF(CABLES[[#This Row],[SEG49]]&gt;0,CABLES[[#This Row],[CABLE_DIAMETER]],0)</f>
        <v>0</v>
      </c>
      <c r="FV35" s="10">
        <f>IF(CABLES[[#This Row],[SEG50]]&gt;0,CABLES[[#This Row],[CABLE_DIAMETER]],0)</f>
        <v>0</v>
      </c>
      <c r="FW35" s="10">
        <f>IF(CABLES[[#This Row],[SEG51]]&gt;0,CABLES[[#This Row],[CABLE_DIAMETER]],0)</f>
        <v>0</v>
      </c>
      <c r="FX35" s="10">
        <f>IF(CABLES[[#This Row],[SEG52]]&gt;0,CABLES[[#This Row],[CABLE_DIAMETER]],0)</f>
        <v>0</v>
      </c>
      <c r="FY35" s="10">
        <f>IF(CABLES[[#This Row],[SEG53]]&gt;0,CABLES[[#This Row],[CABLE_DIAMETER]],0)</f>
        <v>0</v>
      </c>
      <c r="FZ35" s="10">
        <f>IF(CABLES[[#This Row],[SEG54]]&gt;0,CABLES[[#This Row],[CABLE_DIAMETER]],0)</f>
        <v>0</v>
      </c>
      <c r="GA35" s="10">
        <f>IF(CABLES[[#This Row],[SEG55]]&gt;0,CABLES[[#This Row],[CABLE_DIAMETER]],0)</f>
        <v>0</v>
      </c>
      <c r="GB35" s="10">
        <f>IF(CABLES[[#This Row],[SEG56]]&gt;0,CABLES[[#This Row],[CABLE_DIAMETER]],0)</f>
        <v>0</v>
      </c>
      <c r="GC35" s="10">
        <f>IF(CABLES[[#This Row],[SEG57]]&gt;0,CABLES[[#This Row],[CABLE_DIAMETER]],0)</f>
        <v>0</v>
      </c>
      <c r="GD35" s="10">
        <f>IF(CABLES[[#This Row],[SEG58]]&gt;0,CABLES[[#This Row],[CABLE_DIAMETER]],0)</f>
        <v>0</v>
      </c>
      <c r="GE35" s="10">
        <f>IF(CABLES[[#This Row],[SEG59]]&gt;0,CABLES[[#This Row],[CABLE_DIAMETER]],0)</f>
        <v>0</v>
      </c>
      <c r="GF35" s="10">
        <f>IF(CABLES[[#This Row],[SEG60]]&gt;0,CABLES[[#This Row],[CABLE_DIAMETER]],0)</f>
        <v>0</v>
      </c>
      <c r="GG35" s="10">
        <f>IF(CABLES[[#This Row],[SEG1]]&gt;0,CABLES[[#This Row],[CABLE_MASS]],0)</f>
        <v>0.86</v>
      </c>
      <c r="GH35" s="10">
        <f>IF(CABLES[[#This Row],[SEG2]]&gt;0,CABLES[[#This Row],[CABLE_MASS]],0)</f>
        <v>0.86</v>
      </c>
      <c r="GI35" s="10">
        <f>IF(CABLES[[#This Row],[SEG3]]&gt;0,CABLES[[#This Row],[CABLE_MASS]],0)</f>
        <v>0</v>
      </c>
      <c r="GJ35" s="10">
        <f>IF(CABLES[[#This Row],[SEG4]]&gt;0,CABLES[[#This Row],[CABLE_MASS]],0)</f>
        <v>0.86</v>
      </c>
      <c r="GK35" s="10">
        <f>IF(CABLES[[#This Row],[SEG5]]&gt;0,CABLES[[#This Row],[CABLE_MASS]],0)</f>
        <v>0</v>
      </c>
      <c r="GL35" s="10">
        <f>IF(CABLES[[#This Row],[SEG6]]&gt;0,CABLES[[#This Row],[CABLE_MASS]],0)</f>
        <v>0.86</v>
      </c>
      <c r="GM35" s="10">
        <f>IF(CABLES[[#This Row],[SEG7]]&gt;0,CABLES[[#This Row],[CABLE_MASS]],0)</f>
        <v>0</v>
      </c>
      <c r="GN35" s="10">
        <f>IF(CABLES[[#This Row],[SEG8]]&gt;0,CABLES[[#This Row],[CABLE_MASS]],0)</f>
        <v>0.86</v>
      </c>
      <c r="GO35" s="10">
        <f>IF(CABLES[[#This Row],[SEG9]]&gt;0,CABLES[[#This Row],[CABLE_MASS]],0)</f>
        <v>0.86</v>
      </c>
      <c r="GP35" s="10">
        <f>IF(CABLES[[#This Row],[SEG10]]&gt;0,CABLES[[#This Row],[CABLE_MASS]],0)</f>
        <v>0</v>
      </c>
      <c r="GQ35" s="10">
        <f>IF(CABLES[[#This Row],[SEG11]]&gt;0,CABLES[[#This Row],[CABLE_MASS]],0)</f>
        <v>0</v>
      </c>
      <c r="GR35" s="10">
        <f>IF(CABLES[[#This Row],[SEG12]]&gt;0,CABLES[[#This Row],[CABLE_MASS]],0)</f>
        <v>0</v>
      </c>
      <c r="GS35" s="10">
        <f>IF(CABLES[[#This Row],[SEG13]]&gt;0,CABLES[[#This Row],[CABLE_MASS]],0)</f>
        <v>0</v>
      </c>
      <c r="GT35" s="10">
        <f>IF(CABLES[[#This Row],[SEG14]]&gt;0,CABLES[[#This Row],[CABLE_MASS]],0)</f>
        <v>0</v>
      </c>
      <c r="GU35" s="10">
        <f>IF(CABLES[[#This Row],[SEG15]]&gt;0,CABLES[[#This Row],[CABLE_MASS]],0)</f>
        <v>0</v>
      </c>
      <c r="GV35" s="10">
        <f>IF(CABLES[[#This Row],[SEG16]]&gt;0,CABLES[[#This Row],[CABLE_MASS]],0)</f>
        <v>0</v>
      </c>
      <c r="GW35" s="10">
        <f>IF(CABLES[[#This Row],[SEG17]]&gt;0,CABLES[[#This Row],[CABLE_MASS]],0)</f>
        <v>0</v>
      </c>
      <c r="GX35" s="10">
        <f>IF(CABLES[[#This Row],[SEG18]]&gt;0,CABLES[[#This Row],[CABLE_MASS]],0)</f>
        <v>0</v>
      </c>
      <c r="GY35" s="10">
        <f>IF(CABLES[[#This Row],[SEG19]]&gt;0,CABLES[[#This Row],[CABLE_MASS]],0)</f>
        <v>0</v>
      </c>
      <c r="GZ35" s="10">
        <f>IF(CABLES[[#This Row],[SEG20]]&gt;0,CABLES[[#This Row],[CABLE_MASS]],0)</f>
        <v>0</v>
      </c>
      <c r="HA35" s="10">
        <f>IF(CABLES[[#This Row],[SEG21]]&gt;0,CABLES[[#This Row],[CABLE_MASS]],0)</f>
        <v>0</v>
      </c>
      <c r="HB35" s="10">
        <f>IF(CABLES[[#This Row],[SEG22]]&gt;0,CABLES[[#This Row],[CABLE_MASS]],0)</f>
        <v>0</v>
      </c>
      <c r="HC35" s="10">
        <f>IF(CABLES[[#This Row],[SEG23]]&gt;0,CABLES[[#This Row],[CABLE_MASS]],0)</f>
        <v>0</v>
      </c>
      <c r="HD35" s="10">
        <f>IF(CABLES[[#This Row],[SEG24]]&gt;0,CABLES[[#This Row],[CABLE_MASS]],0)</f>
        <v>0</v>
      </c>
      <c r="HE35" s="10">
        <f>IF(CABLES[[#This Row],[SEG25]]&gt;0,CABLES[[#This Row],[CABLE_MASS]],0)</f>
        <v>0</v>
      </c>
      <c r="HF35" s="10">
        <f>IF(CABLES[[#This Row],[SEG26]]&gt;0,CABLES[[#This Row],[CABLE_MASS]],0)</f>
        <v>0</v>
      </c>
      <c r="HG35" s="10">
        <f>IF(CABLES[[#This Row],[SEG27]]&gt;0,CABLES[[#This Row],[CABLE_MASS]],0)</f>
        <v>0</v>
      </c>
      <c r="HH35" s="10">
        <f>IF(CABLES[[#This Row],[SEG28]]&gt;0,CABLES[[#This Row],[CABLE_MASS]],0)</f>
        <v>0</v>
      </c>
      <c r="HI35" s="10">
        <f>IF(CABLES[[#This Row],[SEG29]]&gt;0,CABLES[[#This Row],[CABLE_MASS]],0)</f>
        <v>0</v>
      </c>
      <c r="HJ35" s="10">
        <f>IF(CABLES[[#This Row],[SEG30]]&gt;0,CABLES[[#This Row],[CABLE_MASS]],0)</f>
        <v>0</v>
      </c>
      <c r="HK35" s="10">
        <f>IF(CABLES[[#This Row],[SEG31]]&gt;0,CABLES[[#This Row],[CABLE_MASS]],0)</f>
        <v>0</v>
      </c>
      <c r="HL35" s="10">
        <f>IF(CABLES[[#This Row],[SEG32]]&gt;0,CABLES[[#This Row],[CABLE_MASS]],0)</f>
        <v>0</v>
      </c>
      <c r="HM35" s="10">
        <f>IF(CABLES[[#This Row],[SEG33]]&gt;0,CABLES[[#This Row],[CABLE_MASS]],0)</f>
        <v>0</v>
      </c>
      <c r="HN35" s="10">
        <f>IF(CABLES[[#This Row],[SEG34]]&gt;0,CABLES[[#This Row],[CABLE_MASS]],0)</f>
        <v>0</v>
      </c>
      <c r="HO35" s="10">
        <f>IF(CABLES[[#This Row],[SEG35]]&gt;0,CABLES[[#This Row],[CABLE_MASS]],0)</f>
        <v>0</v>
      </c>
      <c r="HP35" s="10">
        <f>IF(CABLES[[#This Row],[SEG36]]&gt;0,CABLES[[#This Row],[CABLE_MASS]],0)</f>
        <v>0</v>
      </c>
      <c r="HQ35" s="10">
        <f>IF(CABLES[[#This Row],[SEG37]]&gt;0,CABLES[[#This Row],[CABLE_MASS]],0)</f>
        <v>0</v>
      </c>
      <c r="HR35" s="10">
        <f>IF(CABLES[[#This Row],[SEG38]]&gt;0,CABLES[[#This Row],[CABLE_MASS]],0)</f>
        <v>0</v>
      </c>
      <c r="HS35" s="10">
        <f>IF(CABLES[[#This Row],[SEG39]]&gt;0,CABLES[[#This Row],[CABLE_MASS]],0)</f>
        <v>0</v>
      </c>
      <c r="HT35" s="10">
        <f>IF(CABLES[[#This Row],[SEG40]]&gt;0,CABLES[[#This Row],[CABLE_MASS]],0)</f>
        <v>0</v>
      </c>
      <c r="HU35" s="10">
        <f>IF(CABLES[[#This Row],[SEG41]]&gt;0,CABLES[[#This Row],[CABLE_MASS]],0)</f>
        <v>0</v>
      </c>
      <c r="HV35" s="10">
        <f>IF(CABLES[[#This Row],[SEG42]]&gt;0,CABLES[[#This Row],[CABLE_MASS]],0)</f>
        <v>0</v>
      </c>
      <c r="HW35" s="10">
        <f>IF(CABLES[[#This Row],[SEG43]]&gt;0,CABLES[[#This Row],[CABLE_MASS]],0)</f>
        <v>0</v>
      </c>
      <c r="HX35" s="10">
        <f>IF(CABLES[[#This Row],[SEG44]]&gt;0,CABLES[[#This Row],[CABLE_MASS]],0)</f>
        <v>0</v>
      </c>
      <c r="HY35" s="10">
        <f>IF(CABLES[[#This Row],[SEG45]]&gt;0,CABLES[[#This Row],[CABLE_MASS]],0)</f>
        <v>0</v>
      </c>
      <c r="HZ35" s="10">
        <f>IF(CABLES[[#This Row],[SEG46]]&gt;0,CABLES[[#This Row],[CABLE_MASS]],0)</f>
        <v>0</v>
      </c>
      <c r="IA35" s="10">
        <f>IF(CABLES[[#This Row],[SEG47]]&gt;0,CABLES[[#This Row],[CABLE_MASS]],0)</f>
        <v>0</v>
      </c>
      <c r="IB35" s="10">
        <f>IF(CABLES[[#This Row],[SEG48]]&gt;0,CABLES[[#This Row],[CABLE_MASS]],0)</f>
        <v>0</v>
      </c>
      <c r="IC35" s="10">
        <f>IF(CABLES[[#This Row],[SEG49]]&gt;0,CABLES[[#This Row],[CABLE_MASS]],0)</f>
        <v>0</v>
      </c>
      <c r="ID35" s="10">
        <f>IF(CABLES[[#This Row],[SEG50]]&gt;0,CABLES[[#This Row],[CABLE_MASS]],0)</f>
        <v>0</v>
      </c>
      <c r="IE35" s="10">
        <f>IF(CABLES[[#This Row],[SEG51]]&gt;0,CABLES[[#This Row],[CABLE_MASS]],0)</f>
        <v>0</v>
      </c>
      <c r="IF35" s="10">
        <f>IF(CABLES[[#This Row],[SEG52]]&gt;0,CABLES[[#This Row],[CABLE_MASS]],0)</f>
        <v>0</v>
      </c>
      <c r="IG35" s="10">
        <f>IF(CABLES[[#This Row],[SEG53]]&gt;0,CABLES[[#This Row],[CABLE_MASS]],0)</f>
        <v>0</v>
      </c>
      <c r="IH35" s="10">
        <f>IF(CABLES[[#This Row],[SEG54]]&gt;0,CABLES[[#This Row],[CABLE_MASS]],0)</f>
        <v>0</v>
      </c>
      <c r="II35" s="10">
        <f>IF(CABLES[[#This Row],[SEG55]]&gt;0,CABLES[[#This Row],[CABLE_MASS]],0)</f>
        <v>0</v>
      </c>
      <c r="IJ35" s="10">
        <f>IF(CABLES[[#This Row],[SEG56]]&gt;0,CABLES[[#This Row],[CABLE_MASS]],0)</f>
        <v>0</v>
      </c>
      <c r="IK35" s="10">
        <f>IF(CABLES[[#This Row],[SEG57]]&gt;0,CABLES[[#This Row],[CABLE_MASS]],0)</f>
        <v>0</v>
      </c>
      <c r="IL35" s="10">
        <f>IF(CABLES[[#This Row],[SEG58]]&gt;0,CABLES[[#This Row],[CABLE_MASS]],0)</f>
        <v>0</v>
      </c>
      <c r="IM35" s="10">
        <f>IF(CABLES[[#This Row],[SEG59]]&gt;0,CABLES[[#This Row],[CABLE_MASS]],0)</f>
        <v>0</v>
      </c>
      <c r="IN35" s="10">
        <f>IF(CABLES[[#This Row],[SEG60]]&gt;0,CABLES[[#This Row],[CABLE_MASS]],0)</f>
        <v>0</v>
      </c>
      <c r="IO35" s="10">
        <f xml:space="preserve">  (CABLES[[#This Row],[LOAD_KW]]/(SQRT(3)*SYSTEM_VOLTAGE*POWER_FACTOR))*1000</f>
        <v>48.112522432468815</v>
      </c>
      <c r="IP35" s="10">
        <v>45</v>
      </c>
      <c r="IQ35" s="10">
        <f xml:space="preserve"> INDEX(AS3000_AMBIENTDERATE[], MATCH(CABLES[[#This Row],[AMBIENT]],AS3000_AMBIENTDERATE[AMBIENT],0), 2)</f>
        <v>0.94</v>
      </c>
      <c r="IR35" s="10">
        <f xml:space="preserve"> ROUNDUP( CABLES[[#This Row],[CALCULATED_AMPS]]/CABLES[[#This Row],[AMBIENT_DERATING]],1)</f>
        <v>51.2</v>
      </c>
      <c r="IS35" s="10" t="s">
        <v>531</v>
      </c>
      <c r="IT3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16</v>
      </c>
      <c r="IU35" s="10">
        <f t="shared" si="1"/>
        <v>28.000000000000004</v>
      </c>
      <c r="IV35" s="10">
        <f>(1000*CABLES[[#This Row],[MAX_VDROP]])/(CABLES[[#This Row],[ESTIMATED_CABLE_LENGTH]]*CABLES[[#This Row],[AMP_RATING]])</f>
        <v>9.6963652482269502</v>
      </c>
      <c r="IW35" s="10">
        <f xml:space="preserve"> INDEX(AS3000_VDROP[], MATCH(CABLES[[#This Row],[VC_CALC]],AS3000_VDROP[Vc],1),1)</f>
        <v>6</v>
      </c>
      <c r="IX35" s="10">
        <f>MAX(CABLES[[#This Row],[CABLESIZE_METHOD1]],CABLES[[#This Row],[CABLESIZE_METHOD2]])</f>
        <v>16</v>
      </c>
      <c r="IY35" s="10"/>
      <c r="IZ35" s="10">
        <f>IF(LEN(CABLES[[#This Row],[OVERRIDE_CABLESIZE]])&gt;0,CABLES[[#This Row],[OVERRIDE_CABLESIZE]],CABLES[[#This Row],[INITIAL_CABLESIZE]])</f>
        <v>16</v>
      </c>
      <c r="JA35" s="10">
        <f>INDEX(PROTECTIVE_DEVICE[DEVICE], MATCH(CABLES[[#This Row],[CALCULATED_AMPS]],PROTECTIVE_DEVICE[DEVICE],-1),1)</f>
        <v>50</v>
      </c>
      <c r="JB35" s="10"/>
      <c r="JC35" s="10">
        <f>IF(LEN(CABLES[[#This Row],[OVERRIDE_PDEVICE]])&gt;0, CABLES[[#This Row],[OVERRIDE_PDEVICE]],CABLES[[#This Row],[RECOMMEND_PDEVICE]])</f>
        <v>50</v>
      </c>
      <c r="JD35" s="10" t="s">
        <v>450</v>
      </c>
      <c r="JE35" s="10">
        <f xml:space="preserve"> CABLES[[#This Row],[SELECTED_PDEVICE]] * INDEX(DEVICE_CURVE[], MATCH(CABLES[[#This Row],[PDEVICE_CURVE]], DEVICE_CURVE[DEVICE_CURVE],0),2)</f>
        <v>325</v>
      </c>
      <c r="JF35" s="10" t="s">
        <v>458</v>
      </c>
      <c r="JG35" s="10">
        <f xml:space="preserve"> INDEX(CONDUCTOR_MATERIAL[], MATCH(CABLES[[#This Row],[CONDUCTOR_MATERIAL]],CONDUCTOR_MATERIAL[CONDUCTOR_MATERIAL],0),2)</f>
        <v>2.2499999999999999E-2</v>
      </c>
      <c r="JH35" s="10">
        <f>CABLES[[#This Row],[SELECTED_CABLESIZE]]</f>
        <v>16</v>
      </c>
      <c r="JI35" s="10">
        <f xml:space="preserve"> INDEX( EARTH_CONDUCTOR_SIZE[], MATCH(CABLES[[#This Row],[SPH]],EARTH_CONDUCTOR_SIZE[MM^2],-1), 2)</f>
        <v>6</v>
      </c>
      <c r="JJ35" s="10">
        <f>(0.8*PHASE_VOLTAGE*CABLES[[#This Row],[SPH]]*CABLES[[#This Row],[SPE]])/(CABLES[[#This Row],[PDEVICE_IA]]*CABLES[[#This Row],[MATERIAL_CONSTANT]]*(CABLES[[#This Row],[SPH]]+CABLES[[#This Row],[SPE]]))</f>
        <v>109.7995337995338</v>
      </c>
      <c r="JK35" s="10" t="str">
        <f>IF(CABLES[[#This Row],[LMAX]]&gt;CABLES[[#This Row],[ESTIMATED_CABLE_LENGTH]], "PASS", "ERROR")</f>
        <v>PASS</v>
      </c>
      <c r="JL3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20.3</v>
      </c>
      <c r="JM3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0.86</v>
      </c>
      <c r="JN35" s="6">
        <f xml:space="preserve"> ROUNDUP( CABLES[[#This Row],[CALCULATED_AMPS]],1)</f>
        <v>48.2</v>
      </c>
      <c r="JO35" s="6">
        <f>CABLES[[#This Row],[SELECTED_CABLESIZE]]</f>
        <v>16</v>
      </c>
      <c r="JP35" s="10">
        <f>CABLES[[#This Row],[ESTIMATED_CABLE_LENGTH]]</f>
        <v>56.4</v>
      </c>
      <c r="JQ35" s="6">
        <f>CABLES[[#This Row],[SELECTED_PDEVICE]]</f>
        <v>50</v>
      </c>
    </row>
    <row r="36" spans="1:277" x14ac:dyDescent="0.35">
      <c r="A36" s="5" t="s">
        <v>35</v>
      </c>
      <c r="B36" s="5" t="s">
        <v>99</v>
      </c>
      <c r="C36" s="10" t="s">
        <v>261</v>
      </c>
      <c r="D36" s="9">
        <v>30</v>
      </c>
      <c r="E36" s="9">
        <v>1</v>
      </c>
      <c r="F36" s="9">
        <v>1</v>
      </c>
      <c r="G36" s="9">
        <v>0</v>
      </c>
      <c r="H36" s="9">
        <v>1</v>
      </c>
      <c r="I36" s="9">
        <v>0</v>
      </c>
      <c r="J36" s="9">
        <v>1</v>
      </c>
      <c r="K36" s="9">
        <v>0</v>
      </c>
      <c r="L36" s="9">
        <v>1</v>
      </c>
      <c r="M36" s="9">
        <v>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f xml:space="preserve"> IF(CABLES[[#This Row],[SEG1]] &gt;0, INDEX(SEGMENTS[], MATCH(CABLES[[#Headers],[SEG1]],SEGMENTS[SEG_ID],0),4),0)</f>
        <v>13</v>
      </c>
      <c r="BN36" s="9">
        <f xml:space="preserve"> IF(CABLES[[#This Row],[SEG2]] &gt;0, INDEX(SEGMENTS[], MATCH(CABLES[[#Headers],[SEG2]],SEGMENTS[SEG_ID],0),4),0)</f>
        <v>2</v>
      </c>
      <c r="BO36" s="9">
        <f xml:space="preserve"> IF(CABLES[[#This Row],[SEG3]] &gt;0, INDEX(SEGMENTS[], MATCH(CABLES[[#Headers],[SEG3]],SEGMENTS[SEG_ID],0),4),0)</f>
        <v>0</v>
      </c>
      <c r="BP36" s="9">
        <f xml:space="preserve"> IF(CABLES[[#This Row],[SEG4]] &gt;0, INDEX(SEGMENTS[], MATCH(CABLES[[#Headers],[SEG4]],SEGMENTS[SEG_ID],0),4),0)</f>
        <v>14</v>
      </c>
      <c r="BQ36" s="9">
        <f xml:space="preserve"> IF(CABLES[[#This Row],[SEG5]] &gt;0,INDEX(SEGMENTS[], MATCH(CABLES[[#Headers],[SEG5]],SEGMENTS[SEG_ID],0),4),0)</f>
        <v>0</v>
      </c>
      <c r="BR36" s="9">
        <f xml:space="preserve"> IF(CABLES[[#This Row],[SEG6]] &gt;0,INDEX(SEGMENTS[], MATCH(CABLES[[#Headers],[SEG6]],SEGMENTS[SEG_ID],0),4),0)</f>
        <v>2</v>
      </c>
      <c r="BS36" s="9">
        <f xml:space="preserve"> IF(CABLES[[#This Row],[SEG7]] &gt;0,INDEX(SEGMENTS[], MATCH(CABLES[[#Headers],[SEG7]],SEGMENTS[SEG_ID],0),4),0)</f>
        <v>0</v>
      </c>
      <c r="BT36" s="9">
        <f xml:space="preserve"> IF(CABLES[[#This Row],[SEG8]] &gt;0,INDEX(SEGMENTS[], MATCH(CABLES[[#Headers],[SEG8]],SEGMENTS[SEG_ID],0),4),0)</f>
        <v>3</v>
      </c>
      <c r="BU36" s="9">
        <f xml:space="preserve"> IF(CABLES[[#This Row],[SEG9]] &gt;0,INDEX(SEGMENTS[], MATCH(CABLES[[#Headers],[SEG9]],SEGMENTS[SEG_ID],0),4),0)</f>
        <v>8</v>
      </c>
      <c r="BV36" s="9">
        <f xml:space="preserve"> IF(CABLES[[#This Row],[SEG10]] &gt;0,INDEX(SEGMENTS[], MATCH(CABLES[[#Headers],[SEG10]],SEGMENTS[SEG_ID],0),4),0)</f>
        <v>0</v>
      </c>
      <c r="BW36" s="9">
        <f xml:space="preserve"> IF(CABLES[[#This Row],[SEG11]] &gt;0,INDEX(SEGMENTS[], MATCH(CABLES[[#Headers],[SEG11]],SEGMENTS[SEG_ID],0),4),0)</f>
        <v>0</v>
      </c>
      <c r="BX36" s="9">
        <f>IF(CABLES[[#This Row],[SEG12]] &gt;0, INDEX(SEGMENTS[], MATCH(CABLES[[#Headers],[SEG12]],SEGMENTS[SEG_ID],0),4),0)</f>
        <v>0</v>
      </c>
      <c r="BY36" s="9">
        <f xml:space="preserve"> IF(CABLES[[#This Row],[SEG13]] &gt;0,INDEX(SEGMENTS[], MATCH(CABLES[[#Headers],[SEG13]],SEGMENTS[SEG_ID],0),4),0)</f>
        <v>0</v>
      </c>
      <c r="BZ36" s="9">
        <f xml:space="preserve"> IF(CABLES[[#This Row],[SEG14]] &gt;0,INDEX(SEGMENTS[], MATCH(CABLES[[#Headers],[SEG14]],SEGMENTS[SEG_ID],0),4),0)</f>
        <v>0</v>
      </c>
      <c r="CA36" s="9">
        <f xml:space="preserve"> IF(CABLES[[#This Row],[SEG15]] &gt;0,INDEX(SEGMENTS[], MATCH(CABLES[[#Headers],[SEG15]],SEGMENTS[SEG_ID],0),4),0)</f>
        <v>0</v>
      </c>
      <c r="CB36" s="9">
        <f xml:space="preserve"> IF(CABLES[[#This Row],[SEG16]] &gt;0,INDEX(SEGMENTS[], MATCH(CABLES[[#Headers],[SEG16]],SEGMENTS[SEG_ID],0),4),0)</f>
        <v>0</v>
      </c>
      <c r="CC36" s="9">
        <f xml:space="preserve"> IF(CABLES[[#This Row],[SEG17]] &gt;0,INDEX(SEGMENTS[], MATCH(CABLES[[#Headers],[SEG17]],SEGMENTS[SEG_ID],0),4),0)</f>
        <v>0</v>
      </c>
      <c r="CD36" s="9">
        <f xml:space="preserve"> IF(CABLES[[#This Row],[SEG18]] &gt;0,INDEX(SEGMENTS[], MATCH(CABLES[[#Headers],[SEG18]],SEGMENTS[SEG_ID],0),4),0)</f>
        <v>0</v>
      </c>
      <c r="CE36" s="9">
        <f>IF(CABLES[[#This Row],[SEG19]] &gt;0, INDEX(SEGMENTS[], MATCH(CABLES[[#Headers],[SEG19]],SEGMENTS[SEG_ID],0),4),0)</f>
        <v>0</v>
      </c>
      <c r="CF36" s="9">
        <f>IF(CABLES[[#This Row],[SEG20]] &gt;0, INDEX(SEGMENTS[], MATCH(CABLES[[#Headers],[SEG20]],SEGMENTS[SEG_ID],0),4),0)</f>
        <v>0</v>
      </c>
      <c r="CG36" s="9">
        <f xml:space="preserve"> IF(CABLES[[#This Row],[SEG21]] &gt;0,INDEX(SEGMENTS[], MATCH(CABLES[[#Headers],[SEG21]],SEGMENTS[SEG_ID],0),4),0)</f>
        <v>0</v>
      </c>
      <c r="CH36" s="9">
        <f xml:space="preserve"> IF(CABLES[[#This Row],[SEG22]] &gt;0,INDEX(SEGMENTS[], MATCH(CABLES[[#Headers],[SEG22]],SEGMENTS[SEG_ID],0),4),0)</f>
        <v>0</v>
      </c>
      <c r="CI36" s="9">
        <f>IF(CABLES[[#This Row],[SEG23]] &gt;0, INDEX(SEGMENTS[], MATCH(CABLES[[#Headers],[SEG23]],SEGMENTS[SEG_ID],0),4),0)</f>
        <v>0</v>
      </c>
      <c r="CJ36" s="9">
        <f xml:space="preserve"> IF(CABLES[[#This Row],[SEG24]] &gt;0,INDEX(SEGMENTS[], MATCH(CABLES[[#Headers],[SEG24]],SEGMENTS[SEG_ID],0),4),0)</f>
        <v>0</v>
      </c>
      <c r="CK36" s="9">
        <f>IF(CABLES[[#This Row],[SEG25]] &gt;0, INDEX(SEGMENTS[], MATCH(CABLES[[#Headers],[SEG25]],SEGMENTS[SEG_ID],0),4),0)</f>
        <v>0</v>
      </c>
      <c r="CL36" s="9">
        <f>IF(CABLES[[#This Row],[SEG26]] &gt;0, INDEX(SEGMENTS[], MATCH(CABLES[[#Headers],[SEG26]],SEGMENTS[SEG_ID],0),4),0)</f>
        <v>0</v>
      </c>
      <c r="CM36" s="9">
        <f xml:space="preserve"> IF(CABLES[[#This Row],[SEG27]] &gt;0,INDEX(SEGMENTS[], MATCH(CABLES[[#Headers],[SEG27]],SEGMENTS[SEG_ID],0),4),0)</f>
        <v>0</v>
      </c>
      <c r="CN36" s="9">
        <f xml:space="preserve"> IF(CABLES[[#This Row],[SEG28]] &gt;0,INDEX(SEGMENTS[], MATCH(CABLES[[#Headers],[SEG28]],SEGMENTS[SEG_ID],0),4),0)</f>
        <v>0</v>
      </c>
      <c r="CO36" s="9">
        <f xml:space="preserve"> IF(CABLES[[#This Row],[SEG29]] &gt;0,INDEX(SEGMENTS[], MATCH(CABLES[[#Headers],[SEG29]],SEGMENTS[SEG_ID],0),4),0)</f>
        <v>0</v>
      </c>
      <c r="CP36" s="9">
        <f xml:space="preserve"> IF(CABLES[[#This Row],[SEG30]] &gt;0,INDEX(SEGMENTS[], MATCH(CABLES[[#Headers],[SEG30]],SEGMENTS[SEG_ID],0),4),0)</f>
        <v>0</v>
      </c>
      <c r="CQ36" s="9">
        <f>IF(CABLES[[#This Row],[SEG31]] &gt;0, INDEX(SEGMENTS[], MATCH(CABLES[[#Headers],[SEG31]],SEGMENTS[SEG_ID],0),4),0)</f>
        <v>0</v>
      </c>
      <c r="CR36" s="9">
        <f xml:space="preserve"> IF(CABLES[[#This Row],[SEG32]] &gt;0,INDEX(SEGMENTS[], MATCH(CABLES[[#Headers],[SEG32]],SEGMENTS[SEG_ID],0),4),0)</f>
        <v>0</v>
      </c>
      <c r="CS36" s="9">
        <f xml:space="preserve"> IF(CABLES[[#This Row],[SEG33]] &gt;0,INDEX(SEGMENTS[], MATCH(CABLES[[#Headers],[SEG33]],SEGMENTS[SEG_ID],0),4),0)</f>
        <v>0</v>
      </c>
      <c r="CT36" s="9">
        <f>IF(CABLES[[#This Row],[SEG34]] &gt;0, INDEX(SEGMENTS[], MATCH(CABLES[[#Headers],[SEG34]],SEGMENTS[SEG_ID],0),4),0)</f>
        <v>0</v>
      </c>
      <c r="CU36" s="9">
        <f xml:space="preserve"> IF(CABLES[[#This Row],[SEG35]] &gt;0,INDEX(SEGMENTS[], MATCH(CABLES[[#Headers],[SEG35]],SEGMENTS[SEG_ID],0),4),0)</f>
        <v>0</v>
      </c>
      <c r="CV36" s="9">
        <f xml:space="preserve"> IF(CABLES[[#This Row],[SEG36]] &gt;0,INDEX(SEGMENTS[], MATCH(CABLES[[#Headers],[SEG36]],SEGMENTS[SEG_ID],0),4),0)</f>
        <v>0</v>
      </c>
      <c r="CW36" s="9">
        <f xml:space="preserve"> IF(CABLES[[#This Row],[SEG37]] &gt;0,INDEX(SEGMENTS[], MATCH(CABLES[[#Headers],[SEG37]],SEGMENTS[SEG_ID],0),4),0)</f>
        <v>0</v>
      </c>
      <c r="CX36" s="9">
        <f xml:space="preserve"> IF(CABLES[[#This Row],[SEG38]] &gt;0,INDEX(SEGMENTS[], MATCH(CABLES[[#Headers],[SEG38]],SEGMENTS[SEG_ID],0),4),0)</f>
        <v>0</v>
      </c>
      <c r="CY36" s="9">
        <f xml:space="preserve"> IF(CABLES[[#This Row],[SEG39]] &gt;0,INDEX(SEGMENTS[], MATCH(CABLES[[#Headers],[SEG39]],SEGMENTS[SEG_ID],0),4),0)</f>
        <v>0</v>
      </c>
      <c r="CZ36" s="9">
        <f xml:space="preserve"> IF(CABLES[[#This Row],[SEG40]] &gt;0,INDEX(SEGMENTS[], MATCH(CABLES[[#Headers],[SEG40]],SEGMENTS[SEG_ID],0),4),0)</f>
        <v>0</v>
      </c>
      <c r="DA36" s="9">
        <f xml:space="preserve"> IF(CABLES[[#This Row],[SEG41]] &gt;0,INDEX(SEGMENTS[], MATCH(CABLES[[#Headers],[SEG41]],SEGMENTS[SEG_ID],0),4),0)</f>
        <v>0</v>
      </c>
      <c r="DB36" s="9">
        <f xml:space="preserve"> IF(CABLES[[#This Row],[SEG42]] &gt;0,INDEX(SEGMENTS[], MATCH(CABLES[[#Headers],[SEG42]],SEGMENTS[SEG_ID],0),4),0)</f>
        <v>0</v>
      </c>
      <c r="DC36" s="9">
        <f xml:space="preserve"> IF(CABLES[[#This Row],[SEG43]] &gt;0,INDEX(SEGMENTS[], MATCH(CABLES[[#Headers],[SEG43]],SEGMENTS[SEG_ID],0),4),0)</f>
        <v>0</v>
      </c>
      <c r="DD36" s="9">
        <f xml:space="preserve"> IF(CABLES[[#This Row],[SEG44]] &gt;0,INDEX(SEGMENTS[], MATCH(CABLES[[#Headers],[SEG44]],SEGMENTS[SEG_ID],0),4),0)</f>
        <v>0</v>
      </c>
      <c r="DE36" s="9">
        <f xml:space="preserve"> IF(CABLES[[#This Row],[SEG45]] &gt;0,INDEX(SEGMENTS[], MATCH(CABLES[[#Headers],[SEG45]],SEGMENTS[SEG_ID],0),4),0)</f>
        <v>0</v>
      </c>
      <c r="DF36" s="9">
        <f xml:space="preserve"> IF(CABLES[[#This Row],[SEG46]] &gt;0,INDEX(SEGMENTS[], MATCH(CABLES[[#Headers],[SEG46]],SEGMENTS[SEG_ID],0),4),0)</f>
        <v>0</v>
      </c>
      <c r="DG36" s="9">
        <f xml:space="preserve"> IF(CABLES[[#This Row],[SEG47]] &gt;0,INDEX(SEGMENTS[], MATCH(CABLES[[#Headers],[SEG47]],SEGMENTS[SEG_ID],0),4),0)</f>
        <v>0</v>
      </c>
      <c r="DH36" s="9">
        <f xml:space="preserve"> IF(CABLES[[#This Row],[SEG48]] &gt;0,INDEX(SEGMENTS[], MATCH(CABLES[[#Headers],[SEG48]],SEGMENTS[SEG_ID],0),4),0)</f>
        <v>0</v>
      </c>
      <c r="DI36" s="9">
        <f xml:space="preserve"> IF(CABLES[[#This Row],[SEG49]] &gt;0,INDEX(SEGMENTS[], MATCH(CABLES[[#Headers],[SEG49]],SEGMENTS[SEG_ID],0),4),0)</f>
        <v>0</v>
      </c>
      <c r="DJ36" s="9">
        <f xml:space="preserve"> IF(CABLES[[#This Row],[SEG50]] &gt;0,INDEX(SEGMENTS[], MATCH(CABLES[[#Headers],[SEG50]],SEGMENTS[SEG_ID],0),4),0)</f>
        <v>0</v>
      </c>
      <c r="DK36" s="9">
        <f xml:space="preserve"> IF(CABLES[[#This Row],[SEG51]] &gt;0,INDEX(SEGMENTS[], MATCH(CABLES[[#Headers],[SEG51]],SEGMENTS[SEG_ID],0),4),0)</f>
        <v>0</v>
      </c>
      <c r="DL36" s="9">
        <f xml:space="preserve"> IF(CABLES[[#This Row],[SEG52]] &gt;0,INDEX(SEGMENTS[], MATCH(CABLES[[#Headers],[SEG52]],SEGMENTS[SEG_ID],0),4),0)</f>
        <v>0</v>
      </c>
      <c r="DM36" s="9">
        <f xml:space="preserve"> IF(CABLES[[#This Row],[SEG53]] &gt;0,INDEX(SEGMENTS[], MATCH(CABLES[[#Headers],[SEG53]],SEGMENTS[SEG_ID],0),4),0)</f>
        <v>0</v>
      </c>
      <c r="DN36" s="9">
        <f xml:space="preserve"> IF(CABLES[[#This Row],[SEG54]] &gt;0,INDEX(SEGMENTS[], MATCH(CABLES[[#Headers],[SEG54]],SEGMENTS[SEG_ID],0),4),0)</f>
        <v>0</v>
      </c>
      <c r="DO36" s="9">
        <f xml:space="preserve"> IF(CABLES[[#This Row],[SEG55]] &gt;0,INDEX(SEGMENTS[], MATCH(CABLES[[#Headers],[SEG55]],SEGMENTS[SEG_ID],0),4),0)</f>
        <v>0</v>
      </c>
      <c r="DP36" s="9">
        <f xml:space="preserve"> IF(CABLES[[#This Row],[SEG56]] &gt;0,INDEX(SEGMENTS[], MATCH(CABLES[[#Headers],[SEG56]],SEGMENTS[SEG_ID],0),4),0)</f>
        <v>0</v>
      </c>
      <c r="DQ36" s="9">
        <f xml:space="preserve"> IF(CABLES[[#This Row],[SEG57]] &gt;0,INDEX(SEGMENTS[], MATCH(CABLES[[#Headers],[SEG57]],SEGMENTS[SEG_ID],0),4),0)</f>
        <v>0</v>
      </c>
      <c r="DR36" s="9">
        <f xml:space="preserve"> IF(CABLES[[#This Row],[SEG58]] &gt;0,INDEX(SEGMENTS[], MATCH(CABLES[[#Headers],[SEG58]],SEGMENTS[SEG_ID],0),4),0)</f>
        <v>0</v>
      </c>
      <c r="DS36" s="9">
        <f xml:space="preserve"> IF(CABLES[[#This Row],[SEG59]] &gt;0,INDEX(SEGMENTS[], MATCH(CABLES[[#Headers],[SEG59]],SEGMENTS[SEG_ID],0),4),0)</f>
        <v>0</v>
      </c>
      <c r="DT36" s="9">
        <f xml:space="preserve"> IF(CABLES[[#This Row],[SEG60]] &gt;0,INDEX(SEGMENTS[], MATCH(CABLES[[#Headers],[SEG60]],SEGMENTS[SEG_ID],0),4),0)</f>
        <v>0</v>
      </c>
      <c r="DU36" s="10">
        <f>SUM(CABLES[[#This Row],[SEGL1]:[SEGL60]])</f>
        <v>42</v>
      </c>
      <c r="DV36" s="10">
        <v>5</v>
      </c>
      <c r="DW36" s="10">
        <v>1.2</v>
      </c>
      <c r="DX36" s="10">
        <f xml:space="preserve"> IF(CABLES[[#This Row],[SEGL_TOTAL]]&gt;0, (CABLES[[#This Row],[SEGL_TOTAL]] + CABLES[[#This Row],[FITOFF]]) *CABLES[[#This Row],[XCAPACITY]],0)</f>
        <v>56.4</v>
      </c>
      <c r="DY36" s="10">
        <f>IF(CABLES[[#This Row],[SEG1]]&gt;0,CABLES[[#This Row],[CABLE_DIAMETER]],0)</f>
        <v>20.3</v>
      </c>
      <c r="DZ36" s="10">
        <f>IF(CABLES[[#This Row],[SEG2]]&gt;0,CABLES[[#This Row],[CABLE_DIAMETER]],0)</f>
        <v>20.3</v>
      </c>
      <c r="EA36" s="10">
        <f>IF(CABLES[[#This Row],[SEG3]]&gt;0,CABLES[[#This Row],[CABLE_DIAMETER]],0)</f>
        <v>0</v>
      </c>
      <c r="EB36" s="10">
        <f>IF(CABLES[[#This Row],[SEG4]]&gt;0,CABLES[[#This Row],[CABLE_DIAMETER]],0)</f>
        <v>20.3</v>
      </c>
      <c r="EC36" s="10">
        <f>IF(CABLES[[#This Row],[SEG5]]&gt;0,CABLES[[#This Row],[CABLE_DIAMETER]],0)</f>
        <v>0</v>
      </c>
      <c r="ED36" s="10">
        <f>IF(CABLES[[#This Row],[SEG6]]&gt;0,CABLES[[#This Row],[CABLE_DIAMETER]],0)</f>
        <v>20.3</v>
      </c>
      <c r="EE36" s="10">
        <f>IF(CABLES[[#This Row],[SEG7]]&gt;0,CABLES[[#This Row],[CABLE_DIAMETER]],0)</f>
        <v>0</v>
      </c>
      <c r="EF36" s="10">
        <f>IF(CABLES[[#This Row],[SEG9]]&gt;0,CABLES[[#This Row],[CABLE_DIAMETER]],0)</f>
        <v>20.3</v>
      </c>
      <c r="EG36" s="10">
        <f>IF(CABLES[[#This Row],[SEG9]]&gt;0,CABLES[[#This Row],[CABLE_DIAMETER]],0)</f>
        <v>20.3</v>
      </c>
      <c r="EH36" s="10">
        <f>IF(CABLES[[#This Row],[SEG10]]&gt;0,CABLES[[#This Row],[CABLE_DIAMETER]],0)</f>
        <v>0</v>
      </c>
      <c r="EI36" s="10">
        <f>IF(CABLES[[#This Row],[SEG11]]&gt;0,CABLES[[#This Row],[CABLE_DIAMETER]],0)</f>
        <v>0</v>
      </c>
      <c r="EJ36" s="10">
        <f>IF(CABLES[[#This Row],[SEG12]]&gt;0,CABLES[[#This Row],[CABLE_DIAMETER]],0)</f>
        <v>0</v>
      </c>
      <c r="EK36" s="10">
        <f>IF(CABLES[[#This Row],[SEG13]]&gt;0,CABLES[[#This Row],[CABLE_DIAMETER]],0)</f>
        <v>0</v>
      </c>
      <c r="EL36" s="10">
        <f>IF(CABLES[[#This Row],[SEG14]]&gt;0,CABLES[[#This Row],[CABLE_DIAMETER]],0)</f>
        <v>0</v>
      </c>
      <c r="EM36" s="10">
        <f>IF(CABLES[[#This Row],[SEG15]]&gt;0,CABLES[[#This Row],[CABLE_DIAMETER]],0)</f>
        <v>0</v>
      </c>
      <c r="EN36" s="10">
        <f>IF(CABLES[[#This Row],[SEG16]]&gt;0,CABLES[[#This Row],[CABLE_DIAMETER]],0)</f>
        <v>0</v>
      </c>
      <c r="EO36" s="10">
        <f>IF(CABLES[[#This Row],[SEG17]]&gt;0,CABLES[[#This Row],[CABLE_DIAMETER]],0)</f>
        <v>0</v>
      </c>
      <c r="EP36" s="10">
        <f>IF(CABLES[[#This Row],[SEG18]]&gt;0,CABLES[[#This Row],[CABLE_DIAMETER]],0)</f>
        <v>0</v>
      </c>
      <c r="EQ36" s="10">
        <f>IF(CABLES[[#This Row],[SEG19]]&gt;0,CABLES[[#This Row],[CABLE_DIAMETER]],0)</f>
        <v>0</v>
      </c>
      <c r="ER36" s="10">
        <f>IF(CABLES[[#This Row],[SEG20]]&gt;0,CABLES[[#This Row],[CABLE_DIAMETER]],0)</f>
        <v>0</v>
      </c>
      <c r="ES36" s="10">
        <f>IF(CABLES[[#This Row],[SEG21]]&gt;0,CABLES[[#This Row],[CABLE_DIAMETER]],0)</f>
        <v>0</v>
      </c>
      <c r="ET36" s="10">
        <f>IF(CABLES[[#This Row],[SEG22]]&gt;0,CABLES[[#This Row],[CABLE_DIAMETER]],0)</f>
        <v>0</v>
      </c>
      <c r="EU36" s="10">
        <f>IF(CABLES[[#This Row],[SEG23]]&gt;0,CABLES[[#This Row],[CABLE_DIAMETER]],0)</f>
        <v>0</v>
      </c>
      <c r="EV36" s="10">
        <f>IF(CABLES[[#This Row],[SEG24]]&gt;0,CABLES[[#This Row],[CABLE_DIAMETER]],0)</f>
        <v>0</v>
      </c>
      <c r="EW36" s="10">
        <f>IF(CABLES[[#This Row],[SEG25]]&gt;0,CABLES[[#This Row],[CABLE_DIAMETER]],0)</f>
        <v>0</v>
      </c>
      <c r="EX36" s="10">
        <f>IF(CABLES[[#This Row],[SEG26]]&gt;0,CABLES[[#This Row],[CABLE_DIAMETER]],0)</f>
        <v>0</v>
      </c>
      <c r="EY36" s="10">
        <f>IF(CABLES[[#This Row],[SEG27]]&gt;0,CABLES[[#This Row],[CABLE_DIAMETER]],0)</f>
        <v>0</v>
      </c>
      <c r="EZ36" s="10">
        <f>IF(CABLES[[#This Row],[SEG28]]&gt;0,CABLES[[#This Row],[CABLE_DIAMETER]],0)</f>
        <v>0</v>
      </c>
      <c r="FA36" s="10">
        <f>IF(CABLES[[#This Row],[SEG29]]&gt;0,CABLES[[#This Row],[CABLE_DIAMETER]],0)</f>
        <v>0</v>
      </c>
      <c r="FB36" s="10">
        <f>IF(CABLES[[#This Row],[SEG30]]&gt;0,CABLES[[#This Row],[CABLE_DIAMETER]],0)</f>
        <v>0</v>
      </c>
      <c r="FC36" s="10">
        <f>IF(CABLES[[#This Row],[SEG31]]&gt;0,CABLES[[#This Row],[CABLE_DIAMETER]],0)</f>
        <v>0</v>
      </c>
      <c r="FD36" s="10">
        <f>IF(CABLES[[#This Row],[SEG32]]&gt;0,CABLES[[#This Row],[CABLE_DIAMETER]],0)</f>
        <v>0</v>
      </c>
      <c r="FE36" s="10">
        <f>IF(CABLES[[#This Row],[SEG33]]&gt;0,CABLES[[#This Row],[CABLE_DIAMETER]],0)</f>
        <v>0</v>
      </c>
      <c r="FF36" s="10">
        <f>IF(CABLES[[#This Row],[SEG34]]&gt;0,CABLES[[#This Row],[CABLE_DIAMETER]],0)</f>
        <v>0</v>
      </c>
      <c r="FG36" s="10">
        <f>IF(CABLES[[#This Row],[SEG35]]&gt;0,CABLES[[#This Row],[CABLE_DIAMETER]],0)</f>
        <v>0</v>
      </c>
      <c r="FH36" s="10">
        <f>IF(CABLES[[#This Row],[SEG36]]&gt;0,CABLES[[#This Row],[CABLE_DIAMETER]],0)</f>
        <v>0</v>
      </c>
      <c r="FI36" s="10">
        <f>IF(CABLES[[#This Row],[SEG37]]&gt;0,CABLES[[#This Row],[CABLE_DIAMETER]],0)</f>
        <v>0</v>
      </c>
      <c r="FJ36" s="10">
        <f>IF(CABLES[[#This Row],[SEG38]]&gt;0,CABLES[[#This Row],[CABLE_DIAMETER]],0)</f>
        <v>0</v>
      </c>
      <c r="FK36" s="10">
        <f>IF(CABLES[[#This Row],[SEG39]]&gt;0,CABLES[[#This Row],[CABLE_DIAMETER]],0)</f>
        <v>0</v>
      </c>
      <c r="FL36" s="10">
        <f>IF(CABLES[[#This Row],[SEG40]]&gt;0,CABLES[[#This Row],[CABLE_DIAMETER]],0)</f>
        <v>0</v>
      </c>
      <c r="FM36" s="10">
        <f>IF(CABLES[[#This Row],[SEG41]]&gt;0,CABLES[[#This Row],[CABLE_DIAMETER]],0)</f>
        <v>0</v>
      </c>
      <c r="FN36" s="10">
        <f>IF(CABLES[[#This Row],[SEG42]]&gt;0,CABLES[[#This Row],[CABLE_DIAMETER]],0)</f>
        <v>0</v>
      </c>
      <c r="FO36" s="10">
        <f>IF(CABLES[[#This Row],[SEG43]]&gt;0,CABLES[[#This Row],[CABLE_DIAMETER]],0)</f>
        <v>0</v>
      </c>
      <c r="FP36" s="10">
        <f>IF(CABLES[[#This Row],[SEG44]]&gt;0,CABLES[[#This Row],[CABLE_DIAMETER]],0)</f>
        <v>0</v>
      </c>
      <c r="FQ36" s="10">
        <f>IF(CABLES[[#This Row],[SEG45]]&gt;0,CABLES[[#This Row],[CABLE_DIAMETER]],0)</f>
        <v>0</v>
      </c>
      <c r="FR36" s="10">
        <f>IF(CABLES[[#This Row],[SEG46]]&gt;0,CABLES[[#This Row],[CABLE_DIAMETER]],0)</f>
        <v>0</v>
      </c>
      <c r="FS36" s="10">
        <f>IF(CABLES[[#This Row],[SEG47]]&gt;0,CABLES[[#This Row],[CABLE_DIAMETER]],0)</f>
        <v>0</v>
      </c>
      <c r="FT36" s="10">
        <f>IF(CABLES[[#This Row],[SEG48]]&gt;0,CABLES[[#This Row],[CABLE_DIAMETER]],0)</f>
        <v>0</v>
      </c>
      <c r="FU36" s="10">
        <f>IF(CABLES[[#This Row],[SEG49]]&gt;0,CABLES[[#This Row],[CABLE_DIAMETER]],0)</f>
        <v>0</v>
      </c>
      <c r="FV36" s="10">
        <f>IF(CABLES[[#This Row],[SEG50]]&gt;0,CABLES[[#This Row],[CABLE_DIAMETER]],0)</f>
        <v>0</v>
      </c>
      <c r="FW36" s="10">
        <f>IF(CABLES[[#This Row],[SEG51]]&gt;0,CABLES[[#This Row],[CABLE_DIAMETER]],0)</f>
        <v>0</v>
      </c>
      <c r="FX36" s="10">
        <f>IF(CABLES[[#This Row],[SEG52]]&gt;0,CABLES[[#This Row],[CABLE_DIAMETER]],0)</f>
        <v>0</v>
      </c>
      <c r="FY36" s="10">
        <f>IF(CABLES[[#This Row],[SEG53]]&gt;0,CABLES[[#This Row],[CABLE_DIAMETER]],0)</f>
        <v>0</v>
      </c>
      <c r="FZ36" s="10">
        <f>IF(CABLES[[#This Row],[SEG54]]&gt;0,CABLES[[#This Row],[CABLE_DIAMETER]],0)</f>
        <v>0</v>
      </c>
      <c r="GA36" s="10">
        <f>IF(CABLES[[#This Row],[SEG55]]&gt;0,CABLES[[#This Row],[CABLE_DIAMETER]],0)</f>
        <v>0</v>
      </c>
      <c r="GB36" s="10">
        <f>IF(CABLES[[#This Row],[SEG56]]&gt;0,CABLES[[#This Row],[CABLE_DIAMETER]],0)</f>
        <v>0</v>
      </c>
      <c r="GC36" s="10">
        <f>IF(CABLES[[#This Row],[SEG57]]&gt;0,CABLES[[#This Row],[CABLE_DIAMETER]],0)</f>
        <v>0</v>
      </c>
      <c r="GD36" s="10">
        <f>IF(CABLES[[#This Row],[SEG58]]&gt;0,CABLES[[#This Row],[CABLE_DIAMETER]],0)</f>
        <v>0</v>
      </c>
      <c r="GE36" s="10">
        <f>IF(CABLES[[#This Row],[SEG59]]&gt;0,CABLES[[#This Row],[CABLE_DIAMETER]],0)</f>
        <v>0</v>
      </c>
      <c r="GF36" s="10">
        <f>IF(CABLES[[#This Row],[SEG60]]&gt;0,CABLES[[#This Row],[CABLE_DIAMETER]],0)</f>
        <v>0</v>
      </c>
      <c r="GG36" s="10">
        <f>IF(CABLES[[#This Row],[SEG1]]&gt;0,CABLES[[#This Row],[CABLE_MASS]],0)</f>
        <v>0.86</v>
      </c>
      <c r="GH36" s="10">
        <f>IF(CABLES[[#This Row],[SEG2]]&gt;0,CABLES[[#This Row],[CABLE_MASS]],0)</f>
        <v>0.86</v>
      </c>
      <c r="GI36" s="10">
        <f>IF(CABLES[[#This Row],[SEG3]]&gt;0,CABLES[[#This Row],[CABLE_MASS]],0)</f>
        <v>0</v>
      </c>
      <c r="GJ36" s="10">
        <f>IF(CABLES[[#This Row],[SEG4]]&gt;0,CABLES[[#This Row],[CABLE_MASS]],0)</f>
        <v>0.86</v>
      </c>
      <c r="GK36" s="10">
        <f>IF(CABLES[[#This Row],[SEG5]]&gt;0,CABLES[[#This Row],[CABLE_MASS]],0)</f>
        <v>0</v>
      </c>
      <c r="GL36" s="10">
        <f>IF(CABLES[[#This Row],[SEG6]]&gt;0,CABLES[[#This Row],[CABLE_MASS]],0)</f>
        <v>0.86</v>
      </c>
      <c r="GM36" s="10">
        <f>IF(CABLES[[#This Row],[SEG7]]&gt;0,CABLES[[#This Row],[CABLE_MASS]],0)</f>
        <v>0</v>
      </c>
      <c r="GN36" s="10">
        <f>IF(CABLES[[#This Row],[SEG8]]&gt;0,CABLES[[#This Row],[CABLE_MASS]],0)</f>
        <v>0.86</v>
      </c>
      <c r="GO36" s="10">
        <f>IF(CABLES[[#This Row],[SEG9]]&gt;0,CABLES[[#This Row],[CABLE_MASS]],0)</f>
        <v>0.86</v>
      </c>
      <c r="GP36" s="10">
        <f>IF(CABLES[[#This Row],[SEG10]]&gt;0,CABLES[[#This Row],[CABLE_MASS]],0)</f>
        <v>0</v>
      </c>
      <c r="GQ36" s="10">
        <f>IF(CABLES[[#This Row],[SEG11]]&gt;0,CABLES[[#This Row],[CABLE_MASS]],0)</f>
        <v>0</v>
      </c>
      <c r="GR36" s="10">
        <f>IF(CABLES[[#This Row],[SEG12]]&gt;0,CABLES[[#This Row],[CABLE_MASS]],0)</f>
        <v>0</v>
      </c>
      <c r="GS36" s="10">
        <f>IF(CABLES[[#This Row],[SEG13]]&gt;0,CABLES[[#This Row],[CABLE_MASS]],0)</f>
        <v>0</v>
      </c>
      <c r="GT36" s="10">
        <f>IF(CABLES[[#This Row],[SEG14]]&gt;0,CABLES[[#This Row],[CABLE_MASS]],0)</f>
        <v>0</v>
      </c>
      <c r="GU36" s="10">
        <f>IF(CABLES[[#This Row],[SEG15]]&gt;0,CABLES[[#This Row],[CABLE_MASS]],0)</f>
        <v>0</v>
      </c>
      <c r="GV36" s="10">
        <f>IF(CABLES[[#This Row],[SEG16]]&gt;0,CABLES[[#This Row],[CABLE_MASS]],0)</f>
        <v>0</v>
      </c>
      <c r="GW36" s="10">
        <f>IF(CABLES[[#This Row],[SEG17]]&gt;0,CABLES[[#This Row],[CABLE_MASS]],0)</f>
        <v>0</v>
      </c>
      <c r="GX36" s="10">
        <f>IF(CABLES[[#This Row],[SEG18]]&gt;0,CABLES[[#This Row],[CABLE_MASS]],0)</f>
        <v>0</v>
      </c>
      <c r="GY36" s="10">
        <f>IF(CABLES[[#This Row],[SEG19]]&gt;0,CABLES[[#This Row],[CABLE_MASS]],0)</f>
        <v>0</v>
      </c>
      <c r="GZ36" s="10">
        <f>IF(CABLES[[#This Row],[SEG20]]&gt;0,CABLES[[#This Row],[CABLE_MASS]],0)</f>
        <v>0</v>
      </c>
      <c r="HA36" s="10">
        <f>IF(CABLES[[#This Row],[SEG21]]&gt;0,CABLES[[#This Row],[CABLE_MASS]],0)</f>
        <v>0</v>
      </c>
      <c r="HB36" s="10">
        <f>IF(CABLES[[#This Row],[SEG22]]&gt;0,CABLES[[#This Row],[CABLE_MASS]],0)</f>
        <v>0</v>
      </c>
      <c r="HC36" s="10">
        <f>IF(CABLES[[#This Row],[SEG23]]&gt;0,CABLES[[#This Row],[CABLE_MASS]],0)</f>
        <v>0</v>
      </c>
      <c r="HD36" s="10">
        <f>IF(CABLES[[#This Row],[SEG24]]&gt;0,CABLES[[#This Row],[CABLE_MASS]],0)</f>
        <v>0</v>
      </c>
      <c r="HE36" s="10">
        <f>IF(CABLES[[#This Row],[SEG25]]&gt;0,CABLES[[#This Row],[CABLE_MASS]],0)</f>
        <v>0</v>
      </c>
      <c r="HF36" s="10">
        <f>IF(CABLES[[#This Row],[SEG26]]&gt;0,CABLES[[#This Row],[CABLE_MASS]],0)</f>
        <v>0</v>
      </c>
      <c r="HG36" s="10">
        <f>IF(CABLES[[#This Row],[SEG27]]&gt;0,CABLES[[#This Row],[CABLE_MASS]],0)</f>
        <v>0</v>
      </c>
      <c r="HH36" s="10">
        <f>IF(CABLES[[#This Row],[SEG28]]&gt;0,CABLES[[#This Row],[CABLE_MASS]],0)</f>
        <v>0</v>
      </c>
      <c r="HI36" s="10">
        <f>IF(CABLES[[#This Row],[SEG29]]&gt;0,CABLES[[#This Row],[CABLE_MASS]],0)</f>
        <v>0</v>
      </c>
      <c r="HJ36" s="10">
        <f>IF(CABLES[[#This Row],[SEG30]]&gt;0,CABLES[[#This Row],[CABLE_MASS]],0)</f>
        <v>0</v>
      </c>
      <c r="HK36" s="10">
        <f>IF(CABLES[[#This Row],[SEG31]]&gt;0,CABLES[[#This Row],[CABLE_MASS]],0)</f>
        <v>0</v>
      </c>
      <c r="HL36" s="10">
        <f>IF(CABLES[[#This Row],[SEG32]]&gt;0,CABLES[[#This Row],[CABLE_MASS]],0)</f>
        <v>0</v>
      </c>
      <c r="HM36" s="10">
        <f>IF(CABLES[[#This Row],[SEG33]]&gt;0,CABLES[[#This Row],[CABLE_MASS]],0)</f>
        <v>0</v>
      </c>
      <c r="HN36" s="10">
        <f>IF(CABLES[[#This Row],[SEG34]]&gt;0,CABLES[[#This Row],[CABLE_MASS]],0)</f>
        <v>0</v>
      </c>
      <c r="HO36" s="10">
        <f>IF(CABLES[[#This Row],[SEG35]]&gt;0,CABLES[[#This Row],[CABLE_MASS]],0)</f>
        <v>0</v>
      </c>
      <c r="HP36" s="10">
        <f>IF(CABLES[[#This Row],[SEG36]]&gt;0,CABLES[[#This Row],[CABLE_MASS]],0)</f>
        <v>0</v>
      </c>
      <c r="HQ36" s="10">
        <f>IF(CABLES[[#This Row],[SEG37]]&gt;0,CABLES[[#This Row],[CABLE_MASS]],0)</f>
        <v>0</v>
      </c>
      <c r="HR36" s="10">
        <f>IF(CABLES[[#This Row],[SEG38]]&gt;0,CABLES[[#This Row],[CABLE_MASS]],0)</f>
        <v>0</v>
      </c>
      <c r="HS36" s="10">
        <f>IF(CABLES[[#This Row],[SEG39]]&gt;0,CABLES[[#This Row],[CABLE_MASS]],0)</f>
        <v>0</v>
      </c>
      <c r="HT36" s="10">
        <f>IF(CABLES[[#This Row],[SEG40]]&gt;0,CABLES[[#This Row],[CABLE_MASS]],0)</f>
        <v>0</v>
      </c>
      <c r="HU36" s="10">
        <f>IF(CABLES[[#This Row],[SEG41]]&gt;0,CABLES[[#This Row],[CABLE_MASS]],0)</f>
        <v>0</v>
      </c>
      <c r="HV36" s="10">
        <f>IF(CABLES[[#This Row],[SEG42]]&gt;0,CABLES[[#This Row],[CABLE_MASS]],0)</f>
        <v>0</v>
      </c>
      <c r="HW36" s="10">
        <f>IF(CABLES[[#This Row],[SEG43]]&gt;0,CABLES[[#This Row],[CABLE_MASS]],0)</f>
        <v>0</v>
      </c>
      <c r="HX36" s="10">
        <f>IF(CABLES[[#This Row],[SEG44]]&gt;0,CABLES[[#This Row],[CABLE_MASS]],0)</f>
        <v>0</v>
      </c>
      <c r="HY36" s="10">
        <f>IF(CABLES[[#This Row],[SEG45]]&gt;0,CABLES[[#This Row],[CABLE_MASS]],0)</f>
        <v>0</v>
      </c>
      <c r="HZ36" s="10">
        <f>IF(CABLES[[#This Row],[SEG46]]&gt;0,CABLES[[#This Row],[CABLE_MASS]],0)</f>
        <v>0</v>
      </c>
      <c r="IA36" s="10">
        <f>IF(CABLES[[#This Row],[SEG47]]&gt;0,CABLES[[#This Row],[CABLE_MASS]],0)</f>
        <v>0</v>
      </c>
      <c r="IB36" s="10">
        <f>IF(CABLES[[#This Row],[SEG48]]&gt;0,CABLES[[#This Row],[CABLE_MASS]],0)</f>
        <v>0</v>
      </c>
      <c r="IC36" s="10">
        <f>IF(CABLES[[#This Row],[SEG49]]&gt;0,CABLES[[#This Row],[CABLE_MASS]],0)</f>
        <v>0</v>
      </c>
      <c r="ID36" s="10">
        <f>IF(CABLES[[#This Row],[SEG50]]&gt;0,CABLES[[#This Row],[CABLE_MASS]],0)</f>
        <v>0</v>
      </c>
      <c r="IE36" s="10">
        <f>IF(CABLES[[#This Row],[SEG51]]&gt;0,CABLES[[#This Row],[CABLE_MASS]],0)</f>
        <v>0</v>
      </c>
      <c r="IF36" s="10">
        <f>IF(CABLES[[#This Row],[SEG52]]&gt;0,CABLES[[#This Row],[CABLE_MASS]],0)</f>
        <v>0</v>
      </c>
      <c r="IG36" s="10">
        <f>IF(CABLES[[#This Row],[SEG53]]&gt;0,CABLES[[#This Row],[CABLE_MASS]],0)</f>
        <v>0</v>
      </c>
      <c r="IH36" s="10">
        <f>IF(CABLES[[#This Row],[SEG54]]&gt;0,CABLES[[#This Row],[CABLE_MASS]],0)</f>
        <v>0</v>
      </c>
      <c r="II36" s="10">
        <f>IF(CABLES[[#This Row],[SEG55]]&gt;0,CABLES[[#This Row],[CABLE_MASS]],0)</f>
        <v>0</v>
      </c>
      <c r="IJ36" s="10">
        <f>IF(CABLES[[#This Row],[SEG56]]&gt;0,CABLES[[#This Row],[CABLE_MASS]],0)</f>
        <v>0</v>
      </c>
      <c r="IK36" s="10">
        <f>IF(CABLES[[#This Row],[SEG57]]&gt;0,CABLES[[#This Row],[CABLE_MASS]],0)</f>
        <v>0</v>
      </c>
      <c r="IL36" s="10">
        <f>IF(CABLES[[#This Row],[SEG58]]&gt;0,CABLES[[#This Row],[CABLE_MASS]],0)</f>
        <v>0</v>
      </c>
      <c r="IM36" s="10">
        <f>IF(CABLES[[#This Row],[SEG59]]&gt;0,CABLES[[#This Row],[CABLE_MASS]],0)</f>
        <v>0</v>
      </c>
      <c r="IN36" s="10">
        <f>IF(CABLES[[#This Row],[SEG60]]&gt;0,CABLES[[#This Row],[CABLE_MASS]],0)</f>
        <v>0</v>
      </c>
      <c r="IO36" s="10">
        <f xml:space="preserve">  (CABLES[[#This Row],[LOAD_KW]]/(SQRT(3)*SYSTEM_VOLTAGE*POWER_FACTOR))*1000</f>
        <v>48.112522432468815</v>
      </c>
      <c r="IP36" s="10">
        <v>45</v>
      </c>
      <c r="IQ36" s="10">
        <f xml:space="preserve"> INDEX(AS3000_AMBIENTDERATE[], MATCH(CABLES[[#This Row],[AMBIENT]],AS3000_AMBIENTDERATE[AMBIENT],0), 2)</f>
        <v>0.94</v>
      </c>
      <c r="IR36" s="10">
        <f xml:space="preserve"> ROUNDUP( CABLES[[#This Row],[CALCULATED_AMPS]]/CABLES[[#This Row],[AMBIENT_DERATING]],1)</f>
        <v>51.2</v>
      </c>
      <c r="IS36" s="10" t="s">
        <v>531</v>
      </c>
      <c r="IT3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16</v>
      </c>
      <c r="IU36" s="10">
        <f t="shared" si="1"/>
        <v>28.000000000000004</v>
      </c>
      <c r="IV36" s="10">
        <f>(1000*CABLES[[#This Row],[MAX_VDROP]])/(CABLES[[#This Row],[ESTIMATED_CABLE_LENGTH]]*CABLES[[#This Row],[AMP_RATING]])</f>
        <v>9.6963652482269502</v>
      </c>
      <c r="IW36" s="10">
        <f xml:space="preserve"> INDEX(AS3000_VDROP[], MATCH(CABLES[[#This Row],[VC_CALC]],AS3000_VDROP[Vc],1),1)</f>
        <v>6</v>
      </c>
      <c r="IX36" s="10">
        <f>MAX(CABLES[[#This Row],[CABLESIZE_METHOD1]],CABLES[[#This Row],[CABLESIZE_METHOD2]])</f>
        <v>16</v>
      </c>
      <c r="IY36" s="10"/>
      <c r="IZ36" s="10">
        <f>IF(LEN(CABLES[[#This Row],[OVERRIDE_CABLESIZE]])&gt;0,CABLES[[#This Row],[OVERRIDE_CABLESIZE]],CABLES[[#This Row],[INITIAL_CABLESIZE]])</f>
        <v>16</v>
      </c>
      <c r="JA36" s="10">
        <f>INDEX(PROTECTIVE_DEVICE[DEVICE], MATCH(CABLES[[#This Row],[CALCULATED_AMPS]],PROTECTIVE_DEVICE[DEVICE],-1),1)</f>
        <v>50</v>
      </c>
      <c r="JB36" s="10"/>
      <c r="JC36" s="10">
        <f>IF(LEN(CABLES[[#This Row],[OVERRIDE_PDEVICE]])&gt;0, CABLES[[#This Row],[OVERRIDE_PDEVICE]],CABLES[[#This Row],[RECOMMEND_PDEVICE]])</f>
        <v>50</v>
      </c>
      <c r="JD36" s="10" t="s">
        <v>450</v>
      </c>
      <c r="JE36" s="10">
        <f xml:space="preserve"> CABLES[[#This Row],[SELECTED_PDEVICE]] * INDEX(DEVICE_CURVE[], MATCH(CABLES[[#This Row],[PDEVICE_CURVE]], DEVICE_CURVE[DEVICE_CURVE],0),2)</f>
        <v>325</v>
      </c>
      <c r="JF36" s="10" t="s">
        <v>458</v>
      </c>
      <c r="JG36" s="10">
        <f xml:space="preserve"> INDEX(CONDUCTOR_MATERIAL[], MATCH(CABLES[[#This Row],[CONDUCTOR_MATERIAL]],CONDUCTOR_MATERIAL[CONDUCTOR_MATERIAL],0),2)</f>
        <v>2.2499999999999999E-2</v>
      </c>
      <c r="JH36" s="10">
        <f>CABLES[[#This Row],[SELECTED_CABLESIZE]]</f>
        <v>16</v>
      </c>
      <c r="JI36" s="10">
        <f xml:space="preserve"> INDEX( EARTH_CONDUCTOR_SIZE[], MATCH(CABLES[[#This Row],[SPH]],EARTH_CONDUCTOR_SIZE[MM^2],-1), 2)</f>
        <v>6</v>
      </c>
      <c r="JJ36" s="10">
        <f>(0.8*PHASE_VOLTAGE*CABLES[[#This Row],[SPH]]*CABLES[[#This Row],[SPE]])/(CABLES[[#This Row],[PDEVICE_IA]]*CABLES[[#This Row],[MATERIAL_CONSTANT]]*(CABLES[[#This Row],[SPH]]+CABLES[[#This Row],[SPE]]))</f>
        <v>109.7995337995338</v>
      </c>
      <c r="JK36" s="10" t="str">
        <f>IF(CABLES[[#This Row],[LMAX]]&gt;CABLES[[#This Row],[ESTIMATED_CABLE_LENGTH]], "PASS", "ERROR")</f>
        <v>PASS</v>
      </c>
      <c r="JL3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20.3</v>
      </c>
      <c r="JM3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0.86</v>
      </c>
      <c r="JN36" s="6">
        <f xml:space="preserve"> ROUNDUP( CABLES[[#This Row],[CALCULATED_AMPS]],1)</f>
        <v>48.2</v>
      </c>
      <c r="JO36" s="6">
        <f>CABLES[[#This Row],[SELECTED_CABLESIZE]]</f>
        <v>16</v>
      </c>
      <c r="JP36" s="10">
        <f>CABLES[[#This Row],[ESTIMATED_CABLE_LENGTH]]</f>
        <v>56.4</v>
      </c>
      <c r="JQ36" s="6">
        <f>CABLES[[#This Row],[SELECTED_PDEVICE]]</f>
        <v>50</v>
      </c>
    </row>
    <row r="37" spans="1:277" x14ac:dyDescent="0.35">
      <c r="A37" s="5" t="s">
        <v>36</v>
      </c>
      <c r="B37" s="5" t="s">
        <v>492</v>
      </c>
      <c r="C37" s="10" t="s">
        <v>261</v>
      </c>
      <c r="D37" s="9">
        <v>1.5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1</v>
      </c>
      <c r="AJ37" s="9">
        <v>1</v>
      </c>
      <c r="AK37" s="9">
        <v>0</v>
      </c>
      <c r="AL37" s="9">
        <v>1</v>
      </c>
      <c r="AM37" s="9">
        <v>1</v>
      </c>
      <c r="AN37" s="9">
        <v>1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f xml:space="preserve"> IF(CABLES[[#This Row],[SEG1]] &gt;0, INDEX(SEGMENTS[], MATCH(CABLES[[#Headers],[SEG1]],SEGMENTS[SEG_ID],0),4),0)</f>
        <v>0</v>
      </c>
      <c r="BN37" s="9">
        <f xml:space="preserve"> IF(CABLES[[#This Row],[SEG2]] &gt;0, INDEX(SEGMENTS[], MATCH(CABLES[[#Headers],[SEG2]],SEGMENTS[SEG_ID],0),4),0)</f>
        <v>0</v>
      </c>
      <c r="BO37" s="9">
        <f xml:space="preserve"> IF(CABLES[[#This Row],[SEG3]] &gt;0, INDEX(SEGMENTS[], MATCH(CABLES[[#Headers],[SEG3]],SEGMENTS[SEG_ID],0),4),0)</f>
        <v>0</v>
      </c>
      <c r="BP37" s="9">
        <f xml:space="preserve"> IF(CABLES[[#This Row],[SEG4]] &gt;0, INDEX(SEGMENTS[], MATCH(CABLES[[#Headers],[SEG4]],SEGMENTS[SEG_ID],0),4),0)</f>
        <v>0</v>
      </c>
      <c r="BQ37" s="9">
        <f xml:space="preserve"> IF(CABLES[[#This Row],[SEG5]] &gt;0,INDEX(SEGMENTS[], MATCH(CABLES[[#Headers],[SEG5]],SEGMENTS[SEG_ID],0),4),0)</f>
        <v>0</v>
      </c>
      <c r="BR37" s="9">
        <f xml:space="preserve"> IF(CABLES[[#This Row],[SEG6]] &gt;0,INDEX(SEGMENTS[], MATCH(CABLES[[#Headers],[SEG6]],SEGMENTS[SEG_ID],0),4),0)</f>
        <v>0</v>
      </c>
      <c r="BS37" s="9">
        <f xml:space="preserve"> IF(CABLES[[#This Row],[SEG7]] &gt;0,INDEX(SEGMENTS[], MATCH(CABLES[[#Headers],[SEG7]],SEGMENTS[SEG_ID],0),4),0)</f>
        <v>0</v>
      </c>
      <c r="BT37" s="9">
        <f xml:space="preserve"> IF(CABLES[[#This Row],[SEG8]] &gt;0,INDEX(SEGMENTS[], MATCH(CABLES[[#Headers],[SEG8]],SEGMENTS[SEG_ID],0),4),0)</f>
        <v>0</v>
      </c>
      <c r="BU37" s="9">
        <f xml:space="preserve"> IF(CABLES[[#This Row],[SEG9]] &gt;0,INDEX(SEGMENTS[], MATCH(CABLES[[#Headers],[SEG9]],SEGMENTS[SEG_ID],0),4),0)</f>
        <v>0</v>
      </c>
      <c r="BV37" s="9">
        <f xml:space="preserve"> IF(CABLES[[#This Row],[SEG10]] &gt;0,INDEX(SEGMENTS[], MATCH(CABLES[[#Headers],[SEG10]],SEGMENTS[SEG_ID],0),4),0)</f>
        <v>0</v>
      </c>
      <c r="BW37" s="9">
        <f xml:space="preserve"> IF(CABLES[[#This Row],[SEG11]] &gt;0,INDEX(SEGMENTS[], MATCH(CABLES[[#Headers],[SEG11]],SEGMENTS[SEG_ID],0),4),0)</f>
        <v>0</v>
      </c>
      <c r="BX37" s="9">
        <f>IF(CABLES[[#This Row],[SEG12]] &gt;0, INDEX(SEGMENTS[], MATCH(CABLES[[#Headers],[SEG12]],SEGMENTS[SEG_ID],0),4),0)</f>
        <v>0</v>
      </c>
      <c r="BY37" s="9">
        <f xml:space="preserve"> IF(CABLES[[#This Row],[SEG13]] &gt;0,INDEX(SEGMENTS[], MATCH(CABLES[[#Headers],[SEG13]],SEGMENTS[SEG_ID],0),4),0)</f>
        <v>0</v>
      </c>
      <c r="BZ37" s="9">
        <f xml:space="preserve"> IF(CABLES[[#This Row],[SEG14]] &gt;0,INDEX(SEGMENTS[], MATCH(CABLES[[#Headers],[SEG14]],SEGMENTS[SEG_ID],0),4),0)</f>
        <v>0</v>
      </c>
      <c r="CA37" s="9">
        <f xml:space="preserve"> IF(CABLES[[#This Row],[SEG15]] &gt;0,INDEX(SEGMENTS[], MATCH(CABLES[[#Headers],[SEG15]],SEGMENTS[SEG_ID],0),4),0)</f>
        <v>0</v>
      </c>
      <c r="CB37" s="9">
        <f xml:space="preserve"> IF(CABLES[[#This Row],[SEG16]] &gt;0,INDEX(SEGMENTS[], MATCH(CABLES[[#Headers],[SEG16]],SEGMENTS[SEG_ID],0),4),0)</f>
        <v>0</v>
      </c>
      <c r="CC37" s="9">
        <f xml:space="preserve"> IF(CABLES[[#This Row],[SEG17]] &gt;0,INDEX(SEGMENTS[], MATCH(CABLES[[#Headers],[SEG17]],SEGMENTS[SEG_ID],0),4),0)</f>
        <v>0</v>
      </c>
      <c r="CD37" s="9">
        <f xml:space="preserve"> IF(CABLES[[#This Row],[SEG18]] &gt;0,INDEX(SEGMENTS[], MATCH(CABLES[[#Headers],[SEG18]],SEGMENTS[SEG_ID],0),4),0)</f>
        <v>0</v>
      </c>
      <c r="CE37" s="9">
        <f>IF(CABLES[[#This Row],[SEG19]] &gt;0, INDEX(SEGMENTS[], MATCH(CABLES[[#Headers],[SEG19]],SEGMENTS[SEG_ID],0),4),0)</f>
        <v>0</v>
      </c>
      <c r="CF37" s="9">
        <f>IF(CABLES[[#This Row],[SEG20]] &gt;0, INDEX(SEGMENTS[], MATCH(CABLES[[#Headers],[SEG20]],SEGMENTS[SEG_ID],0),4),0)</f>
        <v>0</v>
      </c>
      <c r="CG37" s="9">
        <f xml:space="preserve"> IF(CABLES[[#This Row],[SEG21]] &gt;0,INDEX(SEGMENTS[], MATCH(CABLES[[#Headers],[SEG21]],SEGMENTS[SEG_ID],0),4),0)</f>
        <v>0</v>
      </c>
      <c r="CH37" s="9">
        <f xml:space="preserve"> IF(CABLES[[#This Row],[SEG22]] &gt;0,INDEX(SEGMENTS[], MATCH(CABLES[[#Headers],[SEG22]],SEGMENTS[SEG_ID],0),4),0)</f>
        <v>0</v>
      </c>
      <c r="CI37" s="9">
        <f>IF(CABLES[[#This Row],[SEG23]] &gt;0, INDEX(SEGMENTS[], MATCH(CABLES[[#Headers],[SEG23]],SEGMENTS[SEG_ID],0),4),0)</f>
        <v>0</v>
      </c>
      <c r="CJ37" s="9">
        <f xml:space="preserve"> IF(CABLES[[#This Row],[SEG24]] &gt;0,INDEX(SEGMENTS[], MATCH(CABLES[[#Headers],[SEG24]],SEGMENTS[SEG_ID],0),4),0)</f>
        <v>0</v>
      </c>
      <c r="CK37" s="9">
        <f>IF(CABLES[[#This Row],[SEG25]] &gt;0, INDEX(SEGMENTS[], MATCH(CABLES[[#Headers],[SEG25]],SEGMENTS[SEG_ID],0),4),0)</f>
        <v>0</v>
      </c>
      <c r="CL37" s="9">
        <f>IF(CABLES[[#This Row],[SEG26]] &gt;0, INDEX(SEGMENTS[], MATCH(CABLES[[#Headers],[SEG26]],SEGMENTS[SEG_ID],0),4),0)</f>
        <v>0</v>
      </c>
      <c r="CM37" s="9">
        <f xml:space="preserve"> IF(CABLES[[#This Row],[SEG27]] &gt;0,INDEX(SEGMENTS[], MATCH(CABLES[[#Headers],[SEG27]],SEGMENTS[SEG_ID],0),4),0)</f>
        <v>0</v>
      </c>
      <c r="CN37" s="9">
        <f xml:space="preserve"> IF(CABLES[[#This Row],[SEG28]] &gt;0,INDEX(SEGMENTS[], MATCH(CABLES[[#Headers],[SEG28]],SEGMENTS[SEG_ID],0),4),0)</f>
        <v>0</v>
      </c>
      <c r="CO37" s="9">
        <f xml:space="preserve"> IF(CABLES[[#This Row],[SEG29]] &gt;0,INDEX(SEGMENTS[], MATCH(CABLES[[#Headers],[SEG29]],SEGMENTS[SEG_ID],0),4),0)</f>
        <v>0</v>
      </c>
      <c r="CP37" s="9">
        <f xml:space="preserve"> IF(CABLES[[#This Row],[SEG30]] &gt;0,INDEX(SEGMENTS[], MATCH(CABLES[[#Headers],[SEG30]],SEGMENTS[SEG_ID],0),4),0)</f>
        <v>6</v>
      </c>
      <c r="CQ37" s="9">
        <f>IF(CABLES[[#This Row],[SEG31]] &gt;0, INDEX(SEGMENTS[], MATCH(CABLES[[#Headers],[SEG31]],SEGMENTS[SEG_ID],0),4),0)</f>
        <v>3</v>
      </c>
      <c r="CR37" s="9">
        <f xml:space="preserve"> IF(CABLES[[#This Row],[SEG32]] &gt;0,INDEX(SEGMENTS[], MATCH(CABLES[[#Headers],[SEG32]],SEGMENTS[SEG_ID],0),4),0)</f>
        <v>5</v>
      </c>
      <c r="CS37" s="9">
        <f xml:space="preserve"> IF(CABLES[[#This Row],[SEG33]] &gt;0,INDEX(SEGMENTS[], MATCH(CABLES[[#Headers],[SEG33]],SEGMENTS[SEG_ID],0),4),0)</f>
        <v>0</v>
      </c>
      <c r="CT37" s="9">
        <f>IF(CABLES[[#This Row],[SEG34]] &gt;0, INDEX(SEGMENTS[], MATCH(CABLES[[#Headers],[SEG34]],SEGMENTS[SEG_ID],0),4),0)</f>
        <v>7</v>
      </c>
      <c r="CU37" s="9">
        <f xml:space="preserve"> IF(CABLES[[#This Row],[SEG35]] &gt;0,INDEX(SEGMENTS[], MATCH(CABLES[[#Headers],[SEG35]],SEGMENTS[SEG_ID],0),4),0)</f>
        <v>7</v>
      </c>
      <c r="CV37" s="9">
        <f xml:space="preserve"> IF(CABLES[[#This Row],[SEG36]] &gt;0,INDEX(SEGMENTS[], MATCH(CABLES[[#Headers],[SEG36]],SEGMENTS[SEG_ID],0),4),0)</f>
        <v>9</v>
      </c>
      <c r="CW37" s="9">
        <f xml:space="preserve"> IF(CABLES[[#This Row],[SEG37]] &gt;0,INDEX(SEGMENTS[], MATCH(CABLES[[#Headers],[SEG37]],SEGMENTS[SEG_ID],0),4),0)</f>
        <v>0</v>
      </c>
      <c r="CX37" s="9">
        <f xml:space="preserve"> IF(CABLES[[#This Row],[SEG38]] &gt;0,INDEX(SEGMENTS[], MATCH(CABLES[[#Headers],[SEG38]],SEGMENTS[SEG_ID],0),4),0)</f>
        <v>0</v>
      </c>
      <c r="CY37" s="9">
        <f xml:space="preserve"> IF(CABLES[[#This Row],[SEG39]] &gt;0,INDEX(SEGMENTS[], MATCH(CABLES[[#Headers],[SEG39]],SEGMENTS[SEG_ID],0),4),0)</f>
        <v>0</v>
      </c>
      <c r="CZ37" s="9">
        <f xml:space="preserve"> IF(CABLES[[#This Row],[SEG40]] &gt;0,INDEX(SEGMENTS[], MATCH(CABLES[[#Headers],[SEG40]],SEGMENTS[SEG_ID],0),4),0)</f>
        <v>0</v>
      </c>
      <c r="DA37" s="9">
        <f xml:space="preserve"> IF(CABLES[[#This Row],[SEG41]] &gt;0,INDEX(SEGMENTS[], MATCH(CABLES[[#Headers],[SEG41]],SEGMENTS[SEG_ID],0),4),0)</f>
        <v>0</v>
      </c>
      <c r="DB37" s="9">
        <f xml:space="preserve"> IF(CABLES[[#This Row],[SEG42]] &gt;0,INDEX(SEGMENTS[], MATCH(CABLES[[#Headers],[SEG42]],SEGMENTS[SEG_ID],0),4),0)</f>
        <v>0</v>
      </c>
      <c r="DC37" s="9">
        <f xml:space="preserve"> IF(CABLES[[#This Row],[SEG43]] &gt;0,INDEX(SEGMENTS[], MATCH(CABLES[[#Headers],[SEG43]],SEGMENTS[SEG_ID],0),4),0)</f>
        <v>0</v>
      </c>
      <c r="DD37" s="9">
        <f xml:space="preserve"> IF(CABLES[[#This Row],[SEG44]] &gt;0,INDEX(SEGMENTS[], MATCH(CABLES[[#Headers],[SEG44]],SEGMENTS[SEG_ID],0),4),0)</f>
        <v>0</v>
      </c>
      <c r="DE37" s="9">
        <f xml:space="preserve"> IF(CABLES[[#This Row],[SEG45]] &gt;0,INDEX(SEGMENTS[], MATCH(CABLES[[#Headers],[SEG45]],SEGMENTS[SEG_ID],0),4),0)</f>
        <v>0</v>
      </c>
      <c r="DF37" s="9">
        <f xml:space="preserve"> IF(CABLES[[#This Row],[SEG46]] &gt;0,INDEX(SEGMENTS[], MATCH(CABLES[[#Headers],[SEG46]],SEGMENTS[SEG_ID],0),4),0)</f>
        <v>0</v>
      </c>
      <c r="DG37" s="9">
        <f xml:space="preserve"> IF(CABLES[[#This Row],[SEG47]] &gt;0,INDEX(SEGMENTS[], MATCH(CABLES[[#Headers],[SEG47]],SEGMENTS[SEG_ID],0),4),0)</f>
        <v>0</v>
      </c>
      <c r="DH37" s="9">
        <f xml:space="preserve"> IF(CABLES[[#This Row],[SEG48]] &gt;0,INDEX(SEGMENTS[], MATCH(CABLES[[#Headers],[SEG48]],SEGMENTS[SEG_ID],0),4),0)</f>
        <v>0</v>
      </c>
      <c r="DI37" s="9">
        <f xml:space="preserve"> IF(CABLES[[#This Row],[SEG49]] &gt;0,INDEX(SEGMENTS[], MATCH(CABLES[[#Headers],[SEG49]],SEGMENTS[SEG_ID],0),4),0)</f>
        <v>0</v>
      </c>
      <c r="DJ37" s="9">
        <f xml:space="preserve"> IF(CABLES[[#This Row],[SEG50]] &gt;0,INDEX(SEGMENTS[], MATCH(CABLES[[#Headers],[SEG50]],SEGMENTS[SEG_ID],0),4),0)</f>
        <v>0</v>
      </c>
      <c r="DK37" s="9">
        <f xml:space="preserve"> IF(CABLES[[#This Row],[SEG51]] &gt;0,INDEX(SEGMENTS[], MATCH(CABLES[[#Headers],[SEG51]],SEGMENTS[SEG_ID],0),4),0)</f>
        <v>0</v>
      </c>
      <c r="DL37" s="9">
        <f xml:space="preserve"> IF(CABLES[[#This Row],[SEG52]] &gt;0,INDEX(SEGMENTS[], MATCH(CABLES[[#Headers],[SEG52]],SEGMENTS[SEG_ID],0),4),0)</f>
        <v>0</v>
      </c>
      <c r="DM37" s="9">
        <f xml:space="preserve"> IF(CABLES[[#This Row],[SEG53]] &gt;0,INDEX(SEGMENTS[], MATCH(CABLES[[#Headers],[SEG53]],SEGMENTS[SEG_ID],0),4),0)</f>
        <v>0</v>
      </c>
      <c r="DN37" s="9">
        <f xml:space="preserve"> IF(CABLES[[#This Row],[SEG54]] &gt;0,INDEX(SEGMENTS[], MATCH(CABLES[[#Headers],[SEG54]],SEGMENTS[SEG_ID],0),4),0)</f>
        <v>0</v>
      </c>
      <c r="DO37" s="9">
        <f xml:space="preserve"> IF(CABLES[[#This Row],[SEG55]] &gt;0,INDEX(SEGMENTS[], MATCH(CABLES[[#Headers],[SEG55]],SEGMENTS[SEG_ID],0),4),0)</f>
        <v>0</v>
      </c>
      <c r="DP37" s="9">
        <f xml:space="preserve"> IF(CABLES[[#This Row],[SEG56]] &gt;0,INDEX(SEGMENTS[], MATCH(CABLES[[#Headers],[SEG56]],SEGMENTS[SEG_ID],0),4),0)</f>
        <v>0</v>
      </c>
      <c r="DQ37" s="9">
        <f xml:space="preserve"> IF(CABLES[[#This Row],[SEG57]] &gt;0,INDEX(SEGMENTS[], MATCH(CABLES[[#Headers],[SEG57]],SEGMENTS[SEG_ID],0),4),0)</f>
        <v>0</v>
      </c>
      <c r="DR37" s="9">
        <f xml:space="preserve"> IF(CABLES[[#This Row],[SEG58]] &gt;0,INDEX(SEGMENTS[], MATCH(CABLES[[#Headers],[SEG58]],SEGMENTS[SEG_ID],0),4),0)</f>
        <v>0</v>
      </c>
      <c r="DS37" s="9">
        <f xml:space="preserve"> IF(CABLES[[#This Row],[SEG59]] &gt;0,INDEX(SEGMENTS[], MATCH(CABLES[[#Headers],[SEG59]],SEGMENTS[SEG_ID],0),4),0)</f>
        <v>0</v>
      </c>
      <c r="DT37" s="9">
        <f xml:space="preserve"> IF(CABLES[[#This Row],[SEG60]] &gt;0,INDEX(SEGMENTS[], MATCH(CABLES[[#Headers],[SEG60]],SEGMENTS[SEG_ID],0),4),0)</f>
        <v>0</v>
      </c>
      <c r="DU37" s="10">
        <f>SUM(CABLES[[#This Row],[SEGL1]:[SEGL60]])</f>
        <v>37</v>
      </c>
      <c r="DV37" s="10">
        <v>5</v>
      </c>
      <c r="DW37" s="10">
        <v>1.2</v>
      </c>
      <c r="DX37" s="10">
        <f xml:space="preserve"> IF(CABLES[[#This Row],[SEGL_TOTAL]]&gt;0, (CABLES[[#This Row],[SEGL_TOTAL]] + CABLES[[#This Row],[FITOFF]]) *CABLES[[#This Row],[XCAPACITY]],0)</f>
        <v>50.4</v>
      </c>
      <c r="DY37" s="10">
        <f>IF(CABLES[[#This Row],[SEG1]]&gt;0,CABLES[[#This Row],[CABLE_DIAMETER]],0)</f>
        <v>0</v>
      </c>
      <c r="DZ37" s="10">
        <f>IF(CABLES[[#This Row],[SEG2]]&gt;0,CABLES[[#This Row],[CABLE_DIAMETER]],0)</f>
        <v>0</v>
      </c>
      <c r="EA37" s="10">
        <f>IF(CABLES[[#This Row],[SEG3]]&gt;0,CABLES[[#This Row],[CABLE_DIAMETER]],0)</f>
        <v>0</v>
      </c>
      <c r="EB37" s="10">
        <f>IF(CABLES[[#This Row],[SEG4]]&gt;0,CABLES[[#This Row],[CABLE_DIAMETER]],0)</f>
        <v>0</v>
      </c>
      <c r="EC37" s="10">
        <f>IF(CABLES[[#This Row],[SEG5]]&gt;0,CABLES[[#This Row],[CABLE_DIAMETER]],0)</f>
        <v>0</v>
      </c>
      <c r="ED37" s="10">
        <f>IF(CABLES[[#This Row],[SEG6]]&gt;0,CABLES[[#This Row],[CABLE_DIAMETER]],0)</f>
        <v>0</v>
      </c>
      <c r="EE37" s="10">
        <f>IF(CABLES[[#This Row],[SEG7]]&gt;0,CABLES[[#This Row],[CABLE_DIAMETER]],0)</f>
        <v>0</v>
      </c>
      <c r="EF37" s="10">
        <f>IF(CABLES[[#This Row],[SEG9]]&gt;0,CABLES[[#This Row],[CABLE_DIAMETER]],0)</f>
        <v>0</v>
      </c>
      <c r="EG37" s="10">
        <f>IF(CABLES[[#This Row],[SEG9]]&gt;0,CABLES[[#This Row],[CABLE_DIAMETER]],0)</f>
        <v>0</v>
      </c>
      <c r="EH37" s="10">
        <f>IF(CABLES[[#This Row],[SEG10]]&gt;0,CABLES[[#This Row],[CABLE_DIAMETER]],0)</f>
        <v>0</v>
      </c>
      <c r="EI37" s="10">
        <f>IF(CABLES[[#This Row],[SEG11]]&gt;0,CABLES[[#This Row],[CABLE_DIAMETER]],0)</f>
        <v>0</v>
      </c>
      <c r="EJ37" s="10">
        <f>IF(CABLES[[#This Row],[SEG12]]&gt;0,CABLES[[#This Row],[CABLE_DIAMETER]],0)</f>
        <v>0</v>
      </c>
      <c r="EK37" s="10">
        <f>IF(CABLES[[#This Row],[SEG13]]&gt;0,CABLES[[#This Row],[CABLE_DIAMETER]],0)</f>
        <v>0</v>
      </c>
      <c r="EL37" s="10">
        <f>IF(CABLES[[#This Row],[SEG14]]&gt;0,CABLES[[#This Row],[CABLE_DIAMETER]],0)</f>
        <v>0</v>
      </c>
      <c r="EM37" s="10">
        <f>IF(CABLES[[#This Row],[SEG15]]&gt;0,CABLES[[#This Row],[CABLE_DIAMETER]],0)</f>
        <v>0</v>
      </c>
      <c r="EN37" s="10">
        <f>IF(CABLES[[#This Row],[SEG16]]&gt;0,CABLES[[#This Row],[CABLE_DIAMETER]],0)</f>
        <v>0</v>
      </c>
      <c r="EO37" s="10">
        <f>IF(CABLES[[#This Row],[SEG17]]&gt;0,CABLES[[#This Row],[CABLE_DIAMETER]],0)</f>
        <v>0</v>
      </c>
      <c r="EP37" s="10">
        <f>IF(CABLES[[#This Row],[SEG18]]&gt;0,CABLES[[#This Row],[CABLE_DIAMETER]],0)</f>
        <v>0</v>
      </c>
      <c r="EQ37" s="10">
        <f>IF(CABLES[[#This Row],[SEG19]]&gt;0,CABLES[[#This Row],[CABLE_DIAMETER]],0)</f>
        <v>0</v>
      </c>
      <c r="ER37" s="10">
        <f>IF(CABLES[[#This Row],[SEG20]]&gt;0,CABLES[[#This Row],[CABLE_DIAMETER]],0)</f>
        <v>0</v>
      </c>
      <c r="ES37" s="10">
        <f>IF(CABLES[[#This Row],[SEG21]]&gt;0,CABLES[[#This Row],[CABLE_DIAMETER]],0)</f>
        <v>0</v>
      </c>
      <c r="ET37" s="10">
        <f>IF(CABLES[[#This Row],[SEG22]]&gt;0,CABLES[[#This Row],[CABLE_DIAMETER]],0)</f>
        <v>0</v>
      </c>
      <c r="EU37" s="10">
        <f>IF(CABLES[[#This Row],[SEG23]]&gt;0,CABLES[[#This Row],[CABLE_DIAMETER]],0)</f>
        <v>0</v>
      </c>
      <c r="EV37" s="10">
        <f>IF(CABLES[[#This Row],[SEG24]]&gt;0,CABLES[[#This Row],[CABLE_DIAMETER]],0)</f>
        <v>0</v>
      </c>
      <c r="EW37" s="10">
        <f>IF(CABLES[[#This Row],[SEG25]]&gt;0,CABLES[[#This Row],[CABLE_DIAMETER]],0)</f>
        <v>0</v>
      </c>
      <c r="EX37" s="10">
        <f>IF(CABLES[[#This Row],[SEG26]]&gt;0,CABLES[[#This Row],[CABLE_DIAMETER]],0)</f>
        <v>0</v>
      </c>
      <c r="EY37" s="10">
        <f>IF(CABLES[[#This Row],[SEG27]]&gt;0,CABLES[[#This Row],[CABLE_DIAMETER]],0)</f>
        <v>0</v>
      </c>
      <c r="EZ37" s="10">
        <f>IF(CABLES[[#This Row],[SEG28]]&gt;0,CABLES[[#This Row],[CABLE_DIAMETER]],0)</f>
        <v>0</v>
      </c>
      <c r="FA37" s="10">
        <f>IF(CABLES[[#This Row],[SEG29]]&gt;0,CABLES[[#This Row],[CABLE_DIAMETER]],0)</f>
        <v>0</v>
      </c>
      <c r="FB37" s="10">
        <f>IF(CABLES[[#This Row],[SEG30]]&gt;0,CABLES[[#This Row],[CABLE_DIAMETER]],0)</f>
        <v>14.5</v>
      </c>
      <c r="FC37" s="10">
        <f>IF(CABLES[[#This Row],[SEG31]]&gt;0,CABLES[[#This Row],[CABLE_DIAMETER]],0)</f>
        <v>14.5</v>
      </c>
      <c r="FD37" s="10">
        <f>IF(CABLES[[#This Row],[SEG32]]&gt;0,CABLES[[#This Row],[CABLE_DIAMETER]],0)</f>
        <v>14.5</v>
      </c>
      <c r="FE37" s="10">
        <f>IF(CABLES[[#This Row],[SEG33]]&gt;0,CABLES[[#This Row],[CABLE_DIAMETER]],0)</f>
        <v>0</v>
      </c>
      <c r="FF37" s="10">
        <f>IF(CABLES[[#This Row],[SEG34]]&gt;0,CABLES[[#This Row],[CABLE_DIAMETER]],0)</f>
        <v>14.5</v>
      </c>
      <c r="FG37" s="10">
        <f>IF(CABLES[[#This Row],[SEG35]]&gt;0,CABLES[[#This Row],[CABLE_DIAMETER]],0)</f>
        <v>14.5</v>
      </c>
      <c r="FH37" s="10">
        <f>IF(CABLES[[#This Row],[SEG36]]&gt;0,CABLES[[#This Row],[CABLE_DIAMETER]],0)</f>
        <v>14.5</v>
      </c>
      <c r="FI37" s="10">
        <f>IF(CABLES[[#This Row],[SEG37]]&gt;0,CABLES[[#This Row],[CABLE_DIAMETER]],0)</f>
        <v>0</v>
      </c>
      <c r="FJ37" s="10">
        <f>IF(CABLES[[#This Row],[SEG38]]&gt;0,CABLES[[#This Row],[CABLE_DIAMETER]],0)</f>
        <v>0</v>
      </c>
      <c r="FK37" s="10">
        <f>IF(CABLES[[#This Row],[SEG39]]&gt;0,CABLES[[#This Row],[CABLE_DIAMETER]],0)</f>
        <v>0</v>
      </c>
      <c r="FL37" s="10">
        <f>IF(CABLES[[#This Row],[SEG40]]&gt;0,CABLES[[#This Row],[CABLE_DIAMETER]],0)</f>
        <v>0</v>
      </c>
      <c r="FM37" s="10">
        <f>IF(CABLES[[#This Row],[SEG41]]&gt;0,CABLES[[#This Row],[CABLE_DIAMETER]],0)</f>
        <v>0</v>
      </c>
      <c r="FN37" s="10">
        <f>IF(CABLES[[#This Row],[SEG42]]&gt;0,CABLES[[#This Row],[CABLE_DIAMETER]],0)</f>
        <v>0</v>
      </c>
      <c r="FO37" s="10">
        <f>IF(CABLES[[#This Row],[SEG43]]&gt;0,CABLES[[#This Row],[CABLE_DIAMETER]],0)</f>
        <v>0</v>
      </c>
      <c r="FP37" s="10">
        <f>IF(CABLES[[#This Row],[SEG44]]&gt;0,CABLES[[#This Row],[CABLE_DIAMETER]],0)</f>
        <v>0</v>
      </c>
      <c r="FQ37" s="10">
        <f>IF(CABLES[[#This Row],[SEG45]]&gt;0,CABLES[[#This Row],[CABLE_DIAMETER]],0)</f>
        <v>0</v>
      </c>
      <c r="FR37" s="10">
        <f>IF(CABLES[[#This Row],[SEG46]]&gt;0,CABLES[[#This Row],[CABLE_DIAMETER]],0)</f>
        <v>0</v>
      </c>
      <c r="FS37" s="10">
        <f>IF(CABLES[[#This Row],[SEG47]]&gt;0,CABLES[[#This Row],[CABLE_DIAMETER]],0)</f>
        <v>0</v>
      </c>
      <c r="FT37" s="10">
        <f>IF(CABLES[[#This Row],[SEG48]]&gt;0,CABLES[[#This Row],[CABLE_DIAMETER]],0)</f>
        <v>0</v>
      </c>
      <c r="FU37" s="10">
        <f>IF(CABLES[[#This Row],[SEG49]]&gt;0,CABLES[[#This Row],[CABLE_DIAMETER]],0)</f>
        <v>0</v>
      </c>
      <c r="FV37" s="10">
        <f>IF(CABLES[[#This Row],[SEG50]]&gt;0,CABLES[[#This Row],[CABLE_DIAMETER]],0)</f>
        <v>0</v>
      </c>
      <c r="FW37" s="10">
        <f>IF(CABLES[[#This Row],[SEG51]]&gt;0,CABLES[[#This Row],[CABLE_DIAMETER]],0)</f>
        <v>0</v>
      </c>
      <c r="FX37" s="10">
        <f>IF(CABLES[[#This Row],[SEG52]]&gt;0,CABLES[[#This Row],[CABLE_DIAMETER]],0)</f>
        <v>0</v>
      </c>
      <c r="FY37" s="10">
        <f>IF(CABLES[[#This Row],[SEG53]]&gt;0,CABLES[[#This Row],[CABLE_DIAMETER]],0)</f>
        <v>0</v>
      </c>
      <c r="FZ37" s="10">
        <f>IF(CABLES[[#This Row],[SEG54]]&gt;0,CABLES[[#This Row],[CABLE_DIAMETER]],0)</f>
        <v>0</v>
      </c>
      <c r="GA37" s="10">
        <f>IF(CABLES[[#This Row],[SEG55]]&gt;0,CABLES[[#This Row],[CABLE_DIAMETER]],0)</f>
        <v>0</v>
      </c>
      <c r="GB37" s="10">
        <f>IF(CABLES[[#This Row],[SEG56]]&gt;0,CABLES[[#This Row],[CABLE_DIAMETER]],0)</f>
        <v>0</v>
      </c>
      <c r="GC37" s="10">
        <f>IF(CABLES[[#This Row],[SEG57]]&gt;0,CABLES[[#This Row],[CABLE_DIAMETER]],0)</f>
        <v>0</v>
      </c>
      <c r="GD37" s="10">
        <f>IF(CABLES[[#This Row],[SEG58]]&gt;0,CABLES[[#This Row],[CABLE_DIAMETER]],0)</f>
        <v>0</v>
      </c>
      <c r="GE37" s="10">
        <f>IF(CABLES[[#This Row],[SEG59]]&gt;0,CABLES[[#This Row],[CABLE_DIAMETER]],0)</f>
        <v>0</v>
      </c>
      <c r="GF37" s="10">
        <f>IF(CABLES[[#This Row],[SEG60]]&gt;0,CABLES[[#This Row],[CABLE_DIAMETER]],0)</f>
        <v>0</v>
      </c>
      <c r="GG37" s="10">
        <f>IF(CABLES[[#This Row],[SEG1]]&gt;0,CABLES[[#This Row],[CABLE_MASS]],0)</f>
        <v>0</v>
      </c>
      <c r="GH37" s="10">
        <f>IF(CABLES[[#This Row],[SEG2]]&gt;0,CABLES[[#This Row],[CABLE_MASS]],0)</f>
        <v>0</v>
      </c>
      <c r="GI37" s="10">
        <f>IF(CABLES[[#This Row],[SEG3]]&gt;0,CABLES[[#This Row],[CABLE_MASS]],0)</f>
        <v>0</v>
      </c>
      <c r="GJ37" s="10">
        <f>IF(CABLES[[#This Row],[SEG4]]&gt;0,CABLES[[#This Row],[CABLE_MASS]],0)</f>
        <v>0</v>
      </c>
      <c r="GK37" s="10">
        <f>IF(CABLES[[#This Row],[SEG5]]&gt;0,CABLES[[#This Row],[CABLE_MASS]],0)</f>
        <v>0</v>
      </c>
      <c r="GL37" s="10">
        <f>IF(CABLES[[#This Row],[SEG6]]&gt;0,CABLES[[#This Row],[CABLE_MASS]],0)</f>
        <v>0</v>
      </c>
      <c r="GM37" s="10">
        <f>IF(CABLES[[#This Row],[SEG7]]&gt;0,CABLES[[#This Row],[CABLE_MASS]],0)</f>
        <v>0</v>
      </c>
      <c r="GN37" s="10">
        <f>IF(CABLES[[#This Row],[SEG8]]&gt;0,CABLES[[#This Row],[CABLE_MASS]],0)</f>
        <v>0</v>
      </c>
      <c r="GO37" s="10">
        <f>IF(CABLES[[#This Row],[SEG9]]&gt;0,CABLES[[#This Row],[CABLE_MASS]],0)</f>
        <v>0</v>
      </c>
      <c r="GP37" s="10">
        <f>IF(CABLES[[#This Row],[SEG10]]&gt;0,CABLES[[#This Row],[CABLE_MASS]],0)</f>
        <v>0</v>
      </c>
      <c r="GQ37" s="10">
        <f>IF(CABLES[[#This Row],[SEG11]]&gt;0,CABLES[[#This Row],[CABLE_MASS]],0)</f>
        <v>0</v>
      </c>
      <c r="GR37" s="10">
        <f>IF(CABLES[[#This Row],[SEG12]]&gt;0,CABLES[[#This Row],[CABLE_MASS]],0)</f>
        <v>0</v>
      </c>
      <c r="GS37" s="10">
        <f>IF(CABLES[[#This Row],[SEG13]]&gt;0,CABLES[[#This Row],[CABLE_MASS]],0)</f>
        <v>0</v>
      </c>
      <c r="GT37" s="10">
        <f>IF(CABLES[[#This Row],[SEG14]]&gt;0,CABLES[[#This Row],[CABLE_MASS]],0)</f>
        <v>0</v>
      </c>
      <c r="GU37" s="10">
        <f>IF(CABLES[[#This Row],[SEG15]]&gt;0,CABLES[[#This Row],[CABLE_MASS]],0)</f>
        <v>0</v>
      </c>
      <c r="GV37" s="10">
        <f>IF(CABLES[[#This Row],[SEG16]]&gt;0,CABLES[[#This Row],[CABLE_MASS]],0)</f>
        <v>0</v>
      </c>
      <c r="GW37" s="10">
        <f>IF(CABLES[[#This Row],[SEG17]]&gt;0,CABLES[[#This Row],[CABLE_MASS]],0)</f>
        <v>0</v>
      </c>
      <c r="GX37" s="10">
        <f>IF(CABLES[[#This Row],[SEG18]]&gt;0,CABLES[[#This Row],[CABLE_MASS]],0)</f>
        <v>0</v>
      </c>
      <c r="GY37" s="10">
        <f>IF(CABLES[[#This Row],[SEG19]]&gt;0,CABLES[[#This Row],[CABLE_MASS]],0)</f>
        <v>0</v>
      </c>
      <c r="GZ37" s="10">
        <f>IF(CABLES[[#This Row],[SEG20]]&gt;0,CABLES[[#This Row],[CABLE_MASS]],0)</f>
        <v>0</v>
      </c>
      <c r="HA37" s="10">
        <f>IF(CABLES[[#This Row],[SEG21]]&gt;0,CABLES[[#This Row],[CABLE_MASS]],0)</f>
        <v>0</v>
      </c>
      <c r="HB37" s="10">
        <f>IF(CABLES[[#This Row],[SEG22]]&gt;0,CABLES[[#This Row],[CABLE_MASS]],0)</f>
        <v>0</v>
      </c>
      <c r="HC37" s="10">
        <f>IF(CABLES[[#This Row],[SEG23]]&gt;0,CABLES[[#This Row],[CABLE_MASS]],0)</f>
        <v>0</v>
      </c>
      <c r="HD37" s="10">
        <f>IF(CABLES[[#This Row],[SEG24]]&gt;0,CABLES[[#This Row],[CABLE_MASS]],0)</f>
        <v>0</v>
      </c>
      <c r="HE37" s="10">
        <f>IF(CABLES[[#This Row],[SEG25]]&gt;0,CABLES[[#This Row],[CABLE_MASS]],0)</f>
        <v>0</v>
      </c>
      <c r="HF37" s="10">
        <f>IF(CABLES[[#This Row],[SEG26]]&gt;0,CABLES[[#This Row],[CABLE_MASS]],0)</f>
        <v>0</v>
      </c>
      <c r="HG37" s="10">
        <f>IF(CABLES[[#This Row],[SEG27]]&gt;0,CABLES[[#This Row],[CABLE_MASS]],0)</f>
        <v>0</v>
      </c>
      <c r="HH37" s="10">
        <f>IF(CABLES[[#This Row],[SEG28]]&gt;0,CABLES[[#This Row],[CABLE_MASS]],0)</f>
        <v>0</v>
      </c>
      <c r="HI37" s="10">
        <f>IF(CABLES[[#This Row],[SEG29]]&gt;0,CABLES[[#This Row],[CABLE_MASS]],0)</f>
        <v>0</v>
      </c>
      <c r="HJ37" s="10">
        <f>IF(CABLES[[#This Row],[SEG30]]&gt;0,CABLES[[#This Row],[CABLE_MASS]],0)</f>
        <v>0.33</v>
      </c>
      <c r="HK37" s="10">
        <f>IF(CABLES[[#This Row],[SEG31]]&gt;0,CABLES[[#This Row],[CABLE_MASS]],0)</f>
        <v>0.33</v>
      </c>
      <c r="HL37" s="10">
        <f>IF(CABLES[[#This Row],[SEG32]]&gt;0,CABLES[[#This Row],[CABLE_MASS]],0)</f>
        <v>0.33</v>
      </c>
      <c r="HM37" s="10">
        <f>IF(CABLES[[#This Row],[SEG33]]&gt;0,CABLES[[#This Row],[CABLE_MASS]],0)</f>
        <v>0</v>
      </c>
      <c r="HN37" s="10">
        <f>IF(CABLES[[#This Row],[SEG34]]&gt;0,CABLES[[#This Row],[CABLE_MASS]],0)</f>
        <v>0.33</v>
      </c>
      <c r="HO37" s="10">
        <f>IF(CABLES[[#This Row],[SEG35]]&gt;0,CABLES[[#This Row],[CABLE_MASS]],0)</f>
        <v>0.33</v>
      </c>
      <c r="HP37" s="10">
        <f>IF(CABLES[[#This Row],[SEG36]]&gt;0,CABLES[[#This Row],[CABLE_MASS]],0)</f>
        <v>0.33</v>
      </c>
      <c r="HQ37" s="10">
        <f>IF(CABLES[[#This Row],[SEG37]]&gt;0,CABLES[[#This Row],[CABLE_MASS]],0)</f>
        <v>0</v>
      </c>
      <c r="HR37" s="10">
        <f>IF(CABLES[[#This Row],[SEG38]]&gt;0,CABLES[[#This Row],[CABLE_MASS]],0)</f>
        <v>0</v>
      </c>
      <c r="HS37" s="10">
        <f>IF(CABLES[[#This Row],[SEG39]]&gt;0,CABLES[[#This Row],[CABLE_MASS]],0)</f>
        <v>0</v>
      </c>
      <c r="HT37" s="10">
        <f>IF(CABLES[[#This Row],[SEG40]]&gt;0,CABLES[[#This Row],[CABLE_MASS]],0)</f>
        <v>0</v>
      </c>
      <c r="HU37" s="10">
        <f>IF(CABLES[[#This Row],[SEG41]]&gt;0,CABLES[[#This Row],[CABLE_MASS]],0)</f>
        <v>0</v>
      </c>
      <c r="HV37" s="10">
        <f>IF(CABLES[[#This Row],[SEG42]]&gt;0,CABLES[[#This Row],[CABLE_MASS]],0)</f>
        <v>0</v>
      </c>
      <c r="HW37" s="10">
        <f>IF(CABLES[[#This Row],[SEG43]]&gt;0,CABLES[[#This Row],[CABLE_MASS]],0)</f>
        <v>0</v>
      </c>
      <c r="HX37" s="10">
        <f>IF(CABLES[[#This Row],[SEG44]]&gt;0,CABLES[[#This Row],[CABLE_MASS]],0)</f>
        <v>0</v>
      </c>
      <c r="HY37" s="10">
        <f>IF(CABLES[[#This Row],[SEG45]]&gt;0,CABLES[[#This Row],[CABLE_MASS]],0)</f>
        <v>0</v>
      </c>
      <c r="HZ37" s="10">
        <f>IF(CABLES[[#This Row],[SEG46]]&gt;0,CABLES[[#This Row],[CABLE_MASS]],0)</f>
        <v>0</v>
      </c>
      <c r="IA37" s="10">
        <f>IF(CABLES[[#This Row],[SEG47]]&gt;0,CABLES[[#This Row],[CABLE_MASS]],0)</f>
        <v>0</v>
      </c>
      <c r="IB37" s="10">
        <f>IF(CABLES[[#This Row],[SEG48]]&gt;0,CABLES[[#This Row],[CABLE_MASS]],0)</f>
        <v>0</v>
      </c>
      <c r="IC37" s="10">
        <f>IF(CABLES[[#This Row],[SEG49]]&gt;0,CABLES[[#This Row],[CABLE_MASS]],0)</f>
        <v>0</v>
      </c>
      <c r="ID37" s="10">
        <f>IF(CABLES[[#This Row],[SEG50]]&gt;0,CABLES[[#This Row],[CABLE_MASS]],0)</f>
        <v>0</v>
      </c>
      <c r="IE37" s="10">
        <f>IF(CABLES[[#This Row],[SEG51]]&gt;0,CABLES[[#This Row],[CABLE_MASS]],0)</f>
        <v>0</v>
      </c>
      <c r="IF37" s="10">
        <f>IF(CABLES[[#This Row],[SEG52]]&gt;0,CABLES[[#This Row],[CABLE_MASS]],0)</f>
        <v>0</v>
      </c>
      <c r="IG37" s="10">
        <f>IF(CABLES[[#This Row],[SEG53]]&gt;0,CABLES[[#This Row],[CABLE_MASS]],0)</f>
        <v>0</v>
      </c>
      <c r="IH37" s="10">
        <f>IF(CABLES[[#This Row],[SEG54]]&gt;0,CABLES[[#This Row],[CABLE_MASS]],0)</f>
        <v>0</v>
      </c>
      <c r="II37" s="10">
        <f>IF(CABLES[[#This Row],[SEG55]]&gt;0,CABLES[[#This Row],[CABLE_MASS]],0)</f>
        <v>0</v>
      </c>
      <c r="IJ37" s="10">
        <f>IF(CABLES[[#This Row],[SEG56]]&gt;0,CABLES[[#This Row],[CABLE_MASS]],0)</f>
        <v>0</v>
      </c>
      <c r="IK37" s="10">
        <f>IF(CABLES[[#This Row],[SEG57]]&gt;0,CABLES[[#This Row],[CABLE_MASS]],0)</f>
        <v>0</v>
      </c>
      <c r="IL37" s="10">
        <f>IF(CABLES[[#This Row],[SEG58]]&gt;0,CABLES[[#This Row],[CABLE_MASS]],0)</f>
        <v>0</v>
      </c>
      <c r="IM37" s="10">
        <f>IF(CABLES[[#This Row],[SEG59]]&gt;0,CABLES[[#This Row],[CABLE_MASS]],0)</f>
        <v>0</v>
      </c>
      <c r="IN37" s="10">
        <f>IF(CABLES[[#This Row],[SEG60]]&gt;0,CABLES[[#This Row],[CABLE_MASS]],0)</f>
        <v>0</v>
      </c>
      <c r="IO37" s="10">
        <f xml:space="preserve">  (CABLES[[#This Row],[LOAD_KW]]/(SQRT(3)*SYSTEM_VOLTAGE*POWER_FACTOR))*1000</f>
        <v>2.4056261216234405</v>
      </c>
      <c r="IP37" s="10">
        <v>45</v>
      </c>
      <c r="IQ37" s="10">
        <f xml:space="preserve"> INDEX(AS3000_AMBIENTDERATE[], MATCH(CABLES[[#This Row],[AMBIENT]],AS3000_AMBIENTDERATE[AMBIENT],0), 2)</f>
        <v>0.94</v>
      </c>
      <c r="IR37" s="10">
        <f xml:space="preserve"> ROUNDUP( CABLES[[#This Row],[CALCULATED_AMPS]]/CABLES[[#This Row],[AMBIENT_DERATING]],1)</f>
        <v>2.6</v>
      </c>
      <c r="IS37" s="10" t="s">
        <v>531</v>
      </c>
      <c r="IT3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37" s="10">
        <f t="shared" si="1"/>
        <v>28.000000000000004</v>
      </c>
      <c r="IV37" s="10">
        <f>(1000*CABLES[[#This Row],[MAX_VDROP]])/(CABLES[[#This Row],[ESTIMATED_CABLE_LENGTH]]*CABLES[[#This Row],[AMP_RATING]])</f>
        <v>213.67521367521371</v>
      </c>
      <c r="IW37" s="10">
        <f xml:space="preserve"> INDEX(AS3000_VDROP[], MATCH(CABLES[[#This Row],[VC_CALC]],AS3000_VDROP[Vc],1),1)</f>
        <v>2.5</v>
      </c>
      <c r="IX37" s="10">
        <f>MAX(CABLES[[#This Row],[CABLESIZE_METHOD1]],CABLES[[#This Row],[CABLESIZE_METHOD2]])</f>
        <v>2.5</v>
      </c>
      <c r="IY37" s="10"/>
      <c r="IZ37" s="10">
        <f>IF(LEN(CABLES[[#This Row],[OVERRIDE_CABLESIZE]])&gt;0,CABLES[[#This Row],[OVERRIDE_CABLESIZE]],CABLES[[#This Row],[INITIAL_CABLESIZE]])</f>
        <v>2.5</v>
      </c>
      <c r="JA37" s="10">
        <f>INDEX(PROTECTIVE_DEVICE[DEVICE], MATCH(CABLES[[#This Row],[CALCULATED_AMPS]],PROTECTIVE_DEVICE[DEVICE],-1),1)</f>
        <v>6</v>
      </c>
      <c r="JB37" s="10"/>
      <c r="JC37" s="10">
        <f>IF(LEN(CABLES[[#This Row],[OVERRIDE_PDEVICE]])&gt;0, CABLES[[#This Row],[OVERRIDE_PDEVICE]],CABLES[[#This Row],[RECOMMEND_PDEVICE]])</f>
        <v>6</v>
      </c>
      <c r="JD37" s="10" t="s">
        <v>450</v>
      </c>
      <c r="JE37" s="10">
        <f xml:space="preserve"> CABLES[[#This Row],[SELECTED_PDEVICE]] * INDEX(DEVICE_CURVE[], MATCH(CABLES[[#This Row],[PDEVICE_CURVE]], DEVICE_CURVE[DEVICE_CURVE],0),2)</f>
        <v>39</v>
      </c>
      <c r="JF37" s="10" t="s">
        <v>458</v>
      </c>
      <c r="JG37" s="10">
        <f xml:space="preserve"> INDEX(CONDUCTOR_MATERIAL[], MATCH(CABLES[[#This Row],[CONDUCTOR_MATERIAL]],CONDUCTOR_MATERIAL[CONDUCTOR_MATERIAL],0),2)</f>
        <v>2.2499999999999999E-2</v>
      </c>
      <c r="JH37" s="10">
        <f>CABLES[[#This Row],[SELECTED_CABLESIZE]]</f>
        <v>2.5</v>
      </c>
      <c r="JI37" s="10">
        <f xml:space="preserve"> INDEX( EARTH_CONDUCTOR_SIZE[], MATCH(CABLES[[#This Row],[SPH]],EARTH_CONDUCTOR_SIZE[MM^2],-1), 2)</f>
        <v>2.5</v>
      </c>
      <c r="JJ37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37" s="10" t="str">
        <f>IF(CABLES[[#This Row],[LMAX]]&gt;CABLES[[#This Row],[ESTIMATED_CABLE_LENGTH]], "PASS", "ERROR")</f>
        <v>PASS</v>
      </c>
      <c r="JL3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7" s="6">
        <f xml:space="preserve"> ROUNDUP( CABLES[[#This Row],[CALCULATED_AMPS]],1)</f>
        <v>2.5</v>
      </c>
      <c r="JO37" s="6">
        <f>CABLES[[#This Row],[SELECTED_CABLESIZE]]</f>
        <v>2.5</v>
      </c>
      <c r="JP37" s="10">
        <f>CABLES[[#This Row],[ESTIMATED_CABLE_LENGTH]]</f>
        <v>50.4</v>
      </c>
      <c r="JQ37" s="6">
        <f>CABLES[[#This Row],[SELECTED_PDEVICE]]</f>
        <v>6</v>
      </c>
    </row>
    <row r="38" spans="1:277" x14ac:dyDescent="0.35">
      <c r="A38" s="5" t="s">
        <v>37</v>
      </c>
      <c r="B38" s="5" t="s">
        <v>493</v>
      </c>
      <c r="C38" s="10" t="s">
        <v>261</v>
      </c>
      <c r="D38" s="9">
        <v>1.5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1</v>
      </c>
      <c r="AJ38" s="9">
        <v>1</v>
      </c>
      <c r="AK38" s="9">
        <v>0</v>
      </c>
      <c r="AL38" s="9">
        <v>1</v>
      </c>
      <c r="AM38" s="9">
        <v>1</v>
      </c>
      <c r="AN38" s="9">
        <v>1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f xml:space="preserve"> IF(CABLES[[#This Row],[SEG1]] &gt;0, INDEX(SEGMENTS[], MATCH(CABLES[[#Headers],[SEG1]],SEGMENTS[SEG_ID],0),4),0)</f>
        <v>0</v>
      </c>
      <c r="BN38" s="9">
        <f xml:space="preserve"> IF(CABLES[[#This Row],[SEG2]] &gt;0, INDEX(SEGMENTS[], MATCH(CABLES[[#Headers],[SEG2]],SEGMENTS[SEG_ID],0),4),0)</f>
        <v>0</v>
      </c>
      <c r="BO38" s="9">
        <f xml:space="preserve"> IF(CABLES[[#This Row],[SEG3]] &gt;0, INDEX(SEGMENTS[], MATCH(CABLES[[#Headers],[SEG3]],SEGMENTS[SEG_ID],0),4),0)</f>
        <v>0</v>
      </c>
      <c r="BP38" s="9">
        <f xml:space="preserve"> IF(CABLES[[#This Row],[SEG4]] &gt;0, INDEX(SEGMENTS[], MATCH(CABLES[[#Headers],[SEG4]],SEGMENTS[SEG_ID],0),4),0)</f>
        <v>0</v>
      </c>
      <c r="BQ38" s="9">
        <f xml:space="preserve"> IF(CABLES[[#This Row],[SEG5]] &gt;0,INDEX(SEGMENTS[], MATCH(CABLES[[#Headers],[SEG5]],SEGMENTS[SEG_ID],0),4),0)</f>
        <v>0</v>
      </c>
      <c r="BR38" s="9">
        <f xml:space="preserve"> IF(CABLES[[#This Row],[SEG6]] &gt;0,INDEX(SEGMENTS[], MATCH(CABLES[[#Headers],[SEG6]],SEGMENTS[SEG_ID],0),4),0)</f>
        <v>0</v>
      </c>
      <c r="BS38" s="9">
        <f xml:space="preserve"> IF(CABLES[[#This Row],[SEG7]] &gt;0,INDEX(SEGMENTS[], MATCH(CABLES[[#Headers],[SEG7]],SEGMENTS[SEG_ID],0),4),0)</f>
        <v>0</v>
      </c>
      <c r="BT38" s="9">
        <f xml:space="preserve"> IF(CABLES[[#This Row],[SEG8]] &gt;0,INDEX(SEGMENTS[], MATCH(CABLES[[#Headers],[SEG8]],SEGMENTS[SEG_ID],0),4),0)</f>
        <v>0</v>
      </c>
      <c r="BU38" s="9">
        <f xml:space="preserve"> IF(CABLES[[#This Row],[SEG9]] &gt;0,INDEX(SEGMENTS[], MATCH(CABLES[[#Headers],[SEG9]],SEGMENTS[SEG_ID],0),4),0)</f>
        <v>0</v>
      </c>
      <c r="BV38" s="9">
        <f xml:space="preserve"> IF(CABLES[[#This Row],[SEG10]] &gt;0,INDEX(SEGMENTS[], MATCH(CABLES[[#Headers],[SEG10]],SEGMENTS[SEG_ID],0),4),0)</f>
        <v>0</v>
      </c>
      <c r="BW38" s="9">
        <f xml:space="preserve"> IF(CABLES[[#This Row],[SEG11]] &gt;0,INDEX(SEGMENTS[], MATCH(CABLES[[#Headers],[SEG11]],SEGMENTS[SEG_ID],0),4),0)</f>
        <v>0</v>
      </c>
      <c r="BX38" s="9">
        <f>IF(CABLES[[#This Row],[SEG12]] &gt;0, INDEX(SEGMENTS[], MATCH(CABLES[[#Headers],[SEG12]],SEGMENTS[SEG_ID],0),4),0)</f>
        <v>0</v>
      </c>
      <c r="BY38" s="9">
        <f xml:space="preserve"> IF(CABLES[[#This Row],[SEG13]] &gt;0,INDEX(SEGMENTS[], MATCH(CABLES[[#Headers],[SEG13]],SEGMENTS[SEG_ID],0),4),0)</f>
        <v>0</v>
      </c>
      <c r="BZ38" s="9">
        <f xml:space="preserve"> IF(CABLES[[#This Row],[SEG14]] &gt;0,INDEX(SEGMENTS[], MATCH(CABLES[[#Headers],[SEG14]],SEGMENTS[SEG_ID],0),4),0)</f>
        <v>0</v>
      </c>
      <c r="CA38" s="9">
        <f xml:space="preserve"> IF(CABLES[[#This Row],[SEG15]] &gt;0,INDEX(SEGMENTS[], MATCH(CABLES[[#Headers],[SEG15]],SEGMENTS[SEG_ID],0),4),0)</f>
        <v>0</v>
      </c>
      <c r="CB38" s="9">
        <f xml:space="preserve"> IF(CABLES[[#This Row],[SEG16]] &gt;0,INDEX(SEGMENTS[], MATCH(CABLES[[#Headers],[SEG16]],SEGMENTS[SEG_ID],0),4),0)</f>
        <v>0</v>
      </c>
      <c r="CC38" s="9">
        <f xml:space="preserve"> IF(CABLES[[#This Row],[SEG17]] &gt;0,INDEX(SEGMENTS[], MATCH(CABLES[[#Headers],[SEG17]],SEGMENTS[SEG_ID],0),4),0)</f>
        <v>0</v>
      </c>
      <c r="CD38" s="9">
        <f xml:space="preserve"> IF(CABLES[[#This Row],[SEG18]] &gt;0,INDEX(SEGMENTS[], MATCH(CABLES[[#Headers],[SEG18]],SEGMENTS[SEG_ID],0),4),0)</f>
        <v>0</v>
      </c>
      <c r="CE38" s="9">
        <f>IF(CABLES[[#This Row],[SEG19]] &gt;0, INDEX(SEGMENTS[], MATCH(CABLES[[#Headers],[SEG19]],SEGMENTS[SEG_ID],0),4),0)</f>
        <v>0</v>
      </c>
      <c r="CF38" s="9">
        <f>IF(CABLES[[#This Row],[SEG20]] &gt;0, INDEX(SEGMENTS[], MATCH(CABLES[[#Headers],[SEG20]],SEGMENTS[SEG_ID],0),4),0)</f>
        <v>0</v>
      </c>
      <c r="CG38" s="9">
        <f xml:space="preserve"> IF(CABLES[[#This Row],[SEG21]] &gt;0,INDEX(SEGMENTS[], MATCH(CABLES[[#Headers],[SEG21]],SEGMENTS[SEG_ID],0),4),0)</f>
        <v>0</v>
      </c>
      <c r="CH38" s="9">
        <f xml:space="preserve"> IF(CABLES[[#This Row],[SEG22]] &gt;0,INDEX(SEGMENTS[], MATCH(CABLES[[#Headers],[SEG22]],SEGMENTS[SEG_ID],0),4),0)</f>
        <v>0</v>
      </c>
      <c r="CI38" s="9">
        <f>IF(CABLES[[#This Row],[SEG23]] &gt;0, INDEX(SEGMENTS[], MATCH(CABLES[[#Headers],[SEG23]],SEGMENTS[SEG_ID],0),4),0)</f>
        <v>0</v>
      </c>
      <c r="CJ38" s="9">
        <f xml:space="preserve"> IF(CABLES[[#This Row],[SEG24]] &gt;0,INDEX(SEGMENTS[], MATCH(CABLES[[#Headers],[SEG24]],SEGMENTS[SEG_ID],0),4),0)</f>
        <v>0</v>
      </c>
      <c r="CK38" s="9">
        <f>IF(CABLES[[#This Row],[SEG25]] &gt;0, INDEX(SEGMENTS[], MATCH(CABLES[[#Headers],[SEG25]],SEGMENTS[SEG_ID],0),4),0)</f>
        <v>0</v>
      </c>
      <c r="CL38" s="9">
        <f>IF(CABLES[[#This Row],[SEG26]] &gt;0, INDEX(SEGMENTS[], MATCH(CABLES[[#Headers],[SEG26]],SEGMENTS[SEG_ID],0),4),0)</f>
        <v>0</v>
      </c>
      <c r="CM38" s="9">
        <f xml:space="preserve"> IF(CABLES[[#This Row],[SEG27]] &gt;0,INDEX(SEGMENTS[], MATCH(CABLES[[#Headers],[SEG27]],SEGMENTS[SEG_ID],0),4),0)</f>
        <v>0</v>
      </c>
      <c r="CN38" s="9">
        <f xml:space="preserve"> IF(CABLES[[#This Row],[SEG28]] &gt;0,INDEX(SEGMENTS[], MATCH(CABLES[[#Headers],[SEG28]],SEGMENTS[SEG_ID],0),4),0)</f>
        <v>0</v>
      </c>
      <c r="CO38" s="9">
        <f xml:space="preserve"> IF(CABLES[[#This Row],[SEG29]] &gt;0,INDEX(SEGMENTS[], MATCH(CABLES[[#Headers],[SEG29]],SEGMENTS[SEG_ID],0),4),0)</f>
        <v>0</v>
      </c>
      <c r="CP38" s="9">
        <f xml:space="preserve"> IF(CABLES[[#This Row],[SEG30]] &gt;0,INDEX(SEGMENTS[], MATCH(CABLES[[#Headers],[SEG30]],SEGMENTS[SEG_ID],0),4),0)</f>
        <v>6</v>
      </c>
      <c r="CQ38" s="9">
        <f>IF(CABLES[[#This Row],[SEG31]] &gt;0, INDEX(SEGMENTS[], MATCH(CABLES[[#Headers],[SEG31]],SEGMENTS[SEG_ID],0),4),0)</f>
        <v>3</v>
      </c>
      <c r="CR38" s="9">
        <f xml:space="preserve"> IF(CABLES[[#This Row],[SEG32]] &gt;0,INDEX(SEGMENTS[], MATCH(CABLES[[#Headers],[SEG32]],SEGMENTS[SEG_ID],0),4),0)</f>
        <v>5</v>
      </c>
      <c r="CS38" s="9">
        <f xml:space="preserve"> IF(CABLES[[#This Row],[SEG33]] &gt;0,INDEX(SEGMENTS[], MATCH(CABLES[[#Headers],[SEG33]],SEGMENTS[SEG_ID],0),4),0)</f>
        <v>0</v>
      </c>
      <c r="CT38" s="9">
        <f>IF(CABLES[[#This Row],[SEG34]] &gt;0, INDEX(SEGMENTS[], MATCH(CABLES[[#Headers],[SEG34]],SEGMENTS[SEG_ID],0),4),0)</f>
        <v>7</v>
      </c>
      <c r="CU38" s="9">
        <f xml:space="preserve"> IF(CABLES[[#This Row],[SEG35]] &gt;0,INDEX(SEGMENTS[], MATCH(CABLES[[#Headers],[SEG35]],SEGMENTS[SEG_ID],0),4),0)</f>
        <v>7</v>
      </c>
      <c r="CV38" s="9">
        <f xml:space="preserve"> IF(CABLES[[#This Row],[SEG36]] &gt;0,INDEX(SEGMENTS[], MATCH(CABLES[[#Headers],[SEG36]],SEGMENTS[SEG_ID],0),4),0)</f>
        <v>9</v>
      </c>
      <c r="CW38" s="9">
        <f xml:space="preserve"> IF(CABLES[[#This Row],[SEG37]] &gt;0,INDEX(SEGMENTS[], MATCH(CABLES[[#Headers],[SEG37]],SEGMENTS[SEG_ID],0),4),0)</f>
        <v>0</v>
      </c>
      <c r="CX38" s="9">
        <f xml:space="preserve"> IF(CABLES[[#This Row],[SEG38]] &gt;0,INDEX(SEGMENTS[], MATCH(CABLES[[#Headers],[SEG38]],SEGMENTS[SEG_ID],0),4),0)</f>
        <v>0</v>
      </c>
      <c r="CY38" s="9">
        <f xml:space="preserve"> IF(CABLES[[#This Row],[SEG39]] &gt;0,INDEX(SEGMENTS[], MATCH(CABLES[[#Headers],[SEG39]],SEGMENTS[SEG_ID],0),4),0)</f>
        <v>0</v>
      </c>
      <c r="CZ38" s="9">
        <f xml:space="preserve"> IF(CABLES[[#This Row],[SEG40]] &gt;0,INDEX(SEGMENTS[], MATCH(CABLES[[#Headers],[SEG40]],SEGMENTS[SEG_ID],0),4),0)</f>
        <v>0</v>
      </c>
      <c r="DA38" s="9">
        <f xml:space="preserve"> IF(CABLES[[#This Row],[SEG41]] &gt;0,INDEX(SEGMENTS[], MATCH(CABLES[[#Headers],[SEG41]],SEGMENTS[SEG_ID],0),4),0)</f>
        <v>0</v>
      </c>
      <c r="DB38" s="9">
        <f xml:space="preserve"> IF(CABLES[[#This Row],[SEG42]] &gt;0,INDEX(SEGMENTS[], MATCH(CABLES[[#Headers],[SEG42]],SEGMENTS[SEG_ID],0),4),0)</f>
        <v>0</v>
      </c>
      <c r="DC38" s="9">
        <f xml:space="preserve"> IF(CABLES[[#This Row],[SEG43]] &gt;0,INDEX(SEGMENTS[], MATCH(CABLES[[#Headers],[SEG43]],SEGMENTS[SEG_ID],0),4),0)</f>
        <v>0</v>
      </c>
      <c r="DD38" s="9">
        <f xml:space="preserve"> IF(CABLES[[#This Row],[SEG44]] &gt;0,INDEX(SEGMENTS[], MATCH(CABLES[[#Headers],[SEG44]],SEGMENTS[SEG_ID],0),4),0)</f>
        <v>0</v>
      </c>
      <c r="DE38" s="9">
        <f xml:space="preserve"> IF(CABLES[[#This Row],[SEG45]] &gt;0,INDEX(SEGMENTS[], MATCH(CABLES[[#Headers],[SEG45]],SEGMENTS[SEG_ID],0),4),0)</f>
        <v>0</v>
      </c>
      <c r="DF38" s="9">
        <f xml:space="preserve"> IF(CABLES[[#This Row],[SEG46]] &gt;0,INDEX(SEGMENTS[], MATCH(CABLES[[#Headers],[SEG46]],SEGMENTS[SEG_ID],0),4),0)</f>
        <v>0</v>
      </c>
      <c r="DG38" s="9">
        <f xml:space="preserve"> IF(CABLES[[#This Row],[SEG47]] &gt;0,INDEX(SEGMENTS[], MATCH(CABLES[[#Headers],[SEG47]],SEGMENTS[SEG_ID],0),4),0)</f>
        <v>0</v>
      </c>
      <c r="DH38" s="9">
        <f xml:space="preserve"> IF(CABLES[[#This Row],[SEG48]] &gt;0,INDEX(SEGMENTS[], MATCH(CABLES[[#Headers],[SEG48]],SEGMENTS[SEG_ID],0),4),0)</f>
        <v>0</v>
      </c>
      <c r="DI38" s="9">
        <f xml:space="preserve"> IF(CABLES[[#This Row],[SEG49]] &gt;0,INDEX(SEGMENTS[], MATCH(CABLES[[#Headers],[SEG49]],SEGMENTS[SEG_ID],0),4),0)</f>
        <v>0</v>
      </c>
      <c r="DJ38" s="9">
        <f xml:space="preserve"> IF(CABLES[[#This Row],[SEG50]] &gt;0,INDEX(SEGMENTS[], MATCH(CABLES[[#Headers],[SEG50]],SEGMENTS[SEG_ID],0),4),0)</f>
        <v>0</v>
      </c>
      <c r="DK38" s="9">
        <f xml:space="preserve"> IF(CABLES[[#This Row],[SEG51]] &gt;0,INDEX(SEGMENTS[], MATCH(CABLES[[#Headers],[SEG51]],SEGMENTS[SEG_ID],0),4),0)</f>
        <v>0</v>
      </c>
      <c r="DL38" s="9">
        <f xml:space="preserve"> IF(CABLES[[#This Row],[SEG52]] &gt;0,INDEX(SEGMENTS[], MATCH(CABLES[[#Headers],[SEG52]],SEGMENTS[SEG_ID],0),4),0)</f>
        <v>0</v>
      </c>
      <c r="DM38" s="9">
        <f xml:space="preserve"> IF(CABLES[[#This Row],[SEG53]] &gt;0,INDEX(SEGMENTS[], MATCH(CABLES[[#Headers],[SEG53]],SEGMENTS[SEG_ID],0),4),0)</f>
        <v>0</v>
      </c>
      <c r="DN38" s="9">
        <f xml:space="preserve"> IF(CABLES[[#This Row],[SEG54]] &gt;0,INDEX(SEGMENTS[], MATCH(CABLES[[#Headers],[SEG54]],SEGMENTS[SEG_ID],0),4),0)</f>
        <v>0</v>
      </c>
      <c r="DO38" s="9">
        <f xml:space="preserve"> IF(CABLES[[#This Row],[SEG55]] &gt;0,INDEX(SEGMENTS[], MATCH(CABLES[[#Headers],[SEG55]],SEGMENTS[SEG_ID],0),4),0)</f>
        <v>0</v>
      </c>
      <c r="DP38" s="9">
        <f xml:space="preserve"> IF(CABLES[[#This Row],[SEG56]] &gt;0,INDEX(SEGMENTS[], MATCH(CABLES[[#Headers],[SEG56]],SEGMENTS[SEG_ID],0),4),0)</f>
        <v>0</v>
      </c>
      <c r="DQ38" s="9">
        <f xml:space="preserve"> IF(CABLES[[#This Row],[SEG57]] &gt;0,INDEX(SEGMENTS[], MATCH(CABLES[[#Headers],[SEG57]],SEGMENTS[SEG_ID],0),4),0)</f>
        <v>0</v>
      </c>
      <c r="DR38" s="9">
        <f xml:space="preserve"> IF(CABLES[[#This Row],[SEG58]] &gt;0,INDEX(SEGMENTS[], MATCH(CABLES[[#Headers],[SEG58]],SEGMENTS[SEG_ID],0),4),0)</f>
        <v>0</v>
      </c>
      <c r="DS38" s="9">
        <f xml:space="preserve"> IF(CABLES[[#This Row],[SEG59]] &gt;0,INDEX(SEGMENTS[], MATCH(CABLES[[#Headers],[SEG59]],SEGMENTS[SEG_ID],0),4),0)</f>
        <v>0</v>
      </c>
      <c r="DT38" s="9">
        <f xml:space="preserve"> IF(CABLES[[#This Row],[SEG60]] &gt;0,INDEX(SEGMENTS[], MATCH(CABLES[[#Headers],[SEG60]],SEGMENTS[SEG_ID],0),4),0)</f>
        <v>0</v>
      </c>
      <c r="DU38" s="10">
        <f>SUM(CABLES[[#This Row],[SEGL1]:[SEGL60]])</f>
        <v>37</v>
      </c>
      <c r="DV38" s="10">
        <v>5</v>
      </c>
      <c r="DW38" s="10">
        <v>1.2</v>
      </c>
      <c r="DX38" s="10">
        <f xml:space="preserve"> IF(CABLES[[#This Row],[SEGL_TOTAL]]&gt;0, (CABLES[[#This Row],[SEGL_TOTAL]] + CABLES[[#This Row],[FITOFF]]) *CABLES[[#This Row],[XCAPACITY]],0)</f>
        <v>50.4</v>
      </c>
      <c r="DY38" s="10">
        <f>IF(CABLES[[#This Row],[SEG1]]&gt;0,CABLES[[#This Row],[CABLE_DIAMETER]],0)</f>
        <v>0</v>
      </c>
      <c r="DZ38" s="10">
        <f>IF(CABLES[[#This Row],[SEG2]]&gt;0,CABLES[[#This Row],[CABLE_DIAMETER]],0)</f>
        <v>0</v>
      </c>
      <c r="EA38" s="10">
        <f>IF(CABLES[[#This Row],[SEG3]]&gt;0,CABLES[[#This Row],[CABLE_DIAMETER]],0)</f>
        <v>0</v>
      </c>
      <c r="EB38" s="10">
        <f>IF(CABLES[[#This Row],[SEG4]]&gt;0,CABLES[[#This Row],[CABLE_DIAMETER]],0)</f>
        <v>0</v>
      </c>
      <c r="EC38" s="10">
        <f>IF(CABLES[[#This Row],[SEG5]]&gt;0,CABLES[[#This Row],[CABLE_DIAMETER]],0)</f>
        <v>0</v>
      </c>
      <c r="ED38" s="10">
        <f>IF(CABLES[[#This Row],[SEG6]]&gt;0,CABLES[[#This Row],[CABLE_DIAMETER]],0)</f>
        <v>0</v>
      </c>
      <c r="EE38" s="10">
        <f>IF(CABLES[[#This Row],[SEG7]]&gt;0,CABLES[[#This Row],[CABLE_DIAMETER]],0)</f>
        <v>0</v>
      </c>
      <c r="EF38" s="10">
        <f>IF(CABLES[[#This Row],[SEG9]]&gt;0,CABLES[[#This Row],[CABLE_DIAMETER]],0)</f>
        <v>0</v>
      </c>
      <c r="EG38" s="10">
        <f>IF(CABLES[[#This Row],[SEG9]]&gt;0,CABLES[[#This Row],[CABLE_DIAMETER]],0)</f>
        <v>0</v>
      </c>
      <c r="EH38" s="10">
        <f>IF(CABLES[[#This Row],[SEG10]]&gt;0,CABLES[[#This Row],[CABLE_DIAMETER]],0)</f>
        <v>0</v>
      </c>
      <c r="EI38" s="10">
        <f>IF(CABLES[[#This Row],[SEG11]]&gt;0,CABLES[[#This Row],[CABLE_DIAMETER]],0)</f>
        <v>0</v>
      </c>
      <c r="EJ38" s="10">
        <f>IF(CABLES[[#This Row],[SEG12]]&gt;0,CABLES[[#This Row],[CABLE_DIAMETER]],0)</f>
        <v>0</v>
      </c>
      <c r="EK38" s="10">
        <f>IF(CABLES[[#This Row],[SEG13]]&gt;0,CABLES[[#This Row],[CABLE_DIAMETER]],0)</f>
        <v>0</v>
      </c>
      <c r="EL38" s="10">
        <f>IF(CABLES[[#This Row],[SEG14]]&gt;0,CABLES[[#This Row],[CABLE_DIAMETER]],0)</f>
        <v>0</v>
      </c>
      <c r="EM38" s="10">
        <f>IF(CABLES[[#This Row],[SEG15]]&gt;0,CABLES[[#This Row],[CABLE_DIAMETER]],0)</f>
        <v>0</v>
      </c>
      <c r="EN38" s="10">
        <f>IF(CABLES[[#This Row],[SEG16]]&gt;0,CABLES[[#This Row],[CABLE_DIAMETER]],0)</f>
        <v>0</v>
      </c>
      <c r="EO38" s="10">
        <f>IF(CABLES[[#This Row],[SEG17]]&gt;0,CABLES[[#This Row],[CABLE_DIAMETER]],0)</f>
        <v>0</v>
      </c>
      <c r="EP38" s="10">
        <f>IF(CABLES[[#This Row],[SEG18]]&gt;0,CABLES[[#This Row],[CABLE_DIAMETER]],0)</f>
        <v>0</v>
      </c>
      <c r="EQ38" s="10">
        <f>IF(CABLES[[#This Row],[SEG19]]&gt;0,CABLES[[#This Row],[CABLE_DIAMETER]],0)</f>
        <v>0</v>
      </c>
      <c r="ER38" s="10">
        <f>IF(CABLES[[#This Row],[SEG20]]&gt;0,CABLES[[#This Row],[CABLE_DIAMETER]],0)</f>
        <v>0</v>
      </c>
      <c r="ES38" s="10">
        <f>IF(CABLES[[#This Row],[SEG21]]&gt;0,CABLES[[#This Row],[CABLE_DIAMETER]],0)</f>
        <v>0</v>
      </c>
      <c r="ET38" s="10">
        <f>IF(CABLES[[#This Row],[SEG22]]&gt;0,CABLES[[#This Row],[CABLE_DIAMETER]],0)</f>
        <v>0</v>
      </c>
      <c r="EU38" s="10">
        <f>IF(CABLES[[#This Row],[SEG23]]&gt;0,CABLES[[#This Row],[CABLE_DIAMETER]],0)</f>
        <v>0</v>
      </c>
      <c r="EV38" s="10">
        <f>IF(CABLES[[#This Row],[SEG24]]&gt;0,CABLES[[#This Row],[CABLE_DIAMETER]],0)</f>
        <v>0</v>
      </c>
      <c r="EW38" s="10">
        <f>IF(CABLES[[#This Row],[SEG25]]&gt;0,CABLES[[#This Row],[CABLE_DIAMETER]],0)</f>
        <v>0</v>
      </c>
      <c r="EX38" s="10">
        <f>IF(CABLES[[#This Row],[SEG26]]&gt;0,CABLES[[#This Row],[CABLE_DIAMETER]],0)</f>
        <v>0</v>
      </c>
      <c r="EY38" s="10">
        <f>IF(CABLES[[#This Row],[SEG27]]&gt;0,CABLES[[#This Row],[CABLE_DIAMETER]],0)</f>
        <v>0</v>
      </c>
      <c r="EZ38" s="10">
        <f>IF(CABLES[[#This Row],[SEG28]]&gt;0,CABLES[[#This Row],[CABLE_DIAMETER]],0)</f>
        <v>0</v>
      </c>
      <c r="FA38" s="10">
        <f>IF(CABLES[[#This Row],[SEG29]]&gt;0,CABLES[[#This Row],[CABLE_DIAMETER]],0)</f>
        <v>0</v>
      </c>
      <c r="FB38" s="10">
        <f>IF(CABLES[[#This Row],[SEG30]]&gt;0,CABLES[[#This Row],[CABLE_DIAMETER]],0)</f>
        <v>14.5</v>
      </c>
      <c r="FC38" s="10">
        <f>IF(CABLES[[#This Row],[SEG31]]&gt;0,CABLES[[#This Row],[CABLE_DIAMETER]],0)</f>
        <v>14.5</v>
      </c>
      <c r="FD38" s="10">
        <f>IF(CABLES[[#This Row],[SEG32]]&gt;0,CABLES[[#This Row],[CABLE_DIAMETER]],0)</f>
        <v>14.5</v>
      </c>
      <c r="FE38" s="10">
        <f>IF(CABLES[[#This Row],[SEG33]]&gt;0,CABLES[[#This Row],[CABLE_DIAMETER]],0)</f>
        <v>0</v>
      </c>
      <c r="FF38" s="10">
        <f>IF(CABLES[[#This Row],[SEG34]]&gt;0,CABLES[[#This Row],[CABLE_DIAMETER]],0)</f>
        <v>14.5</v>
      </c>
      <c r="FG38" s="10">
        <f>IF(CABLES[[#This Row],[SEG35]]&gt;0,CABLES[[#This Row],[CABLE_DIAMETER]],0)</f>
        <v>14.5</v>
      </c>
      <c r="FH38" s="10">
        <f>IF(CABLES[[#This Row],[SEG36]]&gt;0,CABLES[[#This Row],[CABLE_DIAMETER]],0)</f>
        <v>14.5</v>
      </c>
      <c r="FI38" s="10">
        <f>IF(CABLES[[#This Row],[SEG37]]&gt;0,CABLES[[#This Row],[CABLE_DIAMETER]],0)</f>
        <v>0</v>
      </c>
      <c r="FJ38" s="10">
        <f>IF(CABLES[[#This Row],[SEG38]]&gt;0,CABLES[[#This Row],[CABLE_DIAMETER]],0)</f>
        <v>0</v>
      </c>
      <c r="FK38" s="10">
        <f>IF(CABLES[[#This Row],[SEG39]]&gt;0,CABLES[[#This Row],[CABLE_DIAMETER]],0)</f>
        <v>0</v>
      </c>
      <c r="FL38" s="10">
        <f>IF(CABLES[[#This Row],[SEG40]]&gt;0,CABLES[[#This Row],[CABLE_DIAMETER]],0)</f>
        <v>0</v>
      </c>
      <c r="FM38" s="10">
        <f>IF(CABLES[[#This Row],[SEG41]]&gt;0,CABLES[[#This Row],[CABLE_DIAMETER]],0)</f>
        <v>0</v>
      </c>
      <c r="FN38" s="10">
        <f>IF(CABLES[[#This Row],[SEG42]]&gt;0,CABLES[[#This Row],[CABLE_DIAMETER]],0)</f>
        <v>0</v>
      </c>
      <c r="FO38" s="10">
        <f>IF(CABLES[[#This Row],[SEG43]]&gt;0,CABLES[[#This Row],[CABLE_DIAMETER]],0)</f>
        <v>0</v>
      </c>
      <c r="FP38" s="10">
        <f>IF(CABLES[[#This Row],[SEG44]]&gt;0,CABLES[[#This Row],[CABLE_DIAMETER]],0)</f>
        <v>0</v>
      </c>
      <c r="FQ38" s="10">
        <f>IF(CABLES[[#This Row],[SEG45]]&gt;0,CABLES[[#This Row],[CABLE_DIAMETER]],0)</f>
        <v>0</v>
      </c>
      <c r="FR38" s="10">
        <f>IF(CABLES[[#This Row],[SEG46]]&gt;0,CABLES[[#This Row],[CABLE_DIAMETER]],0)</f>
        <v>0</v>
      </c>
      <c r="FS38" s="10">
        <f>IF(CABLES[[#This Row],[SEG47]]&gt;0,CABLES[[#This Row],[CABLE_DIAMETER]],0)</f>
        <v>0</v>
      </c>
      <c r="FT38" s="10">
        <f>IF(CABLES[[#This Row],[SEG48]]&gt;0,CABLES[[#This Row],[CABLE_DIAMETER]],0)</f>
        <v>0</v>
      </c>
      <c r="FU38" s="10">
        <f>IF(CABLES[[#This Row],[SEG49]]&gt;0,CABLES[[#This Row],[CABLE_DIAMETER]],0)</f>
        <v>0</v>
      </c>
      <c r="FV38" s="10">
        <f>IF(CABLES[[#This Row],[SEG50]]&gt;0,CABLES[[#This Row],[CABLE_DIAMETER]],0)</f>
        <v>0</v>
      </c>
      <c r="FW38" s="10">
        <f>IF(CABLES[[#This Row],[SEG51]]&gt;0,CABLES[[#This Row],[CABLE_DIAMETER]],0)</f>
        <v>0</v>
      </c>
      <c r="FX38" s="10">
        <f>IF(CABLES[[#This Row],[SEG52]]&gt;0,CABLES[[#This Row],[CABLE_DIAMETER]],0)</f>
        <v>0</v>
      </c>
      <c r="FY38" s="10">
        <f>IF(CABLES[[#This Row],[SEG53]]&gt;0,CABLES[[#This Row],[CABLE_DIAMETER]],0)</f>
        <v>0</v>
      </c>
      <c r="FZ38" s="10">
        <f>IF(CABLES[[#This Row],[SEG54]]&gt;0,CABLES[[#This Row],[CABLE_DIAMETER]],0)</f>
        <v>0</v>
      </c>
      <c r="GA38" s="10">
        <f>IF(CABLES[[#This Row],[SEG55]]&gt;0,CABLES[[#This Row],[CABLE_DIAMETER]],0)</f>
        <v>0</v>
      </c>
      <c r="GB38" s="10">
        <f>IF(CABLES[[#This Row],[SEG56]]&gt;0,CABLES[[#This Row],[CABLE_DIAMETER]],0)</f>
        <v>0</v>
      </c>
      <c r="GC38" s="10">
        <f>IF(CABLES[[#This Row],[SEG57]]&gt;0,CABLES[[#This Row],[CABLE_DIAMETER]],0)</f>
        <v>0</v>
      </c>
      <c r="GD38" s="10">
        <f>IF(CABLES[[#This Row],[SEG58]]&gt;0,CABLES[[#This Row],[CABLE_DIAMETER]],0)</f>
        <v>0</v>
      </c>
      <c r="GE38" s="10">
        <f>IF(CABLES[[#This Row],[SEG59]]&gt;0,CABLES[[#This Row],[CABLE_DIAMETER]],0)</f>
        <v>0</v>
      </c>
      <c r="GF38" s="10">
        <f>IF(CABLES[[#This Row],[SEG60]]&gt;0,CABLES[[#This Row],[CABLE_DIAMETER]],0)</f>
        <v>0</v>
      </c>
      <c r="GG38" s="10">
        <f>IF(CABLES[[#This Row],[SEG1]]&gt;0,CABLES[[#This Row],[CABLE_MASS]],0)</f>
        <v>0</v>
      </c>
      <c r="GH38" s="10">
        <f>IF(CABLES[[#This Row],[SEG2]]&gt;0,CABLES[[#This Row],[CABLE_MASS]],0)</f>
        <v>0</v>
      </c>
      <c r="GI38" s="10">
        <f>IF(CABLES[[#This Row],[SEG3]]&gt;0,CABLES[[#This Row],[CABLE_MASS]],0)</f>
        <v>0</v>
      </c>
      <c r="GJ38" s="10">
        <f>IF(CABLES[[#This Row],[SEG4]]&gt;0,CABLES[[#This Row],[CABLE_MASS]],0)</f>
        <v>0</v>
      </c>
      <c r="GK38" s="10">
        <f>IF(CABLES[[#This Row],[SEG5]]&gt;0,CABLES[[#This Row],[CABLE_MASS]],0)</f>
        <v>0</v>
      </c>
      <c r="GL38" s="10">
        <f>IF(CABLES[[#This Row],[SEG6]]&gt;0,CABLES[[#This Row],[CABLE_MASS]],0)</f>
        <v>0</v>
      </c>
      <c r="GM38" s="10">
        <f>IF(CABLES[[#This Row],[SEG7]]&gt;0,CABLES[[#This Row],[CABLE_MASS]],0)</f>
        <v>0</v>
      </c>
      <c r="GN38" s="10">
        <f>IF(CABLES[[#This Row],[SEG8]]&gt;0,CABLES[[#This Row],[CABLE_MASS]],0)</f>
        <v>0</v>
      </c>
      <c r="GO38" s="10">
        <f>IF(CABLES[[#This Row],[SEG9]]&gt;0,CABLES[[#This Row],[CABLE_MASS]],0)</f>
        <v>0</v>
      </c>
      <c r="GP38" s="10">
        <f>IF(CABLES[[#This Row],[SEG10]]&gt;0,CABLES[[#This Row],[CABLE_MASS]],0)</f>
        <v>0</v>
      </c>
      <c r="GQ38" s="10">
        <f>IF(CABLES[[#This Row],[SEG11]]&gt;0,CABLES[[#This Row],[CABLE_MASS]],0)</f>
        <v>0</v>
      </c>
      <c r="GR38" s="10">
        <f>IF(CABLES[[#This Row],[SEG12]]&gt;0,CABLES[[#This Row],[CABLE_MASS]],0)</f>
        <v>0</v>
      </c>
      <c r="GS38" s="10">
        <f>IF(CABLES[[#This Row],[SEG13]]&gt;0,CABLES[[#This Row],[CABLE_MASS]],0)</f>
        <v>0</v>
      </c>
      <c r="GT38" s="10">
        <f>IF(CABLES[[#This Row],[SEG14]]&gt;0,CABLES[[#This Row],[CABLE_MASS]],0)</f>
        <v>0</v>
      </c>
      <c r="GU38" s="10">
        <f>IF(CABLES[[#This Row],[SEG15]]&gt;0,CABLES[[#This Row],[CABLE_MASS]],0)</f>
        <v>0</v>
      </c>
      <c r="GV38" s="10">
        <f>IF(CABLES[[#This Row],[SEG16]]&gt;0,CABLES[[#This Row],[CABLE_MASS]],0)</f>
        <v>0</v>
      </c>
      <c r="GW38" s="10">
        <f>IF(CABLES[[#This Row],[SEG17]]&gt;0,CABLES[[#This Row],[CABLE_MASS]],0)</f>
        <v>0</v>
      </c>
      <c r="GX38" s="10">
        <f>IF(CABLES[[#This Row],[SEG18]]&gt;0,CABLES[[#This Row],[CABLE_MASS]],0)</f>
        <v>0</v>
      </c>
      <c r="GY38" s="10">
        <f>IF(CABLES[[#This Row],[SEG19]]&gt;0,CABLES[[#This Row],[CABLE_MASS]],0)</f>
        <v>0</v>
      </c>
      <c r="GZ38" s="10">
        <f>IF(CABLES[[#This Row],[SEG20]]&gt;0,CABLES[[#This Row],[CABLE_MASS]],0)</f>
        <v>0</v>
      </c>
      <c r="HA38" s="10">
        <f>IF(CABLES[[#This Row],[SEG21]]&gt;0,CABLES[[#This Row],[CABLE_MASS]],0)</f>
        <v>0</v>
      </c>
      <c r="HB38" s="10">
        <f>IF(CABLES[[#This Row],[SEG22]]&gt;0,CABLES[[#This Row],[CABLE_MASS]],0)</f>
        <v>0</v>
      </c>
      <c r="HC38" s="10">
        <f>IF(CABLES[[#This Row],[SEG23]]&gt;0,CABLES[[#This Row],[CABLE_MASS]],0)</f>
        <v>0</v>
      </c>
      <c r="HD38" s="10">
        <f>IF(CABLES[[#This Row],[SEG24]]&gt;0,CABLES[[#This Row],[CABLE_MASS]],0)</f>
        <v>0</v>
      </c>
      <c r="HE38" s="10">
        <f>IF(CABLES[[#This Row],[SEG25]]&gt;0,CABLES[[#This Row],[CABLE_MASS]],0)</f>
        <v>0</v>
      </c>
      <c r="HF38" s="10">
        <f>IF(CABLES[[#This Row],[SEG26]]&gt;0,CABLES[[#This Row],[CABLE_MASS]],0)</f>
        <v>0</v>
      </c>
      <c r="HG38" s="10">
        <f>IF(CABLES[[#This Row],[SEG27]]&gt;0,CABLES[[#This Row],[CABLE_MASS]],0)</f>
        <v>0</v>
      </c>
      <c r="HH38" s="10">
        <f>IF(CABLES[[#This Row],[SEG28]]&gt;0,CABLES[[#This Row],[CABLE_MASS]],0)</f>
        <v>0</v>
      </c>
      <c r="HI38" s="10">
        <f>IF(CABLES[[#This Row],[SEG29]]&gt;0,CABLES[[#This Row],[CABLE_MASS]],0)</f>
        <v>0</v>
      </c>
      <c r="HJ38" s="10">
        <f>IF(CABLES[[#This Row],[SEG30]]&gt;0,CABLES[[#This Row],[CABLE_MASS]],0)</f>
        <v>0.33</v>
      </c>
      <c r="HK38" s="10">
        <f>IF(CABLES[[#This Row],[SEG31]]&gt;0,CABLES[[#This Row],[CABLE_MASS]],0)</f>
        <v>0.33</v>
      </c>
      <c r="HL38" s="10">
        <f>IF(CABLES[[#This Row],[SEG32]]&gt;0,CABLES[[#This Row],[CABLE_MASS]],0)</f>
        <v>0.33</v>
      </c>
      <c r="HM38" s="10">
        <f>IF(CABLES[[#This Row],[SEG33]]&gt;0,CABLES[[#This Row],[CABLE_MASS]],0)</f>
        <v>0</v>
      </c>
      <c r="HN38" s="10">
        <f>IF(CABLES[[#This Row],[SEG34]]&gt;0,CABLES[[#This Row],[CABLE_MASS]],0)</f>
        <v>0.33</v>
      </c>
      <c r="HO38" s="10">
        <f>IF(CABLES[[#This Row],[SEG35]]&gt;0,CABLES[[#This Row],[CABLE_MASS]],0)</f>
        <v>0.33</v>
      </c>
      <c r="HP38" s="10">
        <f>IF(CABLES[[#This Row],[SEG36]]&gt;0,CABLES[[#This Row],[CABLE_MASS]],0)</f>
        <v>0.33</v>
      </c>
      <c r="HQ38" s="10">
        <f>IF(CABLES[[#This Row],[SEG37]]&gt;0,CABLES[[#This Row],[CABLE_MASS]],0)</f>
        <v>0</v>
      </c>
      <c r="HR38" s="10">
        <f>IF(CABLES[[#This Row],[SEG38]]&gt;0,CABLES[[#This Row],[CABLE_MASS]],0)</f>
        <v>0</v>
      </c>
      <c r="HS38" s="10">
        <f>IF(CABLES[[#This Row],[SEG39]]&gt;0,CABLES[[#This Row],[CABLE_MASS]],0)</f>
        <v>0</v>
      </c>
      <c r="HT38" s="10">
        <f>IF(CABLES[[#This Row],[SEG40]]&gt;0,CABLES[[#This Row],[CABLE_MASS]],0)</f>
        <v>0</v>
      </c>
      <c r="HU38" s="10">
        <f>IF(CABLES[[#This Row],[SEG41]]&gt;0,CABLES[[#This Row],[CABLE_MASS]],0)</f>
        <v>0</v>
      </c>
      <c r="HV38" s="10">
        <f>IF(CABLES[[#This Row],[SEG42]]&gt;0,CABLES[[#This Row],[CABLE_MASS]],0)</f>
        <v>0</v>
      </c>
      <c r="HW38" s="10">
        <f>IF(CABLES[[#This Row],[SEG43]]&gt;0,CABLES[[#This Row],[CABLE_MASS]],0)</f>
        <v>0</v>
      </c>
      <c r="HX38" s="10">
        <f>IF(CABLES[[#This Row],[SEG44]]&gt;0,CABLES[[#This Row],[CABLE_MASS]],0)</f>
        <v>0</v>
      </c>
      <c r="HY38" s="10">
        <f>IF(CABLES[[#This Row],[SEG45]]&gt;0,CABLES[[#This Row],[CABLE_MASS]],0)</f>
        <v>0</v>
      </c>
      <c r="HZ38" s="10">
        <f>IF(CABLES[[#This Row],[SEG46]]&gt;0,CABLES[[#This Row],[CABLE_MASS]],0)</f>
        <v>0</v>
      </c>
      <c r="IA38" s="10">
        <f>IF(CABLES[[#This Row],[SEG47]]&gt;0,CABLES[[#This Row],[CABLE_MASS]],0)</f>
        <v>0</v>
      </c>
      <c r="IB38" s="10">
        <f>IF(CABLES[[#This Row],[SEG48]]&gt;0,CABLES[[#This Row],[CABLE_MASS]],0)</f>
        <v>0</v>
      </c>
      <c r="IC38" s="10">
        <f>IF(CABLES[[#This Row],[SEG49]]&gt;0,CABLES[[#This Row],[CABLE_MASS]],0)</f>
        <v>0</v>
      </c>
      <c r="ID38" s="10">
        <f>IF(CABLES[[#This Row],[SEG50]]&gt;0,CABLES[[#This Row],[CABLE_MASS]],0)</f>
        <v>0</v>
      </c>
      <c r="IE38" s="10">
        <f>IF(CABLES[[#This Row],[SEG51]]&gt;0,CABLES[[#This Row],[CABLE_MASS]],0)</f>
        <v>0</v>
      </c>
      <c r="IF38" s="10">
        <f>IF(CABLES[[#This Row],[SEG52]]&gt;0,CABLES[[#This Row],[CABLE_MASS]],0)</f>
        <v>0</v>
      </c>
      <c r="IG38" s="10">
        <f>IF(CABLES[[#This Row],[SEG53]]&gt;0,CABLES[[#This Row],[CABLE_MASS]],0)</f>
        <v>0</v>
      </c>
      <c r="IH38" s="10">
        <f>IF(CABLES[[#This Row],[SEG54]]&gt;0,CABLES[[#This Row],[CABLE_MASS]],0)</f>
        <v>0</v>
      </c>
      <c r="II38" s="10">
        <f>IF(CABLES[[#This Row],[SEG55]]&gt;0,CABLES[[#This Row],[CABLE_MASS]],0)</f>
        <v>0</v>
      </c>
      <c r="IJ38" s="10">
        <f>IF(CABLES[[#This Row],[SEG56]]&gt;0,CABLES[[#This Row],[CABLE_MASS]],0)</f>
        <v>0</v>
      </c>
      <c r="IK38" s="10">
        <f>IF(CABLES[[#This Row],[SEG57]]&gt;0,CABLES[[#This Row],[CABLE_MASS]],0)</f>
        <v>0</v>
      </c>
      <c r="IL38" s="10">
        <f>IF(CABLES[[#This Row],[SEG58]]&gt;0,CABLES[[#This Row],[CABLE_MASS]],0)</f>
        <v>0</v>
      </c>
      <c r="IM38" s="10">
        <f>IF(CABLES[[#This Row],[SEG59]]&gt;0,CABLES[[#This Row],[CABLE_MASS]],0)</f>
        <v>0</v>
      </c>
      <c r="IN38" s="10">
        <f>IF(CABLES[[#This Row],[SEG60]]&gt;0,CABLES[[#This Row],[CABLE_MASS]],0)</f>
        <v>0</v>
      </c>
      <c r="IO38" s="10">
        <f xml:space="preserve">  (CABLES[[#This Row],[LOAD_KW]]/(SQRT(3)*SYSTEM_VOLTAGE*POWER_FACTOR))*1000</f>
        <v>2.4056261216234405</v>
      </c>
      <c r="IP38" s="10">
        <v>45</v>
      </c>
      <c r="IQ38" s="10">
        <f xml:space="preserve"> INDEX(AS3000_AMBIENTDERATE[], MATCH(CABLES[[#This Row],[AMBIENT]],AS3000_AMBIENTDERATE[AMBIENT],0), 2)</f>
        <v>0.94</v>
      </c>
      <c r="IR38" s="10">
        <f xml:space="preserve"> ROUNDUP( CABLES[[#This Row],[CALCULATED_AMPS]]/CABLES[[#This Row],[AMBIENT_DERATING]],1)</f>
        <v>2.6</v>
      </c>
      <c r="IS38" s="10" t="s">
        <v>531</v>
      </c>
      <c r="IT3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38" s="10">
        <f t="shared" si="1"/>
        <v>28.000000000000004</v>
      </c>
      <c r="IV38" s="10">
        <f>(1000*CABLES[[#This Row],[MAX_VDROP]])/(CABLES[[#This Row],[ESTIMATED_CABLE_LENGTH]]*CABLES[[#This Row],[AMP_RATING]])</f>
        <v>213.67521367521371</v>
      </c>
      <c r="IW38" s="10">
        <f xml:space="preserve"> INDEX(AS3000_VDROP[], MATCH(CABLES[[#This Row],[VC_CALC]],AS3000_VDROP[Vc],1),1)</f>
        <v>2.5</v>
      </c>
      <c r="IX38" s="10">
        <f>MAX(CABLES[[#This Row],[CABLESIZE_METHOD1]],CABLES[[#This Row],[CABLESIZE_METHOD2]])</f>
        <v>2.5</v>
      </c>
      <c r="IY38" s="10"/>
      <c r="IZ38" s="10">
        <f>IF(LEN(CABLES[[#This Row],[OVERRIDE_CABLESIZE]])&gt;0,CABLES[[#This Row],[OVERRIDE_CABLESIZE]],CABLES[[#This Row],[INITIAL_CABLESIZE]])</f>
        <v>2.5</v>
      </c>
      <c r="JA38" s="10">
        <f>INDEX(PROTECTIVE_DEVICE[DEVICE], MATCH(CABLES[[#This Row],[CALCULATED_AMPS]],PROTECTIVE_DEVICE[DEVICE],-1),1)</f>
        <v>6</v>
      </c>
      <c r="JB38" s="10"/>
      <c r="JC38" s="10">
        <f>IF(LEN(CABLES[[#This Row],[OVERRIDE_PDEVICE]])&gt;0, CABLES[[#This Row],[OVERRIDE_PDEVICE]],CABLES[[#This Row],[RECOMMEND_PDEVICE]])</f>
        <v>6</v>
      </c>
      <c r="JD38" s="10" t="s">
        <v>450</v>
      </c>
      <c r="JE38" s="10">
        <f xml:space="preserve"> CABLES[[#This Row],[SELECTED_PDEVICE]] * INDEX(DEVICE_CURVE[], MATCH(CABLES[[#This Row],[PDEVICE_CURVE]], DEVICE_CURVE[DEVICE_CURVE],0),2)</f>
        <v>39</v>
      </c>
      <c r="JF38" s="10" t="s">
        <v>458</v>
      </c>
      <c r="JG38" s="10">
        <f xml:space="preserve"> INDEX(CONDUCTOR_MATERIAL[], MATCH(CABLES[[#This Row],[CONDUCTOR_MATERIAL]],CONDUCTOR_MATERIAL[CONDUCTOR_MATERIAL],0),2)</f>
        <v>2.2499999999999999E-2</v>
      </c>
      <c r="JH38" s="10">
        <f>CABLES[[#This Row],[SELECTED_CABLESIZE]]</f>
        <v>2.5</v>
      </c>
      <c r="JI38" s="10">
        <f xml:space="preserve"> INDEX( EARTH_CONDUCTOR_SIZE[], MATCH(CABLES[[#This Row],[SPH]],EARTH_CONDUCTOR_SIZE[MM^2],-1), 2)</f>
        <v>2.5</v>
      </c>
      <c r="JJ38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38" s="10" t="str">
        <f>IF(CABLES[[#This Row],[LMAX]]&gt;CABLES[[#This Row],[ESTIMATED_CABLE_LENGTH]], "PASS", "ERROR")</f>
        <v>PASS</v>
      </c>
      <c r="JL3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8" s="6">
        <f xml:space="preserve"> ROUNDUP( CABLES[[#This Row],[CALCULATED_AMPS]],1)</f>
        <v>2.5</v>
      </c>
      <c r="JO38" s="6">
        <f>CABLES[[#This Row],[SELECTED_CABLESIZE]]</f>
        <v>2.5</v>
      </c>
      <c r="JP38" s="10">
        <f>CABLES[[#This Row],[ESTIMATED_CABLE_LENGTH]]</f>
        <v>50.4</v>
      </c>
      <c r="JQ38" s="6">
        <f>CABLES[[#This Row],[SELECTED_PDEVICE]]</f>
        <v>6</v>
      </c>
    </row>
    <row r="39" spans="1:277" x14ac:dyDescent="0.35">
      <c r="A39" s="5" t="s">
        <v>38</v>
      </c>
      <c r="B39" s="5" t="s">
        <v>494</v>
      </c>
      <c r="C39" s="10" t="s">
        <v>261</v>
      </c>
      <c r="D39" s="9">
        <v>1.5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1</v>
      </c>
      <c r="AI39" s="9">
        <v>1</v>
      </c>
      <c r="AJ39" s="9">
        <v>1</v>
      </c>
      <c r="AK39" s="9">
        <v>0</v>
      </c>
      <c r="AL39" s="9">
        <v>1</v>
      </c>
      <c r="AM39" s="9">
        <v>1</v>
      </c>
      <c r="AN39" s="9">
        <v>1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f xml:space="preserve"> IF(CABLES[[#This Row],[SEG1]] &gt;0, INDEX(SEGMENTS[], MATCH(CABLES[[#Headers],[SEG1]],SEGMENTS[SEG_ID],0),4),0)</f>
        <v>0</v>
      </c>
      <c r="BN39" s="9">
        <f xml:space="preserve"> IF(CABLES[[#This Row],[SEG2]] &gt;0, INDEX(SEGMENTS[], MATCH(CABLES[[#Headers],[SEG2]],SEGMENTS[SEG_ID],0),4),0)</f>
        <v>0</v>
      </c>
      <c r="BO39" s="9">
        <f xml:space="preserve"> IF(CABLES[[#This Row],[SEG3]] &gt;0, INDEX(SEGMENTS[], MATCH(CABLES[[#Headers],[SEG3]],SEGMENTS[SEG_ID],0),4),0)</f>
        <v>0</v>
      </c>
      <c r="BP39" s="9">
        <f xml:space="preserve"> IF(CABLES[[#This Row],[SEG4]] &gt;0, INDEX(SEGMENTS[], MATCH(CABLES[[#Headers],[SEG4]],SEGMENTS[SEG_ID],0),4),0)</f>
        <v>0</v>
      </c>
      <c r="BQ39" s="9">
        <f xml:space="preserve"> IF(CABLES[[#This Row],[SEG5]] &gt;0,INDEX(SEGMENTS[], MATCH(CABLES[[#Headers],[SEG5]],SEGMENTS[SEG_ID],0),4),0)</f>
        <v>0</v>
      </c>
      <c r="BR39" s="9">
        <f xml:space="preserve"> IF(CABLES[[#This Row],[SEG6]] &gt;0,INDEX(SEGMENTS[], MATCH(CABLES[[#Headers],[SEG6]],SEGMENTS[SEG_ID],0),4),0)</f>
        <v>0</v>
      </c>
      <c r="BS39" s="9">
        <f xml:space="preserve"> IF(CABLES[[#This Row],[SEG7]] &gt;0,INDEX(SEGMENTS[], MATCH(CABLES[[#Headers],[SEG7]],SEGMENTS[SEG_ID],0),4),0)</f>
        <v>0</v>
      </c>
      <c r="BT39" s="9">
        <f xml:space="preserve"> IF(CABLES[[#This Row],[SEG8]] &gt;0,INDEX(SEGMENTS[], MATCH(CABLES[[#Headers],[SEG8]],SEGMENTS[SEG_ID],0),4),0)</f>
        <v>0</v>
      </c>
      <c r="BU39" s="9">
        <f xml:space="preserve"> IF(CABLES[[#This Row],[SEG9]] &gt;0,INDEX(SEGMENTS[], MATCH(CABLES[[#Headers],[SEG9]],SEGMENTS[SEG_ID],0),4),0)</f>
        <v>0</v>
      </c>
      <c r="BV39" s="9">
        <f xml:space="preserve"> IF(CABLES[[#This Row],[SEG10]] &gt;0,INDEX(SEGMENTS[], MATCH(CABLES[[#Headers],[SEG10]],SEGMENTS[SEG_ID],0),4),0)</f>
        <v>0</v>
      </c>
      <c r="BW39" s="9">
        <f xml:space="preserve"> IF(CABLES[[#This Row],[SEG11]] &gt;0,INDEX(SEGMENTS[], MATCH(CABLES[[#Headers],[SEG11]],SEGMENTS[SEG_ID],0),4),0)</f>
        <v>0</v>
      </c>
      <c r="BX39" s="9">
        <f>IF(CABLES[[#This Row],[SEG12]] &gt;0, INDEX(SEGMENTS[], MATCH(CABLES[[#Headers],[SEG12]],SEGMENTS[SEG_ID],0),4),0)</f>
        <v>0</v>
      </c>
      <c r="BY39" s="9">
        <f xml:space="preserve"> IF(CABLES[[#This Row],[SEG13]] &gt;0,INDEX(SEGMENTS[], MATCH(CABLES[[#Headers],[SEG13]],SEGMENTS[SEG_ID],0),4),0)</f>
        <v>0</v>
      </c>
      <c r="BZ39" s="9">
        <f xml:space="preserve"> IF(CABLES[[#This Row],[SEG14]] &gt;0,INDEX(SEGMENTS[], MATCH(CABLES[[#Headers],[SEG14]],SEGMENTS[SEG_ID],0),4),0)</f>
        <v>0</v>
      </c>
      <c r="CA39" s="9">
        <f xml:space="preserve"> IF(CABLES[[#This Row],[SEG15]] &gt;0,INDEX(SEGMENTS[], MATCH(CABLES[[#Headers],[SEG15]],SEGMENTS[SEG_ID],0),4),0)</f>
        <v>0</v>
      </c>
      <c r="CB39" s="9">
        <f xml:space="preserve"> IF(CABLES[[#This Row],[SEG16]] &gt;0,INDEX(SEGMENTS[], MATCH(CABLES[[#Headers],[SEG16]],SEGMENTS[SEG_ID],0),4),0)</f>
        <v>0</v>
      </c>
      <c r="CC39" s="9">
        <f xml:space="preserve"> IF(CABLES[[#This Row],[SEG17]] &gt;0,INDEX(SEGMENTS[], MATCH(CABLES[[#Headers],[SEG17]],SEGMENTS[SEG_ID],0),4),0)</f>
        <v>0</v>
      </c>
      <c r="CD39" s="9">
        <f xml:space="preserve"> IF(CABLES[[#This Row],[SEG18]] &gt;0,INDEX(SEGMENTS[], MATCH(CABLES[[#Headers],[SEG18]],SEGMENTS[SEG_ID],0),4),0)</f>
        <v>0</v>
      </c>
      <c r="CE39" s="9">
        <f>IF(CABLES[[#This Row],[SEG19]] &gt;0, INDEX(SEGMENTS[], MATCH(CABLES[[#Headers],[SEG19]],SEGMENTS[SEG_ID],0),4),0)</f>
        <v>0</v>
      </c>
      <c r="CF39" s="9">
        <f>IF(CABLES[[#This Row],[SEG20]] &gt;0, INDEX(SEGMENTS[], MATCH(CABLES[[#Headers],[SEG20]],SEGMENTS[SEG_ID],0),4),0)</f>
        <v>0</v>
      </c>
      <c r="CG39" s="9">
        <f xml:space="preserve"> IF(CABLES[[#This Row],[SEG21]] &gt;0,INDEX(SEGMENTS[], MATCH(CABLES[[#Headers],[SEG21]],SEGMENTS[SEG_ID],0),4),0)</f>
        <v>0</v>
      </c>
      <c r="CH39" s="9">
        <f xml:space="preserve"> IF(CABLES[[#This Row],[SEG22]] &gt;0,INDEX(SEGMENTS[], MATCH(CABLES[[#Headers],[SEG22]],SEGMENTS[SEG_ID],0),4),0)</f>
        <v>0</v>
      </c>
      <c r="CI39" s="9">
        <f>IF(CABLES[[#This Row],[SEG23]] &gt;0, INDEX(SEGMENTS[], MATCH(CABLES[[#Headers],[SEG23]],SEGMENTS[SEG_ID],0),4),0)</f>
        <v>0</v>
      </c>
      <c r="CJ39" s="9">
        <f xml:space="preserve"> IF(CABLES[[#This Row],[SEG24]] &gt;0,INDEX(SEGMENTS[], MATCH(CABLES[[#Headers],[SEG24]],SEGMENTS[SEG_ID],0),4),0)</f>
        <v>0</v>
      </c>
      <c r="CK39" s="9">
        <f>IF(CABLES[[#This Row],[SEG25]] &gt;0, INDEX(SEGMENTS[], MATCH(CABLES[[#Headers],[SEG25]],SEGMENTS[SEG_ID],0),4),0)</f>
        <v>0</v>
      </c>
      <c r="CL39" s="9">
        <f>IF(CABLES[[#This Row],[SEG26]] &gt;0, INDEX(SEGMENTS[], MATCH(CABLES[[#Headers],[SEG26]],SEGMENTS[SEG_ID],0),4),0)</f>
        <v>0</v>
      </c>
      <c r="CM39" s="9">
        <f xml:space="preserve"> IF(CABLES[[#This Row],[SEG27]] &gt;0,INDEX(SEGMENTS[], MATCH(CABLES[[#Headers],[SEG27]],SEGMENTS[SEG_ID],0),4),0)</f>
        <v>0</v>
      </c>
      <c r="CN39" s="9">
        <f xml:space="preserve"> IF(CABLES[[#This Row],[SEG28]] &gt;0,INDEX(SEGMENTS[], MATCH(CABLES[[#Headers],[SEG28]],SEGMENTS[SEG_ID],0),4),0)</f>
        <v>0</v>
      </c>
      <c r="CO39" s="9">
        <f xml:space="preserve"> IF(CABLES[[#This Row],[SEG29]] &gt;0,INDEX(SEGMENTS[], MATCH(CABLES[[#Headers],[SEG29]],SEGMENTS[SEG_ID],0),4),0)</f>
        <v>0</v>
      </c>
      <c r="CP39" s="9">
        <f xml:space="preserve"> IF(CABLES[[#This Row],[SEG30]] &gt;0,INDEX(SEGMENTS[], MATCH(CABLES[[#Headers],[SEG30]],SEGMENTS[SEG_ID],0),4),0)</f>
        <v>6</v>
      </c>
      <c r="CQ39" s="9">
        <f>IF(CABLES[[#This Row],[SEG31]] &gt;0, INDEX(SEGMENTS[], MATCH(CABLES[[#Headers],[SEG31]],SEGMENTS[SEG_ID],0),4),0)</f>
        <v>3</v>
      </c>
      <c r="CR39" s="9">
        <f xml:space="preserve"> IF(CABLES[[#This Row],[SEG32]] &gt;0,INDEX(SEGMENTS[], MATCH(CABLES[[#Headers],[SEG32]],SEGMENTS[SEG_ID],0),4),0)</f>
        <v>5</v>
      </c>
      <c r="CS39" s="9">
        <f xml:space="preserve"> IF(CABLES[[#This Row],[SEG33]] &gt;0,INDEX(SEGMENTS[], MATCH(CABLES[[#Headers],[SEG33]],SEGMENTS[SEG_ID],0),4),0)</f>
        <v>0</v>
      </c>
      <c r="CT39" s="9">
        <f>IF(CABLES[[#This Row],[SEG34]] &gt;0, INDEX(SEGMENTS[], MATCH(CABLES[[#Headers],[SEG34]],SEGMENTS[SEG_ID],0),4),0)</f>
        <v>7</v>
      </c>
      <c r="CU39" s="9">
        <f xml:space="preserve"> IF(CABLES[[#This Row],[SEG35]] &gt;0,INDEX(SEGMENTS[], MATCH(CABLES[[#Headers],[SEG35]],SEGMENTS[SEG_ID],0),4),0)</f>
        <v>7</v>
      </c>
      <c r="CV39" s="9">
        <f xml:space="preserve"> IF(CABLES[[#This Row],[SEG36]] &gt;0,INDEX(SEGMENTS[], MATCH(CABLES[[#Headers],[SEG36]],SEGMENTS[SEG_ID],0),4),0)</f>
        <v>9</v>
      </c>
      <c r="CW39" s="9">
        <f xml:space="preserve"> IF(CABLES[[#This Row],[SEG37]] &gt;0,INDEX(SEGMENTS[], MATCH(CABLES[[#Headers],[SEG37]],SEGMENTS[SEG_ID],0),4),0)</f>
        <v>0</v>
      </c>
      <c r="CX39" s="9">
        <f xml:space="preserve"> IF(CABLES[[#This Row],[SEG38]] &gt;0,INDEX(SEGMENTS[], MATCH(CABLES[[#Headers],[SEG38]],SEGMENTS[SEG_ID],0),4),0)</f>
        <v>0</v>
      </c>
      <c r="CY39" s="9">
        <f xml:space="preserve"> IF(CABLES[[#This Row],[SEG39]] &gt;0,INDEX(SEGMENTS[], MATCH(CABLES[[#Headers],[SEG39]],SEGMENTS[SEG_ID],0),4),0)</f>
        <v>0</v>
      </c>
      <c r="CZ39" s="9">
        <f xml:space="preserve"> IF(CABLES[[#This Row],[SEG40]] &gt;0,INDEX(SEGMENTS[], MATCH(CABLES[[#Headers],[SEG40]],SEGMENTS[SEG_ID],0),4),0)</f>
        <v>0</v>
      </c>
      <c r="DA39" s="9">
        <f xml:space="preserve"> IF(CABLES[[#This Row],[SEG41]] &gt;0,INDEX(SEGMENTS[], MATCH(CABLES[[#Headers],[SEG41]],SEGMENTS[SEG_ID],0),4),0)</f>
        <v>0</v>
      </c>
      <c r="DB39" s="9">
        <f xml:space="preserve"> IF(CABLES[[#This Row],[SEG42]] &gt;0,INDEX(SEGMENTS[], MATCH(CABLES[[#Headers],[SEG42]],SEGMENTS[SEG_ID],0),4),0)</f>
        <v>0</v>
      </c>
      <c r="DC39" s="9">
        <f xml:space="preserve"> IF(CABLES[[#This Row],[SEG43]] &gt;0,INDEX(SEGMENTS[], MATCH(CABLES[[#Headers],[SEG43]],SEGMENTS[SEG_ID],0),4),0)</f>
        <v>0</v>
      </c>
      <c r="DD39" s="9">
        <f xml:space="preserve"> IF(CABLES[[#This Row],[SEG44]] &gt;0,INDEX(SEGMENTS[], MATCH(CABLES[[#Headers],[SEG44]],SEGMENTS[SEG_ID],0),4),0)</f>
        <v>0</v>
      </c>
      <c r="DE39" s="9">
        <f xml:space="preserve"> IF(CABLES[[#This Row],[SEG45]] &gt;0,INDEX(SEGMENTS[], MATCH(CABLES[[#Headers],[SEG45]],SEGMENTS[SEG_ID],0),4),0)</f>
        <v>0</v>
      </c>
      <c r="DF39" s="9">
        <f xml:space="preserve"> IF(CABLES[[#This Row],[SEG46]] &gt;0,INDEX(SEGMENTS[], MATCH(CABLES[[#Headers],[SEG46]],SEGMENTS[SEG_ID],0),4),0)</f>
        <v>0</v>
      </c>
      <c r="DG39" s="9">
        <f xml:space="preserve"> IF(CABLES[[#This Row],[SEG47]] &gt;0,INDEX(SEGMENTS[], MATCH(CABLES[[#Headers],[SEG47]],SEGMENTS[SEG_ID],0),4),0)</f>
        <v>0</v>
      </c>
      <c r="DH39" s="9">
        <f xml:space="preserve"> IF(CABLES[[#This Row],[SEG48]] &gt;0,INDEX(SEGMENTS[], MATCH(CABLES[[#Headers],[SEG48]],SEGMENTS[SEG_ID],0),4),0)</f>
        <v>0</v>
      </c>
      <c r="DI39" s="9">
        <f xml:space="preserve"> IF(CABLES[[#This Row],[SEG49]] &gt;0,INDEX(SEGMENTS[], MATCH(CABLES[[#Headers],[SEG49]],SEGMENTS[SEG_ID],0),4),0)</f>
        <v>0</v>
      </c>
      <c r="DJ39" s="9">
        <f xml:space="preserve"> IF(CABLES[[#This Row],[SEG50]] &gt;0,INDEX(SEGMENTS[], MATCH(CABLES[[#Headers],[SEG50]],SEGMENTS[SEG_ID],0),4),0)</f>
        <v>0</v>
      </c>
      <c r="DK39" s="9">
        <f xml:space="preserve"> IF(CABLES[[#This Row],[SEG51]] &gt;0,INDEX(SEGMENTS[], MATCH(CABLES[[#Headers],[SEG51]],SEGMENTS[SEG_ID],0),4),0)</f>
        <v>0</v>
      </c>
      <c r="DL39" s="9">
        <f xml:space="preserve"> IF(CABLES[[#This Row],[SEG52]] &gt;0,INDEX(SEGMENTS[], MATCH(CABLES[[#Headers],[SEG52]],SEGMENTS[SEG_ID],0),4),0)</f>
        <v>0</v>
      </c>
      <c r="DM39" s="9">
        <f xml:space="preserve"> IF(CABLES[[#This Row],[SEG53]] &gt;0,INDEX(SEGMENTS[], MATCH(CABLES[[#Headers],[SEG53]],SEGMENTS[SEG_ID],0),4),0)</f>
        <v>0</v>
      </c>
      <c r="DN39" s="9">
        <f xml:space="preserve"> IF(CABLES[[#This Row],[SEG54]] &gt;0,INDEX(SEGMENTS[], MATCH(CABLES[[#Headers],[SEG54]],SEGMENTS[SEG_ID],0),4),0)</f>
        <v>0</v>
      </c>
      <c r="DO39" s="9">
        <f xml:space="preserve"> IF(CABLES[[#This Row],[SEG55]] &gt;0,INDEX(SEGMENTS[], MATCH(CABLES[[#Headers],[SEG55]],SEGMENTS[SEG_ID],0),4),0)</f>
        <v>0</v>
      </c>
      <c r="DP39" s="9">
        <f xml:space="preserve"> IF(CABLES[[#This Row],[SEG56]] &gt;0,INDEX(SEGMENTS[], MATCH(CABLES[[#Headers],[SEG56]],SEGMENTS[SEG_ID],0),4),0)</f>
        <v>0</v>
      </c>
      <c r="DQ39" s="9">
        <f xml:space="preserve"> IF(CABLES[[#This Row],[SEG57]] &gt;0,INDEX(SEGMENTS[], MATCH(CABLES[[#Headers],[SEG57]],SEGMENTS[SEG_ID],0),4),0)</f>
        <v>0</v>
      </c>
      <c r="DR39" s="9">
        <f xml:space="preserve"> IF(CABLES[[#This Row],[SEG58]] &gt;0,INDEX(SEGMENTS[], MATCH(CABLES[[#Headers],[SEG58]],SEGMENTS[SEG_ID],0),4),0)</f>
        <v>0</v>
      </c>
      <c r="DS39" s="9">
        <f xml:space="preserve"> IF(CABLES[[#This Row],[SEG59]] &gt;0,INDEX(SEGMENTS[], MATCH(CABLES[[#Headers],[SEG59]],SEGMENTS[SEG_ID],0),4),0)</f>
        <v>0</v>
      </c>
      <c r="DT39" s="9">
        <f xml:space="preserve"> IF(CABLES[[#This Row],[SEG60]] &gt;0,INDEX(SEGMENTS[], MATCH(CABLES[[#Headers],[SEG60]],SEGMENTS[SEG_ID],0),4),0)</f>
        <v>0</v>
      </c>
      <c r="DU39" s="10">
        <f>SUM(CABLES[[#This Row],[SEGL1]:[SEGL60]])</f>
        <v>37</v>
      </c>
      <c r="DV39" s="10">
        <v>5</v>
      </c>
      <c r="DW39" s="10">
        <v>1.2</v>
      </c>
      <c r="DX39" s="10">
        <f xml:space="preserve"> IF(CABLES[[#This Row],[SEGL_TOTAL]]&gt;0, (CABLES[[#This Row],[SEGL_TOTAL]] + CABLES[[#This Row],[FITOFF]]) *CABLES[[#This Row],[XCAPACITY]],0)</f>
        <v>50.4</v>
      </c>
      <c r="DY39" s="10">
        <f>IF(CABLES[[#This Row],[SEG1]]&gt;0,CABLES[[#This Row],[CABLE_DIAMETER]],0)</f>
        <v>0</v>
      </c>
      <c r="DZ39" s="10">
        <f>IF(CABLES[[#This Row],[SEG2]]&gt;0,CABLES[[#This Row],[CABLE_DIAMETER]],0)</f>
        <v>0</v>
      </c>
      <c r="EA39" s="10">
        <f>IF(CABLES[[#This Row],[SEG3]]&gt;0,CABLES[[#This Row],[CABLE_DIAMETER]],0)</f>
        <v>0</v>
      </c>
      <c r="EB39" s="10">
        <f>IF(CABLES[[#This Row],[SEG4]]&gt;0,CABLES[[#This Row],[CABLE_DIAMETER]],0)</f>
        <v>0</v>
      </c>
      <c r="EC39" s="10">
        <f>IF(CABLES[[#This Row],[SEG5]]&gt;0,CABLES[[#This Row],[CABLE_DIAMETER]],0)</f>
        <v>0</v>
      </c>
      <c r="ED39" s="10">
        <f>IF(CABLES[[#This Row],[SEG6]]&gt;0,CABLES[[#This Row],[CABLE_DIAMETER]],0)</f>
        <v>0</v>
      </c>
      <c r="EE39" s="10">
        <f>IF(CABLES[[#This Row],[SEG7]]&gt;0,CABLES[[#This Row],[CABLE_DIAMETER]],0)</f>
        <v>0</v>
      </c>
      <c r="EF39" s="10">
        <f>IF(CABLES[[#This Row],[SEG9]]&gt;0,CABLES[[#This Row],[CABLE_DIAMETER]],0)</f>
        <v>0</v>
      </c>
      <c r="EG39" s="10">
        <f>IF(CABLES[[#This Row],[SEG9]]&gt;0,CABLES[[#This Row],[CABLE_DIAMETER]],0)</f>
        <v>0</v>
      </c>
      <c r="EH39" s="10">
        <f>IF(CABLES[[#This Row],[SEG10]]&gt;0,CABLES[[#This Row],[CABLE_DIAMETER]],0)</f>
        <v>0</v>
      </c>
      <c r="EI39" s="10">
        <f>IF(CABLES[[#This Row],[SEG11]]&gt;0,CABLES[[#This Row],[CABLE_DIAMETER]],0)</f>
        <v>0</v>
      </c>
      <c r="EJ39" s="10">
        <f>IF(CABLES[[#This Row],[SEG12]]&gt;0,CABLES[[#This Row],[CABLE_DIAMETER]],0)</f>
        <v>0</v>
      </c>
      <c r="EK39" s="10">
        <f>IF(CABLES[[#This Row],[SEG13]]&gt;0,CABLES[[#This Row],[CABLE_DIAMETER]],0)</f>
        <v>0</v>
      </c>
      <c r="EL39" s="10">
        <f>IF(CABLES[[#This Row],[SEG14]]&gt;0,CABLES[[#This Row],[CABLE_DIAMETER]],0)</f>
        <v>0</v>
      </c>
      <c r="EM39" s="10">
        <f>IF(CABLES[[#This Row],[SEG15]]&gt;0,CABLES[[#This Row],[CABLE_DIAMETER]],0)</f>
        <v>0</v>
      </c>
      <c r="EN39" s="10">
        <f>IF(CABLES[[#This Row],[SEG16]]&gt;0,CABLES[[#This Row],[CABLE_DIAMETER]],0)</f>
        <v>0</v>
      </c>
      <c r="EO39" s="10">
        <f>IF(CABLES[[#This Row],[SEG17]]&gt;0,CABLES[[#This Row],[CABLE_DIAMETER]],0)</f>
        <v>0</v>
      </c>
      <c r="EP39" s="10">
        <f>IF(CABLES[[#This Row],[SEG18]]&gt;0,CABLES[[#This Row],[CABLE_DIAMETER]],0)</f>
        <v>0</v>
      </c>
      <c r="EQ39" s="10">
        <f>IF(CABLES[[#This Row],[SEG19]]&gt;0,CABLES[[#This Row],[CABLE_DIAMETER]],0)</f>
        <v>0</v>
      </c>
      <c r="ER39" s="10">
        <f>IF(CABLES[[#This Row],[SEG20]]&gt;0,CABLES[[#This Row],[CABLE_DIAMETER]],0)</f>
        <v>0</v>
      </c>
      <c r="ES39" s="10">
        <f>IF(CABLES[[#This Row],[SEG21]]&gt;0,CABLES[[#This Row],[CABLE_DIAMETER]],0)</f>
        <v>0</v>
      </c>
      <c r="ET39" s="10">
        <f>IF(CABLES[[#This Row],[SEG22]]&gt;0,CABLES[[#This Row],[CABLE_DIAMETER]],0)</f>
        <v>0</v>
      </c>
      <c r="EU39" s="10">
        <f>IF(CABLES[[#This Row],[SEG23]]&gt;0,CABLES[[#This Row],[CABLE_DIAMETER]],0)</f>
        <v>0</v>
      </c>
      <c r="EV39" s="10">
        <f>IF(CABLES[[#This Row],[SEG24]]&gt;0,CABLES[[#This Row],[CABLE_DIAMETER]],0)</f>
        <v>0</v>
      </c>
      <c r="EW39" s="10">
        <f>IF(CABLES[[#This Row],[SEG25]]&gt;0,CABLES[[#This Row],[CABLE_DIAMETER]],0)</f>
        <v>0</v>
      </c>
      <c r="EX39" s="10">
        <f>IF(CABLES[[#This Row],[SEG26]]&gt;0,CABLES[[#This Row],[CABLE_DIAMETER]],0)</f>
        <v>0</v>
      </c>
      <c r="EY39" s="10">
        <f>IF(CABLES[[#This Row],[SEG27]]&gt;0,CABLES[[#This Row],[CABLE_DIAMETER]],0)</f>
        <v>0</v>
      </c>
      <c r="EZ39" s="10">
        <f>IF(CABLES[[#This Row],[SEG28]]&gt;0,CABLES[[#This Row],[CABLE_DIAMETER]],0)</f>
        <v>0</v>
      </c>
      <c r="FA39" s="10">
        <f>IF(CABLES[[#This Row],[SEG29]]&gt;0,CABLES[[#This Row],[CABLE_DIAMETER]],0)</f>
        <v>0</v>
      </c>
      <c r="FB39" s="10">
        <f>IF(CABLES[[#This Row],[SEG30]]&gt;0,CABLES[[#This Row],[CABLE_DIAMETER]],0)</f>
        <v>14.5</v>
      </c>
      <c r="FC39" s="10">
        <f>IF(CABLES[[#This Row],[SEG31]]&gt;0,CABLES[[#This Row],[CABLE_DIAMETER]],0)</f>
        <v>14.5</v>
      </c>
      <c r="FD39" s="10">
        <f>IF(CABLES[[#This Row],[SEG32]]&gt;0,CABLES[[#This Row],[CABLE_DIAMETER]],0)</f>
        <v>14.5</v>
      </c>
      <c r="FE39" s="10">
        <f>IF(CABLES[[#This Row],[SEG33]]&gt;0,CABLES[[#This Row],[CABLE_DIAMETER]],0)</f>
        <v>0</v>
      </c>
      <c r="FF39" s="10">
        <f>IF(CABLES[[#This Row],[SEG34]]&gt;0,CABLES[[#This Row],[CABLE_DIAMETER]],0)</f>
        <v>14.5</v>
      </c>
      <c r="FG39" s="10">
        <f>IF(CABLES[[#This Row],[SEG35]]&gt;0,CABLES[[#This Row],[CABLE_DIAMETER]],0)</f>
        <v>14.5</v>
      </c>
      <c r="FH39" s="10">
        <f>IF(CABLES[[#This Row],[SEG36]]&gt;0,CABLES[[#This Row],[CABLE_DIAMETER]],0)</f>
        <v>14.5</v>
      </c>
      <c r="FI39" s="10">
        <f>IF(CABLES[[#This Row],[SEG37]]&gt;0,CABLES[[#This Row],[CABLE_DIAMETER]],0)</f>
        <v>0</v>
      </c>
      <c r="FJ39" s="10">
        <f>IF(CABLES[[#This Row],[SEG38]]&gt;0,CABLES[[#This Row],[CABLE_DIAMETER]],0)</f>
        <v>0</v>
      </c>
      <c r="FK39" s="10">
        <f>IF(CABLES[[#This Row],[SEG39]]&gt;0,CABLES[[#This Row],[CABLE_DIAMETER]],0)</f>
        <v>0</v>
      </c>
      <c r="FL39" s="10">
        <f>IF(CABLES[[#This Row],[SEG40]]&gt;0,CABLES[[#This Row],[CABLE_DIAMETER]],0)</f>
        <v>0</v>
      </c>
      <c r="FM39" s="10">
        <f>IF(CABLES[[#This Row],[SEG41]]&gt;0,CABLES[[#This Row],[CABLE_DIAMETER]],0)</f>
        <v>0</v>
      </c>
      <c r="FN39" s="10">
        <f>IF(CABLES[[#This Row],[SEG42]]&gt;0,CABLES[[#This Row],[CABLE_DIAMETER]],0)</f>
        <v>0</v>
      </c>
      <c r="FO39" s="10">
        <f>IF(CABLES[[#This Row],[SEG43]]&gt;0,CABLES[[#This Row],[CABLE_DIAMETER]],0)</f>
        <v>0</v>
      </c>
      <c r="FP39" s="10">
        <f>IF(CABLES[[#This Row],[SEG44]]&gt;0,CABLES[[#This Row],[CABLE_DIAMETER]],0)</f>
        <v>0</v>
      </c>
      <c r="FQ39" s="10">
        <f>IF(CABLES[[#This Row],[SEG45]]&gt;0,CABLES[[#This Row],[CABLE_DIAMETER]],0)</f>
        <v>0</v>
      </c>
      <c r="FR39" s="10">
        <f>IF(CABLES[[#This Row],[SEG46]]&gt;0,CABLES[[#This Row],[CABLE_DIAMETER]],0)</f>
        <v>0</v>
      </c>
      <c r="FS39" s="10">
        <f>IF(CABLES[[#This Row],[SEG47]]&gt;0,CABLES[[#This Row],[CABLE_DIAMETER]],0)</f>
        <v>0</v>
      </c>
      <c r="FT39" s="10">
        <f>IF(CABLES[[#This Row],[SEG48]]&gt;0,CABLES[[#This Row],[CABLE_DIAMETER]],0)</f>
        <v>0</v>
      </c>
      <c r="FU39" s="10">
        <f>IF(CABLES[[#This Row],[SEG49]]&gt;0,CABLES[[#This Row],[CABLE_DIAMETER]],0)</f>
        <v>0</v>
      </c>
      <c r="FV39" s="10">
        <f>IF(CABLES[[#This Row],[SEG50]]&gt;0,CABLES[[#This Row],[CABLE_DIAMETER]],0)</f>
        <v>0</v>
      </c>
      <c r="FW39" s="10">
        <f>IF(CABLES[[#This Row],[SEG51]]&gt;0,CABLES[[#This Row],[CABLE_DIAMETER]],0)</f>
        <v>0</v>
      </c>
      <c r="FX39" s="10">
        <f>IF(CABLES[[#This Row],[SEG52]]&gt;0,CABLES[[#This Row],[CABLE_DIAMETER]],0)</f>
        <v>0</v>
      </c>
      <c r="FY39" s="10">
        <f>IF(CABLES[[#This Row],[SEG53]]&gt;0,CABLES[[#This Row],[CABLE_DIAMETER]],0)</f>
        <v>0</v>
      </c>
      <c r="FZ39" s="10">
        <f>IF(CABLES[[#This Row],[SEG54]]&gt;0,CABLES[[#This Row],[CABLE_DIAMETER]],0)</f>
        <v>0</v>
      </c>
      <c r="GA39" s="10">
        <f>IF(CABLES[[#This Row],[SEG55]]&gt;0,CABLES[[#This Row],[CABLE_DIAMETER]],0)</f>
        <v>0</v>
      </c>
      <c r="GB39" s="10">
        <f>IF(CABLES[[#This Row],[SEG56]]&gt;0,CABLES[[#This Row],[CABLE_DIAMETER]],0)</f>
        <v>0</v>
      </c>
      <c r="GC39" s="10">
        <f>IF(CABLES[[#This Row],[SEG57]]&gt;0,CABLES[[#This Row],[CABLE_DIAMETER]],0)</f>
        <v>0</v>
      </c>
      <c r="GD39" s="10">
        <f>IF(CABLES[[#This Row],[SEG58]]&gt;0,CABLES[[#This Row],[CABLE_DIAMETER]],0)</f>
        <v>0</v>
      </c>
      <c r="GE39" s="10">
        <f>IF(CABLES[[#This Row],[SEG59]]&gt;0,CABLES[[#This Row],[CABLE_DIAMETER]],0)</f>
        <v>0</v>
      </c>
      <c r="GF39" s="10">
        <f>IF(CABLES[[#This Row],[SEG60]]&gt;0,CABLES[[#This Row],[CABLE_DIAMETER]],0)</f>
        <v>0</v>
      </c>
      <c r="GG39" s="10">
        <f>IF(CABLES[[#This Row],[SEG1]]&gt;0,CABLES[[#This Row],[CABLE_MASS]],0)</f>
        <v>0</v>
      </c>
      <c r="GH39" s="10">
        <f>IF(CABLES[[#This Row],[SEG2]]&gt;0,CABLES[[#This Row],[CABLE_MASS]],0)</f>
        <v>0</v>
      </c>
      <c r="GI39" s="10">
        <f>IF(CABLES[[#This Row],[SEG3]]&gt;0,CABLES[[#This Row],[CABLE_MASS]],0)</f>
        <v>0</v>
      </c>
      <c r="GJ39" s="10">
        <f>IF(CABLES[[#This Row],[SEG4]]&gt;0,CABLES[[#This Row],[CABLE_MASS]],0)</f>
        <v>0</v>
      </c>
      <c r="GK39" s="10">
        <f>IF(CABLES[[#This Row],[SEG5]]&gt;0,CABLES[[#This Row],[CABLE_MASS]],0)</f>
        <v>0</v>
      </c>
      <c r="GL39" s="10">
        <f>IF(CABLES[[#This Row],[SEG6]]&gt;0,CABLES[[#This Row],[CABLE_MASS]],0)</f>
        <v>0</v>
      </c>
      <c r="GM39" s="10">
        <f>IF(CABLES[[#This Row],[SEG7]]&gt;0,CABLES[[#This Row],[CABLE_MASS]],0)</f>
        <v>0</v>
      </c>
      <c r="GN39" s="10">
        <f>IF(CABLES[[#This Row],[SEG8]]&gt;0,CABLES[[#This Row],[CABLE_MASS]],0)</f>
        <v>0</v>
      </c>
      <c r="GO39" s="10">
        <f>IF(CABLES[[#This Row],[SEG9]]&gt;0,CABLES[[#This Row],[CABLE_MASS]],0)</f>
        <v>0</v>
      </c>
      <c r="GP39" s="10">
        <f>IF(CABLES[[#This Row],[SEG10]]&gt;0,CABLES[[#This Row],[CABLE_MASS]],0)</f>
        <v>0</v>
      </c>
      <c r="GQ39" s="10">
        <f>IF(CABLES[[#This Row],[SEG11]]&gt;0,CABLES[[#This Row],[CABLE_MASS]],0)</f>
        <v>0</v>
      </c>
      <c r="GR39" s="10">
        <f>IF(CABLES[[#This Row],[SEG12]]&gt;0,CABLES[[#This Row],[CABLE_MASS]],0)</f>
        <v>0</v>
      </c>
      <c r="GS39" s="10">
        <f>IF(CABLES[[#This Row],[SEG13]]&gt;0,CABLES[[#This Row],[CABLE_MASS]],0)</f>
        <v>0</v>
      </c>
      <c r="GT39" s="10">
        <f>IF(CABLES[[#This Row],[SEG14]]&gt;0,CABLES[[#This Row],[CABLE_MASS]],0)</f>
        <v>0</v>
      </c>
      <c r="GU39" s="10">
        <f>IF(CABLES[[#This Row],[SEG15]]&gt;0,CABLES[[#This Row],[CABLE_MASS]],0)</f>
        <v>0</v>
      </c>
      <c r="GV39" s="10">
        <f>IF(CABLES[[#This Row],[SEG16]]&gt;0,CABLES[[#This Row],[CABLE_MASS]],0)</f>
        <v>0</v>
      </c>
      <c r="GW39" s="10">
        <f>IF(CABLES[[#This Row],[SEG17]]&gt;0,CABLES[[#This Row],[CABLE_MASS]],0)</f>
        <v>0</v>
      </c>
      <c r="GX39" s="10">
        <f>IF(CABLES[[#This Row],[SEG18]]&gt;0,CABLES[[#This Row],[CABLE_MASS]],0)</f>
        <v>0</v>
      </c>
      <c r="GY39" s="10">
        <f>IF(CABLES[[#This Row],[SEG19]]&gt;0,CABLES[[#This Row],[CABLE_MASS]],0)</f>
        <v>0</v>
      </c>
      <c r="GZ39" s="10">
        <f>IF(CABLES[[#This Row],[SEG20]]&gt;0,CABLES[[#This Row],[CABLE_MASS]],0)</f>
        <v>0</v>
      </c>
      <c r="HA39" s="10">
        <f>IF(CABLES[[#This Row],[SEG21]]&gt;0,CABLES[[#This Row],[CABLE_MASS]],0)</f>
        <v>0</v>
      </c>
      <c r="HB39" s="10">
        <f>IF(CABLES[[#This Row],[SEG22]]&gt;0,CABLES[[#This Row],[CABLE_MASS]],0)</f>
        <v>0</v>
      </c>
      <c r="HC39" s="10">
        <f>IF(CABLES[[#This Row],[SEG23]]&gt;0,CABLES[[#This Row],[CABLE_MASS]],0)</f>
        <v>0</v>
      </c>
      <c r="HD39" s="10">
        <f>IF(CABLES[[#This Row],[SEG24]]&gt;0,CABLES[[#This Row],[CABLE_MASS]],0)</f>
        <v>0</v>
      </c>
      <c r="HE39" s="10">
        <f>IF(CABLES[[#This Row],[SEG25]]&gt;0,CABLES[[#This Row],[CABLE_MASS]],0)</f>
        <v>0</v>
      </c>
      <c r="HF39" s="10">
        <f>IF(CABLES[[#This Row],[SEG26]]&gt;0,CABLES[[#This Row],[CABLE_MASS]],0)</f>
        <v>0</v>
      </c>
      <c r="HG39" s="10">
        <f>IF(CABLES[[#This Row],[SEG27]]&gt;0,CABLES[[#This Row],[CABLE_MASS]],0)</f>
        <v>0</v>
      </c>
      <c r="HH39" s="10">
        <f>IF(CABLES[[#This Row],[SEG28]]&gt;0,CABLES[[#This Row],[CABLE_MASS]],0)</f>
        <v>0</v>
      </c>
      <c r="HI39" s="10">
        <f>IF(CABLES[[#This Row],[SEG29]]&gt;0,CABLES[[#This Row],[CABLE_MASS]],0)</f>
        <v>0</v>
      </c>
      <c r="HJ39" s="10">
        <f>IF(CABLES[[#This Row],[SEG30]]&gt;0,CABLES[[#This Row],[CABLE_MASS]],0)</f>
        <v>0.33</v>
      </c>
      <c r="HK39" s="10">
        <f>IF(CABLES[[#This Row],[SEG31]]&gt;0,CABLES[[#This Row],[CABLE_MASS]],0)</f>
        <v>0.33</v>
      </c>
      <c r="HL39" s="10">
        <f>IF(CABLES[[#This Row],[SEG32]]&gt;0,CABLES[[#This Row],[CABLE_MASS]],0)</f>
        <v>0.33</v>
      </c>
      <c r="HM39" s="10">
        <f>IF(CABLES[[#This Row],[SEG33]]&gt;0,CABLES[[#This Row],[CABLE_MASS]],0)</f>
        <v>0</v>
      </c>
      <c r="HN39" s="10">
        <f>IF(CABLES[[#This Row],[SEG34]]&gt;0,CABLES[[#This Row],[CABLE_MASS]],0)</f>
        <v>0.33</v>
      </c>
      <c r="HO39" s="10">
        <f>IF(CABLES[[#This Row],[SEG35]]&gt;0,CABLES[[#This Row],[CABLE_MASS]],0)</f>
        <v>0.33</v>
      </c>
      <c r="HP39" s="10">
        <f>IF(CABLES[[#This Row],[SEG36]]&gt;0,CABLES[[#This Row],[CABLE_MASS]],0)</f>
        <v>0.33</v>
      </c>
      <c r="HQ39" s="10">
        <f>IF(CABLES[[#This Row],[SEG37]]&gt;0,CABLES[[#This Row],[CABLE_MASS]],0)</f>
        <v>0</v>
      </c>
      <c r="HR39" s="10">
        <f>IF(CABLES[[#This Row],[SEG38]]&gt;0,CABLES[[#This Row],[CABLE_MASS]],0)</f>
        <v>0</v>
      </c>
      <c r="HS39" s="10">
        <f>IF(CABLES[[#This Row],[SEG39]]&gt;0,CABLES[[#This Row],[CABLE_MASS]],0)</f>
        <v>0</v>
      </c>
      <c r="HT39" s="10">
        <f>IF(CABLES[[#This Row],[SEG40]]&gt;0,CABLES[[#This Row],[CABLE_MASS]],0)</f>
        <v>0</v>
      </c>
      <c r="HU39" s="10">
        <f>IF(CABLES[[#This Row],[SEG41]]&gt;0,CABLES[[#This Row],[CABLE_MASS]],0)</f>
        <v>0</v>
      </c>
      <c r="HV39" s="10">
        <f>IF(CABLES[[#This Row],[SEG42]]&gt;0,CABLES[[#This Row],[CABLE_MASS]],0)</f>
        <v>0</v>
      </c>
      <c r="HW39" s="10">
        <f>IF(CABLES[[#This Row],[SEG43]]&gt;0,CABLES[[#This Row],[CABLE_MASS]],0)</f>
        <v>0</v>
      </c>
      <c r="HX39" s="10">
        <f>IF(CABLES[[#This Row],[SEG44]]&gt;0,CABLES[[#This Row],[CABLE_MASS]],0)</f>
        <v>0</v>
      </c>
      <c r="HY39" s="10">
        <f>IF(CABLES[[#This Row],[SEG45]]&gt;0,CABLES[[#This Row],[CABLE_MASS]],0)</f>
        <v>0</v>
      </c>
      <c r="HZ39" s="10">
        <f>IF(CABLES[[#This Row],[SEG46]]&gt;0,CABLES[[#This Row],[CABLE_MASS]],0)</f>
        <v>0</v>
      </c>
      <c r="IA39" s="10">
        <f>IF(CABLES[[#This Row],[SEG47]]&gt;0,CABLES[[#This Row],[CABLE_MASS]],0)</f>
        <v>0</v>
      </c>
      <c r="IB39" s="10">
        <f>IF(CABLES[[#This Row],[SEG48]]&gt;0,CABLES[[#This Row],[CABLE_MASS]],0)</f>
        <v>0</v>
      </c>
      <c r="IC39" s="10">
        <f>IF(CABLES[[#This Row],[SEG49]]&gt;0,CABLES[[#This Row],[CABLE_MASS]],0)</f>
        <v>0</v>
      </c>
      <c r="ID39" s="10">
        <f>IF(CABLES[[#This Row],[SEG50]]&gt;0,CABLES[[#This Row],[CABLE_MASS]],0)</f>
        <v>0</v>
      </c>
      <c r="IE39" s="10">
        <f>IF(CABLES[[#This Row],[SEG51]]&gt;0,CABLES[[#This Row],[CABLE_MASS]],0)</f>
        <v>0</v>
      </c>
      <c r="IF39" s="10">
        <f>IF(CABLES[[#This Row],[SEG52]]&gt;0,CABLES[[#This Row],[CABLE_MASS]],0)</f>
        <v>0</v>
      </c>
      <c r="IG39" s="10">
        <f>IF(CABLES[[#This Row],[SEG53]]&gt;0,CABLES[[#This Row],[CABLE_MASS]],0)</f>
        <v>0</v>
      </c>
      <c r="IH39" s="10">
        <f>IF(CABLES[[#This Row],[SEG54]]&gt;0,CABLES[[#This Row],[CABLE_MASS]],0)</f>
        <v>0</v>
      </c>
      <c r="II39" s="10">
        <f>IF(CABLES[[#This Row],[SEG55]]&gt;0,CABLES[[#This Row],[CABLE_MASS]],0)</f>
        <v>0</v>
      </c>
      <c r="IJ39" s="10">
        <f>IF(CABLES[[#This Row],[SEG56]]&gt;0,CABLES[[#This Row],[CABLE_MASS]],0)</f>
        <v>0</v>
      </c>
      <c r="IK39" s="10">
        <f>IF(CABLES[[#This Row],[SEG57]]&gt;0,CABLES[[#This Row],[CABLE_MASS]],0)</f>
        <v>0</v>
      </c>
      <c r="IL39" s="10">
        <f>IF(CABLES[[#This Row],[SEG58]]&gt;0,CABLES[[#This Row],[CABLE_MASS]],0)</f>
        <v>0</v>
      </c>
      <c r="IM39" s="10">
        <f>IF(CABLES[[#This Row],[SEG59]]&gt;0,CABLES[[#This Row],[CABLE_MASS]],0)</f>
        <v>0</v>
      </c>
      <c r="IN39" s="10">
        <f>IF(CABLES[[#This Row],[SEG60]]&gt;0,CABLES[[#This Row],[CABLE_MASS]],0)</f>
        <v>0</v>
      </c>
      <c r="IO39" s="10">
        <f xml:space="preserve">  (CABLES[[#This Row],[LOAD_KW]]/(SQRT(3)*SYSTEM_VOLTAGE*POWER_FACTOR))*1000</f>
        <v>2.4056261216234405</v>
      </c>
      <c r="IP39" s="10">
        <v>45</v>
      </c>
      <c r="IQ39" s="10">
        <f xml:space="preserve"> INDEX(AS3000_AMBIENTDERATE[], MATCH(CABLES[[#This Row],[AMBIENT]],AS3000_AMBIENTDERATE[AMBIENT],0), 2)</f>
        <v>0.94</v>
      </c>
      <c r="IR39" s="10">
        <f xml:space="preserve"> ROUNDUP( CABLES[[#This Row],[CALCULATED_AMPS]]/CABLES[[#This Row],[AMBIENT_DERATING]],1)</f>
        <v>2.6</v>
      </c>
      <c r="IS39" s="10" t="s">
        <v>531</v>
      </c>
      <c r="IT3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39" s="10">
        <f t="shared" si="1"/>
        <v>28.000000000000004</v>
      </c>
      <c r="IV39" s="10">
        <f>(1000*CABLES[[#This Row],[MAX_VDROP]])/(CABLES[[#This Row],[ESTIMATED_CABLE_LENGTH]]*CABLES[[#This Row],[AMP_RATING]])</f>
        <v>213.67521367521371</v>
      </c>
      <c r="IW39" s="10">
        <f xml:space="preserve"> INDEX(AS3000_VDROP[], MATCH(CABLES[[#This Row],[VC_CALC]],AS3000_VDROP[Vc],1),1)</f>
        <v>2.5</v>
      </c>
      <c r="IX39" s="10">
        <f>MAX(CABLES[[#This Row],[CABLESIZE_METHOD1]],CABLES[[#This Row],[CABLESIZE_METHOD2]])</f>
        <v>2.5</v>
      </c>
      <c r="IY39" s="10"/>
      <c r="IZ39" s="10">
        <f>IF(LEN(CABLES[[#This Row],[OVERRIDE_CABLESIZE]])&gt;0,CABLES[[#This Row],[OVERRIDE_CABLESIZE]],CABLES[[#This Row],[INITIAL_CABLESIZE]])</f>
        <v>2.5</v>
      </c>
      <c r="JA39" s="10">
        <f>INDEX(PROTECTIVE_DEVICE[DEVICE], MATCH(CABLES[[#This Row],[CALCULATED_AMPS]],PROTECTIVE_DEVICE[DEVICE],-1),1)</f>
        <v>6</v>
      </c>
      <c r="JB39" s="10"/>
      <c r="JC39" s="10">
        <f>IF(LEN(CABLES[[#This Row],[OVERRIDE_PDEVICE]])&gt;0, CABLES[[#This Row],[OVERRIDE_PDEVICE]],CABLES[[#This Row],[RECOMMEND_PDEVICE]])</f>
        <v>6</v>
      </c>
      <c r="JD39" s="10" t="s">
        <v>450</v>
      </c>
      <c r="JE39" s="10">
        <f xml:space="preserve"> CABLES[[#This Row],[SELECTED_PDEVICE]] * INDEX(DEVICE_CURVE[], MATCH(CABLES[[#This Row],[PDEVICE_CURVE]], DEVICE_CURVE[DEVICE_CURVE],0),2)</f>
        <v>39</v>
      </c>
      <c r="JF39" s="10" t="s">
        <v>458</v>
      </c>
      <c r="JG39" s="10">
        <f xml:space="preserve"> INDEX(CONDUCTOR_MATERIAL[], MATCH(CABLES[[#This Row],[CONDUCTOR_MATERIAL]],CONDUCTOR_MATERIAL[CONDUCTOR_MATERIAL],0),2)</f>
        <v>2.2499999999999999E-2</v>
      </c>
      <c r="JH39" s="10">
        <f>CABLES[[#This Row],[SELECTED_CABLESIZE]]</f>
        <v>2.5</v>
      </c>
      <c r="JI39" s="10">
        <f xml:space="preserve"> INDEX( EARTH_CONDUCTOR_SIZE[], MATCH(CABLES[[#This Row],[SPH]],EARTH_CONDUCTOR_SIZE[MM^2],-1), 2)</f>
        <v>2.5</v>
      </c>
      <c r="JJ39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39" s="10" t="str">
        <f>IF(CABLES[[#This Row],[LMAX]]&gt;CABLES[[#This Row],[ESTIMATED_CABLE_LENGTH]], "PASS", "ERROR")</f>
        <v>PASS</v>
      </c>
      <c r="JL3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3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39" s="6">
        <f xml:space="preserve"> ROUNDUP( CABLES[[#This Row],[CALCULATED_AMPS]],1)</f>
        <v>2.5</v>
      </c>
      <c r="JO39" s="6">
        <f>CABLES[[#This Row],[SELECTED_CABLESIZE]]</f>
        <v>2.5</v>
      </c>
      <c r="JP39" s="10">
        <f>CABLES[[#This Row],[ESTIMATED_CABLE_LENGTH]]</f>
        <v>50.4</v>
      </c>
      <c r="JQ39" s="6">
        <f>CABLES[[#This Row],[SELECTED_PDEVICE]]</f>
        <v>6</v>
      </c>
    </row>
    <row r="40" spans="1:277" x14ac:dyDescent="0.35">
      <c r="A40" s="5" t="s">
        <v>39</v>
      </c>
      <c r="B40" s="5" t="s">
        <v>495</v>
      </c>
      <c r="C40" s="10" t="s">
        <v>261</v>
      </c>
      <c r="D40" s="9">
        <v>1.5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1</v>
      </c>
      <c r="AI40" s="9">
        <v>1</v>
      </c>
      <c r="AJ40" s="9">
        <v>1</v>
      </c>
      <c r="AK40" s="9">
        <v>0</v>
      </c>
      <c r="AL40" s="9">
        <v>1</v>
      </c>
      <c r="AM40" s="9">
        <v>1</v>
      </c>
      <c r="AN40" s="9">
        <v>1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f xml:space="preserve"> IF(CABLES[[#This Row],[SEG1]] &gt;0, INDEX(SEGMENTS[], MATCH(CABLES[[#Headers],[SEG1]],SEGMENTS[SEG_ID],0),4),0)</f>
        <v>0</v>
      </c>
      <c r="BN40" s="9">
        <f xml:space="preserve"> IF(CABLES[[#This Row],[SEG2]] &gt;0, INDEX(SEGMENTS[], MATCH(CABLES[[#Headers],[SEG2]],SEGMENTS[SEG_ID],0),4),0)</f>
        <v>0</v>
      </c>
      <c r="BO40" s="9">
        <f xml:space="preserve"> IF(CABLES[[#This Row],[SEG3]] &gt;0, INDEX(SEGMENTS[], MATCH(CABLES[[#Headers],[SEG3]],SEGMENTS[SEG_ID],0),4),0)</f>
        <v>0</v>
      </c>
      <c r="BP40" s="9">
        <f xml:space="preserve"> IF(CABLES[[#This Row],[SEG4]] &gt;0, INDEX(SEGMENTS[], MATCH(CABLES[[#Headers],[SEG4]],SEGMENTS[SEG_ID],0),4),0)</f>
        <v>0</v>
      </c>
      <c r="BQ40" s="9">
        <f xml:space="preserve"> IF(CABLES[[#This Row],[SEG5]] &gt;0,INDEX(SEGMENTS[], MATCH(CABLES[[#Headers],[SEG5]],SEGMENTS[SEG_ID],0),4),0)</f>
        <v>0</v>
      </c>
      <c r="BR40" s="9">
        <f xml:space="preserve"> IF(CABLES[[#This Row],[SEG6]] &gt;0,INDEX(SEGMENTS[], MATCH(CABLES[[#Headers],[SEG6]],SEGMENTS[SEG_ID],0),4),0)</f>
        <v>0</v>
      </c>
      <c r="BS40" s="9">
        <f xml:space="preserve"> IF(CABLES[[#This Row],[SEG7]] &gt;0,INDEX(SEGMENTS[], MATCH(CABLES[[#Headers],[SEG7]],SEGMENTS[SEG_ID],0),4),0)</f>
        <v>0</v>
      </c>
      <c r="BT40" s="9">
        <f xml:space="preserve"> IF(CABLES[[#This Row],[SEG8]] &gt;0,INDEX(SEGMENTS[], MATCH(CABLES[[#Headers],[SEG8]],SEGMENTS[SEG_ID],0),4),0)</f>
        <v>0</v>
      </c>
      <c r="BU40" s="9">
        <f xml:space="preserve"> IF(CABLES[[#This Row],[SEG9]] &gt;0,INDEX(SEGMENTS[], MATCH(CABLES[[#Headers],[SEG9]],SEGMENTS[SEG_ID],0),4),0)</f>
        <v>0</v>
      </c>
      <c r="BV40" s="9">
        <f xml:space="preserve"> IF(CABLES[[#This Row],[SEG10]] &gt;0,INDEX(SEGMENTS[], MATCH(CABLES[[#Headers],[SEG10]],SEGMENTS[SEG_ID],0),4),0)</f>
        <v>0</v>
      </c>
      <c r="BW40" s="9">
        <f xml:space="preserve"> IF(CABLES[[#This Row],[SEG11]] &gt;0,INDEX(SEGMENTS[], MATCH(CABLES[[#Headers],[SEG11]],SEGMENTS[SEG_ID],0),4),0)</f>
        <v>0</v>
      </c>
      <c r="BX40" s="9">
        <f>IF(CABLES[[#This Row],[SEG12]] &gt;0, INDEX(SEGMENTS[], MATCH(CABLES[[#Headers],[SEG12]],SEGMENTS[SEG_ID],0),4),0)</f>
        <v>0</v>
      </c>
      <c r="BY40" s="9">
        <f xml:space="preserve"> IF(CABLES[[#This Row],[SEG13]] &gt;0,INDEX(SEGMENTS[], MATCH(CABLES[[#Headers],[SEG13]],SEGMENTS[SEG_ID],0),4),0)</f>
        <v>0</v>
      </c>
      <c r="BZ40" s="9">
        <f xml:space="preserve"> IF(CABLES[[#This Row],[SEG14]] &gt;0,INDEX(SEGMENTS[], MATCH(CABLES[[#Headers],[SEG14]],SEGMENTS[SEG_ID],0),4),0)</f>
        <v>0</v>
      </c>
      <c r="CA40" s="9">
        <f xml:space="preserve"> IF(CABLES[[#This Row],[SEG15]] &gt;0,INDEX(SEGMENTS[], MATCH(CABLES[[#Headers],[SEG15]],SEGMENTS[SEG_ID],0),4),0)</f>
        <v>0</v>
      </c>
      <c r="CB40" s="9">
        <f xml:space="preserve"> IF(CABLES[[#This Row],[SEG16]] &gt;0,INDEX(SEGMENTS[], MATCH(CABLES[[#Headers],[SEG16]],SEGMENTS[SEG_ID],0),4),0)</f>
        <v>0</v>
      </c>
      <c r="CC40" s="9">
        <f xml:space="preserve"> IF(CABLES[[#This Row],[SEG17]] &gt;0,INDEX(SEGMENTS[], MATCH(CABLES[[#Headers],[SEG17]],SEGMENTS[SEG_ID],0),4),0)</f>
        <v>0</v>
      </c>
      <c r="CD40" s="9">
        <f xml:space="preserve"> IF(CABLES[[#This Row],[SEG18]] &gt;0,INDEX(SEGMENTS[], MATCH(CABLES[[#Headers],[SEG18]],SEGMENTS[SEG_ID],0),4),0)</f>
        <v>0</v>
      </c>
      <c r="CE40" s="9">
        <f>IF(CABLES[[#This Row],[SEG19]] &gt;0, INDEX(SEGMENTS[], MATCH(CABLES[[#Headers],[SEG19]],SEGMENTS[SEG_ID],0),4),0)</f>
        <v>0</v>
      </c>
      <c r="CF40" s="9">
        <f>IF(CABLES[[#This Row],[SEG20]] &gt;0, INDEX(SEGMENTS[], MATCH(CABLES[[#Headers],[SEG20]],SEGMENTS[SEG_ID],0),4),0)</f>
        <v>0</v>
      </c>
      <c r="CG40" s="9">
        <f xml:space="preserve"> IF(CABLES[[#This Row],[SEG21]] &gt;0,INDEX(SEGMENTS[], MATCH(CABLES[[#Headers],[SEG21]],SEGMENTS[SEG_ID],0),4),0)</f>
        <v>0</v>
      </c>
      <c r="CH40" s="9">
        <f xml:space="preserve"> IF(CABLES[[#This Row],[SEG22]] &gt;0,INDEX(SEGMENTS[], MATCH(CABLES[[#Headers],[SEG22]],SEGMENTS[SEG_ID],0),4),0)</f>
        <v>0</v>
      </c>
      <c r="CI40" s="9">
        <f>IF(CABLES[[#This Row],[SEG23]] &gt;0, INDEX(SEGMENTS[], MATCH(CABLES[[#Headers],[SEG23]],SEGMENTS[SEG_ID],0),4),0)</f>
        <v>0</v>
      </c>
      <c r="CJ40" s="9">
        <f xml:space="preserve"> IF(CABLES[[#This Row],[SEG24]] &gt;0,INDEX(SEGMENTS[], MATCH(CABLES[[#Headers],[SEG24]],SEGMENTS[SEG_ID],0),4),0)</f>
        <v>0</v>
      </c>
      <c r="CK40" s="9">
        <f>IF(CABLES[[#This Row],[SEG25]] &gt;0, INDEX(SEGMENTS[], MATCH(CABLES[[#Headers],[SEG25]],SEGMENTS[SEG_ID],0),4),0)</f>
        <v>0</v>
      </c>
      <c r="CL40" s="9">
        <f>IF(CABLES[[#This Row],[SEG26]] &gt;0, INDEX(SEGMENTS[], MATCH(CABLES[[#Headers],[SEG26]],SEGMENTS[SEG_ID],0),4),0)</f>
        <v>0</v>
      </c>
      <c r="CM40" s="9">
        <f xml:space="preserve"> IF(CABLES[[#This Row],[SEG27]] &gt;0,INDEX(SEGMENTS[], MATCH(CABLES[[#Headers],[SEG27]],SEGMENTS[SEG_ID],0),4),0)</f>
        <v>0</v>
      </c>
      <c r="CN40" s="9">
        <f xml:space="preserve"> IF(CABLES[[#This Row],[SEG28]] &gt;0,INDEX(SEGMENTS[], MATCH(CABLES[[#Headers],[SEG28]],SEGMENTS[SEG_ID],0),4),0)</f>
        <v>0</v>
      </c>
      <c r="CO40" s="9">
        <f xml:space="preserve"> IF(CABLES[[#This Row],[SEG29]] &gt;0,INDEX(SEGMENTS[], MATCH(CABLES[[#Headers],[SEG29]],SEGMENTS[SEG_ID],0),4),0)</f>
        <v>0</v>
      </c>
      <c r="CP40" s="9">
        <f xml:space="preserve"> IF(CABLES[[#This Row],[SEG30]] &gt;0,INDEX(SEGMENTS[], MATCH(CABLES[[#Headers],[SEG30]],SEGMENTS[SEG_ID],0),4),0)</f>
        <v>6</v>
      </c>
      <c r="CQ40" s="9">
        <f>IF(CABLES[[#This Row],[SEG31]] &gt;0, INDEX(SEGMENTS[], MATCH(CABLES[[#Headers],[SEG31]],SEGMENTS[SEG_ID],0),4),0)</f>
        <v>3</v>
      </c>
      <c r="CR40" s="9">
        <f xml:space="preserve"> IF(CABLES[[#This Row],[SEG32]] &gt;0,INDEX(SEGMENTS[], MATCH(CABLES[[#Headers],[SEG32]],SEGMENTS[SEG_ID],0),4),0)</f>
        <v>5</v>
      </c>
      <c r="CS40" s="9">
        <f xml:space="preserve"> IF(CABLES[[#This Row],[SEG33]] &gt;0,INDEX(SEGMENTS[], MATCH(CABLES[[#Headers],[SEG33]],SEGMENTS[SEG_ID],0),4),0)</f>
        <v>0</v>
      </c>
      <c r="CT40" s="9">
        <f>IF(CABLES[[#This Row],[SEG34]] &gt;0, INDEX(SEGMENTS[], MATCH(CABLES[[#Headers],[SEG34]],SEGMENTS[SEG_ID],0),4),0)</f>
        <v>7</v>
      </c>
      <c r="CU40" s="9">
        <f xml:space="preserve"> IF(CABLES[[#This Row],[SEG35]] &gt;0,INDEX(SEGMENTS[], MATCH(CABLES[[#Headers],[SEG35]],SEGMENTS[SEG_ID],0),4),0)</f>
        <v>7</v>
      </c>
      <c r="CV40" s="9">
        <f xml:space="preserve"> IF(CABLES[[#This Row],[SEG36]] &gt;0,INDEX(SEGMENTS[], MATCH(CABLES[[#Headers],[SEG36]],SEGMENTS[SEG_ID],0),4),0)</f>
        <v>9</v>
      </c>
      <c r="CW40" s="9">
        <f xml:space="preserve"> IF(CABLES[[#This Row],[SEG37]] &gt;0,INDEX(SEGMENTS[], MATCH(CABLES[[#Headers],[SEG37]],SEGMENTS[SEG_ID],0),4),0)</f>
        <v>0</v>
      </c>
      <c r="CX40" s="9">
        <f xml:space="preserve"> IF(CABLES[[#This Row],[SEG38]] &gt;0,INDEX(SEGMENTS[], MATCH(CABLES[[#Headers],[SEG38]],SEGMENTS[SEG_ID],0),4),0)</f>
        <v>0</v>
      </c>
      <c r="CY40" s="9">
        <f xml:space="preserve"> IF(CABLES[[#This Row],[SEG39]] &gt;0,INDEX(SEGMENTS[], MATCH(CABLES[[#Headers],[SEG39]],SEGMENTS[SEG_ID],0),4),0)</f>
        <v>0</v>
      </c>
      <c r="CZ40" s="9">
        <f xml:space="preserve"> IF(CABLES[[#This Row],[SEG40]] &gt;0,INDEX(SEGMENTS[], MATCH(CABLES[[#Headers],[SEG40]],SEGMENTS[SEG_ID],0),4),0)</f>
        <v>0</v>
      </c>
      <c r="DA40" s="9">
        <f xml:space="preserve"> IF(CABLES[[#This Row],[SEG41]] &gt;0,INDEX(SEGMENTS[], MATCH(CABLES[[#Headers],[SEG41]],SEGMENTS[SEG_ID],0),4),0)</f>
        <v>0</v>
      </c>
      <c r="DB40" s="9">
        <f xml:space="preserve"> IF(CABLES[[#This Row],[SEG42]] &gt;0,INDEX(SEGMENTS[], MATCH(CABLES[[#Headers],[SEG42]],SEGMENTS[SEG_ID],0),4),0)</f>
        <v>0</v>
      </c>
      <c r="DC40" s="9">
        <f xml:space="preserve"> IF(CABLES[[#This Row],[SEG43]] &gt;0,INDEX(SEGMENTS[], MATCH(CABLES[[#Headers],[SEG43]],SEGMENTS[SEG_ID],0),4),0)</f>
        <v>0</v>
      </c>
      <c r="DD40" s="9">
        <f xml:space="preserve"> IF(CABLES[[#This Row],[SEG44]] &gt;0,INDEX(SEGMENTS[], MATCH(CABLES[[#Headers],[SEG44]],SEGMENTS[SEG_ID],0),4),0)</f>
        <v>0</v>
      </c>
      <c r="DE40" s="9">
        <f xml:space="preserve"> IF(CABLES[[#This Row],[SEG45]] &gt;0,INDEX(SEGMENTS[], MATCH(CABLES[[#Headers],[SEG45]],SEGMENTS[SEG_ID],0),4),0)</f>
        <v>0</v>
      </c>
      <c r="DF40" s="9">
        <f xml:space="preserve"> IF(CABLES[[#This Row],[SEG46]] &gt;0,INDEX(SEGMENTS[], MATCH(CABLES[[#Headers],[SEG46]],SEGMENTS[SEG_ID],0),4),0)</f>
        <v>0</v>
      </c>
      <c r="DG40" s="9">
        <f xml:space="preserve"> IF(CABLES[[#This Row],[SEG47]] &gt;0,INDEX(SEGMENTS[], MATCH(CABLES[[#Headers],[SEG47]],SEGMENTS[SEG_ID],0),4),0)</f>
        <v>0</v>
      </c>
      <c r="DH40" s="9">
        <f xml:space="preserve"> IF(CABLES[[#This Row],[SEG48]] &gt;0,INDEX(SEGMENTS[], MATCH(CABLES[[#Headers],[SEG48]],SEGMENTS[SEG_ID],0),4),0)</f>
        <v>0</v>
      </c>
      <c r="DI40" s="9">
        <f xml:space="preserve"> IF(CABLES[[#This Row],[SEG49]] &gt;0,INDEX(SEGMENTS[], MATCH(CABLES[[#Headers],[SEG49]],SEGMENTS[SEG_ID],0),4),0)</f>
        <v>0</v>
      </c>
      <c r="DJ40" s="9">
        <f xml:space="preserve"> IF(CABLES[[#This Row],[SEG50]] &gt;0,INDEX(SEGMENTS[], MATCH(CABLES[[#Headers],[SEG50]],SEGMENTS[SEG_ID],0),4),0)</f>
        <v>0</v>
      </c>
      <c r="DK40" s="9">
        <f xml:space="preserve"> IF(CABLES[[#This Row],[SEG51]] &gt;0,INDEX(SEGMENTS[], MATCH(CABLES[[#Headers],[SEG51]],SEGMENTS[SEG_ID],0),4),0)</f>
        <v>0</v>
      </c>
      <c r="DL40" s="9">
        <f xml:space="preserve"> IF(CABLES[[#This Row],[SEG52]] &gt;0,INDEX(SEGMENTS[], MATCH(CABLES[[#Headers],[SEG52]],SEGMENTS[SEG_ID],0),4),0)</f>
        <v>0</v>
      </c>
      <c r="DM40" s="9">
        <f xml:space="preserve"> IF(CABLES[[#This Row],[SEG53]] &gt;0,INDEX(SEGMENTS[], MATCH(CABLES[[#Headers],[SEG53]],SEGMENTS[SEG_ID],0),4),0)</f>
        <v>0</v>
      </c>
      <c r="DN40" s="9">
        <f xml:space="preserve"> IF(CABLES[[#This Row],[SEG54]] &gt;0,INDEX(SEGMENTS[], MATCH(CABLES[[#Headers],[SEG54]],SEGMENTS[SEG_ID],0),4),0)</f>
        <v>0</v>
      </c>
      <c r="DO40" s="9">
        <f xml:space="preserve"> IF(CABLES[[#This Row],[SEG55]] &gt;0,INDEX(SEGMENTS[], MATCH(CABLES[[#Headers],[SEG55]],SEGMENTS[SEG_ID],0),4),0)</f>
        <v>0</v>
      </c>
      <c r="DP40" s="9">
        <f xml:space="preserve"> IF(CABLES[[#This Row],[SEG56]] &gt;0,INDEX(SEGMENTS[], MATCH(CABLES[[#Headers],[SEG56]],SEGMENTS[SEG_ID],0),4),0)</f>
        <v>0</v>
      </c>
      <c r="DQ40" s="9">
        <f xml:space="preserve"> IF(CABLES[[#This Row],[SEG57]] &gt;0,INDEX(SEGMENTS[], MATCH(CABLES[[#Headers],[SEG57]],SEGMENTS[SEG_ID],0),4),0)</f>
        <v>0</v>
      </c>
      <c r="DR40" s="9">
        <f xml:space="preserve"> IF(CABLES[[#This Row],[SEG58]] &gt;0,INDEX(SEGMENTS[], MATCH(CABLES[[#Headers],[SEG58]],SEGMENTS[SEG_ID],0),4),0)</f>
        <v>0</v>
      </c>
      <c r="DS40" s="9">
        <f xml:space="preserve"> IF(CABLES[[#This Row],[SEG59]] &gt;0,INDEX(SEGMENTS[], MATCH(CABLES[[#Headers],[SEG59]],SEGMENTS[SEG_ID],0),4),0)</f>
        <v>0</v>
      </c>
      <c r="DT40" s="9">
        <f xml:space="preserve"> IF(CABLES[[#This Row],[SEG60]] &gt;0,INDEX(SEGMENTS[], MATCH(CABLES[[#Headers],[SEG60]],SEGMENTS[SEG_ID],0),4),0)</f>
        <v>0</v>
      </c>
      <c r="DU40" s="10">
        <f>SUM(CABLES[[#This Row],[SEGL1]:[SEGL60]])</f>
        <v>37</v>
      </c>
      <c r="DV40" s="10">
        <v>5</v>
      </c>
      <c r="DW40" s="10">
        <v>1.2</v>
      </c>
      <c r="DX40" s="10">
        <f xml:space="preserve"> IF(CABLES[[#This Row],[SEGL_TOTAL]]&gt;0, (CABLES[[#This Row],[SEGL_TOTAL]] + CABLES[[#This Row],[FITOFF]]) *CABLES[[#This Row],[XCAPACITY]],0)</f>
        <v>50.4</v>
      </c>
      <c r="DY40" s="10">
        <f>IF(CABLES[[#This Row],[SEG1]]&gt;0,CABLES[[#This Row],[CABLE_DIAMETER]],0)</f>
        <v>0</v>
      </c>
      <c r="DZ40" s="10">
        <f>IF(CABLES[[#This Row],[SEG2]]&gt;0,CABLES[[#This Row],[CABLE_DIAMETER]],0)</f>
        <v>0</v>
      </c>
      <c r="EA40" s="10">
        <f>IF(CABLES[[#This Row],[SEG3]]&gt;0,CABLES[[#This Row],[CABLE_DIAMETER]],0)</f>
        <v>0</v>
      </c>
      <c r="EB40" s="10">
        <f>IF(CABLES[[#This Row],[SEG4]]&gt;0,CABLES[[#This Row],[CABLE_DIAMETER]],0)</f>
        <v>0</v>
      </c>
      <c r="EC40" s="10">
        <f>IF(CABLES[[#This Row],[SEG5]]&gt;0,CABLES[[#This Row],[CABLE_DIAMETER]],0)</f>
        <v>0</v>
      </c>
      <c r="ED40" s="10">
        <f>IF(CABLES[[#This Row],[SEG6]]&gt;0,CABLES[[#This Row],[CABLE_DIAMETER]],0)</f>
        <v>0</v>
      </c>
      <c r="EE40" s="10">
        <f>IF(CABLES[[#This Row],[SEG7]]&gt;0,CABLES[[#This Row],[CABLE_DIAMETER]],0)</f>
        <v>0</v>
      </c>
      <c r="EF40" s="10">
        <f>IF(CABLES[[#This Row],[SEG9]]&gt;0,CABLES[[#This Row],[CABLE_DIAMETER]],0)</f>
        <v>0</v>
      </c>
      <c r="EG40" s="10">
        <f>IF(CABLES[[#This Row],[SEG9]]&gt;0,CABLES[[#This Row],[CABLE_DIAMETER]],0)</f>
        <v>0</v>
      </c>
      <c r="EH40" s="10">
        <f>IF(CABLES[[#This Row],[SEG10]]&gt;0,CABLES[[#This Row],[CABLE_DIAMETER]],0)</f>
        <v>0</v>
      </c>
      <c r="EI40" s="10">
        <f>IF(CABLES[[#This Row],[SEG11]]&gt;0,CABLES[[#This Row],[CABLE_DIAMETER]],0)</f>
        <v>0</v>
      </c>
      <c r="EJ40" s="10">
        <f>IF(CABLES[[#This Row],[SEG12]]&gt;0,CABLES[[#This Row],[CABLE_DIAMETER]],0)</f>
        <v>0</v>
      </c>
      <c r="EK40" s="10">
        <f>IF(CABLES[[#This Row],[SEG13]]&gt;0,CABLES[[#This Row],[CABLE_DIAMETER]],0)</f>
        <v>0</v>
      </c>
      <c r="EL40" s="10">
        <f>IF(CABLES[[#This Row],[SEG14]]&gt;0,CABLES[[#This Row],[CABLE_DIAMETER]],0)</f>
        <v>0</v>
      </c>
      <c r="EM40" s="10">
        <f>IF(CABLES[[#This Row],[SEG15]]&gt;0,CABLES[[#This Row],[CABLE_DIAMETER]],0)</f>
        <v>0</v>
      </c>
      <c r="EN40" s="10">
        <f>IF(CABLES[[#This Row],[SEG16]]&gt;0,CABLES[[#This Row],[CABLE_DIAMETER]],0)</f>
        <v>0</v>
      </c>
      <c r="EO40" s="10">
        <f>IF(CABLES[[#This Row],[SEG17]]&gt;0,CABLES[[#This Row],[CABLE_DIAMETER]],0)</f>
        <v>0</v>
      </c>
      <c r="EP40" s="10">
        <f>IF(CABLES[[#This Row],[SEG18]]&gt;0,CABLES[[#This Row],[CABLE_DIAMETER]],0)</f>
        <v>0</v>
      </c>
      <c r="EQ40" s="10">
        <f>IF(CABLES[[#This Row],[SEG19]]&gt;0,CABLES[[#This Row],[CABLE_DIAMETER]],0)</f>
        <v>0</v>
      </c>
      <c r="ER40" s="10">
        <f>IF(CABLES[[#This Row],[SEG20]]&gt;0,CABLES[[#This Row],[CABLE_DIAMETER]],0)</f>
        <v>0</v>
      </c>
      <c r="ES40" s="10">
        <f>IF(CABLES[[#This Row],[SEG21]]&gt;0,CABLES[[#This Row],[CABLE_DIAMETER]],0)</f>
        <v>0</v>
      </c>
      <c r="ET40" s="10">
        <f>IF(CABLES[[#This Row],[SEG22]]&gt;0,CABLES[[#This Row],[CABLE_DIAMETER]],0)</f>
        <v>0</v>
      </c>
      <c r="EU40" s="10">
        <f>IF(CABLES[[#This Row],[SEG23]]&gt;0,CABLES[[#This Row],[CABLE_DIAMETER]],0)</f>
        <v>0</v>
      </c>
      <c r="EV40" s="10">
        <f>IF(CABLES[[#This Row],[SEG24]]&gt;0,CABLES[[#This Row],[CABLE_DIAMETER]],0)</f>
        <v>0</v>
      </c>
      <c r="EW40" s="10">
        <f>IF(CABLES[[#This Row],[SEG25]]&gt;0,CABLES[[#This Row],[CABLE_DIAMETER]],0)</f>
        <v>0</v>
      </c>
      <c r="EX40" s="10">
        <f>IF(CABLES[[#This Row],[SEG26]]&gt;0,CABLES[[#This Row],[CABLE_DIAMETER]],0)</f>
        <v>0</v>
      </c>
      <c r="EY40" s="10">
        <f>IF(CABLES[[#This Row],[SEG27]]&gt;0,CABLES[[#This Row],[CABLE_DIAMETER]],0)</f>
        <v>0</v>
      </c>
      <c r="EZ40" s="10">
        <f>IF(CABLES[[#This Row],[SEG28]]&gt;0,CABLES[[#This Row],[CABLE_DIAMETER]],0)</f>
        <v>0</v>
      </c>
      <c r="FA40" s="10">
        <f>IF(CABLES[[#This Row],[SEG29]]&gt;0,CABLES[[#This Row],[CABLE_DIAMETER]],0)</f>
        <v>0</v>
      </c>
      <c r="FB40" s="10">
        <f>IF(CABLES[[#This Row],[SEG30]]&gt;0,CABLES[[#This Row],[CABLE_DIAMETER]],0)</f>
        <v>14.5</v>
      </c>
      <c r="FC40" s="10">
        <f>IF(CABLES[[#This Row],[SEG31]]&gt;0,CABLES[[#This Row],[CABLE_DIAMETER]],0)</f>
        <v>14.5</v>
      </c>
      <c r="FD40" s="10">
        <f>IF(CABLES[[#This Row],[SEG32]]&gt;0,CABLES[[#This Row],[CABLE_DIAMETER]],0)</f>
        <v>14.5</v>
      </c>
      <c r="FE40" s="10">
        <f>IF(CABLES[[#This Row],[SEG33]]&gt;0,CABLES[[#This Row],[CABLE_DIAMETER]],0)</f>
        <v>0</v>
      </c>
      <c r="FF40" s="10">
        <f>IF(CABLES[[#This Row],[SEG34]]&gt;0,CABLES[[#This Row],[CABLE_DIAMETER]],0)</f>
        <v>14.5</v>
      </c>
      <c r="FG40" s="10">
        <f>IF(CABLES[[#This Row],[SEG35]]&gt;0,CABLES[[#This Row],[CABLE_DIAMETER]],0)</f>
        <v>14.5</v>
      </c>
      <c r="FH40" s="10">
        <f>IF(CABLES[[#This Row],[SEG36]]&gt;0,CABLES[[#This Row],[CABLE_DIAMETER]],0)</f>
        <v>14.5</v>
      </c>
      <c r="FI40" s="10">
        <f>IF(CABLES[[#This Row],[SEG37]]&gt;0,CABLES[[#This Row],[CABLE_DIAMETER]],0)</f>
        <v>0</v>
      </c>
      <c r="FJ40" s="10">
        <f>IF(CABLES[[#This Row],[SEG38]]&gt;0,CABLES[[#This Row],[CABLE_DIAMETER]],0)</f>
        <v>0</v>
      </c>
      <c r="FK40" s="10">
        <f>IF(CABLES[[#This Row],[SEG39]]&gt;0,CABLES[[#This Row],[CABLE_DIAMETER]],0)</f>
        <v>0</v>
      </c>
      <c r="FL40" s="10">
        <f>IF(CABLES[[#This Row],[SEG40]]&gt;0,CABLES[[#This Row],[CABLE_DIAMETER]],0)</f>
        <v>0</v>
      </c>
      <c r="FM40" s="10">
        <f>IF(CABLES[[#This Row],[SEG41]]&gt;0,CABLES[[#This Row],[CABLE_DIAMETER]],0)</f>
        <v>0</v>
      </c>
      <c r="FN40" s="10">
        <f>IF(CABLES[[#This Row],[SEG42]]&gt;0,CABLES[[#This Row],[CABLE_DIAMETER]],0)</f>
        <v>0</v>
      </c>
      <c r="FO40" s="10">
        <f>IF(CABLES[[#This Row],[SEG43]]&gt;0,CABLES[[#This Row],[CABLE_DIAMETER]],0)</f>
        <v>0</v>
      </c>
      <c r="FP40" s="10">
        <f>IF(CABLES[[#This Row],[SEG44]]&gt;0,CABLES[[#This Row],[CABLE_DIAMETER]],0)</f>
        <v>0</v>
      </c>
      <c r="FQ40" s="10">
        <f>IF(CABLES[[#This Row],[SEG45]]&gt;0,CABLES[[#This Row],[CABLE_DIAMETER]],0)</f>
        <v>0</v>
      </c>
      <c r="FR40" s="10">
        <f>IF(CABLES[[#This Row],[SEG46]]&gt;0,CABLES[[#This Row],[CABLE_DIAMETER]],0)</f>
        <v>0</v>
      </c>
      <c r="FS40" s="10">
        <f>IF(CABLES[[#This Row],[SEG47]]&gt;0,CABLES[[#This Row],[CABLE_DIAMETER]],0)</f>
        <v>0</v>
      </c>
      <c r="FT40" s="10">
        <f>IF(CABLES[[#This Row],[SEG48]]&gt;0,CABLES[[#This Row],[CABLE_DIAMETER]],0)</f>
        <v>0</v>
      </c>
      <c r="FU40" s="10">
        <f>IF(CABLES[[#This Row],[SEG49]]&gt;0,CABLES[[#This Row],[CABLE_DIAMETER]],0)</f>
        <v>0</v>
      </c>
      <c r="FV40" s="10">
        <f>IF(CABLES[[#This Row],[SEG50]]&gt;0,CABLES[[#This Row],[CABLE_DIAMETER]],0)</f>
        <v>0</v>
      </c>
      <c r="FW40" s="10">
        <f>IF(CABLES[[#This Row],[SEG51]]&gt;0,CABLES[[#This Row],[CABLE_DIAMETER]],0)</f>
        <v>0</v>
      </c>
      <c r="FX40" s="10">
        <f>IF(CABLES[[#This Row],[SEG52]]&gt;0,CABLES[[#This Row],[CABLE_DIAMETER]],0)</f>
        <v>0</v>
      </c>
      <c r="FY40" s="10">
        <f>IF(CABLES[[#This Row],[SEG53]]&gt;0,CABLES[[#This Row],[CABLE_DIAMETER]],0)</f>
        <v>0</v>
      </c>
      <c r="FZ40" s="10">
        <f>IF(CABLES[[#This Row],[SEG54]]&gt;0,CABLES[[#This Row],[CABLE_DIAMETER]],0)</f>
        <v>0</v>
      </c>
      <c r="GA40" s="10">
        <f>IF(CABLES[[#This Row],[SEG55]]&gt;0,CABLES[[#This Row],[CABLE_DIAMETER]],0)</f>
        <v>0</v>
      </c>
      <c r="GB40" s="10">
        <f>IF(CABLES[[#This Row],[SEG56]]&gt;0,CABLES[[#This Row],[CABLE_DIAMETER]],0)</f>
        <v>0</v>
      </c>
      <c r="GC40" s="10">
        <f>IF(CABLES[[#This Row],[SEG57]]&gt;0,CABLES[[#This Row],[CABLE_DIAMETER]],0)</f>
        <v>0</v>
      </c>
      <c r="GD40" s="10">
        <f>IF(CABLES[[#This Row],[SEG58]]&gt;0,CABLES[[#This Row],[CABLE_DIAMETER]],0)</f>
        <v>0</v>
      </c>
      <c r="GE40" s="10">
        <f>IF(CABLES[[#This Row],[SEG59]]&gt;0,CABLES[[#This Row],[CABLE_DIAMETER]],0)</f>
        <v>0</v>
      </c>
      <c r="GF40" s="10">
        <f>IF(CABLES[[#This Row],[SEG60]]&gt;0,CABLES[[#This Row],[CABLE_DIAMETER]],0)</f>
        <v>0</v>
      </c>
      <c r="GG40" s="10">
        <f>IF(CABLES[[#This Row],[SEG1]]&gt;0,CABLES[[#This Row],[CABLE_MASS]],0)</f>
        <v>0</v>
      </c>
      <c r="GH40" s="10">
        <f>IF(CABLES[[#This Row],[SEG2]]&gt;0,CABLES[[#This Row],[CABLE_MASS]],0)</f>
        <v>0</v>
      </c>
      <c r="GI40" s="10">
        <f>IF(CABLES[[#This Row],[SEG3]]&gt;0,CABLES[[#This Row],[CABLE_MASS]],0)</f>
        <v>0</v>
      </c>
      <c r="GJ40" s="10">
        <f>IF(CABLES[[#This Row],[SEG4]]&gt;0,CABLES[[#This Row],[CABLE_MASS]],0)</f>
        <v>0</v>
      </c>
      <c r="GK40" s="10">
        <f>IF(CABLES[[#This Row],[SEG5]]&gt;0,CABLES[[#This Row],[CABLE_MASS]],0)</f>
        <v>0</v>
      </c>
      <c r="GL40" s="10">
        <f>IF(CABLES[[#This Row],[SEG6]]&gt;0,CABLES[[#This Row],[CABLE_MASS]],0)</f>
        <v>0</v>
      </c>
      <c r="GM40" s="10">
        <f>IF(CABLES[[#This Row],[SEG7]]&gt;0,CABLES[[#This Row],[CABLE_MASS]],0)</f>
        <v>0</v>
      </c>
      <c r="GN40" s="10">
        <f>IF(CABLES[[#This Row],[SEG8]]&gt;0,CABLES[[#This Row],[CABLE_MASS]],0)</f>
        <v>0</v>
      </c>
      <c r="GO40" s="10">
        <f>IF(CABLES[[#This Row],[SEG9]]&gt;0,CABLES[[#This Row],[CABLE_MASS]],0)</f>
        <v>0</v>
      </c>
      <c r="GP40" s="10">
        <f>IF(CABLES[[#This Row],[SEG10]]&gt;0,CABLES[[#This Row],[CABLE_MASS]],0)</f>
        <v>0</v>
      </c>
      <c r="GQ40" s="10">
        <f>IF(CABLES[[#This Row],[SEG11]]&gt;0,CABLES[[#This Row],[CABLE_MASS]],0)</f>
        <v>0</v>
      </c>
      <c r="GR40" s="10">
        <f>IF(CABLES[[#This Row],[SEG12]]&gt;0,CABLES[[#This Row],[CABLE_MASS]],0)</f>
        <v>0</v>
      </c>
      <c r="GS40" s="10">
        <f>IF(CABLES[[#This Row],[SEG13]]&gt;0,CABLES[[#This Row],[CABLE_MASS]],0)</f>
        <v>0</v>
      </c>
      <c r="GT40" s="10">
        <f>IF(CABLES[[#This Row],[SEG14]]&gt;0,CABLES[[#This Row],[CABLE_MASS]],0)</f>
        <v>0</v>
      </c>
      <c r="GU40" s="10">
        <f>IF(CABLES[[#This Row],[SEG15]]&gt;0,CABLES[[#This Row],[CABLE_MASS]],0)</f>
        <v>0</v>
      </c>
      <c r="GV40" s="10">
        <f>IF(CABLES[[#This Row],[SEG16]]&gt;0,CABLES[[#This Row],[CABLE_MASS]],0)</f>
        <v>0</v>
      </c>
      <c r="GW40" s="10">
        <f>IF(CABLES[[#This Row],[SEG17]]&gt;0,CABLES[[#This Row],[CABLE_MASS]],0)</f>
        <v>0</v>
      </c>
      <c r="GX40" s="10">
        <f>IF(CABLES[[#This Row],[SEG18]]&gt;0,CABLES[[#This Row],[CABLE_MASS]],0)</f>
        <v>0</v>
      </c>
      <c r="GY40" s="10">
        <f>IF(CABLES[[#This Row],[SEG19]]&gt;0,CABLES[[#This Row],[CABLE_MASS]],0)</f>
        <v>0</v>
      </c>
      <c r="GZ40" s="10">
        <f>IF(CABLES[[#This Row],[SEG20]]&gt;0,CABLES[[#This Row],[CABLE_MASS]],0)</f>
        <v>0</v>
      </c>
      <c r="HA40" s="10">
        <f>IF(CABLES[[#This Row],[SEG21]]&gt;0,CABLES[[#This Row],[CABLE_MASS]],0)</f>
        <v>0</v>
      </c>
      <c r="HB40" s="10">
        <f>IF(CABLES[[#This Row],[SEG22]]&gt;0,CABLES[[#This Row],[CABLE_MASS]],0)</f>
        <v>0</v>
      </c>
      <c r="HC40" s="10">
        <f>IF(CABLES[[#This Row],[SEG23]]&gt;0,CABLES[[#This Row],[CABLE_MASS]],0)</f>
        <v>0</v>
      </c>
      <c r="HD40" s="10">
        <f>IF(CABLES[[#This Row],[SEG24]]&gt;0,CABLES[[#This Row],[CABLE_MASS]],0)</f>
        <v>0</v>
      </c>
      <c r="HE40" s="10">
        <f>IF(CABLES[[#This Row],[SEG25]]&gt;0,CABLES[[#This Row],[CABLE_MASS]],0)</f>
        <v>0</v>
      </c>
      <c r="HF40" s="10">
        <f>IF(CABLES[[#This Row],[SEG26]]&gt;0,CABLES[[#This Row],[CABLE_MASS]],0)</f>
        <v>0</v>
      </c>
      <c r="HG40" s="10">
        <f>IF(CABLES[[#This Row],[SEG27]]&gt;0,CABLES[[#This Row],[CABLE_MASS]],0)</f>
        <v>0</v>
      </c>
      <c r="HH40" s="10">
        <f>IF(CABLES[[#This Row],[SEG28]]&gt;0,CABLES[[#This Row],[CABLE_MASS]],0)</f>
        <v>0</v>
      </c>
      <c r="HI40" s="10">
        <f>IF(CABLES[[#This Row],[SEG29]]&gt;0,CABLES[[#This Row],[CABLE_MASS]],0)</f>
        <v>0</v>
      </c>
      <c r="HJ40" s="10">
        <f>IF(CABLES[[#This Row],[SEG30]]&gt;0,CABLES[[#This Row],[CABLE_MASS]],0)</f>
        <v>0.33</v>
      </c>
      <c r="HK40" s="10">
        <f>IF(CABLES[[#This Row],[SEG31]]&gt;0,CABLES[[#This Row],[CABLE_MASS]],0)</f>
        <v>0.33</v>
      </c>
      <c r="HL40" s="10">
        <f>IF(CABLES[[#This Row],[SEG32]]&gt;0,CABLES[[#This Row],[CABLE_MASS]],0)</f>
        <v>0.33</v>
      </c>
      <c r="HM40" s="10">
        <f>IF(CABLES[[#This Row],[SEG33]]&gt;0,CABLES[[#This Row],[CABLE_MASS]],0)</f>
        <v>0</v>
      </c>
      <c r="HN40" s="10">
        <f>IF(CABLES[[#This Row],[SEG34]]&gt;0,CABLES[[#This Row],[CABLE_MASS]],0)</f>
        <v>0.33</v>
      </c>
      <c r="HO40" s="10">
        <f>IF(CABLES[[#This Row],[SEG35]]&gt;0,CABLES[[#This Row],[CABLE_MASS]],0)</f>
        <v>0.33</v>
      </c>
      <c r="HP40" s="10">
        <f>IF(CABLES[[#This Row],[SEG36]]&gt;0,CABLES[[#This Row],[CABLE_MASS]],0)</f>
        <v>0.33</v>
      </c>
      <c r="HQ40" s="10">
        <f>IF(CABLES[[#This Row],[SEG37]]&gt;0,CABLES[[#This Row],[CABLE_MASS]],0)</f>
        <v>0</v>
      </c>
      <c r="HR40" s="10">
        <f>IF(CABLES[[#This Row],[SEG38]]&gt;0,CABLES[[#This Row],[CABLE_MASS]],0)</f>
        <v>0</v>
      </c>
      <c r="HS40" s="10">
        <f>IF(CABLES[[#This Row],[SEG39]]&gt;0,CABLES[[#This Row],[CABLE_MASS]],0)</f>
        <v>0</v>
      </c>
      <c r="HT40" s="10">
        <f>IF(CABLES[[#This Row],[SEG40]]&gt;0,CABLES[[#This Row],[CABLE_MASS]],0)</f>
        <v>0</v>
      </c>
      <c r="HU40" s="10">
        <f>IF(CABLES[[#This Row],[SEG41]]&gt;0,CABLES[[#This Row],[CABLE_MASS]],0)</f>
        <v>0</v>
      </c>
      <c r="HV40" s="10">
        <f>IF(CABLES[[#This Row],[SEG42]]&gt;0,CABLES[[#This Row],[CABLE_MASS]],0)</f>
        <v>0</v>
      </c>
      <c r="HW40" s="10">
        <f>IF(CABLES[[#This Row],[SEG43]]&gt;0,CABLES[[#This Row],[CABLE_MASS]],0)</f>
        <v>0</v>
      </c>
      <c r="HX40" s="10">
        <f>IF(CABLES[[#This Row],[SEG44]]&gt;0,CABLES[[#This Row],[CABLE_MASS]],0)</f>
        <v>0</v>
      </c>
      <c r="HY40" s="10">
        <f>IF(CABLES[[#This Row],[SEG45]]&gt;0,CABLES[[#This Row],[CABLE_MASS]],0)</f>
        <v>0</v>
      </c>
      <c r="HZ40" s="10">
        <f>IF(CABLES[[#This Row],[SEG46]]&gt;0,CABLES[[#This Row],[CABLE_MASS]],0)</f>
        <v>0</v>
      </c>
      <c r="IA40" s="10">
        <f>IF(CABLES[[#This Row],[SEG47]]&gt;0,CABLES[[#This Row],[CABLE_MASS]],0)</f>
        <v>0</v>
      </c>
      <c r="IB40" s="10">
        <f>IF(CABLES[[#This Row],[SEG48]]&gt;0,CABLES[[#This Row],[CABLE_MASS]],0)</f>
        <v>0</v>
      </c>
      <c r="IC40" s="10">
        <f>IF(CABLES[[#This Row],[SEG49]]&gt;0,CABLES[[#This Row],[CABLE_MASS]],0)</f>
        <v>0</v>
      </c>
      <c r="ID40" s="10">
        <f>IF(CABLES[[#This Row],[SEG50]]&gt;0,CABLES[[#This Row],[CABLE_MASS]],0)</f>
        <v>0</v>
      </c>
      <c r="IE40" s="10">
        <f>IF(CABLES[[#This Row],[SEG51]]&gt;0,CABLES[[#This Row],[CABLE_MASS]],0)</f>
        <v>0</v>
      </c>
      <c r="IF40" s="10">
        <f>IF(CABLES[[#This Row],[SEG52]]&gt;0,CABLES[[#This Row],[CABLE_MASS]],0)</f>
        <v>0</v>
      </c>
      <c r="IG40" s="10">
        <f>IF(CABLES[[#This Row],[SEG53]]&gt;0,CABLES[[#This Row],[CABLE_MASS]],0)</f>
        <v>0</v>
      </c>
      <c r="IH40" s="10">
        <f>IF(CABLES[[#This Row],[SEG54]]&gt;0,CABLES[[#This Row],[CABLE_MASS]],0)</f>
        <v>0</v>
      </c>
      <c r="II40" s="10">
        <f>IF(CABLES[[#This Row],[SEG55]]&gt;0,CABLES[[#This Row],[CABLE_MASS]],0)</f>
        <v>0</v>
      </c>
      <c r="IJ40" s="10">
        <f>IF(CABLES[[#This Row],[SEG56]]&gt;0,CABLES[[#This Row],[CABLE_MASS]],0)</f>
        <v>0</v>
      </c>
      <c r="IK40" s="10">
        <f>IF(CABLES[[#This Row],[SEG57]]&gt;0,CABLES[[#This Row],[CABLE_MASS]],0)</f>
        <v>0</v>
      </c>
      <c r="IL40" s="10">
        <f>IF(CABLES[[#This Row],[SEG58]]&gt;0,CABLES[[#This Row],[CABLE_MASS]],0)</f>
        <v>0</v>
      </c>
      <c r="IM40" s="10">
        <f>IF(CABLES[[#This Row],[SEG59]]&gt;0,CABLES[[#This Row],[CABLE_MASS]],0)</f>
        <v>0</v>
      </c>
      <c r="IN40" s="10">
        <f>IF(CABLES[[#This Row],[SEG60]]&gt;0,CABLES[[#This Row],[CABLE_MASS]],0)</f>
        <v>0</v>
      </c>
      <c r="IO40" s="10">
        <f xml:space="preserve">  (CABLES[[#This Row],[LOAD_KW]]/(SQRT(3)*SYSTEM_VOLTAGE*POWER_FACTOR))*1000</f>
        <v>2.4056261216234405</v>
      </c>
      <c r="IP40" s="10">
        <v>45</v>
      </c>
      <c r="IQ40" s="10">
        <f xml:space="preserve"> INDEX(AS3000_AMBIENTDERATE[], MATCH(CABLES[[#This Row],[AMBIENT]],AS3000_AMBIENTDERATE[AMBIENT],0), 2)</f>
        <v>0.94</v>
      </c>
      <c r="IR40" s="10">
        <f xml:space="preserve"> ROUNDUP( CABLES[[#This Row],[CALCULATED_AMPS]]/CABLES[[#This Row],[AMBIENT_DERATING]],1)</f>
        <v>2.6</v>
      </c>
      <c r="IS40" s="10" t="s">
        <v>531</v>
      </c>
      <c r="IT4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0" s="10">
        <f t="shared" si="1"/>
        <v>28.000000000000004</v>
      </c>
      <c r="IV40" s="10">
        <f>(1000*CABLES[[#This Row],[MAX_VDROP]])/(CABLES[[#This Row],[ESTIMATED_CABLE_LENGTH]]*CABLES[[#This Row],[AMP_RATING]])</f>
        <v>213.67521367521371</v>
      </c>
      <c r="IW40" s="10">
        <f xml:space="preserve"> INDEX(AS3000_VDROP[], MATCH(CABLES[[#This Row],[VC_CALC]],AS3000_VDROP[Vc],1),1)</f>
        <v>2.5</v>
      </c>
      <c r="IX40" s="10">
        <f>MAX(CABLES[[#This Row],[CABLESIZE_METHOD1]],CABLES[[#This Row],[CABLESIZE_METHOD2]])</f>
        <v>2.5</v>
      </c>
      <c r="IY40" s="10"/>
      <c r="IZ40" s="10">
        <f>IF(LEN(CABLES[[#This Row],[OVERRIDE_CABLESIZE]])&gt;0,CABLES[[#This Row],[OVERRIDE_CABLESIZE]],CABLES[[#This Row],[INITIAL_CABLESIZE]])</f>
        <v>2.5</v>
      </c>
      <c r="JA40" s="10">
        <f>INDEX(PROTECTIVE_DEVICE[DEVICE], MATCH(CABLES[[#This Row],[CALCULATED_AMPS]],PROTECTIVE_DEVICE[DEVICE],-1),1)</f>
        <v>6</v>
      </c>
      <c r="JB40" s="10"/>
      <c r="JC40" s="10">
        <f>IF(LEN(CABLES[[#This Row],[OVERRIDE_PDEVICE]])&gt;0, CABLES[[#This Row],[OVERRIDE_PDEVICE]],CABLES[[#This Row],[RECOMMEND_PDEVICE]])</f>
        <v>6</v>
      </c>
      <c r="JD40" s="10" t="s">
        <v>450</v>
      </c>
      <c r="JE40" s="10">
        <f xml:space="preserve"> CABLES[[#This Row],[SELECTED_PDEVICE]] * INDEX(DEVICE_CURVE[], MATCH(CABLES[[#This Row],[PDEVICE_CURVE]], DEVICE_CURVE[DEVICE_CURVE],0),2)</f>
        <v>39</v>
      </c>
      <c r="JF40" s="10" t="s">
        <v>458</v>
      </c>
      <c r="JG40" s="10">
        <f xml:space="preserve"> INDEX(CONDUCTOR_MATERIAL[], MATCH(CABLES[[#This Row],[CONDUCTOR_MATERIAL]],CONDUCTOR_MATERIAL[CONDUCTOR_MATERIAL],0),2)</f>
        <v>2.2499999999999999E-2</v>
      </c>
      <c r="JH40" s="10">
        <f>CABLES[[#This Row],[SELECTED_CABLESIZE]]</f>
        <v>2.5</v>
      </c>
      <c r="JI40" s="10">
        <f xml:space="preserve"> INDEX( EARTH_CONDUCTOR_SIZE[], MATCH(CABLES[[#This Row],[SPH]],EARTH_CONDUCTOR_SIZE[MM^2],-1), 2)</f>
        <v>2.5</v>
      </c>
      <c r="JJ40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40" s="10" t="str">
        <f>IF(CABLES[[#This Row],[LMAX]]&gt;CABLES[[#This Row],[ESTIMATED_CABLE_LENGTH]], "PASS", "ERROR")</f>
        <v>PASS</v>
      </c>
      <c r="JL4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4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40" s="6">
        <f xml:space="preserve"> ROUNDUP( CABLES[[#This Row],[CALCULATED_AMPS]],1)</f>
        <v>2.5</v>
      </c>
      <c r="JO40" s="6">
        <f>CABLES[[#This Row],[SELECTED_CABLESIZE]]</f>
        <v>2.5</v>
      </c>
      <c r="JP40" s="10">
        <f>CABLES[[#This Row],[ESTIMATED_CABLE_LENGTH]]</f>
        <v>50.4</v>
      </c>
      <c r="JQ40" s="6">
        <f>CABLES[[#This Row],[SELECTED_PDEVICE]]</f>
        <v>6</v>
      </c>
    </row>
    <row r="41" spans="1:277" x14ac:dyDescent="0.35">
      <c r="A41" s="5" t="s">
        <v>40</v>
      </c>
      <c r="B41" s="5" t="s">
        <v>100</v>
      </c>
      <c r="C41" s="10" t="s">
        <v>262</v>
      </c>
      <c r="D41" s="9">
        <v>7.5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1</v>
      </c>
      <c r="AI41" s="9">
        <v>1</v>
      </c>
      <c r="AJ41" s="9">
        <v>1</v>
      </c>
      <c r="AK41" s="9">
        <v>0</v>
      </c>
      <c r="AL41" s="9">
        <v>1</v>
      </c>
      <c r="AM41" s="9">
        <v>1</v>
      </c>
      <c r="AN41" s="9">
        <v>1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f xml:space="preserve"> IF(CABLES[[#This Row],[SEG1]] &gt;0, INDEX(SEGMENTS[], MATCH(CABLES[[#Headers],[SEG1]],SEGMENTS[SEG_ID],0),4),0)</f>
        <v>0</v>
      </c>
      <c r="BN41" s="9">
        <f xml:space="preserve"> IF(CABLES[[#This Row],[SEG2]] &gt;0, INDEX(SEGMENTS[], MATCH(CABLES[[#Headers],[SEG2]],SEGMENTS[SEG_ID],0),4),0)</f>
        <v>0</v>
      </c>
      <c r="BO41" s="9">
        <f xml:space="preserve"> IF(CABLES[[#This Row],[SEG3]] &gt;0, INDEX(SEGMENTS[], MATCH(CABLES[[#Headers],[SEG3]],SEGMENTS[SEG_ID],0),4),0)</f>
        <v>0</v>
      </c>
      <c r="BP41" s="9">
        <f xml:space="preserve"> IF(CABLES[[#This Row],[SEG4]] &gt;0, INDEX(SEGMENTS[], MATCH(CABLES[[#Headers],[SEG4]],SEGMENTS[SEG_ID],0),4),0)</f>
        <v>0</v>
      </c>
      <c r="BQ41" s="9">
        <f xml:space="preserve"> IF(CABLES[[#This Row],[SEG5]] &gt;0,INDEX(SEGMENTS[], MATCH(CABLES[[#Headers],[SEG5]],SEGMENTS[SEG_ID],0),4),0)</f>
        <v>0</v>
      </c>
      <c r="BR41" s="9">
        <f xml:space="preserve"> IF(CABLES[[#This Row],[SEG6]] &gt;0,INDEX(SEGMENTS[], MATCH(CABLES[[#Headers],[SEG6]],SEGMENTS[SEG_ID],0),4),0)</f>
        <v>0</v>
      </c>
      <c r="BS41" s="9">
        <f xml:space="preserve"> IF(CABLES[[#This Row],[SEG7]] &gt;0,INDEX(SEGMENTS[], MATCH(CABLES[[#Headers],[SEG7]],SEGMENTS[SEG_ID],0),4),0)</f>
        <v>0</v>
      </c>
      <c r="BT41" s="9">
        <f xml:space="preserve"> IF(CABLES[[#This Row],[SEG8]] &gt;0,INDEX(SEGMENTS[], MATCH(CABLES[[#Headers],[SEG8]],SEGMENTS[SEG_ID],0),4),0)</f>
        <v>0</v>
      </c>
      <c r="BU41" s="9">
        <f xml:space="preserve"> IF(CABLES[[#This Row],[SEG9]] &gt;0,INDEX(SEGMENTS[], MATCH(CABLES[[#Headers],[SEG9]],SEGMENTS[SEG_ID],0),4),0)</f>
        <v>0</v>
      </c>
      <c r="BV41" s="9">
        <f xml:space="preserve"> IF(CABLES[[#This Row],[SEG10]] &gt;0,INDEX(SEGMENTS[], MATCH(CABLES[[#Headers],[SEG10]],SEGMENTS[SEG_ID],0),4),0)</f>
        <v>0</v>
      </c>
      <c r="BW41" s="9">
        <f xml:space="preserve"> IF(CABLES[[#This Row],[SEG11]] &gt;0,INDEX(SEGMENTS[], MATCH(CABLES[[#Headers],[SEG11]],SEGMENTS[SEG_ID],0),4),0)</f>
        <v>0</v>
      </c>
      <c r="BX41" s="9">
        <f>IF(CABLES[[#This Row],[SEG12]] &gt;0, INDEX(SEGMENTS[], MATCH(CABLES[[#Headers],[SEG12]],SEGMENTS[SEG_ID],0),4),0)</f>
        <v>0</v>
      </c>
      <c r="BY41" s="9">
        <f xml:space="preserve"> IF(CABLES[[#This Row],[SEG13]] &gt;0,INDEX(SEGMENTS[], MATCH(CABLES[[#Headers],[SEG13]],SEGMENTS[SEG_ID],0),4),0)</f>
        <v>0</v>
      </c>
      <c r="BZ41" s="9">
        <f xml:space="preserve"> IF(CABLES[[#This Row],[SEG14]] &gt;0,INDEX(SEGMENTS[], MATCH(CABLES[[#Headers],[SEG14]],SEGMENTS[SEG_ID],0),4),0)</f>
        <v>0</v>
      </c>
      <c r="CA41" s="9">
        <f xml:space="preserve"> IF(CABLES[[#This Row],[SEG15]] &gt;0,INDEX(SEGMENTS[], MATCH(CABLES[[#Headers],[SEG15]],SEGMENTS[SEG_ID],0),4),0)</f>
        <v>0</v>
      </c>
      <c r="CB41" s="9">
        <f xml:space="preserve"> IF(CABLES[[#This Row],[SEG16]] &gt;0,INDEX(SEGMENTS[], MATCH(CABLES[[#Headers],[SEG16]],SEGMENTS[SEG_ID],0),4),0)</f>
        <v>0</v>
      </c>
      <c r="CC41" s="9">
        <f xml:space="preserve"> IF(CABLES[[#This Row],[SEG17]] &gt;0,INDEX(SEGMENTS[], MATCH(CABLES[[#Headers],[SEG17]],SEGMENTS[SEG_ID],0),4),0)</f>
        <v>0</v>
      </c>
      <c r="CD41" s="9">
        <f xml:space="preserve"> IF(CABLES[[#This Row],[SEG18]] &gt;0,INDEX(SEGMENTS[], MATCH(CABLES[[#Headers],[SEG18]],SEGMENTS[SEG_ID],0),4),0)</f>
        <v>0</v>
      </c>
      <c r="CE41" s="9">
        <f>IF(CABLES[[#This Row],[SEG19]] &gt;0, INDEX(SEGMENTS[], MATCH(CABLES[[#Headers],[SEG19]],SEGMENTS[SEG_ID],0),4),0)</f>
        <v>0</v>
      </c>
      <c r="CF41" s="9">
        <f>IF(CABLES[[#This Row],[SEG20]] &gt;0, INDEX(SEGMENTS[], MATCH(CABLES[[#Headers],[SEG20]],SEGMENTS[SEG_ID],0),4),0)</f>
        <v>0</v>
      </c>
      <c r="CG41" s="9">
        <f xml:space="preserve"> IF(CABLES[[#This Row],[SEG21]] &gt;0,INDEX(SEGMENTS[], MATCH(CABLES[[#Headers],[SEG21]],SEGMENTS[SEG_ID],0),4),0)</f>
        <v>0</v>
      </c>
      <c r="CH41" s="9">
        <f xml:space="preserve"> IF(CABLES[[#This Row],[SEG22]] &gt;0,INDEX(SEGMENTS[], MATCH(CABLES[[#Headers],[SEG22]],SEGMENTS[SEG_ID],0),4),0)</f>
        <v>0</v>
      </c>
      <c r="CI41" s="9">
        <f>IF(CABLES[[#This Row],[SEG23]] &gt;0, INDEX(SEGMENTS[], MATCH(CABLES[[#Headers],[SEG23]],SEGMENTS[SEG_ID],0),4),0)</f>
        <v>0</v>
      </c>
      <c r="CJ41" s="9">
        <f xml:space="preserve"> IF(CABLES[[#This Row],[SEG24]] &gt;0,INDEX(SEGMENTS[], MATCH(CABLES[[#Headers],[SEG24]],SEGMENTS[SEG_ID],0),4),0)</f>
        <v>0</v>
      </c>
      <c r="CK41" s="9">
        <f>IF(CABLES[[#This Row],[SEG25]] &gt;0, INDEX(SEGMENTS[], MATCH(CABLES[[#Headers],[SEG25]],SEGMENTS[SEG_ID],0),4),0)</f>
        <v>0</v>
      </c>
      <c r="CL41" s="9">
        <f>IF(CABLES[[#This Row],[SEG26]] &gt;0, INDEX(SEGMENTS[], MATCH(CABLES[[#Headers],[SEG26]],SEGMENTS[SEG_ID],0),4),0)</f>
        <v>0</v>
      </c>
      <c r="CM41" s="9">
        <f xml:space="preserve"> IF(CABLES[[#This Row],[SEG27]] &gt;0,INDEX(SEGMENTS[], MATCH(CABLES[[#Headers],[SEG27]],SEGMENTS[SEG_ID],0),4),0)</f>
        <v>0</v>
      </c>
      <c r="CN41" s="9">
        <f xml:space="preserve"> IF(CABLES[[#This Row],[SEG28]] &gt;0,INDEX(SEGMENTS[], MATCH(CABLES[[#Headers],[SEG28]],SEGMENTS[SEG_ID],0),4),0)</f>
        <v>0</v>
      </c>
      <c r="CO41" s="9">
        <f xml:space="preserve"> IF(CABLES[[#This Row],[SEG29]] &gt;0,INDEX(SEGMENTS[], MATCH(CABLES[[#Headers],[SEG29]],SEGMENTS[SEG_ID],0),4),0)</f>
        <v>0</v>
      </c>
      <c r="CP41" s="9">
        <f xml:space="preserve"> IF(CABLES[[#This Row],[SEG30]] &gt;0,INDEX(SEGMENTS[], MATCH(CABLES[[#Headers],[SEG30]],SEGMENTS[SEG_ID],0),4),0)</f>
        <v>6</v>
      </c>
      <c r="CQ41" s="9">
        <f>IF(CABLES[[#This Row],[SEG31]] &gt;0, INDEX(SEGMENTS[], MATCH(CABLES[[#Headers],[SEG31]],SEGMENTS[SEG_ID],0),4),0)</f>
        <v>3</v>
      </c>
      <c r="CR41" s="9">
        <f xml:space="preserve"> IF(CABLES[[#This Row],[SEG32]] &gt;0,INDEX(SEGMENTS[], MATCH(CABLES[[#Headers],[SEG32]],SEGMENTS[SEG_ID],0),4),0)</f>
        <v>5</v>
      </c>
      <c r="CS41" s="9">
        <f xml:space="preserve"> IF(CABLES[[#This Row],[SEG33]] &gt;0,INDEX(SEGMENTS[], MATCH(CABLES[[#Headers],[SEG33]],SEGMENTS[SEG_ID],0),4),0)</f>
        <v>0</v>
      </c>
      <c r="CT41" s="9">
        <f>IF(CABLES[[#This Row],[SEG34]] &gt;0, INDEX(SEGMENTS[], MATCH(CABLES[[#Headers],[SEG34]],SEGMENTS[SEG_ID],0),4),0)</f>
        <v>7</v>
      </c>
      <c r="CU41" s="9">
        <f xml:space="preserve"> IF(CABLES[[#This Row],[SEG35]] &gt;0,INDEX(SEGMENTS[], MATCH(CABLES[[#Headers],[SEG35]],SEGMENTS[SEG_ID],0),4),0)</f>
        <v>7</v>
      </c>
      <c r="CV41" s="9">
        <f xml:space="preserve"> IF(CABLES[[#This Row],[SEG36]] &gt;0,INDEX(SEGMENTS[], MATCH(CABLES[[#Headers],[SEG36]],SEGMENTS[SEG_ID],0),4),0)</f>
        <v>9</v>
      </c>
      <c r="CW41" s="9">
        <f xml:space="preserve"> IF(CABLES[[#This Row],[SEG37]] &gt;0,INDEX(SEGMENTS[], MATCH(CABLES[[#Headers],[SEG37]],SEGMENTS[SEG_ID],0),4),0)</f>
        <v>0</v>
      </c>
      <c r="CX41" s="9">
        <f xml:space="preserve"> IF(CABLES[[#This Row],[SEG38]] &gt;0,INDEX(SEGMENTS[], MATCH(CABLES[[#Headers],[SEG38]],SEGMENTS[SEG_ID],0),4),0)</f>
        <v>0</v>
      </c>
      <c r="CY41" s="9">
        <f xml:space="preserve"> IF(CABLES[[#This Row],[SEG39]] &gt;0,INDEX(SEGMENTS[], MATCH(CABLES[[#Headers],[SEG39]],SEGMENTS[SEG_ID],0),4),0)</f>
        <v>0</v>
      </c>
      <c r="CZ41" s="9">
        <f xml:space="preserve"> IF(CABLES[[#This Row],[SEG40]] &gt;0,INDEX(SEGMENTS[], MATCH(CABLES[[#Headers],[SEG40]],SEGMENTS[SEG_ID],0),4),0)</f>
        <v>0</v>
      </c>
      <c r="DA41" s="9">
        <f xml:space="preserve"> IF(CABLES[[#This Row],[SEG41]] &gt;0,INDEX(SEGMENTS[], MATCH(CABLES[[#Headers],[SEG41]],SEGMENTS[SEG_ID],0),4),0)</f>
        <v>0</v>
      </c>
      <c r="DB41" s="9">
        <f xml:space="preserve"> IF(CABLES[[#This Row],[SEG42]] &gt;0,INDEX(SEGMENTS[], MATCH(CABLES[[#Headers],[SEG42]],SEGMENTS[SEG_ID],0),4),0)</f>
        <v>0</v>
      </c>
      <c r="DC41" s="9">
        <f xml:space="preserve"> IF(CABLES[[#This Row],[SEG43]] &gt;0,INDEX(SEGMENTS[], MATCH(CABLES[[#Headers],[SEG43]],SEGMENTS[SEG_ID],0),4),0)</f>
        <v>0</v>
      </c>
      <c r="DD41" s="9">
        <f xml:space="preserve"> IF(CABLES[[#This Row],[SEG44]] &gt;0,INDEX(SEGMENTS[], MATCH(CABLES[[#Headers],[SEG44]],SEGMENTS[SEG_ID],0),4),0)</f>
        <v>0</v>
      </c>
      <c r="DE41" s="9">
        <f xml:space="preserve"> IF(CABLES[[#This Row],[SEG45]] &gt;0,INDEX(SEGMENTS[], MATCH(CABLES[[#Headers],[SEG45]],SEGMENTS[SEG_ID],0),4),0)</f>
        <v>0</v>
      </c>
      <c r="DF41" s="9">
        <f xml:space="preserve"> IF(CABLES[[#This Row],[SEG46]] &gt;0,INDEX(SEGMENTS[], MATCH(CABLES[[#Headers],[SEG46]],SEGMENTS[SEG_ID],0),4),0)</f>
        <v>0</v>
      </c>
      <c r="DG41" s="9">
        <f xml:space="preserve"> IF(CABLES[[#This Row],[SEG47]] &gt;0,INDEX(SEGMENTS[], MATCH(CABLES[[#Headers],[SEG47]],SEGMENTS[SEG_ID],0),4),0)</f>
        <v>0</v>
      </c>
      <c r="DH41" s="9">
        <f xml:space="preserve"> IF(CABLES[[#This Row],[SEG48]] &gt;0,INDEX(SEGMENTS[], MATCH(CABLES[[#Headers],[SEG48]],SEGMENTS[SEG_ID],0),4),0)</f>
        <v>0</v>
      </c>
      <c r="DI41" s="9">
        <f xml:space="preserve"> IF(CABLES[[#This Row],[SEG49]] &gt;0,INDEX(SEGMENTS[], MATCH(CABLES[[#Headers],[SEG49]],SEGMENTS[SEG_ID],0),4),0)</f>
        <v>0</v>
      </c>
      <c r="DJ41" s="9">
        <f xml:space="preserve"> IF(CABLES[[#This Row],[SEG50]] &gt;0,INDEX(SEGMENTS[], MATCH(CABLES[[#Headers],[SEG50]],SEGMENTS[SEG_ID],0),4),0)</f>
        <v>0</v>
      </c>
      <c r="DK41" s="9">
        <f xml:space="preserve"> IF(CABLES[[#This Row],[SEG51]] &gt;0,INDEX(SEGMENTS[], MATCH(CABLES[[#Headers],[SEG51]],SEGMENTS[SEG_ID],0),4),0)</f>
        <v>0</v>
      </c>
      <c r="DL41" s="9">
        <f xml:space="preserve"> IF(CABLES[[#This Row],[SEG52]] &gt;0,INDEX(SEGMENTS[], MATCH(CABLES[[#Headers],[SEG52]],SEGMENTS[SEG_ID],0),4),0)</f>
        <v>0</v>
      </c>
      <c r="DM41" s="9">
        <f xml:space="preserve"> IF(CABLES[[#This Row],[SEG53]] &gt;0,INDEX(SEGMENTS[], MATCH(CABLES[[#Headers],[SEG53]],SEGMENTS[SEG_ID],0),4),0)</f>
        <v>0</v>
      </c>
      <c r="DN41" s="9">
        <f xml:space="preserve"> IF(CABLES[[#This Row],[SEG54]] &gt;0,INDEX(SEGMENTS[], MATCH(CABLES[[#Headers],[SEG54]],SEGMENTS[SEG_ID],0),4),0)</f>
        <v>0</v>
      </c>
      <c r="DO41" s="9">
        <f xml:space="preserve"> IF(CABLES[[#This Row],[SEG55]] &gt;0,INDEX(SEGMENTS[], MATCH(CABLES[[#Headers],[SEG55]],SEGMENTS[SEG_ID],0),4),0)</f>
        <v>0</v>
      </c>
      <c r="DP41" s="9">
        <f xml:space="preserve"> IF(CABLES[[#This Row],[SEG56]] &gt;0,INDEX(SEGMENTS[], MATCH(CABLES[[#Headers],[SEG56]],SEGMENTS[SEG_ID],0),4),0)</f>
        <v>0</v>
      </c>
      <c r="DQ41" s="9">
        <f xml:space="preserve"> IF(CABLES[[#This Row],[SEG57]] &gt;0,INDEX(SEGMENTS[], MATCH(CABLES[[#Headers],[SEG57]],SEGMENTS[SEG_ID],0),4),0)</f>
        <v>0</v>
      </c>
      <c r="DR41" s="9">
        <f xml:space="preserve"> IF(CABLES[[#This Row],[SEG58]] &gt;0,INDEX(SEGMENTS[], MATCH(CABLES[[#Headers],[SEG58]],SEGMENTS[SEG_ID],0),4),0)</f>
        <v>0</v>
      </c>
      <c r="DS41" s="9">
        <f xml:space="preserve"> IF(CABLES[[#This Row],[SEG59]] &gt;0,INDEX(SEGMENTS[], MATCH(CABLES[[#Headers],[SEG59]],SEGMENTS[SEG_ID],0),4),0)</f>
        <v>0</v>
      </c>
      <c r="DT41" s="9">
        <f xml:space="preserve"> IF(CABLES[[#This Row],[SEG60]] &gt;0,INDEX(SEGMENTS[], MATCH(CABLES[[#Headers],[SEG60]],SEGMENTS[SEG_ID],0),4),0)</f>
        <v>0</v>
      </c>
      <c r="DU41" s="10">
        <f>SUM(CABLES[[#This Row],[SEGL1]:[SEGL60]])</f>
        <v>37</v>
      </c>
      <c r="DV41" s="10">
        <v>5</v>
      </c>
      <c r="DW41" s="10">
        <v>1.2</v>
      </c>
      <c r="DX41" s="10">
        <f xml:space="preserve"> IF(CABLES[[#This Row],[SEGL_TOTAL]]&gt;0, (CABLES[[#This Row],[SEGL_TOTAL]] + CABLES[[#This Row],[FITOFF]]) *CABLES[[#This Row],[XCAPACITY]],0)</f>
        <v>50.4</v>
      </c>
      <c r="DY41" s="10">
        <f>IF(CABLES[[#This Row],[SEG1]]&gt;0,CABLES[[#This Row],[CABLE_DIAMETER]],0)</f>
        <v>0</v>
      </c>
      <c r="DZ41" s="10">
        <f>IF(CABLES[[#This Row],[SEG2]]&gt;0,CABLES[[#This Row],[CABLE_DIAMETER]],0)</f>
        <v>0</v>
      </c>
      <c r="EA41" s="10">
        <f>IF(CABLES[[#This Row],[SEG3]]&gt;0,CABLES[[#This Row],[CABLE_DIAMETER]],0)</f>
        <v>0</v>
      </c>
      <c r="EB41" s="10">
        <f>IF(CABLES[[#This Row],[SEG4]]&gt;0,CABLES[[#This Row],[CABLE_DIAMETER]],0)</f>
        <v>0</v>
      </c>
      <c r="EC41" s="10">
        <f>IF(CABLES[[#This Row],[SEG5]]&gt;0,CABLES[[#This Row],[CABLE_DIAMETER]],0)</f>
        <v>0</v>
      </c>
      <c r="ED41" s="10">
        <f>IF(CABLES[[#This Row],[SEG6]]&gt;0,CABLES[[#This Row],[CABLE_DIAMETER]],0)</f>
        <v>0</v>
      </c>
      <c r="EE41" s="10">
        <f>IF(CABLES[[#This Row],[SEG7]]&gt;0,CABLES[[#This Row],[CABLE_DIAMETER]],0)</f>
        <v>0</v>
      </c>
      <c r="EF41" s="10">
        <f>IF(CABLES[[#This Row],[SEG9]]&gt;0,CABLES[[#This Row],[CABLE_DIAMETER]],0)</f>
        <v>0</v>
      </c>
      <c r="EG41" s="10">
        <f>IF(CABLES[[#This Row],[SEG9]]&gt;0,CABLES[[#This Row],[CABLE_DIAMETER]],0)</f>
        <v>0</v>
      </c>
      <c r="EH41" s="10">
        <f>IF(CABLES[[#This Row],[SEG10]]&gt;0,CABLES[[#This Row],[CABLE_DIAMETER]],0)</f>
        <v>0</v>
      </c>
      <c r="EI41" s="10">
        <f>IF(CABLES[[#This Row],[SEG11]]&gt;0,CABLES[[#This Row],[CABLE_DIAMETER]],0)</f>
        <v>0</v>
      </c>
      <c r="EJ41" s="10">
        <f>IF(CABLES[[#This Row],[SEG12]]&gt;0,CABLES[[#This Row],[CABLE_DIAMETER]],0)</f>
        <v>0</v>
      </c>
      <c r="EK41" s="10">
        <f>IF(CABLES[[#This Row],[SEG13]]&gt;0,CABLES[[#This Row],[CABLE_DIAMETER]],0)</f>
        <v>0</v>
      </c>
      <c r="EL41" s="10">
        <f>IF(CABLES[[#This Row],[SEG14]]&gt;0,CABLES[[#This Row],[CABLE_DIAMETER]],0)</f>
        <v>0</v>
      </c>
      <c r="EM41" s="10">
        <f>IF(CABLES[[#This Row],[SEG15]]&gt;0,CABLES[[#This Row],[CABLE_DIAMETER]],0)</f>
        <v>0</v>
      </c>
      <c r="EN41" s="10">
        <f>IF(CABLES[[#This Row],[SEG16]]&gt;0,CABLES[[#This Row],[CABLE_DIAMETER]],0)</f>
        <v>0</v>
      </c>
      <c r="EO41" s="10">
        <f>IF(CABLES[[#This Row],[SEG17]]&gt;0,CABLES[[#This Row],[CABLE_DIAMETER]],0)</f>
        <v>0</v>
      </c>
      <c r="EP41" s="10">
        <f>IF(CABLES[[#This Row],[SEG18]]&gt;0,CABLES[[#This Row],[CABLE_DIAMETER]],0)</f>
        <v>0</v>
      </c>
      <c r="EQ41" s="10">
        <f>IF(CABLES[[#This Row],[SEG19]]&gt;0,CABLES[[#This Row],[CABLE_DIAMETER]],0)</f>
        <v>0</v>
      </c>
      <c r="ER41" s="10">
        <f>IF(CABLES[[#This Row],[SEG20]]&gt;0,CABLES[[#This Row],[CABLE_DIAMETER]],0)</f>
        <v>0</v>
      </c>
      <c r="ES41" s="10">
        <f>IF(CABLES[[#This Row],[SEG21]]&gt;0,CABLES[[#This Row],[CABLE_DIAMETER]],0)</f>
        <v>0</v>
      </c>
      <c r="ET41" s="10">
        <f>IF(CABLES[[#This Row],[SEG22]]&gt;0,CABLES[[#This Row],[CABLE_DIAMETER]],0)</f>
        <v>0</v>
      </c>
      <c r="EU41" s="10">
        <f>IF(CABLES[[#This Row],[SEG23]]&gt;0,CABLES[[#This Row],[CABLE_DIAMETER]],0)</f>
        <v>0</v>
      </c>
      <c r="EV41" s="10">
        <f>IF(CABLES[[#This Row],[SEG24]]&gt;0,CABLES[[#This Row],[CABLE_DIAMETER]],0)</f>
        <v>0</v>
      </c>
      <c r="EW41" s="10">
        <f>IF(CABLES[[#This Row],[SEG25]]&gt;0,CABLES[[#This Row],[CABLE_DIAMETER]],0)</f>
        <v>0</v>
      </c>
      <c r="EX41" s="10">
        <f>IF(CABLES[[#This Row],[SEG26]]&gt;0,CABLES[[#This Row],[CABLE_DIAMETER]],0)</f>
        <v>0</v>
      </c>
      <c r="EY41" s="10">
        <f>IF(CABLES[[#This Row],[SEG27]]&gt;0,CABLES[[#This Row],[CABLE_DIAMETER]],0)</f>
        <v>0</v>
      </c>
      <c r="EZ41" s="10">
        <f>IF(CABLES[[#This Row],[SEG28]]&gt;0,CABLES[[#This Row],[CABLE_DIAMETER]],0)</f>
        <v>0</v>
      </c>
      <c r="FA41" s="10">
        <f>IF(CABLES[[#This Row],[SEG29]]&gt;0,CABLES[[#This Row],[CABLE_DIAMETER]],0)</f>
        <v>0</v>
      </c>
      <c r="FB41" s="10">
        <f>IF(CABLES[[#This Row],[SEG30]]&gt;0,CABLES[[#This Row],[CABLE_DIAMETER]],0)</f>
        <v>12</v>
      </c>
      <c r="FC41" s="10">
        <f>IF(CABLES[[#This Row],[SEG31]]&gt;0,CABLES[[#This Row],[CABLE_DIAMETER]],0)</f>
        <v>12</v>
      </c>
      <c r="FD41" s="10">
        <f>IF(CABLES[[#This Row],[SEG32]]&gt;0,CABLES[[#This Row],[CABLE_DIAMETER]],0)</f>
        <v>12</v>
      </c>
      <c r="FE41" s="10">
        <f>IF(CABLES[[#This Row],[SEG33]]&gt;0,CABLES[[#This Row],[CABLE_DIAMETER]],0)</f>
        <v>0</v>
      </c>
      <c r="FF41" s="10">
        <f>IF(CABLES[[#This Row],[SEG34]]&gt;0,CABLES[[#This Row],[CABLE_DIAMETER]],0)</f>
        <v>12</v>
      </c>
      <c r="FG41" s="10">
        <f>IF(CABLES[[#This Row],[SEG35]]&gt;0,CABLES[[#This Row],[CABLE_DIAMETER]],0)</f>
        <v>12</v>
      </c>
      <c r="FH41" s="10">
        <f>IF(CABLES[[#This Row],[SEG36]]&gt;0,CABLES[[#This Row],[CABLE_DIAMETER]],0)</f>
        <v>12</v>
      </c>
      <c r="FI41" s="10">
        <f>IF(CABLES[[#This Row],[SEG37]]&gt;0,CABLES[[#This Row],[CABLE_DIAMETER]],0)</f>
        <v>0</v>
      </c>
      <c r="FJ41" s="10">
        <f>IF(CABLES[[#This Row],[SEG38]]&gt;0,CABLES[[#This Row],[CABLE_DIAMETER]],0)</f>
        <v>0</v>
      </c>
      <c r="FK41" s="10">
        <f>IF(CABLES[[#This Row],[SEG39]]&gt;0,CABLES[[#This Row],[CABLE_DIAMETER]],0)</f>
        <v>0</v>
      </c>
      <c r="FL41" s="10">
        <f>IF(CABLES[[#This Row],[SEG40]]&gt;0,CABLES[[#This Row],[CABLE_DIAMETER]],0)</f>
        <v>0</v>
      </c>
      <c r="FM41" s="10">
        <f>IF(CABLES[[#This Row],[SEG41]]&gt;0,CABLES[[#This Row],[CABLE_DIAMETER]],0)</f>
        <v>0</v>
      </c>
      <c r="FN41" s="10">
        <f>IF(CABLES[[#This Row],[SEG42]]&gt;0,CABLES[[#This Row],[CABLE_DIAMETER]],0)</f>
        <v>0</v>
      </c>
      <c r="FO41" s="10">
        <f>IF(CABLES[[#This Row],[SEG43]]&gt;0,CABLES[[#This Row],[CABLE_DIAMETER]],0)</f>
        <v>0</v>
      </c>
      <c r="FP41" s="10">
        <f>IF(CABLES[[#This Row],[SEG44]]&gt;0,CABLES[[#This Row],[CABLE_DIAMETER]],0)</f>
        <v>0</v>
      </c>
      <c r="FQ41" s="10">
        <f>IF(CABLES[[#This Row],[SEG45]]&gt;0,CABLES[[#This Row],[CABLE_DIAMETER]],0)</f>
        <v>0</v>
      </c>
      <c r="FR41" s="10">
        <f>IF(CABLES[[#This Row],[SEG46]]&gt;0,CABLES[[#This Row],[CABLE_DIAMETER]],0)</f>
        <v>0</v>
      </c>
      <c r="FS41" s="10">
        <f>IF(CABLES[[#This Row],[SEG47]]&gt;0,CABLES[[#This Row],[CABLE_DIAMETER]],0)</f>
        <v>0</v>
      </c>
      <c r="FT41" s="10">
        <f>IF(CABLES[[#This Row],[SEG48]]&gt;0,CABLES[[#This Row],[CABLE_DIAMETER]],0)</f>
        <v>0</v>
      </c>
      <c r="FU41" s="10">
        <f>IF(CABLES[[#This Row],[SEG49]]&gt;0,CABLES[[#This Row],[CABLE_DIAMETER]],0)</f>
        <v>0</v>
      </c>
      <c r="FV41" s="10">
        <f>IF(CABLES[[#This Row],[SEG50]]&gt;0,CABLES[[#This Row],[CABLE_DIAMETER]],0)</f>
        <v>0</v>
      </c>
      <c r="FW41" s="10">
        <f>IF(CABLES[[#This Row],[SEG51]]&gt;0,CABLES[[#This Row],[CABLE_DIAMETER]],0)</f>
        <v>0</v>
      </c>
      <c r="FX41" s="10">
        <f>IF(CABLES[[#This Row],[SEG52]]&gt;0,CABLES[[#This Row],[CABLE_DIAMETER]],0)</f>
        <v>0</v>
      </c>
      <c r="FY41" s="10">
        <f>IF(CABLES[[#This Row],[SEG53]]&gt;0,CABLES[[#This Row],[CABLE_DIAMETER]],0)</f>
        <v>0</v>
      </c>
      <c r="FZ41" s="10">
        <f>IF(CABLES[[#This Row],[SEG54]]&gt;0,CABLES[[#This Row],[CABLE_DIAMETER]],0)</f>
        <v>0</v>
      </c>
      <c r="GA41" s="10">
        <f>IF(CABLES[[#This Row],[SEG55]]&gt;0,CABLES[[#This Row],[CABLE_DIAMETER]],0)</f>
        <v>0</v>
      </c>
      <c r="GB41" s="10">
        <f>IF(CABLES[[#This Row],[SEG56]]&gt;0,CABLES[[#This Row],[CABLE_DIAMETER]],0)</f>
        <v>0</v>
      </c>
      <c r="GC41" s="10">
        <f>IF(CABLES[[#This Row],[SEG57]]&gt;0,CABLES[[#This Row],[CABLE_DIAMETER]],0)</f>
        <v>0</v>
      </c>
      <c r="GD41" s="10">
        <f>IF(CABLES[[#This Row],[SEG58]]&gt;0,CABLES[[#This Row],[CABLE_DIAMETER]],0)</f>
        <v>0</v>
      </c>
      <c r="GE41" s="10">
        <f>IF(CABLES[[#This Row],[SEG59]]&gt;0,CABLES[[#This Row],[CABLE_DIAMETER]],0)</f>
        <v>0</v>
      </c>
      <c r="GF41" s="10">
        <f>IF(CABLES[[#This Row],[SEG60]]&gt;0,CABLES[[#This Row],[CABLE_DIAMETER]],0)</f>
        <v>0</v>
      </c>
      <c r="GG41" s="10">
        <f>IF(CABLES[[#This Row],[SEG1]]&gt;0,CABLES[[#This Row],[CABLE_MASS]],0)</f>
        <v>0</v>
      </c>
      <c r="GH41" s="10">
        <f>IF(CABLES[[#This Row],[SEG2]]&gt;0,CABLES[[#This Row],[CABLE_MASS]],0)</f>
        <v>0</v>
      </c>
      <c r="GI41" s="10">
        <f>IF(CABLES[[#This Row],[SEG3]]&gt;0,CABLES[[#This Row],[CABLE_MASS]],0)</f>
        <v>0</v>
      </c>
      <c r="GJ41" s="10">
        <f>IF(CABLES[[#This Row],[SEG4]]&gt;0,CABLES[[#This Row],[CABLE_MASS]],0)</f>
        <v>0</v>
      </c>
      <c r="GK41" s="10">
        <f>IF(CABLES[[#This Row],[SEG5]]&gt;0,CABLES[[#This Row],[CABLE_MASS]],0)</f>
        <v>0</v>
      </c>
      <c r="GL41" s="10">
        <f>IF(CABLES[[#This Row],[SEG6]]&gt;0,CABLES[[#This Row],[CABLE_MASS]],0)</f>
        <v>0</v>
      </c>
      <c r="GM41" s="10">
        <f>IF(CABLES[[#This Row],[SEG7]]&gt;0,CABLES[[#This Row],[CABLE_MASS]],0)</f>
        <v>0</v>
      </c>
      <c r="GN41" s="10">
        <f>IF(CABLES[[#This Row],[SEG8]]&gt;0,CABLES[[#This Row],[CABLE_MASS]],0)</f>
        <v>0</v>
      </c>
      <c r="GO41" s="10">
        <f>IF(CABLES[[#This Row],[SEG9]]&gt;0,CABLES[[#This Row],[CABLE_MASS]],0)</f>
        <v>0</v>
      </c>
      <c r="GP41" s="10">
        <f>IF(CABLES[[#This Row],[SEG10]]&gt;0,CABLES[[#This Row],[CABLE_MASS]],0)</f>
        <v>0</v>
      </c>
      <c r="GQ41" s="10">
        <f>IF(CABLES[[#This Row],[SEG11]]&gt;0,CABLES[[#This Row],[CABLE_MASS]],0)</f>
        <v>0</v>
      </c>
      <c r="GR41" s="10">
        <f>IF(CABLES[[#This Row],[SEG12]]&gt;0,CABLES[[#This Row],[CABLE_MASS]],0)</f>
        <v>0</v>
      </c>
      <c r="GS41" s="10">
        <f>IF(CABLES[[#This Row],[SEG13]]&gt;0,CABLES[[#This Row],[CABLE_MASS]],0)</f>
        <v>0</v>
      </c>
      <c r="GT41" s="10">
        <f>IF(CABLES[[#This Row],[SEG14]]&gt;0,CABLES[[#This Row],[CABLE_MASS]],0)</f>
        <v>0</v>
      </c>
      <c r="GU41" s="10">
        <f>IF(CABLES[[#This Row],[SEG15]]&gt;0,CABLES[[#This Row],[CABLE_MASS]],0)</f>
        <v>0</v>
      </c>
      <c r="GV41" s="10">
        <f>IF(CABLES[[#This Row],[SEG16]]&gt;0,CABLES[[#This Row],[CABLE_MASS]],0)</f>
        <v>0</v>
      </c>
      <c r="GW41" s="10">
        <f>IF(CABLES[[#This Row],[SEG17]]&gt;0,CABLES[[#This Row],[CABLE_MASS]],0)</f>
        <v>0</v>
      </c>
      <c r="GX41" s="10">
        <f>IF(CABLES[[#This Row],[SEG18]]&gt;0,CABLES[[#This Row],[CABLE_MASS]],0)</f>
        <v>0</v>
      </c>
      <c r="GY41" s="10">
        <f>IF(CABLES[[#This Row],[SEG19]]&gt;0,CABLES[[#This Row],[CABLE_MASS]],0)</f>
        <v>0</v>
      </c>
      <c r="GZ41" s="10">
        <f>IF(CABLES[[#This Row],[SEG20]]&gt;0,CABLES[[#This Row],[CABLE_MASS]],0)</f>
        <v>0</v>
      </c>
      <c r="HA41" s="10">
        <f>IF(CABLES[[#This Row],[SEG21]]&gt;0,CABLES[[#This Row],[CABLE_MASS]],0)</f>
        <v>0</v>
      </c>
      <c r="HB41" s="10">
        <f>IF(CABLES[[#This Row],[SEG22]]&gt;0,CABLES[[#This Row],[CABLE_MASS]],0)</f>
        <v>0</v>
      </c>
      <c r="HC41" s="10">
        <f>IF(CABLES[[#This Row],[SEG23]]&gt;0,CABLES[[#This Row],[CABLE_MASS]],0)</f>
        <v>0</v>
      </c>
      <c r="HD41" s="10">
        <f>IF(CABLES[[#This Row],[SEG24]]&gt;0,CABLES[[#This Row],[CABLE_MASS]],0)</f>
        <v>0</v>
      </c>
      <c r="HE41" s="10">
        <f>IF(CABLES[[#This Row],[SEG25]]&gt;0,CABLES[[#This Row],[CABLE_MASS]],0)</f>
        <v>0</v>
      </c>
      <c r="HF41" s="10">
        <f>IF(CABLES[[#This Row],[SEG26]]&gt;0,CABLES[[#This Row],[CABLE_MASS]],0)</f>
        <v>0</v>
      </c>
      <c r="HG41" s="10">
        <f>IF(CABLES[[#This Row],[SEG27]]&gt;0,CABLES[[#This Row],[CABLE_MASS]],0)</f>
        <v>0</v>
      </c>
      <c r="HH41" s="10">
        <f>IF(CABLES[[#This Row],[SEG28]]&gt;0,CABLES[[#This Row],[CABLE_MASS]],0)</f>
        <v>0</v>
      </c>
      <c r="HI41" s="10">
        <f>IF(CABLES[[#This Row],[SEG29]]&gt;0,CABLES[[#This Row],[CABLE_MASS]],0)</f>
        <v>0</v>
      </c>
      <c r="HJ41" s="10">
        <f>IF(CABLES[[#This Row],[SEG30]]&gt;0,CABLES[[#This Row],[CABLE_MASS]],0)</f>
        <v>0.21</v>
      </c>
      <c r="HK41" s="10">
        <f>IF(CABLES[[#This Row],[SEG31]]&gt;0,CABLES[[#This Row],[CABLE_MASS]],0)</f>
        <v>0.21</v>
      </c>
      <c r="HL41" s="10">
        <f>IF(CABLES[[#This Row],[SEG32]]&gt;0,CABLES[[#This Row],[CABLE_MASS]],0)</f>
        <v>0.21</v>
      </c>
      <c r="HM41" s="10">
        <f>IF(CABLES[[#This Row],[SEG33]]&gt;0,CABLES[[#This Row],[CABLE_MASS]],0)</f>
        <v>0</v>
      </c>
      <c r="HN41" s="10">
        <f>IF(CABLES[[#This Row],[SEG34]]&gt;0,CABLES[[#This Row],[CABLE_MASS]],0)</f>
        <v>0.21</v>
      </c>
      <c r="HO41" s="10">
        <f>IF(CABLES[[#This Row],[SEG35]]&gt;0,CABLES[[#This Row],[CABLE_MASS]],0)</f>
        <v>0.21</v>
      </c>
      <c r="HP41" s="10">
        <f>IF(CABLES[[#This Row],[SEG36]]&gt;0,CABLES[[#This Row],[CABLE_MASS]],0)</f>
        <v>0.21</v>
      </c>
      <c r="HQ41" s="10">
        <f>IF(CABLES[[#This Row],[SEG37]]&gt;0,CABLES[[#This Row],[CABLE_MASS]],0)</f>
        <v>0</v>
      </c>
      <c r="HR41" s="10">
        <f>IF(CABLES[[#This Row],[SEG38]]&gt;0,CABLES[[#This Row],[CABLE_MASS]],0)</f>
        <v>0</v>
      </c>
      <c r="HS41" s="10">
        <f>IF(CABLES[[#This Row],[SEG39]]&gt;0,CABLES[[#This Row],[CABLE_MASS]],0)</f>
        <v>0</v>
      </c>
      <c r="HT41" s="10">
        <f>IF(CABLES[[#This Row],[SEG40]]&gt;0,CABLES[[#This Row],[CABLE_MASS]],0)</f>
        <v>0</v>
      </c>
      <c r="HU41" s="10">
        <f>IF(CABLES[[#This Row],[SEG41]]&gt;0,CABLES[[#This Row],[CABLE_MASS]],0)</f>
        <v>0</v>
      </c>
      <c r="HV41" s="10">
        <f>IF(CABLES[[#This Row],[SEG42]]&gt;0,CABLES[[#This Row],[CABLE_MASS]],0)</f>
        <v>0</v>
      </c>
      <c r="HW41" s="10">
        <f>IF(CABLES[[#This Row],[SEG43]]&gt;0,CABLES[[#This Row],[CABLE_MASS]],0)</f>
        <v>0</v>
      </c>
      <c r="HX41" s="10">
        <f>IF(CABLES[[#This Row],[SEG44]]&gt;0,CABLES[[#This Row],[CABLE_MASS]],0)</f>
        <v>0</v>
      </c>
      <c r="HY41" s="10">
        <f>IF(CABLES[[#This Row],[SEG45]]&gt;0,CABLES[[#This Row],[CABLE_MASS]],0)</f>
        <v>0</v>
      </c>
      <c r="HZ41" s="10">
        <f>IF(CABLES[[#This Row],[SEG46]]&gt;0,CABLES[[#This Row],[CABLE_MASS]],0)</f>
        <v>0</v>
      </c>
      <c r="IA41" s="10">
        <f>IF(CABLES[[#This Row],[SEG47]]&gt;0,CABLES[[#This Row],[CABLE_MASS]],0)</f>
        <v>0</v>
      </c>
      <c r="IB41" s="10">
        <f>IF(CABLES[[#This Row],[SEG48]]&gt;0,CABLES[[#This Row],[CABLE_MASS]],0)</f>
        <v>0</v>
      </c>
      <c r="IC41" s="10">
        <f>IF(CABLES[[#This Row],[SEG49]]&gt;0,CABLES[[#This Row],[CABLE_MASS]],0)</f>
        <v>0</v>
      </c>
      <c r="ID41" s="10">
        <f>IF(CABLES[[#This Row],[SEG50]]&gt;0,CABLES[[#This Row],[CABLE_MASS]],0)</f>
        <v>0</v>
      </c>
      <c r="IE41" s="10">
        <f>IF(CABLES[[#This Row],[SEG51]]&gt;0,CABLES[[#This Row],[CABLE_MASS]],0)</f>
        <v>0</v>
      </c>
      <c r="IF41" s="10">
        <f>IF(CABLES[[#This Row],[SEG52]]&gt;0,CABLES[[#This Row],[CABLE_MASS]],0)</f>
        <v>0</v>
      </c>
      <c r="IG41" s="10">
        <f>IF(CABLES[[#This Row],[SEG53]]&gt;0,CABLES[[#This Row],[CABLE_MASS]],0)</f>
        <v>0</v>
      </c>
      <c r="IH41" s="10">
        <f>IF(CABLES[[#This Row],[SEG54]]&gt;0,CABLES[[#This Row],[CABLE_MASS]],0)</f>
        <v>0</v>
      </c>
      <c r="II41" s="10">
        <f>IF(CABLES[[#This Row],[SEG55]]&gt;0,CABLES[[#This Row],[CABLE_MASS]],0)</f>
        <v>0</v>
      </c>
      <c r="IJ41" s="10">
        <f>IF(CABLES[[#This Row],[SEG56]]&gt;0,CABLES[[#This Row],[CABLE_MASS]],0)</f>
        <v>0</v>
      </c>
      <c r="IK41" s="10">
        <f>IF(CABLES[[#This Row],[SEG57]]&gt;0,CABLES[[#This Row],[CABLE_MASS]],0)</f>
        <v>0</v>
      </c>
      <c r="IL41" s="10">
        <f>IF(CABLES[[#This Row],[SEG58]]&gt;0,CABLES[[#This Row],[CABLE_MASS]],0)</f>
        <v>0</v>
      </c>
      <c r="IM41" s="10">
        <f>IF(CABLES[[#This Row],[SEG59]]&gt;0,CABLES[[#This Row],[CABLE_MASS]],0)</f>
        <v>0</v>
      </c>
      <c r="IN41" s="10">
        <f>IF(CABLES[[#This Row],[SEG60]]&gt;0,CABLES[[#This Row],[CABLE_MASS]],0)</f>
        <v>0</v>
      </c>
      <c r="IO41" s="10">
        <f xml:space="preserve">  (CABLES[[#This Row],[LOAD_KW]]/(SQRT(3)*SYSTEM_VOLTAGE*POWER_FACTOR))*1000</f>
        <v>12.028130608117204</v>
      </c>
      <c r="IP41" s="10">
        <v>45</v>
      </c>
      <c r="IQ41" s="10">
        <f xml:space="preserve"> INDEX(AS3000_AMBIENTDERATE[], MATCH(CABLES[[#This Row],[AMBIENT]],AS3000_AMBIENTDERATE[AMBIENT],0), 2)</f>
        <v>0.94</v>
      </c>
      <c r="IR41" s="10">
        <f xml:space="preserve"> ROUNDUP( CABLES[[#This Row],[CALCULATED_AMPS]]/CABLES[[#This Row],[AMBIENT_DERATING]],1)</f>
        <v>12.799999999999999</v>
      </c>
      <c r="IS41" s="10" t="s">
        <v>531</v>
      </c>
      <c r="IT4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41" s="10">
        <f t="shared" si="1"/>
        <v>28.000000000000004</v>
      </c>
      <c r="IV41" s="10">
        <f>(1000*CABLES[[#This Row],[MAX_VDROP]])/(CABLES[[#This Row],[ESTIMATED_CABLE_LENGTH]]*CABLES[[#This Row],[AMP_RATING]])</f>
        <v>43.402777777777793</v>
      </c>
      <c r="IW41" s="10">
        <f xml:space="preserve"> INDEX(AS3000_VDROP[], MATCH(CABLES[[#This Row],[VC_CALC]],AS3000_VDROP[Vc],1),1)</f>
        <v>2.5</v>
      </c>
      <c r="IX41" s="10">
        <f>MAX(CABLES[[#This Row],[CABLESIZE_METHOD1]],CABLES[[#This Row],[CABLESIZE_METHOD2]])</f>
        <v>2.5</v>
      </c>
      <c r="IY41" s="10"/>
      <c r="IZ41" s="10">
        <f>IF(LEN(CABLES[[#This Row],[OVERRIDE_CABLESIZE]])&gt;0,CABLES[[#This Row],[OVERRIDE_CABLESIZE]],CABLES[[#This Row],[INITIAL_CABLESIZE]])</f>
        <v>2.5</v>
      </c>
      <c r="JA41" s="10">
        <f>INDEX(PROTECTIVE_DEVICE[DEVICE], MATCH(CABLES[[#This Row],[CALCULATED_AMPS]],PROTECTIVE_DEVICE[DEVICE],-1),1)</f>
        <v>16</v>
      </c>
      <c r="JB41" s="10"/>
      <c r="JC41" s="10">
        <f>IF(LEN(CABLES[[#This Row],[OVERRIDE_PDEVICE]])&gt;0, CABLES[[#This Row],[OVERRIDE_PDEVICE]],CABLES[[#This Row],[RECOMMEND_PDEVICE]])</f>
        <v>16</v>
      </c>
      <c r="JD41" s="10" t="s">
        <v>450</v>
      </c>
      <c r="JE41" s="10">
        <f xml:space="preserve"> CABLES[[#This Row],[SELECTED_PDEVICE]] * INDEX(DEVICE_CURVE[], MATCH(CABLES[[#This Row],[PDEVICE_CURVE]], DEVICE_CURVE[DEVICE_CURVE],0),2)</f>
        <v>104</v>
      </c>
      <c r="JF41" s="10" t="s">
        <v>458</v>
      </c>
      <c r="JG41" s="10">
        <f xml:space="preserve"> INDEX(CONDUCTOR_MATERIAL[], MATCH(CABLES[[#This Row],[CONDUCTOR_MATERIAL]],CONDUCTOR_MATERIAL[CONDUCTOR_MATERIAL],0),2)</f>
        <v>2.2499999999999999E-2</v>
      </c>
      <c r="JH41" s="10">
        <f>CABLES[[#This Row],[SELECTED_CABLESIZE]]</f>
        <v>2.5</v>
      </c>
      <c r="JI41" s="10">
        <f xml:space="preserve"> INDEX( EARTH_CONDUCTOR_SIZE[], MATCH(CABLES[[#This Row],[SPH]],EARTH_CONDUCTOR_SIZE[MM^2],-1), 2)</f>
        <v>2.5</v>
      </c>
      <c r="JJ41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41" s="10" t="str">
        <f>IF(CABLES[[#This Row],[LMAX]]&gt;CABLES[[#This Row],[ESTIMATED_CABLE_LENGTH]], "PASS", "ERROR")</f>
        <v>PASS</v>
      </c>
      <c r="JL4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4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41" s="6">
        <f xml:space="preserve"> ROUNDUP( CABLES[[#This Row],[CALCULATED_AMPS]],1)</f>
        <v>12.1</v>
      </c>
      <c r="JO41" s="6">
        <f>CABLES[[#This Row],[SELECTED_CABLESIZE]]</f>
        <v>2.5</v>
      </c>
      <c r="JP41" s="10">
        <f>CABLES[[#This Row],[ESTIMATED_CABLE_LENGTH]]</f>
        <v>50.4</v>
      </c>
      <c r="JQ41" s="6">
        <f>CABLES[[#This Row],[SELECTED_PDEVICE]]</f>
        <v>16</v>
      </c>
    </row>
    <row r="42" spans="1:277" x14ac:dyDescent="0.35">
      <c r="A42" s="5" t="s">
        <v>41</v>
      </c>
      <c r="B42" s="5" t="s">
        <v>101</v>
      </c>
      <c r="C42" s="9" t="s">
        <v>261</v>
      </c>
      <c r="D42" s="5">
        <v>0.37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</v>
      </c>
      <c r="AI42" s="5">
        <v>1</v>
      </c>
      <c r="AJ42" s="5">
        <v>1</v>
      </c>
      <c r="AK42" s="5">
        <v>0</v>
      </c>
      <c r="AL42" s="5">
        <v>1</v>
      </c>
      <c r="AM42" s="5">
        <v>1</v>
      </c>
      <c r="AN42" s="5">
        <v>1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f xml:space="preserve"> IF(CABLES[[#This Row],[SEG1]] &gt;0, INDEX(SEGMENTS[], MATCH(CABLES[[#Headers],[SEG1]],SEGMENTS[SEG_ID],0),4),0)</f>
        <v>0</v>
      </c>
      <c r="BN42" s="5">
        <f xml:space="preserve"> IF(CABLES[[#This Row],[SEG2]] &gt;0, INDEX(SEGMENTS[], MATCH(CABLES[[#Headers],[SEG2]],SEGMENTS[SEG_ID],0),4),0)</f>
        <v>0</v>
      </c>
      <c r="BO42" s="5">
        <f xml:space="preserve"> IF(CABLES[[#This Row],[SEG3]] &gt;0, INDEX(SEGMENTS[], MATCH(CABLES[[#Headers],[SEG3]],SEGMENTS[SEG_ID],0),4),0)</f>
        <v>0</v>
      </c>
      <c r="BP42" s="5">
        <f xml:space="preserve"> IF(CABLES[[#This Row],[SEG4]] &gt;0, INDEX(SEGMENTS[], MATCH(CABLES[[#Headers],[SEG4]],SEGMENTS[SEG_ID],0),4),0)</f>
        <v>0</v>
      </c>
      <c r="BQ42" s="5">
        <f xml:space="preserve"> IF(CABLES[[#This Row],[SEG5]] &gt;0,INDEX(SEGMENTS[], MATCH(CABLES[[#Headers],[SEG5]],SEGMENTS[SEG_ID],0),4),0)</f>
        <v>0</v>
      </c>
      <c r="BR42" s="5">
        <f xml:space="preserve"> IF(CABLES[[#This Row],[SEG6]] &gt;0,INDEX(SEGMENTS[], MATCH(CABLES[[#Headers],[SEG6]],SEGMENTS[SEG_ID],0),4),0)</f>
        <v>0</v>
      </c>
      <c r="BS42" s="5">
        <f xml:space="preserve"> IF(CABLES[[#This Row],[SEG7]] &gt;0,INDEX(SEGMENTS[], MATCH(CABLES[[#Headers],[SEG7]],SEGMENTS[SEG_ID],0),4),0)</f>
        <v>0</v>
      </c>
      <c r="BT42" s="5">
        <f xml:space="preserve"> IF(CABLES[[#This Row],[SEG8]] &gt;0,INDEX(SEGMENTS[], MATCH(CABLES[[#Headers],[SEG8]],SEGMENTS[SEG_ID],0),4),0)</f>
        <v>0</v>
      </c>
      <c r="BU42" s="5">
        <f xml:space="preserve"> IF(CABLES[[#This Row],[SEG9]] &gt;0,INDEX(SEGMENTS[], MATCH(CABLES[[#Headers],[SEG9]],SEGMENTS[SEG_ID],0),4),0)</f>
        <v>0</v>
      </c>
      <c r="BV42" s="5">
        <f xml:space="preserve"> IF(CABLES[[#This Row],[SEG10]] &gt;0,INDEX(SEGMENTS[], MATCH(CABLES[[#Headers],[SEG10]],SEGMENTS[SEG_ID],0),4),0)</f>
        <v>0</v>
      </c>
      <c r="BW42" s="5">
        <f xml:space="preserve"> IF(CABLES[[#This Row],[SEG11]] &gt;0,INDEX(SEGMENTS[], MATCH(CABLES[[#Headers],[SEG11]],SEGMENTS[SEG_ID],0),4),0)</f>
        <v>0</v>
      </c>
      <c r="BX42" s="5">
        <f>IF(CABLES[[#This Row],[SEG12]] &gt;0, INDEX(SEGMENTS[], MATCH(CABLES[[#Headers],[SEG12]],SEGMENTS[SEG_ID],0),4),0)</f>
        <v>0</v>
      </c>
      <c r="BY42" s="5">
        <f xml:space="preserve"> IF(CABLES[[#This Row],[SEG13]] &gt;0,INDEX(SEGMENTS[], MATCH(CABLES[[#Headers],[SEG13]],SEGMENTS[SEG_ID],0),4),0)</f>
        <v>0</v>
      </c>
      <c r="BZ42" s="5">
        <f xml:space="preserve"> IF(CABLES[[#This Row],[SEG14]] &gt;0,INDEX(SEGMENTS[], MATCH(CABLES[[#Headers],[SEG14]],SEGMENTS[SEG_ID],0),4),0)</f>
        <v>0</v>
      </c>
      <c r="CA42" s="5">
        <f xml:space="preserve"> IF(CABLES[[#This Row],[SEG15]] &gt;0,INDEX(SEGMENTS[], MATCH(CABLES[[#Headers],[SEG15]],SEGMENTS[SEG_ID],0),4),0)</f>
        <v>0</v>
      </c>
      <c r="CB42" s="5">
        <f xml:space="preserve"> IF(CABLES[[#This Row],[SEG16]] &gt;0,INDEX(SEGMENTS[], MATCH(CABLES[[#Headers],[SEG16]],SEGMENTS[SEG_ID],0),4),0)</f>
        <v>0</v>
      </c>
      <c r="CC42" s="5">
        <f xml:space="preserve"> IF(CABLES[[#This Row],[SEG17]] &gt;0,INDEX(SEGMENTS[], MATCH(CABLES[[#Headers],[SEG17]],SEGMENTS[SEG_ID],0),4),0)</f>
        <v>0</v>
      </c>
      <c r="CD42" s="5">
        <f xml:space="preserve"> IF(CABLES[[#This Row],[SEG18]] &gt;0,INDEX(SEGMENTS[], MATCH(CABLES[[#Headers],[SEG18]],SEGMENTS[SEG_ID],0),4),0)</f>
        <v>0</v>
      </c>
      <c r="CE42" s="5">
        <f>IF(CABLES[[#This Row],[SEG19]] &gt;0, INDEX(SEGMENTS[], MATCH(CABLES[[#Headers],[SEG19]],SEGMENTS[SEG_ID],0),4),0)</f>
        <v>0</v>
      </c>
      <c r="CF42" s="5">
        <f>IF(CABLES[[#This Row],[SEG20]] &gt;0, INDEX(SEGMENTS[], MATCH(CABLES[[#Headers],[SEG20]],SEGMENTS[SEG_ID],0),4),0)</f>
        <v>0</v>
      </c>
      <c r="CG42" s="5">
        <f xml:space="preserve"> IF(CABLES[[#This Row],[SEG21]] &gt;0,INDEX(SEGMENTS[], MATCH(CABLES[[#Headers],[SEG21]],SEGMENTS[SEG_ID],0),4),0)</f>
        <v>0</v>
      </c>
      <c r="CH42" s="5">
        <f xml:space="preserve"> IF(CABLES[[#This Row],[SEG22]] &gt;0,INDEX(SEGMENTS[], MATCH(CABLES[[#Headers],[SEG22]],SEGMENTS[SEG_ID],0),4),0)</f>
        <v>0</v>
      </c>
      <c r="CI42" s="5">
        <f>IF(CABLES[[#This Row],[SEG23]] &gt;0, INDEX(SEGMENTS[], MATCH(CABLES[[#Headers],[SEG23]],SEGMENTS[SEG_ID],0),4),0)</f>
        <v>0</v>
      </c>
      <c r="CJ42" s="5">
        <f xml:space="preserve"> IF(CABLES[[#This Row],[SEG24]] &gt;0,INDEX(SEGMENTS[], MATCH(CABLES[[#Headers],[SEG24]],SEGMENTS[SEG_ID],0),4),0)</f>
        <v>0</v>
      </c>
      <c r="CK42" s="5">
        <f>IF(CABLES[[#This Row],[SEG25]] &gt;0, INDEX(SEGMENTS[], MATCH(CABLES[[#Headers],[SEG25]],SEGMENTS[SEG_ID],0),4),0)</f>
        <v>0</v>
      </c>
      <c r="CL42" s="5">
        <f>IF(CABLES[[#This Row],[SEG26]] &gt;0, INDEX(SEGMENTS[], MATCH(CABLES[[#Headers],[SEG26]],SEGMENTS[SEG_ID],0),4),0)</f>
        <v>0</v>
      </c>
      <c r="CM42" s="5">
        <f xml:space="preserve"> IF(CABLES[[#This Row],[SEG27]] &gt;0,INDEX(SEGMENTS[], MATCH(CABLES[[#Headers],[SEG27]],SEGMENTS[SEG_ID],0),4),0)</f>
        <v>0</v>
      </c>
      <c r="CN42" s="5">
        <f xml:space="preserve"> IF(CABLES[[#This Row],[SEG28]] &gt;0,INDEX(SEGMENTS[], MATCH(CABLES[[#Headers],[SEG28]],SEGMENTS[SEG_ID],0),4),0)</f>
        <v>0</v>
      </c>
      <c r="CO42" s="5">
        <f xml:space="preserve"> IF(CABLES[[#This Row],[SEG29]] &gt;0,INDEX(SEGMENTS[], MATCH(CABLES[[#Headers],[SEG29]],SEGMENTS[SEG_ID],0),4),0)</f>
        <v>0</v>
      </c>
      <c r="CP42" s="5">
        <f xml:space="preserve"> IF(CABLES[[#This Row],[SEG30]] &gt;0,INDEX(SEGMENTS[], MATCH(CABLES[[#Headers],[SEG30]],SEGMENTS[SEG_ID],0),4),0)</f>
        <v>6</v>
      </c>
      <c r="CQ42" s="5">
        <f>IF(CABLES[[#This Row],[SEG31]] &gt;0, INDEX(SEGMENTS[], MATCH(CABLES[[#Headers],[SEG31]],SEGMENTS[SEG_ID],0),4),0)</f>
        <v>3</v>
      </c>
      <c r="CR42" s="5">
        <f xml:space="preserve"> IF(CABLES[[#This Row],[SEG32]] &gt;0,INDEX(SEGMENTS[], MATCH(CABLES[[#Headers],[SEG32]],SEGMENTS[SEG_ID],0),4),0)</f>
        <v>5</v>
      </c>
      <c r="CS42" s="5">
        <f xml:space="preserve"> IF(CABLES[[#This Row],[SEG33]] &gt;0,INDEX(SEGMENTS[], MATCH(CABLES[[#Headers],[SEG33]],SEGMENTS[SEG_ID],0),4),0)</f>
        <v>0</v>
      </c>
      <c r="CT42" s="5">
        <f>IF(CABLES[[#This Row],[SEG34]] &gt;0, INDEX(SEGMENTS[], MATCH(CABLES[[#Headers],[SEG34]],SEGMENTS[SEG_ID],0),4),0)</f>
        <v>7</v>
      </c>
      <c r="CU42" s="5">
        <f xml:space="preserve"> IF(CABLES[[#This Row],[SEG35]] &gt;0,INDEX(SEGMENTS[], MATCH(CABLES[[#Headers],[SEG35]],SEGMENTS[SEG_ID],0),4),0)</f>
        <v>7</v>
      </c>
      <c r="CV42" s="5">
        <f xml:space="preserve"> IF(CABLES[[#This Row],[SEG36]] &gt;0,INDEX(SEGMENTS[], MATCH(CABLES[[#Headers],[SEG36]],SEGMENTS[SEG_ID],0),4),0)</f>
        <v>9</v>
      </c>
      <c r="CW42" s="5">
        <f xml:space="preserve"> IF(CABLES[[#This Row],[SEG37]] &gt;0,INDEX(SEGMENTS[], MATCH(CABLES[[#Headers],[SEG37]],SEGMENTS[SEG_ID],0),4),0)</f>
        <v>0</v>
      </c>
      <c r="CX42" s="5">
        <f xml:space="preserve"> IF(CABLES[[#This Row],[SEG38]] &gt;0,INDEX(SEGMENTS[], MATCH(CABLES[[#Headers],[SEG38]],SEGMENTS[SEG_ID],0),4),0)</f>
        <v>0</v>
      </c>
      <c r="CY42" s="5">
        <f xml:space="preserve"> IF(CABLES[[#This Row],[SEG39]] &gt;0,INDEX(SEGMENTS[], MATCH(CABLES[[#Headers],[SEG39]],SEGMENTS[SEG_ID],0),4),0)</f>
        <v>0</v>
      </c>
      <c r="CZ42" s="5">
        <f xml:space="preserve"> IF(CABLES[[#This Row],[SEG40]] &gt;0,INDEX(SEGMENTS[], MATCH(CABLES[[#Headers],[SEG40]],SEGMENTS[SEG_ID],0),4),0)</f>
        <v>0</v>
      </c>
      <c r="DA42" s="5">
        <f xml:space="preserve"> IF(CABLES[[#This Row],[SEG41]] &gt;0,INDEX(SEGMENTS[], MATCH(CABLES[[#Headers],[SEG41]],SEGMENTS[SEG_ID],0),4),0)</f>
        <v>0</v>
      </c>
      <c r="DB42" s="5">
        <f xml:space="preserve"> IF(CABLES[[#This Row],[SEG42]] &gt;0,INDEX(SEGMENTS[], MATCH(CABLES[[#Headers],[SEG42]],SEGMENTS[SEG_ID],0),4),0)</f>
        <v>0</v>
      </c>
      <c r="DC42" s="5">
        <f xml:space="preserve"> IF(CABLES[[#This Row],[SEG43]] &gt;0,INDEX(SEGMENTS[], MATCH(CABLES[[#Headers],[SEG43]],SEGMENTS[SEG_ID],0),4),0)</f>
        <v>0</v>
      </c>
      <c r="DD42" s="5">
        <f xml:space="preserve"> IF(CABLES[[#This Row],[SEG44]] &gt;0,INDEX(SEGMENTS[], MATCH(CABLES[[#Headers],[SEG44]],SEGMENTS[SEG_ID],0),4),0)</f>
        <v>0</v>
      </c>
      <c r="DE42" s="5">
        <f xml:space="preserve"> IF(CABLES[[#This Row],[SEG45]] &gt;0,INDEX(SEGMENTS[], MATCH(CABLES[[#Headers],[SEG45]],SEGMENTS[SEG_ID],0),4),0)</f>
        <v>0</v>
      </c>
      <c r="DF42" s="5">
        <f xml:space="preserve"> IF(CABLES[[#This Row],[SEG46]] &gt;0,INDEX(SEGMENTS[], MATCH(CABLES[[#Headers],[SEG46]],SEGMENTS[SEG_ID],0),4),0)</f>
        <v>0</v>
      </c>
      <c r="DG42" s="5">
        <f xml:space="preserve"> IF(CABLES[[#This Row],[SEG47]] &gt;0,INDEX(SEGMENTS[], MATCH(CABLES[[#Headers],[SEG47]],SEGMENTS[SEG_ID],0),4),0)</f>
        <v>0</v>
      </c>
      <c r="DH42" s="5">
        <f xml:space="preserve"> IF(CABLES[[#This Row],[SEG48]] &gt;0,INDEX(SEGMENTS[], MATCH(CABLES[[#Headers],[SEG48]],SEGMENTS[SEG_ID],0),4),0)</f>
        <v>0</v>
      </c>
      <c r="DI42" s="5">
        <f xml:space="preserve"> IF(CABLES[[#This Row],[SEG49]] &gt;0,INDEX(SEGMENTS[], MATCH(CABLES[[#Headers],[SEG49]],SEGMENTS[SEG_ID],0),4),0)</f>
        <v>0</v>
      </c>
      <c r="DJ42" s="5">
        <f xml:space="preserve"> IF(CABLES[[#This Row],[SEG50]] &gt;0,INDEX(SEGMENTS[], MATCH(CABLES[[#Headers],[SEG50]],SEGMENTS[SEG_ID],0),4),0)</f>
        <v>0</v>
      </c>
      <c r="DK42" s="5">
        <f xml:space="preserve"> IF(CABLES[[#This Row],[SEG51]] &gt;0,INDEX(SEGMENTS[], MATCH(CABLES[[#Headers],[SEG51]],SEGMENTS[SEG_ID],0),4),0)</f>
        <v>0</v>
      </c>
      <c r="DL42" s="5">
        <f xml:space="preserve"> IF(CABLES[[#This Row],[SEG52]] &gt;0,INDEX(SEGMENTS[], MATCH(CABLES[[#Headers],[SEG52]],SEGMENTS[SEG_ID],0),4),0)</f>
        <v>0</v>
      </c>
      <c r="DM42" s="5">
        <f xml:space="preserve"> IF(CABLES[[#This Row],[SEG53]] &gt;0,INDEX(SEGMENTS[], MATCH(CABLES[[#Headers],[SEG53]],SEGMENTS[SEG_ID],0),4),0)</f>
        <v>0</v>
      </c>
      <c r="DN42" s="5">
        <f xml:space="preserve"> IF(CABLES[[#This Row],[SEG54]] &gt;0,INDEX(SEGMENTS[], MATCH(CABLES[[#Headers],[SEG54]],SEGMENTS[SEG_ID],0),4),0)</f>
        <v>0</v>
      </c>
      <c r="DO42" s="5">
        <f xml:space="preserve"> IF(CABLES[[#This Row],[SEG55]] &gt;0,INDEX(SEGMENTS[], MATCH(CABLES[[#Headers],[SEG55]],SEGMENTS[SEG_ID],0),4),0)</f>
        <v>0</v>
      </c>
      <c r="DP42" s="5">
        <f xml:space="preserve"> IF(CABLES[[#This Row],[SEG56]] &gt;0,INDEX(SEGMENTS[], MATCH(CABLES[[#Headers],[SEG56]],SEGMENTS[SEG_ID],0),4),0)</f>
        <v>0</v>
      </c>
      <c r="DQ42" s="5">
        <f xml:space="preserve"> IF(CABLES[[#This Row],[SEG57]] &gt;0,INDEX(SEGMENTS[], MATCH(CABLES[[#Headers],[SEG57]],SEGMENTS[SEG_ID],0),4),0)</f>
        <v>0</v>
      </c>
      <c r="DR42" s="5">
        <f xml:space="preserve"> IF(CABLES[[#This Row],[SEG58]] &gt;0,INDEX(SEGMENTS[], MATCH(CABLES[[#Headers],[SEG58]],SEGMENTS[SEG_ID],0),4),0)</f>
        <v>0</v>
      </c>
      <c r="DS42" s="5">
        <f xml:space="preserve"> IF(CABLES[[#This Row],[SEG59]] &gt;0,INDEX(SEGMENTS[], MATCH(CABLES[[#Headers],[SEG59]],SEGMENTS[SEG_ID],0),4),0)</f>
        <v>0</v>
      </c>
      <c r="DT42" s="5">
        <f xml:space="preserve"> IF(CABLES[[#This Row],[SEG60]] &gt;0,INDEX(SEGMENTS[], MATCH(CABLES[[#Headers],[SEG60]],SEGMENTS[SEG_ID],0),4),0)</f>
        <v>0</v>
      </c>
      <c r="DU42" s="5">
        <f>SUM(CABLES[[#This Row],[SEGL1]:[SEGL60]])</f>
        <v>37</v>
      </c>
      <c r="DV42" s="5">
        <v>5</v>
      </c>
      <c r="DW42" s="5">
        <v>1.2</v>
      </c>
      <c r="DX42" s="5">
        <f xml:space="preserve"> IF(CABLES[[#This Row],[SEGL_TOTAL]]&gt;0, (CABLES[[#This Row],[SEGL_TOTAL]] + CABLES[[#This Row],[FITOFF]]) *CABLES[[#This Row],[XCAPACITY]],0)</f>
        <v>50.4</v>
      </c>
      <c r="DY42" s="5">
        <f>IF(CABLES[[#This Row],[SEG1]]&gt;0,CABLES[[#This Row],[CABLE_DIAMETER]],0)</f>
        <v>0</v>
      </c>
      <c r="DZ42" s="5">
        <f>IF(CABLES[[#This Row],[SEG2]]&gt;0,CABLES[[#This Row],[CABLE_DIAMETER]],0)</f>
        <v>0</v>
      </c>
      <c r="EA42" s="5">
        <f>IF(CABLES[[#This Row],[SEG3]]&gt;0,CABLES[[#This Row],[CABLE_DIAMETER]],0)</f>
        <v>0</v>
      </c>
      <c r="EB42" s="5">
        <f>IF(CABLES[[#This Row],[SEG4]]&gt;0,CABLES[[#This Row],[CABLE_DIAMETER]],0)</f>
        <v>0</v>
      </c>
      <c r="EC42" s="5">
        <f>IF(CABLES[[#This Row],[SEG5]]&gt;0,CABLES[[#This Row],[CABLE_DIAMETER]],0)</f>
        <v>0</v>
      </c>
      <c r="ED42" s="5">
        <f>IF(CABLES[[#This Row],[SEG6]]&gt;0,CABLES[[#This Row],[CABLE_DIAMETER]],0)</f>
        <v>0</v>
      </c>
      <c r="EE42" s="5">
        <f>IF(CABLES[[#This Row],[SEG7]]&gt;0,CABLES[[#This Row],[CABLE_DIAMETER]],0)</f>
        <v>0</v>
      </c>
      <c r="EF42" s="5">
        <f>IF(CABLES[[#This Row],[SEG9]]&gt;0,CABLES[[#This Row],[CABLE_DIAMETER]],0)</f>
        <v>0</v>
      </c>
      <c r="EG42" s="5">
        <f>IF(CABLES[[#This Row],[SEG9]]&gt;0,CABLES[[#This Row],[CABLE_DIAMETER]],0)</f>
        <v>0</v>
      </c>
      <c r="EH42" s="5">
        <f>IF(CABLES[[#This Row],[SEG10]]&gt;0,CABLES[[#This Row],[CABLE_DIAMETER]],0)</f>
        <v>0</v>
      </c>
      <c r="EI42" s="5">
        <f>IF(CABLES[[#This Row],[SEG11]]&gt;0,CABLES[[#This Row],[CABLE_DIAMETER]],0)</f>
        <v>0</v>
      </c>
      <c r="EJ42" s="5">
        <f>IF(CABLES[[#This Row],[SEG12]]&gt;0,CABLES[[#This Row],[CABLE_DIAMETER]],0)</f>
        <v>0</v>
      </c>
      <c r="EK42" s="5">
        <f>IF(CABLES[[#This Row],[SEG13]]&gt;0,CABLES[[#This Row],[CABLE_DIAMETER]],0)</f>
        <v>0</v>
      </c>
      <c r="EL42" s="5">
        <f>IF(CABLES[[#This Row],[SEG14]]&gt;0,CABLES[[#This Row],[CABLE_DIAMETER]],0)</f>
        <v>0</v>
      </c>
      <c r="EM42" s="5">
        <f>IF(CABLES[[#This Row],[SEG15]]&gt;0,CABLES[[#This Row],[CABLE_DIAMETER]],0)</f>
        <v>0</v>
      </c>
      <c r="EN42" s="5">
        <f>IF(CABLES[[#This Row],[SEG16]]&gt;0,CABLES[[#This Row],[CABLE_DIAMETER]],0)</f>
        <v>0</v>
      </c>
      <c r="EO42" s="5">
        <f>IF(CABLES[[#This Row],[SEG17]]&gt;0,CABLES[[#This Row],[CABLE_DIAMETER]],0)</f>
        <v>0</v>
      </c>
      <c r="EP42" s="5">
        <f>IF(CABLES[[#This Row],[SEG18]]&gt;0,CABLES[[#This Row],[CABLE_DIAMETER]],0)</f>
        <v>0</v>
      </c>
      <c r="EQ42" s="5">
        <f>IF(CABLES[[#This Row],[SEG19]]&gt;0,CABLES[[#This Row],[CABLE_DIAMETER]],0)</f>
        <v>0</v>
      </c>
      <c r="ER42" s="5">
        <f>IF(CABLES[[#This Row],[SEG20]]&gt;0,CABLES[[#This Row],[CABLE_DIAMETER]],0)</f>
        <v>0</v>
      </c>
      <c r="ES42" s="5">
        <f>IF(CABLES[[#This Row],[SEG21]]&gt;0,CABLES[[#This Row],[CABLE_DIAMETER]],0)</f>
        <v>0</v>
      </c>
      <c r="ET42" s="5">
        <f>IF(CABLES[[#This Row],[SEG22]]&gt;0,CABLES[[#This Row],[CABLE_DIAMETER]],0)</f>
        <v>0</v>
      </c>
      <c r="EU42" s="5">
        <f>IF(CABLES[[#This Row],[SEG23]]&gt;0,CABLES[[#This Row],[CABLE_DIAMETER]],0)</f>
        <v>0</v>
      </c>
      <c r="EV42" s="5">
        <f>IF(CABLES[[#This Row],[SEG24]]&gt;0,CABLES[[#This Row],[CABLE_DIAMETER]],0)</f>
        <v>0</v>
      </c>
      <c r="EW42" s="5">
        <f>IF(CABLES[[#This Row],[SEG25]]&gt;0,CABLES[[#This Row],[CABLE_DIAMETER]],0)</f>
        <v>0</v>
      </c>
      <c r="EX42" s="5">
        <f>IF(CABLES[[#This Row],[SEG26]]&gt;0,CABLES[[#This Row],[CABLE_DIAMETER]],0)</f>
        <v>0</v>
      </c>
      <c r="EY42" s="5">
        <f>IF(CABLES[[#This Row],[SEG27]]&gt;0,CABLES[[#This Row],[CABLE_DIAMETER]],0)</f>
        <v>0</v>
      </c>
      <c r="EZ42" s="5">
        <f>IF(CABLES[[#This Row],[SEG28]]&gt;0,CABLES[[#This Row],[CABLE_DIAMETER]],0)</f>
        <v>0</v>
      </c>
      <c r="FA42" s="5">
        <f>IF(CABLES[[#This Row],[SEG29]]&gt;0,CABLES[[#This Row],[CABLE_DIAMETER]],0)</f>
        <v>0</v>
      </c>
      <c r="FB42" s="5">
        <f>IF(CABLES[[#This Row],[SEG30]]&gt;0,CABLES[[#This Row],[CABLE_DIAMETER]],0)</f>
        <v>14.5</v>
      </c>
      <c r="FC42" s="5">
        <f>IF(CABLES[[#This Row],[SEG31]]&gt;0,CABLES[[#This Row],[CABLE_DIAMETER]],0)</f>
        <v>14.5</v>
      </c>
      <c r="FD42" s="5">
        <f>IF(CABLES[[#This Row],[SEG32]]&gt;0,CABLES[[#This Row],[CABLE_DIAMETER]],0)</f>
        <v>14.5</v>
      </c>
      <c r="FE42" s="5">
        <f>IF(CABLES[[#This Row],[SEG33]]&gt;0,CABLES[[#This Row],[CABLE_DIAMETER]],0)</f>
        <v>0</v>
      </c>
      <c r="FF42" s="5">
        <f>IF(CABLES[[#This Row],[SEG34]]&gt;0,CABLES[[#This Row],[CABLE_DIAMETER]],0)</f>
        <v>14.5</v>
      </c>
      <c r="FG42" s="5">
        <f>IF(CABLES[[#This Row],[SEG35]]&gt;0,CABLES[[#This Row],[CABLE_DIAMETER]],0)</f>
        <v>14.5</v>
      </c>
      <c r="FH42" s="5">
        <f>IF(CABLES[[#This Row],[SEG36]]&gt;0,CABLES[[#This Row],[CABLE_DIAMETER]],0)</f>
        <v>14.5</v>
      </c>
      <c r="FI42" s="5">
        <f>IF(CABLES[[#This Row],[SEG37]]&gt;0,CABLES[[#This Row],[CABLE_DIAMETER]],0)</f>
        <v>0</v>
      </c>
      <c r="FJ42" s="5">
        <f>IF(CABLES[[#This Row],[SEG38]]&gt;0,CABLES[[#This Row],[CABLE_DIAMETER]],0)</f>
        <v>0</v>
      </c>
      <c r="FK42" s="5">
        <f>IF(CABLES[[#This Row],[SEG39]]&gt;0,CABLES[[#This Row],[CABLE_DIAMETER]],0)</f>
        <v>0</v>
      </c>
      <c r="FL42" s="5">
        <f>IF(CABLES[[#This Row],[SEG40]]&gt;0,CABLES[[#This Row],[CABLE_DIAMETER]],0)</f>
        <v>0</v>
      </c>
      <c r="FM42" s="5">
        <f>IF(CABLES[[#This Row],[SEG41]]&gt;0,CABLES[[#This Row],[CABLE_DIAMETER]],0)</f>
        <v>0</v>
      </c>
      <c r="FN42" s="5">
        <f>IF(CABLES[[#This Row],[SEG42]]&gt;0,CABLES[[#This Row],[CABLE_DIAMETER]],0)</f>
        <v>0</v>
      </c>
      <c r="FO42" s="5">
        <f>IF(CABLES[[#This Row],[SEG43]]&gt;0,CABLES[[#This Row],[CABLE_DIAMETER]],0)</f>
        <v>0</v>
      </c>
      <c r="FP42" s="5">
        <f>IF(CABLES[[#This Row],[SEG44]]&gt;0,CABLES[[#This Row],[CABLE_DIAMETER]],0)</f>
        <v>0</v>
      </c>
      <c r="FQ42" s="5">
        <f>IF(CABLES[[#This Row],[SEG45]]&gt;0,CABLES[[#This Row],[CABLE_DIAMETER]],0)</f>
        <v>0</v>
      </c>
      <c r="FR42" s="5">
        <f>IF(CABLES[[#This Row],[SEG46]]&gt;0,CABLES[[#This Row],[CABLE_DIAMETER]],0)</f>
        <v>0</v>
      </c>
      <c r="FS42" s="5">
        <f>IF(CABLES[[#This Row],[SEG47]]&gt;0,CABLES[[#This Row],[CABLE_DIAMETER]],0)</f>
        <v>0</v>
      </c>
      <c r="FT42" s="5">
        <f>IF(CABLES[[#This Row],[SEG48]]&gt;0,CABLES[[#This Row],[CABLE_DIAMETER]],0)</f>
        <v>0</v>
      </c>
      <c r="FU42" s="5">
        <f>IF(CABLES[[#This Row],[SEG49]]&gt;0,CABLES[[#This Row],[CABLE_DIAMETER]],0)</f>
        <v>0</v>
      </c>
      <c r="FV42" s="5">
        <f>IF(CABLES[[#This Row],[SEG50]]&gt;0,CABLES[[#This Row],[CABLE_DIAMETER]],0)</f>
        <v>0</v>
      </c>
      <c r="FW42" s="5">
        <f>IF(CABLES[[#This Row],[SEG51]]&gt;0,CABLES[[#This Row],[CABLE_DIAMETER]],0)</f>
        <v>0</v>
      </c>
      <c r="FX42" s="5">
        <f>IF(CABLES[[#This Row],[SEG52]]&gt;0,CABLES[[#This Row],[CABLE_DIAMETER]],0)</f>
        <v>0</v>
      </c>
      <c r="FY42" s="5">
        <f>IF(CABLES[[#This Row],[SEG53]]&gt;0,CABLES[[#This Row],[CABLE_DIAMETER]],0)</f>
        <v>0</v>
      </c>
      <c r="FZ42" s="5">
        <f>IF(CABLES[[#This Row],[SEG54]]&gt;0,CABLES[[#This Row],[CABLE_DIAMETER]],0)</f>
        <v>0</v>
      </c>
      <c r="GA42" s="5">
        <f>IF(CABLES[[#This Row],[SEG55]]&gt;0,CABLES[[#This Row],[CABLE_DIAMETER]],0)</f>
        <v>0</v>
      </c>
      <c r="GB42" s="5">
        <f>IF(CABLES[[#This Row],[SEG56]]&gt;0,CABLES[[#This Row],[CABLE_DIAMETER]],0)</f>
        <v>0</v>
      </c>
      <c r="GC42" s="5">
        <f>IF(CABLES[[#This Row],[SEG57]]&gt;0,CABLES[[#This Row],[CABLE_DIAMETER]],0)</f>
        <v>0</v>
      </c>
      <c r="GD42" s="5">
        <f>IF(CABLES[[#This Row],[SEG58]]&gt;0,CABLES[[#This Row],[CABLE_DIAMETER]],0)</f>
        <v>0</v>
      </c>
      <c r="GE42" s="5">
        <f>IF(CABLES[[#This Row],[SEG59]]&gt;0,CABLES[[#This Row],[CABLE_DIAMETER]],0)</f>
        <v>0</v>
      </c>
      <c r="GF42" s="5">
        <f>IF(CABLES[[#This Row],[SEG60]]&gt;0,CABLES[[#This Row],[CABLE_DIAMETER]],0)</f>
        <v>0</v>
      </c>
      <c r="GG42" s="5">
        <f>IF(CABLES[[#This Row],[SEG1]]&gt;0,CABLES[[#This Row],[CABLE_MASS]],0)</f>
        <v>0</v>
      </c>
      <c r="GH42" s="5">
        <f>IF(CABLES[[#This Row],[SEG2]]&gt;0,CABLES[[#This Row],[CABLE_MASS]],0)</f>
        <v>0</v>
      </c>
      <c r="GI42" s="5">
        <f>IF(CABLES[[#This Row],[SEG3]]&gt;0,CABLES[[#This Row],[CABLE_MASS]],0)</f>
        <v>0</v>
      </c>
      <c r="GJ42" s="5">
        <f>IF(CABLES[[#This Row],[SEG4]]&gt;0,CABLES[[#This Row],[CABLE_MASS]],0)</f>
        <v>0</v>
      </c>
      <c r="GK42" s="5">
        <f>IF(CABLES[[#This Row],[SEG5]]&gt;0,CABLES[[#This Row],[CABLE_MASS]],0)</f>
        <v>0</v>
      </c>
      <c r="GL42" s="5">
        <f>IF(CABLES[[#This Row],[SEG6]]&gt;0,CABLES[[#This Row],[CABLE_MASS]],0)</f>
        <v>0</v>
      </c>
      <c r="GM42" s="5">
        <f>IF(CABLES[[#This Row],[SEG7]]&gt;0,CABLES[[#This Row],[CABLE_MASS]],0)</f>
        <v>0</v>
      </c>
      <c r="GN42" s="5">
        <f>IF(CABLES[[#This Row],[SEG8]]&gt;0,CABLES[[#This Row],[CABLE_MASS]],0)</f>
        <v>0</v>
      </c>
      <c r="GO42" s="5">
        <f>IF(CABLES[[#This Row],[SEG9]]&gt;0,CABLES[[#This Row],[CABLE_MASS]],0)</f>
        <v>0</v>
      </c>
      <c r="GP42" s="5">
        <f>IF(CABLES[[#This Row],[SEG10]]&gt;0,CABLES[[#This Row],[CABLE_MASS]],0)</f>
        <v>0</v>
      </c>
      <c r="GQ42" s="5">
        <f>IF(CABLES[[#This Row],[SEG11]]&gt;0,CABLES[[#This Row],[CABLE_MASS]],0)</f>
        <v>0</v>
      </c>
      <c r="GR42" s="5">
        <f>IF(CABLES[[#This Row],[SEG12]]&gt;0,CABLES[[#This Row],[CABLE_MASS]],0)</f>
        <v>0</v>
      </c>
      <c r="GS42" s="5">
        <f>IF(CABLES[[#This Row],[SEG13]]&gt;0,CABLES[[#This Row],[CABLE_MASS]],0)</f>
        <v>0</v>
      </c>
      <c r="GT42" s="5">
        <f>IF(CABLES[[#This Row],[SEG14]]&gt;0,CABLES[[#This Row],[CABLE_MASS]],0)</f>
        <v>0</v>
      </c>
      <c r="GU42" s="5">
        <f>IF(CABLES[[#This Row],[SEG15]]&gt;0,CABLES[[#This Row],[CABLE_MASS]],0)</f>
        <v>0</v>
      </c>
      <c r="GV42" s="5">
        <f>IF(CABLES[[#This Row],[SEG16]]&gt;0,CABLES[[#This Row],[CABLE_MASS]],0)</f>
        <v>0</v>
      </c>
      <c r="GW42" s="5">
        <f>IF(CABLES[[#This Row],[SEG17]]&gt;0,CABLES[[#This Row],[CABLE_MASS]],0)</f>
        <v>0</v>
      </c>
      <c r="GX42" s="5">
        <f>IF(CABLES[[#This Row],[SEG18]]&gt;0,CABLES[[#This Row],[CABLE_MASS]],0)</f>
        <v>0</v>
      </c>
      <c r="GY42" s="5">
        <f>IF(CABLES[[#This Row],[SEG19]]&gt;0,CABLES[[#This Row],[CABLE_MASS]],0)</f>
        <v>0</v>
      </c>
      <c r="GZ42" s="5">
        <f>IF(CABLES[[#This Row],[SEG20]]&gt;0,CABLES[[#This Row],[CABLE_MASS]],0)</f>
        <v>0</v>
      </c>
      <c r="HA42" s="5">
        <f>IF(CABLES[[#This Row],[SEG21]]&gt;0,CABLES[[#This Row],[CABLE_MASS]],0)</f>
        <v>0</v>
      </c>
      <c r="HB42" s="5">
        <f>IF(CABLES[[#This Row],[SEG22]]&gt;0,CABLES[[#This Row],[CABLE_MASS]],0)</f>
        <v>0</v>
      </c>
      <c r="HC42" s="5">
        <f>IF(CABLES[[#This Row],[SEG23]]&gt;0,CABLES[[#This Row],[CABLE_MASS]],0)</f>
        <v>0</v>
      </c>
      <c r="HD42" s="5">
        <f>IF(CABLES[[#This Row],[SEG24]]&gt;0,CABLES[[#This Row],[CABLE_MASS]],0)</f>
        <v>0</v>
      </c>
      <c r="HE42" s="5">
        <f>IF(CABLES[[#This Row],[SEG25]]&gt;0,CABLES[[#This Row],[CABLE_MASS]],0)</f>
        <v>0</v>
      </c>
      <c r="HF42" s="5">
        <f>IF(CABLES[[#This Row],[SEG26]]&gt;0,CABLES[[#This Row],[CABLE_MASS]],0)</f>
        <v>0</v>
      </c>
      <c r="HG42" s="5">
        <f>IF(CABLES[[#This Row],[SEG27]]&gt;0,CABLES[[#This Row],[CABLE_MASS]],0)</f>
        <v>0</v>
      </c>
      <c r="HH42" s="5">
        <f>IF(CABLES[[#This Row],[SEG28]]&gt;0,CABLES[[#This Row],[CABLE_MASS]],0)</f>
        <v>0</v>
      </c>
      <c r="HI42" s="5">
        <f>IF(CABLES[[#This Row],[SEG29]]&gt;0,CABLES[[#This Row],[CABLE_MASS]],0)</f>
        <v>0</v>
      </c>
      <c r="HJ42" s="5">
        <f>IF(CABLES[[#This Row],[SEG30]]&gt;0,CABLES[[#This Row],[CABLE_MASS]],0)</f>
        <v>0.33</v>
      </c>
      <c r="HK42" s="5">
        <f>IF(CABLES[[#This Row],[SEG31]]&gt;0,CABLES[[#This Row],[CABLE_MASS]],0)</f>
        <v>0.33</v>
      </c>
      <c r="HL42" s="5">
        <f>IF(CABLES[[#This Row],[SEG32]]&gt;0,CABLES[[#This Row],[CABLE_MASS]],0)</f>
        <v>0.33</v>
      </c>
      <c r="HM42" s="5">
        <f>IF(CABLES[[#This Row],[SEG33]]&gt;0,CABLES[[#This Row],[CABLE_MASS]],0)</f>
        <v>0</v>
      </c>
      <c r="HN42" s="5">
        <f>IF(CABLES[[#This Row],[SEG34]]&gt;0,CABLES[[#This Row],[CABLE_MASS]],0)</f>
        <v>0.33</v>
      </c>
      <c r="HO42" s="5">
        <f>IF(CABLES[[#This Row],[SEG35]]&gt;0,CABLES[[#This Row],[CABLE_MASS]],0)</f>
        <v>0.33</v>
      </c>
      <c r="HP42" s="5">
        <f>IF(CABLES[[#This Row],[SEG36]]&gt;0,CABLES[[#This Row],[CABLE_MASS]],0)</f>
        <v>0.33</v>
      </c>
      <c r="HQ42" s="5">
        <f>IF(CABLES[[#This Row],[SEG37]]&gt;0,CABLES[[#This Row],[CABLE_MASS]],0)</f>
        <v>0</v>
      </c>
      <c r="HR42" s="5">
        <f>IF(CABLES[[#This Row],[SEG38]]&gt;0,CABLES[[#This Row],[CABLE_MASS]],0)</f>
        <v>0</v>
      </c>
      <c r="HS42" s="5">
        <f>IF(CABLES[[#This Row],[SEG39]]&gt;0,CABLES[[#This Row],[CABLE_MASS]],0)</f>
        <v>0</v>
      </c>
      <c r="HT42" s="5">
        <f>IF(CABLES[[#This Row],[SEG40]]&gt;0,CABLES[[#This Row],[CABLE_MASS]],0)</f>
        <v>0</v>
      </c>
      <c r="HU42" s="5">
        <f>IF(CABLES[[#This Row],[SEG41]]&gt;0,CABLES[[#This Row],[CABLE_MASS]],0)</f>
        <v>0</v>
      </c>
      <c r="HV42" s="5">
        <f>IF(CABLES[[#This Row],[SEG42]]&gt;0,CABLES[[#This Row],[CABLE_MASS]],0)</f>
        <v>0</v>
      </c>
      <c r="HW42" s="5">
        <f>IF(CABLES[[#This Row],[SEG43]]&gt;0,CABLES[[#This Row],[CABLE_MASS]],0)</f>
        <v>0</v>
      </c>
      <c r="HX42" s="5">
        <f>IF(CABLES[[#This Row],[SEG44]]&gt;0,CABLES[[#This Row],[CABLE_MASS]],0)</f>
        <v>0</v>
      </c>
      <c r="HY42" s="5">
        <f>IF(CABLES[[#This Row],[SEG45]]&gt;0,CABLES[[#This Row],[CABLE_MASS]],0)</f>
        <v>0</v>
      </c>
      <c r="HZ42" s="5">
        <f>IF(CABLES[[#This Row],[SEG46]]&gt;0,CABLES[[#This Row],[CABLE_MASS]],0)</f>
        <v>0</v>
      </c>
      <c r="IA42" s="5">
        <f>IF(CABLES[[#This Row],[SEG47]]&gt;0,CABLES[[#This Row],[CABLE_MASS]],0)</f>
        <v>0</v>
      </c>
      <c r="IB42" s="5">
        <f>IF(CABLES[[#This Row],[SEG48]]&gt;0,CABLES[[#This Row],[CABLE_MASS]],0)</f>
        <v>0</v>
      </c>
      <c r="IC42" s="5">
        <f>IF(CABLES[[#This Row],[SEG49]]&gt;0,CABLES[[#This Row],[CABLE_MASS]],0)</f>
        <v>0</v>
      </c>
      <c r="ID42" s="5">
        <f>IF(CABLES[[#This Row],[SEG50]]&gt;0,CABLES[[#This Row],[CABLE_MASS]],0)</f>
        <v>0</v>
      </c>
      <c r="IE42" s="5">
        <f>IF(CABLES[[#This Row],[SEG51]]&gt;0,CABLES[[#This Row],[CABLE_MASS]],0)</f>
        <v>0</v>
      </c>
      <c r="IF42" s="5">
        <f>IF(CABLES[[#This Row],[SEG52]]&gt;0,CABLES[[#This Row],[CABLE_MASS]],0)</f>
        <v>0</v>
      </c>
      <c r="IG42" s="5">
        <f>IF(CABLES[[#This Row],[SEG53]]&gt;0,CABLES[[#This Row],[CABLE_MASS]],0)</f>
        <v>0</v>
      </c>
      <c r="IH42" s="5">
        <f>IF(CABLES[[#This Row],[SEG54]]&gt;0,CABLES[[#This Row],[CABLE_MASS]],0)</f>
        <v>0</v>
      </c>
      <c r="II42" s="5">
        <f>IF(CABLES[[#This Row],[SEG55]]&gt;0,CABLES[[#This Row],[CABLE_MASS]],0)</f>
        <v>0</v>
      </c>
      <c r="IJ42" s="5">
        <f>IF(CABLES[[#This Row],[SEG56]]&gt;0,CABLES[[#This Row],[CABLE_MASS]],0)</f>
        <v>0</v>
      </c>
      <c r="IK42" s="5">
        <f>IF(CABLES[[#This Row],[SEG57]]&gt;0,CABLES[[#This Row],[CABLE_MASS]],0)</f>
        <v>0</v>
      </c>
      <c r="IL42" s="5">
        <f>IF(CABLES[[#This Row],[SEG58]]&gt;0,CABLES[[#This Row],[CABLE_MASS]],0)</f>
        <v>0</v>
      </c>
      <c r="IM42" s="5">
        <f>IF(CABLES[[#This Row],[SEG59]]&gt;0,CABLES[[#This Row],[CABLE_MASS]],0)</f>
        <v>0</v>
      </c>
      <c r="IN42" s="5">
        <f>IF(CABLES[[#This Row],[SEG60]]&gt;0,CABLES[[#This Row],[CABLE_MASS]],0)</f>
        <v>0</v>
      </c>
      <c r="IO42" s="5">
        <f xml:space="preserve">  (CABLES[[#This Row],[LOAD_KW]]/(SQRT(3)*SYSTEM_VOLTAGE*POWER_FACTOR))*1000</f>
        <v>0.59338777666711529</v>
      </c>
      <c r="IP42" s="5">
        <v>45</v>
      </c>
      <c r="IQ42" s="5">
        <f xml:space="preserve"> INDEX(AS3000_AMBIENTDERATE[], MATCH(CABLES[[#This Row],[AMBIENT]],AS3000_AMBIENTDERATE[AMBIENT],0), 2)</f>
        <v>0.94</v>
      </c>
      <c r="IR42" s="5">
        <f xml:space="preserve"> ROUNDUP( CABLES[[#This Row],[CALCULATED_AMPS]]/CABLES[[#This Row],[AMBIENT_DERATING]],1)</f>
        <v>0.7</v>
      </c>
      <c r="IS42" s="10" t="s">
        <v>531</v>
      </c>
      <c r="IT42" s="5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2" s="5">
        <f t="shared" si="1"/>
        <v>28.000000000000004</v>
      </c>
      <c r="IV42" s="5">
        <f>(1000*CABLES[[#This Row],[MAX_VDROP]])/(CABLES[[#This Row],[ESTIMATED_CABLE_LENGTH]]*CABLES[[#This Row],[AMP_RATING]])</f>
        <v>793.65079365079384</v>
      </c>
      <c r="IW42" s="5">
        <f xml:space="preserve"> INDEX(AS3000_VDROP[], MATCH(CABLES[[#This Row],[VC_CALC]],AS3000_VDROP[Vc],1),1)</f>
        <v>2.5</v>
      </c>
      <c r="IX42" s="5">
        <f>MAX(CABLES[[#This Row],[CABLESIZE_METHOD1]],CABLES[[#This Row],[CABLESIZE_METHOD2]])</f>
        <v>2.5</v>
      </c>
      <c r="IZ42" s="5">
        <f>IF(LEN(CABLES[[#This Row],[OVERRIDE_CABLESIZE]])&gt;0,CABLES[[#This Row],[OVERRIDE_CABLESIZE]],CABLES[[#This Row],[INITIAL_CABLESIZE]])</f>
        <v>2.5</v>
      </c>
      <c r="JA42" s="5">
        <f>INDEX(PROTECTIVE_DEVICE[DEVICE], MATCH(CABLES[[#This Row],[CALCULATED_AMPS]],PROTECTIVE_DEVICE[DEVICE],-1),1)</f>
        <v>6</v>
      </c>
      <c r="JC42" s="5">
        <f>IF(LEN(CABLES[[#This Row],[OVERRIDE_PDEVICE]])&gt;0, CABLES[[#This Row],[OVERRIDE_PDEVICE]],CABLES[[#This Row],[RECOMMEND_PDEVICE]])</f>
        <v>6</v>
      </c>
      <c r="JD42" s="9" t="s">
        <v>450</v>
      </c>
      <c r="JE42" s="5">
        <f xml:space="preserve"> CABLES[[#This Row],[SELECTED_PDEVICE]] * INDEX(DEVICE_CURVE[], MATCH(CABLES[[#This Row],[PDEVICE_CURVE]], DEVICE_CURVE[DEVICE_CURVE],0),2)</f>
        <v>39</v>
      </c>
      <c r="JF42" s="9" t="s">
        <v>458</v>
      </c>
      <c r="JG42" s="5">
        <f xml:space="preserve"> INDEX(CONDUCTOR_MATERIAL[], MATCH(CABLES[[#This Row],[CONDUCTOR_MATERIAL]],CONDUCTOR_MATERIAL[CONDUCTOR_MATERIAL],0),2)</f>
        <v>2.2499999999999999E-2</v>
      </c>
      <c r="JH42" s="5">
        <f>CABLES[[#This Row],[SELECTED_CABLESIZE]]</f>
        <v>2.5</v>
      </c>
      <c r="JI42" s="5">
        <f xml:space="preserve"> INDEX( EARTH_CONDUCTOR_SIZE[], MATCH(CABLES[[#This Row],[SPH]],EARTH_CONDUCTOR_SIZE[MM^2],-1), 2)</f>
        <v>2.5</v>
      </c>
      <c r="JJ42" s="5">
        <f>(0.8*PHASE_VOLTAGE*CABLES[[#This Row],[SPH]]*CABLES[[#This Row],[SPE]])/(CABLES[[#This Row],[PDEVICE_IA]]*CABLES[[#This Row],[MATERIAL_CONSTANT]]*(CABLES[[#This Row],[SPH]]+CABLES[[#This Row],[SPE]]))</f>
        <v>262.10826210826212</v>
      </c>
      <c r="JK42" s="9" t="str">
        <f>IF(CABLES[[#This Row],[LMAX]]&gt;CABLES[[#This Row],[ESTIMATED_CABLE_LENGTH]], "PASS", "ERROR")</f>
        <v>PASS</v>
      </c>
      <c r="JL42" s="5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42" s="5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42" s="5">
        <f xml:space="preserve"> ROUNDUP( CABLES[[#This Row],[CALCULATED_AMPS]],1)</f>
        <v>0.6</v>
      </c>
      <c r="JO42" s="5">
        <f>CABLES[[#This Row],[SELECTED_CABLESIZE]]</f>
        <v>2.5</v>
      </c>
      <c r="JP42" s="5">
        <f>CABLES[[#This Row],[ESTIMATED_CABLE_LENGTH]]</f>
        <v>50.4</v>
      </c>
      <c r="JQ42" s="5">
        <f>CABLES[[#This Row],[SELECTED_PDEVICE]]</f>
        <v>6</v>
      </c>
    </row>
    <row r="43" spans="1:277" x14ac:dyDescent="0.35">
      <c r="A43" s="5" t="s">
        <v>42</v>
      </c>
      <c r="B43" s="5" t="s">
        <v>102</v>
      </c>
      <c r="C43" s="9" t="s">
        <v>261</v>
      </c>
      <c r="D43" s="5">
        <v>0.37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1</v>
      </c>
      <c r="AI43" s="5">
        <v>1</v>
      </c>
      <c r="AJ43" s="5">
        <v>1</v>
      </c>
      <c r="AK43" s="5">
        <v>0</v>
      </c>
      <c r="AL43" s="5">
        <v>1</v>
      </c>
      <c r="AM43" s="5">
        <v>1</v>
      </c>
      <c r="AN43" s="5">
        <v>1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f xml:space="preserve"> IF(CABLES[[#This Row],[SEG1]] &gt;0, INDEX(SEGMENTS[], MATCH(CABLES[[#Headers],[SEG1]],SEGMENTS[SEG_ID],0),4),0)</f>
        <v>0</v>
      </c>
      <c r="BN43" s="5">
        <f xml:space="preserve"> IF(CABLES[[#This Row],[SEG2]] &gt;0, INDEX(SEGMENTS[], MATCH(CABLES[[#Headers],[SEG2]],SEGMENTS[SEG_ID],0),4),0)</f>
        <v>0</v>
      </c>
      <c r="BO43" s="5">
        <f xml:space="preserve"> IF(CABLES[[#This Row],[SEG3]] &gt;0, INDEX(SEGMENTS[], MATCH(CABLES[[#Headers],[SEG3]],SEGMENTS[SEG_ID],0),4),0)</f>
        <v>0</v>
      </c>
      <c r="BP43" s="5">
        <f xml:space="preserve"> IF(CABLES[[#This Row],[SEG4]] &gt;0, INDEX(SEGMENTS[], MATCH(CABLES[[#Headers],[SEG4]],SEGMENTS[SEG_ID],0),4),0)</f>
        <v>0</v>
      </c>
      <c r="BQ43" s="5">
        <f xml:space="preserve"> IF(CABLES[[#This Row],[SEG5]] &gt;0,INDEX(SEGMENTS[], MATCH(CABLES[[#Headers],[SEG5]],SEGMENTS[SEG_ID],0),4),0)</f>
        <v>0</v>
      </c>
      <c r="BR43" s="5">
        <f xml:space="preserve"> IF(CABLES[[#This Row],[SEG6]] &gt;0,INDEX(SEGMENTS[], MATCH(CABLES[[#Headers],[SEG6]],SEGMENTS[SEG_ID],0),4),0)</f>
        <v>0</v>
      </c>
      <c r="BS43" s="5">
        <f xml:space="preserve"> IF(CABLES[[#This Row],[SEG7]] &gt;0,INDEX(SEGMENTS[], MATCH(CABLES[[#Headers],[SEG7]],SEGMENTS[SEG_ID],0),4),0)</f>
        <v>0</v>
      </c>
      <c r="BT43" s="5">
        <f xml:space="preserve"> IF(CABLES[[#This Row],[SEG8]] &gt;0,INDEX(SEGMENTS[], MATCH(CABLES[[#Headers],[SEG8]],SEGMENTS[SEG_ID],0),4),0)</f>
        <v>0</v>
      </c>
      <c r="BU43" s="5">
        <f xml:space="preserve"> IF(CABLES[[#This Row],[SEG9]] &gt;0,INDEX(SEGMENTS[], MATCH(CABLES[[#Headers],[SEG9]],SEGMENTS[SEG_ID],0),4),0)</f>
        <v>0</v>
      </c>
      <c r="BV43" s="5">
        <f xml:space="preserve"> IF(CABLES[[#This Row],[SEG10]] &gt;0,INDEX(SEGMENTS[], MATCH(CABLES[[#Headers],[SEG10]],SEGMENTS[SEG_ID],0),4),0)</f>
        <v>0</v>
      </c>
      <c r="BW43" s="5">
        <f xml:space="preserve"> IF(CABLES[[#This Row],[SEG11]] &gt;0,INDEX(SEGMENTS[], MATCH(CABLES[[#Headers],[SEG11]],SEGMENTS[SEG_ID],0),4),0)</f>
        <v>0</v>
      </c>
      <c r="BX43" s="5">
        <f>IF(CABLES[[#This Row],[SEG12]] &gt;0, INDEX(SEGMENTS[], MATCH(CABLES[[#Headers],[SEG12]],SEGMENTS[SEG_ID],0),4),0)</f>
        <v>0</v>
      </c>
      <c r="BY43" s="5">
        <f xml:space="preserve"> IF(CABLES[[#This Row],[SEG13]] &gt;0,INDEX(SEGMENTS[], MATCH(CABLES[[#Headers],[SEG13]],SEGMENTS[SEG_ID],0),4),0)</f>
        <v>0</v>
      </c>
      <c r="BZ43" s="5">
        <f xml:space="preserve"> IF(CABLES[[#This Row],[SEG14]] &gt;0,INDEX(SEGMENTS[], MATCH(CABLES[[#Headers],[SEG14]],SEGMENTS[SEG_ID],0),4),0)</f>
        <v>0</v>
      </c>
      <c r="CA43" s="5">
        <f xml:space="preserve"> IF(CABLES[[#This Row],[SEG15]] &gt;0,INDEX(SEGMENTS[], MATCH(CABLES[[#Headers],[SEG15]],SEGMENTS[SEG_ID],0),4),0)</f>
        <v>0</v>
      </c>
      <c r="CB43" s="5">
        <f xml:space="preserve"> IF(CABLES[[#This Row],[SEG16]] &gt;0,INDEX(SEGMENTS[], MATCH(CABLES[[#Headers],[SEG16]],SEGMENTS[SEG_ID],0),4),0)</f>
        <v>0</v>
      </c>
      <c r="CC43" s="5">
        <f xml:space="preserve"> IF(CABLES[[#This Row],[SEG17]] &gt;0,INDEX(SEGMENTS[], MATCH(CABLES[[#Headers],[SEG17]],SEGMENTS[SEG_ID],0),4),0)</f>
        <v>0</v>
      </c>
      <c r="CD43" s="5">
        <f xml:space="preserve"> IF(CABLES[[#This Row],[SEG18]] &gt;0,INDEX(SEGMENTS[], MATCH(CABLES[[#Headers],[SEG18]],SEGMENTS[SEG_ID],0),4),0)</f>
        <v>0</v>
      </c>
      <c r="CE43" s="5">
        <f>IF(CABLES[[#This Row],[SEG19]] &gt;0, INDEX(SEGMENTS[], MATCH(CABLES[[#Headers],[SEG19]],SEGMENTS[SEG_ID],0),4),0)</f>
        <v>0</v>
      </c>
      <c r="CF43" s="5">
        <f>IF(CABLES[[#This Row],[SEG20]] &gt;0, INDEX(SEGMENTS[], MATCH(CABLES[[#Headers],[SEG20]],SEGMENTS[SEG_ID],0),4),0)</f>
        <v>0</v>
      </c>
      <c r="CG43" s="5">
        <f xml:space="preserve"> IF(CABLES[[#This Row],[SEG21]] &gt;0,INDEX(SEGMENTS[], MATCH(CABLES[[#Headers],[SEG21]],SEGMENTS[SEG_ID],0),4),0)</f>
        <v>0</v>
      </c>
      <c r="CH43" s="5">
        <f xml:space="preserve"> IF(CABLES[[#This Row],[SEG22]] &gt;0,INDEX(SEGMENTS[], MATCH(CABLES[[#Headers],[SEG22]],SEGMENTS[SEG_ID],0),4),0)</f>
        <v>0</v>
      </c>
      <c r="CI43" s="5">
        <f>IF(CABLES[[#This Row],[SEG23]] &gt;0, INDEX(SEGMENTS[], MATCH(CABLES[[#Headers],[SEG23]],SEGMENTS[SEG_ID],0),4),0)</f>
        <v>0</v>
      </c>
      <c r="CJ43" s="5">
        <f xml:space="preserve"> IF(CABLES[[#This Row],[SEG24]] &gt;0,INDEX(SEGMENTS[], MATCH(CABLES[[#Headers],[SEG24]],SEGMENTS[SEG_ID],0),4),0)</f>
        <v>0</v>
      </c>
      <c r="CK43" s="5">
        <f>IF(CABLES[[#This Row],[SEG25]] &gt;0, INDEX(SEGMENTS[], MATCH(CABLES[[#Headers],[SEG25]],SEGMENTS[SEG_ID],0),4),0)</f>
        <v>0</v>
      </c>
      <c r="CL43" s="5">
        <f>IF(CABLES[[#This Row],[SEG26]] &gt;0, INDEX(SEGMENTS[], MATCH(CABLES[[#Headers],[SEG26]],SEGMENTS[SEG_ID],0),4),0)</f>
        <v>0</v>
      </c>
      <c r="CM43" s="5">
        <f xml:space="preserve"> IF(CABLES[[#This Row],[SEG27]] &gt;0,INDEX(SEGMENTS[], MATCH(CABLES[[#Headers],[SEG27]],SEGMENTS[SEG_ID],0),4),0)</f>
        <v>0</v>
      </c>
      <c r="CN43" s="5">
        <f xml:space="preserve"> IF(CABLES[[#This Row],[SEG28]] &gt;0,INDEX(SEGMENTS[], MATCH(CABLES[[#Headers],[SEG28]],SEGMENTS[SEG_ID],0),4),0)</f>
        <v>0</v>
      </c>
      <c r="CO43" s="5">
        <f xml:space="preserve"> IF(CABLES[[#This Row],[SEG29]] &gt;0,INDEX(SEGMENTS[], MATCH(CABLES[[#Headers],[SEG29]],SEGMENTS[SEG_ID],0),4),0)</f>
        <v>0</v>
      </c>
      <c r="CP43" s="5">
        <f xml:space="preserve"> IF(CABLES[[#This Row],[SEG30]] &gt;0,INDEX(SEGMENTS[], MATCH(CABLES[[#Headers],[SEG30]],SEGMENTS[SEG_ID],0),4),0)</f>
        <v>6</v>
      </c>
      <c r="CQ43" s="5">
        <f>IF(CABLES[[#This Row],[SEG31]] &gt;0, INDEX(SEGMENTS[], MATCH(CABLES[[#Headers],[SEG31]],SEGMENTS[SEG_ID],0),4),0)</f>
        <v>3</v>
      </c>
      <c r="CR43" s="5">
        <f xml:space="preserve"> IF(CABLES[[#This Row],[SEG32]] &gt;0,INDEX(SEGMENTS[], MATCH(CABLES[[#Headers],[SEG32]],SEGMENTS[SEG_ID],0),4),0)</f>
        <v>5</v>
      </c>
      <c r="CS43" s="5">
        <f xml:space="preserve"> IF(CABLES[[#This Row],[SEG33]] &gt;0,INDEX(SEGMENTS[], MATCH(CABLES[[#Headers],[SEG33]],SEGMENTS[SEG_ID],0),4),0)</f>
        <v>0</v>
      </c>
      <c r="CT43" s="5">
        <f>IF(CABLES[[#This Row],[SEG34]] &gt;0, INDEX(SEGMENTS[], MATCH(CABLES[[#Headers],[SEG34]],SEGMENTS[SEG_ID],0),4),0)</f>
        <v>7</v>
      </c>
      <c r="CU43" s="5">
        <f xml:space="preserve"> IF(CABLES[[#This Row],[SEG35]] &gt;0,INDEX(SEGMENTS[], MATCH(CABLES[[#Headers],[SEG35]],SEGMENTS[SEG_ID],0),4),0)</f>
        <v>7</v>
      </c>
      <c r="CV43" s="5">
        <f xml:space="preserve"> IF(CABLES[[#This Row],[SEG36]] &gt;0,INDEX(SEGMENTS[], MATCH(CABLES[[#Headers],[SEG36]],SEGMENTS[SEG_ID],0),4),0)</f>
        <v>9</v>
      </c>
      <c r="CW43" s="5">
        <f xml:space="preserve"> IF(CABLES[[#This Row],[SEG37]] &gt;0,INDEX(SEGMENTS[], MATCH(CABLES[[#Headers],[SEG37]],SEGMENTS[SEG_ID],0),4),0)</f>
        <v>0</v>
      </c>
      <c r="CX43" s="5">
        <f xml:space="preserve"> IF(CABLES[[#This Row],[SEG38]] &gt;0,INDEX(SEGMENTS[], MATCH(CABLES[[#Headers],[SEG38]],SEGMENTS[SEG_ID],0),4),0)</f>
        <v>0</v>
      </c>
      <c r="CY43" s="5">
        <f xml:space="preserve"> IF(CABLES[[#This Row],[SEG39]] &gt;0,INDEX(SEGMENTS[], MATCH(CABLES[[#Headers],[SEG39]],SEGMENTS[SEG_ID],0),4),0)</f>
        <v>0</v>
      </c>
      <c r="CZ43" s="5">
        <f xml:space="preserve"> IF(CABLES[[#This Row],[SEG40]] &gt;0,INDEX(SEGMENTS[], MATCH(CABLES[[#Headers],[SEG40]],SEGMENTS[SEG_ID],0),4),0)</f>
        <v>0</v>
      </c>
      <c r="DA43" s="5">
        <f xml:space="preserve"> IF(CABLES[[#This Row],[SEG41]] &gt;0,INDEX(SEGMENTS[], MATCH(CABLES[[#Headers],[SEG41]],SEGMENTS[SEG_ID],0),4),0)</f>
        <v>0</v>
      </c>
      <c r="DB43" s="5">
        <f xml:space="preserve"> IF(CABLES[[#This Row],[SEG42]] &gt;0,INDEX(SEGMENTS[], MATCH(CABLES[[#Headers],[SEG42]],SEGMENTS[SEG_ID],0),4),0)</f>
        <v>0</v>
      </c>
      <c r="DC43" s="5">
        <f xml:space="preserve"> IF(CABLES[[#This Row],[SEG43]] &gt;0,INDEX(SEGMENTS[], MATCH(CABLES[[#Headers],[SEG43]],SEGMENTS[SEG_ID],0),4),0)</f>
        <v>0</v>
      </c>
      <c r="DD43" s="5">
        <f xml:space="preserve"> IF(CABLES[[#This Row],[SEG44]] &gt;0,INDEX(SEGMENTS[], MATCH(CABLES[[#Headers],[SEG44]],SEGMENTS[SEG_ID],0),4),0)</f>
        <v>0</v>
      </c>
      <c r="DE43" s="5">
        <f xml:space="preserve"> IF(CABLES[[#This Row],[SEG45]] &gt;0,INDEX(SEGMENTS[], MATCH(CABLES[[#Headers],[SEG45]],SEGMENTS[SEG_ID],0),4),0)</f>
        <v>0</v>
      </c>
      <c r="DF43" s="5">
        <f xml:space="preserve"> IF(CABLES[[#This Row],[SEG46]] &gt;0,INDEX(SEGMENTS[], MATCH(CABLES[[#Headers],[SEG46]],SEGMENTS[SEG_ID],0),4),0)</f>
        <v>0</v>
      </c>
      <c r="DG43" s="5">
        <f xml:space="preserve"> IF(CABLES[[#This Row],[SEG47]] &gt;0,INDEX(SEGMENTS[], MATCH(CABLES[[#Headers],[SEG47]],SEGMENTS[SEG_ID],0),4),0)</f>
        <v>0</v>
      </c>
      <c r="DH43" s="5">
        <f xml:space="preserve"> IF(CABLES[[#This Row],[SEG48]] &gt;0,INDEX(SEGMENTS[], MATCH(CABLES[[#Headers],[SEG48]],SEGMENTS[SEG_ID],0),4),0)</f>
        <v>0</v>
      </c>
      <c r="DI43" s="5">
        <f xml:space="preserve"> IF(CABLES[[#This Row],[SEG49]] &gt;0,INDEX(SEGMENTS[], MATCH(CABLES[[#Headers],[SEG49]],SEGMENTS[SEG_ID],0),4),0)</f>
        <v>0</v>
      </c>
      <c r="DJ43" s="5">
        <f xml:space="preserve"> IF(CABLES[[#This Row],[SEG50]] &gt;0,INDEX(SEGMENTS[], MATCH(CABLES[[#Headers],[SEG50]],SEGMENTS[SEG_ID],0),4),0)</f>
        <v>0</v>
      </c>
      <c r="DK43" s="5">
        <f xml:space="preserve"> IF(CABLES[[#This Row],[SEG51]] &gt;0,INDEX(SEGMENTS[], MATCH(CABLES[[#Headers],[SEG51]],SEGMENTS[SEG_ID],0),4),0)</f>
        <v>0</v>
      </c>
      <c r="DL43" s="5">
        <f xml:space="preserve"> IF(CABLES[[#This Row],[SEG52]] &gt;0,INDEX(SEGMENTS[], MATCH(CABLES[[#Headers],[SEG52]],SEGMENTS[SEG_ID],0),4),0)</f>
        <v>0</v>
      </c>
      <c r="DM43" s="5">
        <f xml:space="preserve"> IF(CABLES[[#This Row],[SEG53]] &gt;0,INDEX(SEGMENTS[], MATCH(CABLES[[#Headers],[SEG53]],SEGMENTS[SEG_ID],0),4),0)</f>
        <v>0</v>
      </c>
      <c r="DN43" s="5">
        <f xml:space="preserve"> IF(CABLES[[#This Row],[SEG54]] &gt;0,INDEX(SEGMENTS[], MATCH(CABLES[[#Headers],[SEG54]],SEGMENTS[SEG_ID],0),4),0)</f>
        <v>0</v>
      </c>
      <c r="DO43" s="5">
        <f xml:space="preserve"> IF(CABLES[[#This Row],[SEG55]] &gt;0,INDEX(SEGMENTS[], MATCH(CABLES[[#Headers],[SEG55]],SEGMENTS[SEG_ID],0),4),0)</f>
        <v>0</v>
      </c>
      <c r="DP43" s="5">
        <f xml:space="preserve"> IF(CABLES[[#This Row],[SEG56]] &gt;0,INDEX(SEGMENTS[], MATCH(CABLES[[#Headers],[SEG56]],SEGMENTS[SEG_ID],0),4),0)</f>
        <v>0</v>
      </c>
      <c r="DQ43" s="5">
        <f xml:space="preserve"> IF(CABLES[[#This Row],[SEG57]] &gt;0,INDEX(SEGMENTS[], MATCH(CABLES[[#Headers],[SEG57]],SEGMENTS[SEG_ID],0),4),0)</f>
        <v>0</v>
      </c>
      <c r="DR43" s="5">
        <f xml:space="preserve"> IF(CABLES[[#This Row],[SEG58]] &gt;0,INDEX(SEGMENTS[], MATCH(CABLES[[#Headers],[SEG58]],SEGMENTS[SEG_ID],0),4),0)</f>
        <v>0</v>
      </c>
      <c r="DS43" s="5">
        <f xml:space="preserve"> IF(CABLES[[#This Row],[SEG59]] &gt;0,INDEX(SEGMENTS[], MATCH(CABLES[[#Headers],[SEG59]],SEGMENTS[SEG_ID],0),4),0)</f>
        <v>0</v>
      </c>
      <c r="DT43" s="5">
        <f xml:space="preserve"> IF(CABLES[[#This Row],[SEG60]] &gt;0,INDEX(SEGMENTS[], MATCH(CABLES[[#Headers],[SEG60]],SEGMENTS[SEG_ID],0),4),0)</f>
        <v>0</v>
      </c>
      <c r="DU43" s="5">
        <f>SUM(CABLES[[#This Row],[SEGL1]:[SEGL60]])</f>
        <v>37</v>
      </c>
      <c r="DV43" s="5">
        <v>5</v>
      </c>
      <c r="DW43" s="5">
        <v>1.2</v>
      </c>
      <c r="DX43" s="5">
        <f xml:space="preserve"> IF(CABLES[[#This Row],[SEGL_TOTAL]]&gt;0, (CABLES[[#This Row],[SEGL_TOTAL]] + CABLES[[#This Row],[FITOFF]]) *CABLES[[#This Row],[XCAPACITY]],0)</f>
        <v>50.4</v>
      </c>
      <c r="DY43" s="5">
        <f>IF(CABLES[[#This Row],[SEG1]]&gt;0,CABLES[[#This Row],[CABLE_DIAMETER]],0)</f>
        <v>0</v>
      </c>
      <c r="DZ43" s="5">
        <f>IF(CABLES[[#This Row],[SEG2]]&gt;0,CABLES[[#This Row],[CABLE_DIAMETER]],0)</f>
        <v>0</v>
      </c>
      <c r="EA43" s="5">
        <f>IF(CABLES[[#This Row],[SEG3]]&gt;0,CABLES[[#This Row],[CABLE_DIAMETER]],0)</f>
        <v>0</v>
      </c>
      <c r="EB43" s="5">
        <f>IF(CABLES[[#This Row],[SEG4]]&gt;0,CABLES[[#This Row],[CABLE_DIAMETER]],0)</f>
        <v>0</v>
      </c>
      <c r="EC43" s="5">
        <f>IF(CABLES[[#This Row],[SEG5]]&gt;0,CABLES[[#This Row],[CABLE_DIAMETER]],0)</f>
        <v>0</v>
      </c>
      <c r="ED43" s="5">
        <f>IF(CABLES[[#This Row],[SEG6]]&gt;0,CABLES[[#This Row],[CABLE_DIAMETER]],0)</f>
        <v>0</v>
      </c>
      <c r="EE43" s="5">
        <f>IF(CABLES[[#This Row],[SEG7]]&gt;0,CABLES[[#This Row],[CABLE_DIAMETER]],0)</f>
        <v>0</v>
      </c>
      <c r="EF43" s="5">
        <f>IF(CABLES[[#This Row],[SEG9]]&gt;0,CABLES[[#This Row],[CABLE_DIAMETER]],0)</f>
        <v>0</v>
      </c>
      <c r="EG43" s="5">
        <f>IF(CABLES[[#This Row],[SEG9]]&gt;0,CABLES[[#This Row],[CABLE_DIAMETER]],0)</f>
        <v>0</v>
      </c>
      <c r="EH43" s="5">
        <f>IF(CABLES[[#This Row],[SEG10]]&gt;0,CABLES[[#This Row],[CABLE_DIAMETER]],0)</f>
        <v>0</v>
      </c>
      <c r="EI43" s="5">
        <f>IF(CABLES[[#This Row],[SEG11]]&gt;0,CABLES[[#This Row],[CABLE_DIAMETER]],0)</f>
        <v>0</v>
      </c>
      <c r="EJ43" s="5">
        <f>IF(CABLES[[#This Row],[SEG12]]&gt;0,CABLES[[#This Row],[CABLE_DIAMETER]],0)</f>
        <v>0</v>
      </c>
      <c r="EK43" s="5">
        <f>IF(CABLES[[#This Row],[SEG13]]&gt;0,CABLES[[#This Row],[CABLE_DIAMETER]],0)</f>
        <v>0</v>
      </c>
      <c r="EL43" s="5">
        <f>IF(CABLES[[#This Row],[SEG14]]&gt;0,CABLES[[#This Row],[CABLE_DIAMETER]],0)</f>
        <v>0</v>
      </c>
      <c r="EM43" s="5">
        <f>IF(CABLES[[#This Row],[SEG15]]&gt;0,CABLES[[#This Row],[CABLE_DIAMETER]],0)</f>
        <v>0</v>
      </c>
      <c r="EN43" s="5">
        <f>IF(CABLES[[#This Row],[SEG16]]&gt;0,CABLES[[#This Row],[CABLE_DIAMETER]],0)</f>
        <v>0</v>
      </c>
      <c r="EO43" s="5">
        <f>IF(CABLES[[#This Row],[SEG17]]&gt;0,CABLES[[#This Row],[CABLE_DIAMETER]],0)</f>
        <v>0</v>
      </c>
      <c r="EP43" s="5">
        <f>IF(CABLES[[#This Row],[SEG18]]&gt;0,CABLES[[#This Row],[CABLE_DIAMETER]],0)</f>
        <v>0</v>
      </c>
      <c r="EQ43" s="5">
        <f>IF(CABLES[[#This Row],[SEG19]]&gt;0,CABLES[[#This Row],[CABLE_DIAMETER]],0)</f>
        <v>0</v>
      </c>
      <c r="ER43" s="5">
        <f>IF(CABLES[[#This Row],[SEG20]]&gt;0,CABLES[[#This Row],[CABLE_DIAMETER]],0)</f>
        <v>0</v>
      </c>
      <c r="ES43" s="5">
        <f>IF(CABLES[[#This Row],[SEG21]]&gt;0,CABLES[[#This Row],[CABLE_DIAMETER]],0)</f>
        <v>0</v>
      </c>
      <c r="ET43" s="5">
        <f>IF(CABLES[[#This Row],[SEG22]]&gt;0,CABLES[[#This Row],[CABLE_DIAMETER]],0)</f>
        <v>0</v>
      </c>
      <c r="EU43" s="5">
        <f>IF(CABLES[[#This Row],[SEG23]]&gt;0,CABLES[[#This Row],[CABLE_DIAMETER]],0)</f>
        <v>0</v>
      </c>
      <c r="EV43" s="5">
        <f>IF(CABLES[[#This Row],[SEG24]]&gt;0,CABLES[[#This Row],[CABLE_DIAMETER]],0)</f>
        <v>0</v>
      </c>
      <c r="EW43" s="5">
        <f>IF(CABLES[[#This Row],[SEG25]]&gt;0,CABLES[[#This Row],[CABLE_DIAMETER]],0)</f>
        <v>0</v>
      </c>
      <c r="EX43" s="5">
        <f>IF(CABLES[[#This Row],[SEG26]]&gt;0,CABLES[[#This Row],[CABLE_DIAMETER]],0)</f>
        <v>0</v>
      </c>
      <c r="EY43" s="5">
        <f>IF(CABLES[[#This Row],[SEG27]]&gt;0,CABLES[[#This Row],[CABLE_DIAMETER]],0)</f>
        <v>0</v>
      </c>
      <c r="EZ43" s="5">
        <f>IF(CABLES[[#This Row],[SEG28]]&gt;0,CABLES[[#This Row],[CABLE_DIAMETER]],0)</f>
        <v>0</v>
      </c>
      <c r="FA43" s="5">
        <f>IF(CABLES[[#This Row],[SEG29]]&gt;0,CABLES[[#This Row],[CABLE_DIAMETER]],0)</f>
        <v>0</v>
      </c>
      <c r="FB43" s="5">
        <f>IF(CABLES[[#This Row],[SEG30]]&gt;0,CABLES[[#This Row],[CABLE_DIAMETER]],0)</f>
        <v>14.5</v>
      </c>
      <c r="FC43" s="5">
        <f>IF(CABLES[[#This Row],[SEG31]]&gt;0,CABLES[[#This Row],[CABLE_DIAMETER]],0)</f>
        <v>14.5</v>
      </c>
      <c r="FD43" s="5">
        <f>IF(CABLES[[#This Row],[SEG32]]&gt;0,CABLES[[#This Row],[CABLE_DIAMETER]],0)</f>
        <v>14.5</v>
      </c>
      <c r="FE43" s="5">
        <f>IF(CABLES[[#This Row],[SEG33]]&gt;0,CABLES[[#This Row],[CABLE_DIAMETER]],0)</f>
        <v>0</v>
      </c>
      <c r="FF43" s="5">
        <f>IF(CABLES[[#This Row],[SEG34]]&gt;0,CABLES[[#This Row],[CABLE_DIAMETER]],0)</f>
        <v>14.5</v>
      </c>
      <c r="FG43" s="5">
        <f>IF(CABLES[[#This Row],[SEG35]]&gt;0,CABLES[[#This Row],[CABLE_DIAMETER]],0)</f>
        <v>14.5</v>
      </c>
      <c r="FH43" s="5">
        <f>IF(CABLES[[#This Row],[SEG36]]&gt;0,CABLES[[#This Row],[CABLE_DIAMETER]],0)</f>
        <v>14.5</v>
      </c>
      <c r="FI43" s="5">
        <f>IF(CABLES[[#This Row],[SEG37]]&gt;0,CABLES[[#This Row],[CABLE_DIAMETER]],0)</f>
        <v>0</v>
      </c>
      <c r="FJ43" s="5">
        <f>IF(CABLES[[#This Row],[SEG38]]&gt;0,CABLES[[#This Row],[CABLE_DIAMETER]],0)</f>
        <v>0</v>
      </c>
      <c r="FK43" s="5">
        <f>IF(CABLES[[#This Row],[SEG39]]&gt;0,CABLES[[#This Row],[CABLE_DIAMETER]],0)</f>
        <v>0</v>
      </c>
      <c r="FL43" s="5">
        <f>IF(CABLES[[#This Row],[SEG40]]&gt;0,CABLES[[#This Row],[CABLE_DIAMETER]],0)</f>
        <v>0</v>
      </c>
      <c r="FM43" s="5">
        <f>IF(CABLES[[#This Row],[SEG41]]&gt;0,CABLES[[#This Row],[CABLE_DIAMETER]],0)</f>
        <v>0</v>
      </c>
      <c r="FN43" s="5">
        <f>IF(CABLES[[#This Row],[SEG42]]&gt;0,CABLES[[#This Row],[CABLE_DIAMETER]],0)</f>
        <v>0</v>
      </c>
      <c r="FO43" s="5">
        <f>IF(CABLES[[#This Row],[SEG43]]&gt;0,CABLES[[#This Row],[CABLE_DIAMETER]],0)</f>
        <v>0</v>
      </c>
      <c r="FP43" s="5">
        <f>IF(CABLES[[#This Row],[SEG44]]&gt;0,CABLES[[#This Row],[CABLE_DIAMETER]],0)</f>
        <v>0</v>
      </c>
      <c r="FQ43" s="5">
        <f>IF(CABLES[[#This Row],[SEG45]]&gt;0,CABLES[[#This Row],[CABLE_DIAMETER]],0)</f>
        <v>0</v>
      </c>
      <c r="FR43" s="5">
        <f>IF(CABLES[[#This Row],[SEG46]]&gt;0,CABLES[[#This Row],[CABLE_DIAMETER]],0)</f>
        <v>0</v>
      </c>
      <c r="FS43" s="5">
        <f>IF(CABLES[[#This Row],[SEG47]]&gt;0,CABLES[[#This Row],[CABLE_DIAMETER]],0)</f>
        <v>0</v>
      </c>
      <c r="FT43" s="5">
        <f>IF(CABLES[[#This Row],[SEG48]]&gt;0,CABLES[[#This Row],[CABLE_DIAMETER]],0)</f>
        <v>0</v>
      </c>
      <c r="FU43" s="5">
        <f>IF(CABLES[[#This Row],[SEG49]]&gt;0,CABLES[[#This Row],[CABLE_DIAMETER]],0)</f>
        <v>0</v>
      </c>
      <c r="FV43" s="5">
        <f>IF(CABLES[[#This Row],[SEG50]]&gt;0,CABLES[[#This Row],[CABLE_DIAMETER]],0)</f>
        <v>0</v>
      </c>
      <c r="FW43" s="5">
        <f>IF(CABLES[[#This Row],[SEG51]]&gt;0,CABLES[[#This Row],[CABLE_DIAMETER]],0)</f>
        <v>0</v>
      </c>
      <c r="FX43" s="5">
        <f>IF(CABLES[[#This Row],[SEG52]]&gt;0,CABLES[[#This Row],[CABLE_DIAMETER]],0)</f>
        <v>0</v>
      </c>
      <c r="FY43" s="5">
        <f>IF(CABLES[[#This Row],[SEG53]]&gt;0,CABLES[[#This Row],[CABLE_DIAMETER]],0)</f>
        <v>0</v>
      </c>
      <c r="FZ43" s="5">
        <f>IF(CABLES[[#This Row],[SEG54]]&gt;0,CABLES[[#This Row],[CABLE_DIAMETER]],0)</f>
        <v>0</v>
      </c>
      <c r="GA43" s="5">
        <f>IF(CABLES[[#This Row],[SEG55]]&gt;0,CABLES[[#This Row],[CABLE_DIAMETER]],0)</f>
        <v>0</v>
      </c>
      <c r="GB43" s="5">
        <f>IF(CABLES[[#This Row],[SEG56]]&gt;0,CABLES[[#This Row],[CABLE_DIAMETER]],0)</f>
        <v>0</v>
      </c>
      <c r="GC43" s="5">
        <f>IF(CABLES[[#This Row],[SEG57]]&gt;0,CABLES[[#This Row],[CABLE_DIAMETER]],0)</f>
        <v>0</v>
      </c>
      <c r="GD43" s="5">
        <f>IF(CABLES[[#This Row],[SEG58]]&gt;0,CABLES[[#This Row],[CABLE_DIAMETER]],0)</f>
        <v>0</v>
      </c>
      <c r="GE43" s="5">
        <f>IF(CABLES[[#This Row],[SEG59]]&gt;0,CABLES[[#This Row],[CABLE_DIAMETER]],0)</f>
        <v>0</v>
      </c>
      <c r="GF43" s="5">
        <f>IF(CABLES[[#This Row],[SEG60]]&gt;0,CABLES[[#This Row],[CABLE_DIAMETER]],0)</f>
        <v>0</v>
      </c>
      <c r="GG43" s="5">
        <f>IF(CABLES[[#This Row],[SEG1]]&gt;0,CABLES[[#This Row],[CABLE_MASS]],0)</f>
        <v>0</v>
      </c>
      <c r="GH43" s="5">
        <f>IF(CABLES[[#This Row],[SEG2]]&gt;0,CABLES[[#This Row],[CABLE_MASS]],0)</f>
        <v>0</v>
      </c>
      <c r="GI43" s="5">
        <f>IF(CABLES[[#This Row],[SEG3]]&gt;0,CABLES[[#This Row],[CABLE_MASS]],0)</f>
        <v>0</v>
      </c>
      <c r="GJ43" s="5">
        <f>IF(CABLES[[#This Row],[SEG4]]&gt;0,CABLES[[#This Row],[CABLE_MASS]],0)</f>
        <v>0</v>
      </c>
      <c r="GK43" s="5">
        <f>IF(CABLES[[#This Row],[SEG5]]&gt;0,CABLES[[#This Row],[CABLE_MASS]],0)</f>
        <v>0</v>
      </c>
      <c r="GL43" s="5">
        <f>IF(CABLES[[#This Row],[SEG6]]&gt;0,CABLES[[#This Row],[CABLE_MASS]],0)</f>
        <v>0</v>
      </c>
      <c r="GM43" s="5">
        <f>IF(CABLES[[#This Row],[SEG7]]&gt;0,CABLES[[#This Row],[CABLE_MASS]],0)</f>
        <v>0</v>
      </c>
      <c r="GN43" s="5">
        <f>IF(CABLES[[#This Row],[SEG8]]&gt;0,CABLES[[#This Row],[CABLE_MASS]],0)</f>
        <v>0</v>
      </c>
      <c r="GO43" s="5">
        <f>IF(CABLES[[#This Row],[SEG9]]&gt;0,CABLES[[#This Row],[CABLE_MASS]],0)</f>
        <v>0</v>
      </c>
      <c r="GP43" s="5">
        <f>IF(CABLES[[#This Row],[SEG10]]&gt;0,CABLES[[#This Row],[CABLE_MASS]],0)</f>
        <v>0</v>
      </c>
      <c r="GQ43" s="5">
        <f>IF(CABLES[[#This Row],[SEG11]]&gt;0,CABLES[[#This Row],[CABLE_MASS]],0)</f>
        <v>0</v>
      </c>
      <c r="GR43" s="5">
        <f>IF(CABLES[[#This Row],[SEG12]]&gt;0,CABLES[[#This Row],[CABLE_MASS]],0)</f>
        <v>0</v>
      </c>
      <c r="GS43" s="5">
        <f>IF(CABLES[[#This Row],[SEG13]]&gt;0,CABLES[[#This Row],[CABLE_MASS]],0)</f>
        <v>0</v>
      </c>
      <c r="GT43" s="5">
        <f>IF(CABLES[[#This Row],[SEG14]]&gt;0,CABLES[[#This Row],[CABLE_MASS]],0)</f>
        <v>0</v>
      </c>
      <c r="GU43" s="5">
        <f>IF(CABLES[[#This Row],[SEG15]]&gt;0,CABLES[[#This Row],[CABLE_MASS]],0)</f>
        <v>0</v>
      </c>
      <c r="GV43" s="5">
        <f>IF(CABLES[[#This Row],[SEG16]]&gt;0,CABLES[[#This Row],[CABLE_MASS]],0)</f>
        <v>0</v>
      </c>
      <c r="GW43" s="5">
        <f>IF(CABLES[[#This Row],[SEG17]]&gt;0,CABLES[[#This Row],[CABLE_MASS]],0)</f>
        <v>0</v>
      </c>
      <c r="GX43" s="5">
        <f>IF(CABLES[[#This Row],[SEG18]]&gt;0,CABLES[[#This Row],[CABLE_MASS]],0)</f>
        <v>0</v>
      </c>
      <c r="GY43" s="5">
        <f>IF(CABLES[[#This Row],[SEG19]]&gt;0,CABLES[[#This Row],[CABLE_MASS]],0)</f>
        <v>0</v>
      </c>
      <c r="GZ43" s="5">
        <f>IF(CABLES[[#This Row],[SEG20]]&gt;0,CABLES[[#This Row],[CABLE_MASS]],0)</f>
        <v>0</v>
      </c>
      <c r="HA43" s="5">
        <f>IF(CABLES[[#This Row],[SEG21]]&gt;0,CABLES[[#This Row],[CABLE_MASS]],0)</f>
        <v>0</v>
      </c>
      <c r="HB43" s="5">
        <f>IF(CABLES[[#This Row],[SEG22]]&gt;0,CABLES[[#This Row],[CABLE_MASS]],0)</f>
        <v>0</v>
      </c>
      <c r="HC43" s="5">
        <f>IF(CABLES[[#This Row],[SEG23]]&gt;0,CABLES[[#This Row],[CABLE_MASS]],0)</f>
        <v>0</v>
      </c>
      <c r="HD43" s="5">
        <f>IF(CABLES[[#This Row],[SEG24]]&gt;0,CABLES[[#This Row],[CABLE_MASS]],0)</f>
        <v>0</v>
      </c>
      <c r="HE43" s="5">
        <f>IF(CABLES[[#This Row],[SEG25]]&gt;0,CABLES[[#This Row],[CABLE_MASS]],0)</f>
        <v>0</v>
      </c>
      <c r="HF43" s="5">
        <f>IF(CABLES[[#This Row],[SEG26]]&gt;0,CABLES[[#This Row],[CABLE_MASS]],0)</f>
        <v>0</v>
      </c>
      <c r="HG43" s="5">
        <f>IF(CABLES[[#This Row],[SEG27]]&gt;0,CABLES[[#This Row],[CABLE_MASS]],0)</f>
        <v>0</v>
      </c>
      <c r="HH43" s="5">
        <f>IF(CABLES[[#This Row],[SEG28]]&gt;0,CABLES[[#This Row],[CABLE_MASS]],0)</f>
        <v>0</v>
      </c>
      <c r="HI43" s="5">
        <f>IF(CABLES[[#This Row],[SEG29]]&gt;0,CABLES[[#This Row],[CABLE_MASS]],0)</f>
        <v>0</v>
      </c>
      <c r="HJ43" s="5">
        <f>IF(CABLES[[#This Row],[SEG30]]&gt;0,CABLES[[#This Row],[CABLE_MASS]],0)</f>
        <v>0.33</v>
      </c>
      <c r="HK43" s="5">
        <f>IF(CABLES[[#This Row],[SEG31]]&gt;0,CABLES[[#This Row],[CABLE_MASS]],0)</f>
        <v>0.33</v>
      </c>
      <c r="HL43" s="5">
        <f>IF(CABLES[[#This Row],[SEG32]]&gt;0,CABLES[[#This Row],[CABLE_MASS]],0)</f>
        <v>0.33</v>
      </c>
      <c r="HM43" s="5">
        <f>IF(CABLES[[#This Row],[SEG33]]&gt;0,CABLES[[#This Row],[CABLE_MASS]],0)</f>
        <v>0</v>
      </c>
      <c r="HN43" s="5">
        <f>IF(CABLES[[#This Row],[SEG34]]&gt;0,CABLES[[#This Row],[CABLE_MASS]],0)</f>
        <v>0.33</v>
      </c>
      <c r="HO43" s="5">
        <f>IF(CABLES[[#This Row],[SEG35]]&gt;0,CABLES[[#This Row],[CABLE_MASS]],0)</f>
        <v>0.33</v>
      </c>
      <c r="HP43" s="5">
        <f>IF(CABLES[[#This Row],[SEG36]]&gt;0,CABLES[[#This Row],[CABLE_MASS]],0)</f>
        <v>0.33</v>
      </c>
      <c r="HQ43" s="5">
        <f>IF(CABLES[[#This Row],[SEG37]]&gt;0,CABLES[[#This Row],[CABLE_MASS]],0)</f>
        <v>0</v>
      </c>
      <c r="HR43" s="5">
        <f>IF(CABLES[[#This Row],[SEG38]]&gt;0,CABLES[[#This Row],[CABLE_MASS]],0)</f>
        <v>0</v>
      </c>
      <c r="HS43" s="5">
        <f>IF(CABLES[[#This Row],[SEG39]]&gt;0,CABLES[[#This Row],[CABLE_MASS]],0)</f>
        <v>0</v>
      </c>
      <c r="HT43" s="5">
        <f>IF(CABLES[[#This Row],[SEG40]]&gt;0,CABLES[[#This Row],[CABLE_MASS]],0)</f>
        <v>0</v>
      </c>
      <c r="HU43" s="5">
        <f>IF(CABLES[[#This Row],[SEG41]]&gt;0,CABLES[[#This Row],[CABLE_MASS]],0)</f>
        <v>0</v>
      </c>
      <c r="HV43" s="5">
        <f>IF(CABLES[[#This Row],[SEG42]]&gt;0,CABLES[[#This Row],[CABLE_MASS]],0)</f>
        <v>0</v>
      </c>
      <c r="HW43" s="5">
        <f>IF(CABLES[[#This Row],[SEG43]]&gt;0,CABLES[[#This Row],[CABLE_MASS]],0)</f>
        <v>0</v>
      </c>
      <c r="HX43" s="5">
        <f>IF(CABLES[[#This Row],[SEG44]]&gt;0,CABLES[[#This Row],[CABLE_MASS]],0)</f>
        <v>0</v>
      </c>
      <c r="HY43" s="5">
        <f>IF(CABLES[[#This Row],[SEG45]]&gt;0,CABLES[[#This Row],[CABLE_MASS]],0)</f>
        <v>0</v>
      </c>
      <c r="HZ43" s="5">
        <f>IF(CABLES[[#This Row],[SEG46]]&gt;0,CABLES[[#This Row],[CABLE_MASS]],0)</f>
        <v>0</v>
      </c>
      <c r="IA43" s="5">
        <f>IF(CABLES[[#This Row],[SEG47]]&gt;0,CABLES[[#This Row],[CABLE_MASS]],0)</f>
        <v>0</v>
      </c>
      <c r="IB43" s="5">
        <f>IF(CABLES[[#This Row],[SEG48]]&gt;0,CABLES[[#This Row],[CABLE_MASS]],0)</f>
        <v>0</v>
      </c>
      <c r="IC43" s="5">
        <f>IF(CABLES[[#This Row],[SEG49]]&gt;0,CABLES[[#This Row],[CABLE_MASS]],0)</f>
        <v>0</v>
      </c>
      <c r="ID43" s="5">
        <f>IF(CABLES[[#This Row],[SEG50]]&gt;0,CABLES[[#This Row],[CABLE_MASS]],0)</f>
        <v>0</v>
      </c>
      <c r="IE43" s="5">
        <f>IF(CABLES[[#This Row],[SEG51]]&gt;0,CABLES[[#This Row],[CABLE_MASS]],0)</f>
        <v>0</v>
      </c>
      <c r="IF43" s="5">
        <f>IF(CABLES[[#This Row],[SEG52]]&gt;0,CABLES[[#This Row],[CABLE_MASS]],0)</f>
        <v>0</v>
      </c>
      <c r="IG43" s="5">
        <f>IF(CABLES[[#This Row],[SEG53]]&gt;0,CABLES[[#This Row],[CABLE_MASS]],0)</f>
        <v>0</v>
      </c>
      <c r="IH43" s="5">
        <f>IF(CABLES[[#This Row],[SEG54]]&gt;0,CABLES[[#This Row],[CABLE_MASS]],0)</f>
        <v>0</v>
      </c>
      <c r="II43" s="5">
        <f>IF(CABLES[[#This Row],[SEG55]]&gt;0,CABLES[[#This Row],[CABLE_MASS]],0)</f>
        <v>0</v>
      </c>
      <c r="IJ43" s="5">
        <f>IF(CABLES[[#This Row],[SEG56]]&gt;0,CABLES[[#This Row],[CABLE_MASS]],0)</f>
        <v>0</v>
      </c>
      <c r="IK43" s="5">
        <f>IF(CABLES[[#This Row],[SEG57]]&gt;0,CABLES[[#This Row],[CABLE_MASS]],0)</f>
        <v>0</v>
      </c>
      <c r="IL43" s="5">
        <f>IF(CABLES[[#This Row],[SEG58]]&gt;0,CABLES[[#This Row],[CABLE_MASS]],0)</f>
        <v>0</v>
      </c>
      <c r="IM43" s="5">
        <f>IF(CABLES[[#This Row],[SEG59]]&gt;0,CABLES[[#This Row],[CABLE_MASS]],0)</f>
        <v>0</v>
      </c>
      <c r="IN43" s="5">
        <f>IF(CABLES[[#This Row],[SEG60]]&gt;0,CABLES[[#This Row],[CABLE_MASS]],0)</f>
        <v>0</v>
      </c>
      <c r="IO43" s="5">
        <f xml:space="preserve">  (CABLES[[#This Row],[LOAD_KW]]/(SQRT(3)*SYSTEM_VOLTAGE*POWER_FACTOR))*1000</f>
        <v>0.59338777666711529</v>
      </c>
      <c r="IP43" s="5">
        <v>45</v>
      </c>
      <c r="IQ43" s="5">
        <f xml:space="preserve"> INDEX(AS3000_AMBIENTDERATE[], MATCH(CABLES[[#This Row],[AMBIENT]],AS3000_AMBIENTDERATE[AMBIENT],0), 2)</f>
        <v>0.94</v>
      </c>
      <c r="IR43" s="5">
        <f xml:space="preserve"> ROUNDUP( CABLES[[#This Row],[CALCULATED_AMPS]]/CABLES[[#This Row],[AMBIENT_DERATING]],1)</f>
        <v>0.7</v>
      </c>
      <c r="IS43" s="10" t="s">
        <v>531</v>
      </c>
      <c r="IT43" s="5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3" s="5">
        <f t="shared" si="1"/>
        <v>28.000000000000004</v>
      </c>
      <c r="IV43" s="5">
        <f>(1000*CABLES[[#This Row],[MAX_VDROP]])/(CABLES[[#This Row],[ESTIMATED_CABLE_LENGTH]]*CABLES[[#This Row],[AMP_RATING]])</f>
        <v>793.65079365079384</v>
      </c>
      <c r="IW43" s="5">
        <f xml:space="preserve"> INDEX(AS3000_VDROP[], MATCH(CABLES[[#This Row],[VC_CALC]],AS3000_VDROP[Vc],1),1)</f>
        <v>2.5</v>
      </c>
      <c r="IX43" s="5">
        <f>MAX(CABLES[[#This Row],[CABLESIZE_METHOD1]],CABLES[[#This Row],[CABLESIZE_METHOD2]])</f>
        <v>2.5</v>
      </c>
      <c r="IZ43" s="5">
        <f>IF(LEN(CABLES[[#This Row],[OVERRIDE_CABLESIZE]])&gt;0,CABLES[[#This Row],[OVERRIDE_CABLESIZE]],CABLES[[#This Row],[INITIAL_CABLESIZE]])</f>
        <v>2.5</v>
      </c>
      <c r="JA43" s="5">
        <f>INDEX(PROTECTIVE_DEVICE[DEVICE], MATCH(CABLES[[#This Row],[CALCULATED_AMPS]],PROTECTIVE_DEVICE[DEVICE],-1),1)</f>
        <v>6</v>
      </c>
      <c r="JC43" s="5">
        <f>IF(LEN(CABLES[[#This Row],[OVERRIDE_PDEVICE]])&gt;0, CABLES[[#This Row],[OVERRIDE_PDEVICE]],CABLES[[#This Row],[RECOMMEND_PDEVICE]])</f>
        <v>6</v>
      </c>
      <c r="JD43" s="9" t="s">
        <v>450</v>
      </c>
      <c r="JE43" s="5">
        <f xml:space="preserve"> CABLES[[#This Row],[SELECTED_PDEVICE]] * INDEX(DEVICE_CURVE[], MATCH(CABLES[[#This Row],[PDEVICE_CURVE]], DEVICE_CURVE[DEVICE_CURVE],0),2)</f>
        <v>39</v>
      </c>
      <c r="JF43" s="9" t="s">
        <v>458</v>
      </c>
      <c r="JG43" s="5">
        <f xml:space="preserve"> INDEX(CONDUCTOR_MATERIAL[], MATCH(CABLES[[#This Row],[CONDUCTOR_MATERIAL]],CONDUCTOR_MATERIAL[CONDUCTOR_MATERIAL],0),2)</f>
        <v>2.2499999999999999E-2</v>
      </c>
      <c r="JH43" s="5">
        <f>CABLES[[#This Row],[SELECTED_CABLESIZE]]</f>
        <v>2.5</v>
      </c>
      <c r="JI43" s="5">
        <f xml:space="preserve"> INDEX( EARTH_CONDUCTOR_SIZE[], MATCH(CABLES[[#This Row],[SPH]],EARTH_CONDUCTOR_SIZE[MM^2],-1), 2)</f>
        <v>2.5</v>
      </c>
      <c r="JJ43" s="5">
        <f>(0.8*PHASE_VOLTAGE*CABLES[[#This Row],[SPH]]*CABLES[[#This Row],[SPE]])/(CABLES[[#This Row],[PDEVICE_IA]]*CABLES[[#This Row],[MATERIAL_CONSTANT]]*(CABLES[[#This Row],[SPH]]+CABLES[[#This Row],[SPE]]))</f>
        <v>262.10826210826212</v>
      </c>
      <c r="JK43" s="9" t="str">
        <f>IF(CABLES[[#This Row],[LMAX]]&gt;CABLES[[#This Row],[ESTIMATED_CABLE_LENGTH]], "PASS", "ERROR")</f>
        <v>PASS</v>
      </c>
      <c r="JL43" s="5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43" s="5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43" s="5">
        <f xml:space="preserve"> ROUNDUP( CABLES[[#This Row],[CALCULATED_AMPS]],1)</f>
        <v>0.6</v>
      </c>
      <c r="JO43" s="5">
        <f>CABLES[[#This Row],[SELECTED_CABLESIZE]]</f>
        <v>2.5</v>
      </c>
      <c r="JP43" s="5">
        <f>CABLES[[#This Row],[ESTIMATED_CABLE_LENGTH]]</f>
        <v>50.4</v>
      </c>
      <c r="JQ43" s="5">
        <f>CABLES[[#This Row],[SELECTED_PDEVICE]]</f>
        <v>6</v>
      </c>
    </row>
    <row r="44" spans="1:277" x14ac:dyDescent="0.35">
      <c r="A44" s="5" t="s">
        <v>43</v>
      </c>
      <c r="B44" s="5" t="s">
        <v>103</v>
      </c>
      <c r="C44" s="9" t="s">
        <v>261</v>
      </c>
      <c r="D44" s="5">
        <v>0.37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1</v>
      </c>
      <c r="AI44" s="5">
        <v>1</v>
      </c>
      <c r="AJ44" s="5">
        <v>1</v>
      </c>
      <c r="AK44" s="5">
        <v>0</v>
      </c>
      <c r="AL44" s="5">
        <v>1</v>
      </c>
      <c r="AM44" s="5">
        <v>1</v>
      </c>
      <c r="AN44" s="5">
        <v>1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f xml:space="preserve"> IF(CABLES[[#This Row],[SEG1]] &gt;0, INDEX(SEGMENTS[], MATCH(CABLES[[#Headers],[SEG1]],SEGMENTS[SEG_ID],0),4),0)</f>
        <v>0</v>
      </c>
      <c r="BN44" s="5">
        <f xml:space="preserve"> IF(CABLES[[#This Row],[SEG2]] &gt;0, INDEX(SEGMENTS[], MATCH(CABLES[[#Headers],[SEG2]],SEGMENTS[SEG_ID],0),4),0)</f>
        <v>0</v>
      </c>
      <c r="BO44" s="5">
        <f xml:space="preserve"> IF(CABLES[[#This Row],[SEG3]] &gt;0, INDEX(SEGMENTS[], MATCH(CABLES[[#Headers],[SEG3]],SEGMENTS[SEG_ID],0),4),0)</f>
        <v>0</v>
      </c>
      <c r="BP44" s="5">
        <f xml:space="preserve"> IF(CABLES[[#This Row],[SEG4]] &gt;0, INDEX(SEGMENTS[], MATCH(CABLES[[#Headers],[SEG4]],SEGMENTS[SEG_ID],0),4),0)</f>
        <v>0</v>
      </c>
      <c r="BQ44" s="5">
        <f xml:space="preserve"> IF(CABLES[[#This Row],[SEG5]] &gt;0,INDEX(SEGMENTS[], MATCH(CABLES[[#Headers],[SEG5]],SEGMENTS[SEG_ID],0),4),0)</f>
        <v>0</v>
      </c>
      <c r="BR44" s="5">
        <f xml:space="preserve"> IF(CABLES[[#This Row],[SEG6]] &gt;0,INDEX(SEGMENTS[], MATCH(CABLES[[#Headers],[SEG6]],SEGMENTS[SEG_ID],0),4),0)</f>
        <v>0</v>
      </c>
      <c r="BS44" s="5">
        <f xml:space="preserve"> IF(CABLES[[#This Row],[SEG7]] &gt;0,INDEX(SEGMENTS[], MATCH(CABLES[[#Headers],[SEG7]],SEGMENTS[SEG_ID],0),4),0)</f>
        <v>0</v>
      </c>
      <c r="BT44" s="5">
        <f xml:space="preserve"> IF(CABLES[[#This Row],[SEG8]] &gt;0,INDEX(SEGMENTS[], MATCH(CABLES[[#Headers],[SEG8]],SEGMENTS[SEG_ID],0),4),0)</f>
        <v>0</v>
      </c>
      <c r="BU44" s="5">
        <f xml:space="preserve"> IF(CABLES[[#This Row],[SEG9]] &gt;0,INDEX(SEGMENTS[], MATCH(CABLES[[#Headers],[SEG9]],SEGMENTS[SEG_ID],0),4),0)</f>
        <v>0</v>
      </c>
      <c r="BV44" s="5">
        <f xml:space="preserve"> IF(CABLES[[#This Row],[SEG10]] &gt;0,INDEX(SEGMENTS[], MATCH(CABLES[[#Headers],[SEG10]],SEGMENTS[SEG_ID],0),4),0)</f>
        <v>0</v>
      </c>
      <c r="BW44" s="5">
        <f xml:space="preserve"> IF(CABLES[[#This Row],[SEG11]] &gt;0,INDEX(SEGMENTS[], MATCH(CABLES[[#Headers],[SEG11]],SEGMENTS[SEG_ID],0),4),0)</f>
        <v>0</v>
      </c>
      <c r="BX44" s="5">
        <f>IF(CABLES[[#This Row],[SEG12]] &gt;0, INDEX(SEGMENTS[], MATCH(CABLES[[#Headers],[SEG12]],SEGMENTS[SEG_ID],0),4),0)</f>
        <v>0</v>
      </c>
      <c r="BY44" s="5">
        <f xml:space="preserve"> IF(CABLES[[#This Row],[SEG13]] &gt;0,INDEX(SEGMENTS[], MATCH(CABLES[[#Headers],[SEG13]],SEGMENTS[SEG_ID],0),4),0)</f>
        <v>0</v>
      </c>
      <c r="BZ44" s="5">
        <f xml:space="preserve"> IF(CABLES[[#This Row],[SEG14]] &gt;0,INDEX(SEGMENTS[], MATCH(CABLES[[#Headers],[SEG14]],SEGMENTS[SEG_ID],0),4),0)</f>
        <v>0</v>
      </c>
      <c r="CA44" s="5">
        <f xml:space="preserve"> IF(CABLES[[#This Row],[SEG15]] &gt;0,INDEX(SEGMENTS[], MATCH(CABLES[[#Headers],[SEG15]],SEGMENTS[SEG_ID],0),4),0)</f>
        <v>0</v>
      </c>
      <c r="CB44" s="5">
        <f xml:space="preserve"> IF(CABLES[[#This Row],[SEG16]] &gt;0,INDEX(SEGMENTS[], MATCH(CABLES[[#Headers],[SEG16]],SEGMENTS[SEG_ID],0),4),0)</f>
        <v>0</v>
      </c>
      <c r="CC44" s="5">
        <f xml:space="preserve"> IF(CABLES[[#This Row],[SEG17]] &gt;0,INDEX(SEGMENTS[], MATCH(CABLES[[#Headers],[SEG17]],SEGMENTS[SEG_ID],0),4),0)</f>
        <v>0</v>
      </c>
      <c r="CD44" s="5">
        <f xml:space="preserve"> IF(CABLES[[#This Row],[SEG18]] &gt;0,INDEX(SEGMENTS[], MATCH(CABLES[[#Headers],[SEG18]],SEGMENTS[SEG_ID],0),4),0)</f>
        <v>0</v>
      </c>
      <c r="CE44" s="5">
        <f>IF(CABLES[[#This Row],[SEG19]] &gt;0, INDEX(SEGMENTS[], MATCH(CABLES[[#Headers],[SEG19]],SEGMENTS[SEG_ID],0),4),0)</f>
        <v>0</v>
      </c>
      <c r="CF44" s="5">
        <f>IF(CABLES[[#This Row],[SEG20]] &gt;0, INDEX(SEGMENTS[], MATCH(CABLES[[#Headers],[SEG20]],SEGMENTS[SEG_ID],0),4),0)</f>
        <v>0</v>
      </c>
      <c r="CG44" s="5">
        <f xml:space="preserve"> IF(CABLES[[#This Row],[SEG21]] &gt;0,INDEX(SEGMENTS[], MATCH(CABLES[[#Headers],[SEG21]],SEGMENTS[SEG_ID],0),4),0)</f>
        <v>0</v>
      </c>
      <c r="CH44" s="5">
        <f xml:space="preserve"> IF(CABLES[[#This Row],[SEG22]] &gt;0,INDEX(SEGMENTS[], MATCH(CABLES[[#Headers],[SEG22]],SEGMENTS[SEG_ID],0),4),0)</f>
        <v>0</v>
      </c>
      <c r="CI44" s="5">
        <f>IF(CABLES[[#This Row],[SEG23]] &gt;0, INDEX(SEGMENTS[], MATCH(CABLES[[#Headers],[SEG23]],SEGMENTS[SEG_ID],0),4),0)</f>
        <v>0</v>
      </c>
      <c r="CJ44" s="5">
        <f xml:space="preserve"> IF(CABLES[[#This Row],[SEG24]] &gt;0,INDEX(SEGMENTS[], MATCH(CABLES[[#Headers],[SEG24]],SEGMENTS[SEG_ID],0),4),0)</f>
        <v>0</v>
      </c>
      <c r="CK44" s="5">
        <f>IF(CABLES[[#This Row],[SEG25]] &gt;0, INDEX(SEGMENTS[], MATCH(CABLES[[#Headers],[SEG25]],SEGMENTS[SEG_ID],0),4),0)</f>
        <v>0</v>
      </c>
      <c r="CL44" s="5">
        <f>IF(CABLES[[#This Row],[SEG26]] &gt;0, INDEX(SEGMENTS[], MATCH(CABLES[[#Headers],[SEG26]],SEGMENTS[SEG_ID],0),4),0)</f>
        <v>0</v>
      </c>
      <c r="CM44" s="5">
        <f xml:space="preserve"> IF(CABLES[[#This Row],[SEG27]] &gt;0,INDEX(SEGMENTS[], MATCH(CABLES[[#Headers],[SEG27]],SEGMENTS[SEG_ID],0),4),0)</f>
        <v>0</v>
      </c>
      <c r="CN44" s="5">
        <f xml:space="preserve"> IF(CABLES[[#This Row],[SEG28]] &gt;0,INDEX(SEGMENTS[], MATCH(CABLES[[#Headers],[SEG28]],SEGMENTS[SEG_ID],0),4),0)</f>
        <v>0</v>
      </c>
      <c r="CO44" s="5">
        <f xml:space="preserve"> IF(CABLES[[#This Row],[SEG29]] &gt;0,INDEX(SEGMENTS[], MATCH(CABLES[[#Headers],[SEG29]],SEGMENTS[SEG_ID],0),4),0)</f>
        <v>0</v>
      </c>
      <c r="CP44" s="5">
        <f xml:space="preserve"> IF(CABLES[[#This Row],[SEG30]] &gt;0,INDEX(SEGMENTS[], MATCH(CABLES[[#Headers],[SEG30]],SEGMENTS[SEG_ID],0),4),0)</f>
        <v>6</v>
      </c>
      <c r="CQ44" s="5">
        <f>IF(CABLES[[#This Row],[SEG31]] &gt;0, INDEX(SEGMENTS[], MATCH(CABLES[[#Headers],[SEG31]],SEGMENTS[SEG_ID],0),4),0)</f>
        <v>3</v>
      </c>
      <c r="CR44" s="5">
        <f xml:space="preserve"> IF(CABLES[[#This Row],[SEG32]] &gt;0,INDEX(SEGMENTS[], MATCH(CABLES[[#Headers],[SEG32]],SEGMENTS[SEG_ID],0),4),0)</f>
        <v>5</v>
      </c>
      <c r="CS44" s="5">
        <f xml:space="preserve"> IF(CABLES[[#This Row],[SEG33]] &gt;0,INDEX(SEGMENTS[], MATCH(CABLES[[#Headers],[SEG33]],SEGMENTS[SEG_ID],0),4),0)</f>
        <v>0</v>
      </c>
      <c r="CT44" s="5">
        <f>IF(CABLES[[#This Row],[SEG34]] &gt;0, INDEX(SEGMENTS[], MATCH(CABLES[[#Headers],[SEG34]],SEGMENTS[SEG_ID],0),4),0)</f>
        <v>7</v>
      </c>
      <c r="CU44" s="5">
        <f xml:space="preserve"> IF(CABLES[[#This Row],[SEG35]] &gt;0,INDEX(SEGMENTS[], MATCH(CABLES[[#Headers],[SEG35]],SEGMENTS[SEG_ID],0),4),0)</f>
        <v>7</v>
      </c>
      <c r="CV44" s="5">
        <f xml:space="preserve"> IF(CABLES[[#This Row],[SEG36]] &gt;0,INDEX(SEGMENTS[], MATCH(CABLES[[#Headers],[SEG36]],SEGMENTS[SEG_ID],0),4),0)</f>
        <v>9</v>
      </c>
      <c r="CW44" s="5">
        <f xml:space="preserve"> IF(CABLES[[#This Row],[SEG37]] &gt;0,INDEX(SEGMENTS[], MATCH(CABLES[[#Headers],[SEG37]],SEGMENTS[SEG_ID],0),4),0)</f>
        <v>0</v>
      </c>
      <c r="CX44" s="5">
        <f xml:space="preserve"> IF(CABLES[[#This Row],[SEG38]] &gt;0,INDEX(SEGMENTS[], MATCH(CABLES[[#Headers],[SEG38]],SEGMENTS[SEG_ID],0),4),0)</f>
        <v>0</v>
      </c>
      <c r="CY44" s="5">
        <f xml:space="preserve"> IF(CABLES[[#This Row],[SEG39]] &gt;0,INDEX(SEGMENTS[], MATCH(CABLES[[#Headers],[SEG39]],SEGMENTS[SEG_ID],0),4),0)</f>
        <v>0</v>
      </c>
      <c r="CZ44" s="5">
        <f xml:space="preserve"> IF(CABLES[[#This Row],[SEG40]] &gt;0,INDEX(SEGMENTS[], MATCH(CABLES[[#Headers],[SEG40]],SEGMENTS[SEG_ID],0),4),0)</f>
        <v>0</v>
      </c>
      <c r="DA44" s="5">
        <f xml:space="preserve"> IF(CABLES[[#This Row],[SEG41]] &gt;0,INDEX(SEGMENTS[], MATCH(CABLES[[#Headers],[SEG41]],SEGMENTS[SEG_ID],0),4),0)</f>
        <v>0</v>
      </c>
      <c r="DB44" s="5">
        <f xml:space="preserve"> IF(CABLES[[#This Row],[SEG42]] &gt;0,INDEX(SEGMENTS[], MATCH(CABLES[[#Headers],[SEG42]],SEGMENTS[SEG_ID],0),4),0)</f>
        <v>0</v>
      </c>
      <c r="DC44" s="5">
        <f xml:space="preserve"> IF(CABLES[[#This Row],[SEG43]] &gt;0,INDEX(SEGMENTS[], MATCH(CABLES[[#Headers],[SEG43]],SEGMENTS[SEG_ID],0),4),0)</f>
        <v>0</v>
      </c>
      <c r="DD44" s="5">
        <f xml:space="preserve"> IF(CABLES[[#This Row],[SEG44]] &gt;0,INDEX(SEGMENTS[], MATCH(CABLES[[#Headers],[SEG44]],SEGMENTS[SEG_ID],0),4),0)</f>
        <v>0</v>
      </c>
      <c r="DE44" s="5">
        <f xml:space="preserve"> IF(CABLES[[#This Row],[SEG45]] &gt;0,INDEX(SEGMENTS[], MATCH(CABLES[[#Headers],[SEG45]],SEGMENTS[SEG_ID],0),4),0)</f>
        <v>0</v>
      </c>
      <c r="DF44" s="5">
        <f xml:space="preserve"> IF(CABLES[[#This Row],[SEG46]] &gt;0,INDEX(SEGMENTS[], MATCH(CABLES[[#Headers],[SEG46]],SEGMENTS[SEG_ID],0),4),0)</f>
        <v>0</v>
      </c>
      <c r="DG44" s="5">
        <f xml:space="preserve"> IF(CABLES[[#This Row],[SEG47]] &gt;0,INDEX(SEGMENTS[], MATCH(CABLES[[#Headers],[SEG47]],SEGMENTS[SEG_ID],0),4),0)</f>
        <v>0</v>
      </c>
      <c r="DH44" s="5">
        <f xml:space="preserve"> IF(CABLES[[#This Row],[SEG48]] &gt;0,INDEX(SEGMENTS[], MATCH(CABLES[[#Headers],[SEG48]],SEGMENTS[SEG_ID],0),4),0)</f>
        <v>0</v>
      </c>
      <c r="DI44" s="5">
        <f xml:space="preserve"> IF(CABLES[[#This Row],[SEG49]] &gt;0,INDEX(SEGMENTS[], MATCH(CABLES[[#Headers],[SEG49]],SEGMENTS[SEG_ID],0),4),0)</f>
        <v>0</v>
      </c>
      <c r="DJ44" s="5">
        <f xml:space="preserve"> IF(CABLES[[#This Row],[SEG50]] &gt;0,INDEX(SEGMENTS[], MATCH(CABLES[[#Headers],[SEG50]],SEGMENTS[SEG_ID],0),4),0)</f>
        <v>0</v>
      </c>
      <c r="DK44" s="5">
        <f xml:space="preserve"> IF(CABLES[[#This Row],[SEG51]] &gt;0,INDEX(SEGMENTS[], MATCH(CABLES[[#Headers],[SEG51]],SEGMENTS[SEG_ID],0),4),0)</f>
        <v>0</v>
      </c>
      <c r="DL44" s="5">
        <f xml:space="preserve"> IF(CABLES[[#This Row],[SEG52]] &gt;0,INDEX(SEGMENTS[], MATCH(CABLES[[#Headers],[SEG52]],SEGMENTS[SEG_ID],0),4),0)</f>
        <v>0</v>
      </c>
      <c r="DM44" s="5">
        <f xml:space="preserve"> IF(CABLES[[#This Row],[SEG53]] &gt;0,INDEX(SEGMENTS[], MATCH(CABLES[[#Headers],[SEG53]],SEGMENTS[SEG_ID],0),4),0)</f>
        <v>0</v>
      </c>
      <c r="DN44" s="5">
        <f xml:space="preserve"> IF(CABLES[[#This Row],[SEG54]] &gt;0,INDEX(SEGMENTS[], MATCH(CABLES[[#Headers],[SEG54]],SEGMENTS[SEG_ID],0),4),0)</f>
        <v>0</v>
      </c>
      <c r="DO44" s="5">
        <f xml:space="preserve"> IF(CABLES[[#This Row],[SEG55]] &gt;0,INDEX(SEGMENTS[], MATCH(CABLES[[#Headers],[SEG55]],SEGMENTS[SEG_ID],0),4),0)</f>
        <v>0</v>
      </c>
      <c r="DP44" s="5">
        <f xml:space="preserve"> IF(CABLES[[#This Row],[SEG56]] &gt;0,INDEX(SEGMENTS[], MATCH(CABLES[[#Headers],[SEG56]],SEGMENTS[SEG_ID],0),4),0)</f>
        <v>0</v>
      </c>
      <c r="DQ44" s="5">
        <f xml:space="preserve"> IF(CABLES[[#This Row],[SEG57]] &gt;0,INDEX(SEGMENTS[], MATCH(CABLES[[#Headers],[SEG57]],SEGMENTS[SEG_ID],0),4),0)</f>
        <v>0</v>
      </c>
      <c r="DR44" s="5">
        <f xml:space="preserve"> IF(CABLES[[#This Row],[SEG58]] &gt;0,INDEX(SEGMENTS[], MATCH(CABLES[[#Headers],[SEG58]],SEGMENTS[SEG_ID],0),4),0)</f>
        <v>0</v>
      </c>
      <c r="DS44" s="5">
        <f xml:space="preserve"> IF(CABLES[[#This Row],[SEG59]] &gt;0,INDEX(SEGMENTS[], MATCH(CABLES[[#Headers],[SEG59]],SEGMENTS[SEG_ID],0),4),0)</f>
        <v>0</v>
      </c>
      <c r="DT44" s="5">
        <f xml:space="preserve"> IF(CABLES[[#This Row],[SEG60]] &gt;0,INDEX(SEGMENTS[], MATCH(CABLES[[#Headers],[SEG60]],SEGMENTS[SEG_ID],0),4),0)</f>
        <v>0</v>
      </c>
      <c r="DU44" s="5">
        <f>SUM(CABLES[[#This Row],[SEGL1]:[SEGL60]])</f>
        <v>37</v>
      </c>
      <c r="DV44" s="5">
        <v>5</v>
      </c>
      <c r="DW44" s="5">
        <v>1.2</v>
      </c>
      <c r="DX44" s="5">
        <f xml:space="preserve"> IF(CABLES[[#This Row],[SEGL_TOTAL]]&gt;0, (CABLES[[#This Row],[SEGL_TOTAL]] + CABLES[[#This Row],[FITOFF]]) *CABLES[[#This Row],[XCAPACITY]],0)</f>
        <v>50.4</v>
      </c>
      <c r="DY44" s="5">
        <f>IF(CABLES[[#This Row],[SEG1]]&gt;0,CABLES[[#This Row],[CABLE_DIAMETER]],0)</f>
        <v>0</v>
      </c>
      <c r="DZ44" s="5">
        <f>IF(CABLES[[#This Row],[SEG2]]&gt;0,CABLES[[#This Row],[CABLE_DIAMETER]],0)</f>
        <v>0</v>
      </c>
      <c r="EA44" s="5">
        <f>IF(CABLES[[#This Row],[SEG3]]&gt;0,CABLES[[#This Row],[CABLE_DIAMETER]],0)</f>
        <v>0</v>
      </c>
      <c r="EB44" s="5">
        <f>IF(CABLES[[#This Row],[SEG4]]&gt;0,CABLES[[#This Row],[CABLE_DIAMETER]],0)</f>
        <v>0</v>
      </c>
      <c r="EC44" s="5">
        <f>IF(CABLES[[#This Row],[SEG5]]&gt;0,CABLES[[#This Row],[CABLE_DIAMETER]],0)</f>
        <v>0</v>
      </c>
      <c r="ED44" s="5">
        <f>IF(CABLES[[#This Row],[SEG6]]&gt;0,CABLES[[#This Row],[CABLE_DIAMETER]],0)</f>
        <v>0</v>
      </c>
      <c r="EE44" s="5">
        <f>IF(CABLES[[#This Row],[SEG7]]&gt;0,CABLES[[#This Row],[CABLE_DIAMETER]],0)</f>
        <v>0</v>
      </c>
      <c r="EF44" s="5">
        <f>IF(CABLES[[#This Row],[SEG9]]&gt;0,CABLES[[#This Row],[CABLE_DIAMETER]],0)</f>
        <v>0</v>
      </c>
      <c r="EG44" s="5">
        <f>IF(CABLES[[#This Row],[SEG9]]&gt;0,CABLES[[#This Row],[CABLE_DIAMETER]],0)</f>
        <v>0</v>
      </c>
      <c r="EH44" s="5">
        <f>IF(CABLES[[#This Row],[SEG10]]&gt;0,CABLES[[#This Row],[CABLE_DIAMETER]],0)</f>
        <v>0</v>
      </c>
      <c r="EI44" s="5">
        <f>IF(CABLES[[#This Row],[SEG11]]&gt;0,CABLES[[#This Row],[CABLE_DIAMETER]],0)</f>
        <v>0</v>
      </c>
      <c r="EJ44" s="5">
        <f>IF(CABLES[[#This Row],[SEG12]]&gt;0,CABLES[[#This Row],[CABLE_DIAMETER]],0)</f>
        <v>0</v>
      </c>
      <c r="EK44" s="5">
        <f>IF(CABLES[[#This Row],[SEG13]]&gt;0,CABLES[[#This Row],[CABLE_DIAMETER]],0)</f>
        <v>0</v>
      </c>
      <c r="EL44" s="5">
        <f>IF(CABLES[[#This Row],[SEG14]]&gt;0,CABLES[[#This Row],[CABLE_DIAMETER]],0)</f>
        <v>0</v>
      </c>
      <c r="EM44" s="5">
        <f>IF(CABLES[[#This Row],[SEG15]]&gt;0,CABLES[[#This Row],[CABLE_DIAMETER]],0)</f>
        <v>0</v>
      </c>
      <c r="EN44" s="5">
        <f>IF(CABLES[[#This Row],[SEG16]]&gt;0,CABLES[[#This Row],[CABLE_DIAMETER]],0)</f>
        <v>0</v>
      </c>
      <c r="EO44" s="5">
        <f>IF(CABLES[[#This Row],[SEG17]]&gt;0,CABLES[[#This Row],[CABLE_DIAMETER]],0)</f>
        <v>0</v>
      </c>
      <c r="EP44" s="5">
        <f>IF(CABLES[[#This Row],[SEG18]]&gt;0,CABLES[[#This Row],[CABLE_DIAMETER]],0)</f>
        <v>0</v>
      </c>
      <c r="EQ44" s="5">
        <f>IF(CABLES[[#This Row],[SEG19]]&gt;0,CABLES[[#This Row],[CABLE_DIAMETER]],0)</f>
        <v>0</v>
      </c>
      <c r="ER44" s="5">
        <f>IF(CABLES[[#This Row],[SEG20]]&gt;0,CABLES[[#This Row],[CABLE_DIAMETER]],0)</f>
        <v>0</v>
      </c>
      <c r="ES44" s="5">
        <f>IF(CABLES[[#This Row],[SEG21]]&gt;0,CABLES[[#This Row],[CABLE_DIAMETER]],0)</f>
        <v>0</v>
      </c>
      <c r="ET44" s="5">
        <f>IF(CABLES[[#This Row],[SEG22]]&gt;0,CABLES[[#This Row],[CABLE_DIAMETER]],0)</f>
        <v>0</v>
      </c>
      <c r="EU44" s="5">
        <f>IF(CABLES[[#This Row],[SEG23]]&gt;0,CABLES[[#This Row],[CABLE_DIAMETER]],0)</f>
        <v>0</v>
      </c>
      <c r="EV44" s="5">
        <f>IF(CABLES[[#This Row],[SEG24]]&gt;0,CABLES[[#This Row],[CABLE_DIAMETER]],0)</f>
        <v>0</v>
      </c>
      <c r="EW44" s="5">
        <f>IF(CABLES[[#This Row],[SEG25]]&gt;0,CABLES[[#This Row],[CABLE_DIAMETER]],0)</f>
        <v>0</v>
      </c>
      <c r="EX44" s="5">
        <f>IF(CABLES[[#This Row],[SEG26]]&gt;0,CABLES[[#This Row],[CABLE_DIAMETER]],0)</f>
        <v>0</v>
      </c>
      <c r="EY44" s="5">
        <f>IF(CABLES[[#This Row],[SEG27]]&gt;0,CABLES[[#This Row],[CABLE_DIAMETER]],0)</f>
        <v>0</v>
      </c>
      <c r="EZ44" s="5">
        <f>IF(CABLES[[#This Row],[SEG28]]&gt;0,CABLES[[#This Row],[CABLE_DIAMETER]],0)</f>
        <v>0</v>
      </c>
      <c r="FA44" s="5">
        <f>IF(CABLES[[#This Row],[SEG29]]&gt;0,CABLES[[#This Row],[CABLE_DIAMETER]],0)</f>
        <v>0</v>
      </c>
      <c r="FB44" s="5">
        <f>IF(CABLES[[#This Row],[SEG30]]&gt;0,CABLES[[#This Row],[CABLE_DIAMETER]],0)</f>
        <v>14.5</v>
      </c>
      <c r="FC44" s="5">
        <f>IF(CABLES[[#This Row],[SEG31]]&gt;0,CABLES[[#This Row],[CABLE_DIAMETER]],0)</f>
        <v>14.5</v>
      </c>
      <c r="FD44" s="5">
        <f>IF(CABLES[[#This Row],[SEG32]]&gt;0,CABLES[[#This Row],[CABLE_DIAMETER]],0)</f>
        <v>14.5</v>
      </c>
      <c r="FE44" s="5">
        <f>IF(CABLES[[#This Row],[SEG33]]&gt;0,CABLES[[#This Row],[CABLE_DIAMETER]],0)</f>
        <v>0</v>
      </c>
      <c r="FF44" s="5">
        <f>IF(CABLES[[#This Row],[SEG34]]&gt;0,CABLES[[#This Row],[CABLE_DIAMETER]],0)</f>
        <v>14.5</v>
      </c>
      <c r="FG44" s="5">
        <f>IF(CABLES[[#This Row],[SEG35]]&gt;0,CABLES[[#This Row],[CABLE_DIAMETER]],0)</f>
        <v>14.5</v>
      </c>
      <c r="FH44" s="5">
        <f>IF(CABLES[[#This Row],[SEG36]]&gt;0,CABLES[[#This Row],[CABLE_DIAMETER]],0)</f>
        <v>14.5</v>
      </c>
      <c r="FI44" s="5">
        <f>IF(CABLES[[#This Row],[SEG37]]&gt;0,CABLES[[#This Row],[CABLE_DIAMETER]],0)</f>
        <v>0</v>
      </c>
      <c r="FJ44" s="5">
        <f>IF(CABLES[[#This Row],[SEG38]]&gt;0,CABLES[[#This Row],[CABLE_DIAMETER]],0)</f>
        <v>0</v>
      </c>
      <c r="FK44" s="5">
        <f>IF(CABLES[[#This Row],[SEG39]]&gt;0,CABLES[[#This Row],[CABLE_DIAMETER]],0)</f>
        <v>0</v>
      </c>
      <c r="FL44" s="5">
        <f>IF(CABLES[[#This Row],[SEG40]]&gt;0,CABLES[[#This Row],[CABLE_DIAMETER]],0)</f>
        <v>0</v>
      </c>
      <c r="FM44" s="5">
        <f>IF(CABLES[[#This Row],[SEG41]]&gt;0,CABLES[[#This Row],[CABLE_DIAMETER]],0)</f>
        <v>0</v>
      </c>
      <c r="FN44" s="5">
        <f>IF(CABLES[[#This Row],[SEG42]]&gt;0,CABLES[[#This Row],[CABLE_DIAMETER]],0)</f>
        <v>0</v>
      </c>
      <c r="FO44" s="5">
        <f>IF(CABLES[[#This Row],[SEG43]]&gt;0,CABLES[[#This Row],[CABLE_DIAMETER]],0)</f>
        <v>0</v>
      </c>
      <c r="FP44" s="5">
        <f>IF(CABLES[[#This Row],[SEG44]]&gt;0,CABLES[[#This Row],[CABLE_DIAMETER]],0)</f>
        <v>0</v>
      </c>
      <c r="FQ44" s="5">
        <f>IF(CABLES[[#This Row],[SEG45]]&gt;0,CABLES[[#This Row],[CABLE_DIAMETER]],0)</f>
        <v>0</v>
      </c>
      <c r="FR44" s="5">
        <f>IF(CABLES[[#This Row],[SEG46]]&gt;0,CABLES[[#This Row],[CABLE_DIAMETER]],0)</f>
        <v>0</v>
      </c>
      <c r="FS44" s="5">
        <f>IF(CABLES[[#This Row],[SEG47]]&gt;0,CABLES[[#This Row],[CABLE_DIAMETER]],0)</f>
        <v>0</v>
      </c>
      <c r="FT44" s="5">
        <f>IF(CABLES[[#This Row],[SEG48]]&gt;0,CABLES[[#This Row],[CABLE_DIAMETER]],0)</f>
        <v>0</v>
      </c>
      <c r="FU44" s="5">
        <f>IF(CABLES[[#This Row],[SEG49]]&gt;0,CABLES[[#This Row],[CABLE_DIAMETER]],0)</f>
        <v>0</v>
      </c>
      <c r="FV44" s="5">
        <f>IF(CABLES[[#This Row],[SEG50]]&gt;0,CABLES[[#This Row],[CABLE_DIAMETER]],0)</f>
        <v>0</v>
      </c>
      <c r="FW44" s="5">
        <f>IF(CABLES[[#This Row],[SEG51]]&gt;0,CABLES[[#This Row],[CABLE_DIAMETER]],0)</f>
        <v>0</v>
      </c>
      <c r="FX44" s="5">
        <f>IF(CABLES[[#This Row],[SEG52]]&gt;0,CABLES[[#This Row],[CABLE_DIAMETER]],0)</f>
        <v>0</v>
      </c>
      <c r="FY44" s="5">
        <f>IF(CABLES[[#This Row],[SEG53]]&gt;0,CABLES[[#This Row],[CABLE_DIAMETER]],0)</f>
        <v>0</v>
      </c>
      <c r="FZ44" s="5">
        <f>IF(CABLES[[#This Row],[SEG54]]&gt;0,CABLES[[#This Row],[CABLE_DIAMETER]],0)</f>
        <v>0</v>
      </c>
      <c r="GA44" s="5">
        <f>IF(CABLES[[#This Row],[SEG55]]&gt;0,CABLES[[#This Row],[CABLE_DIAMETER]],0)</f>
        <v>0</v>
      </c>
      <c r="GB44" s="5">
        <f>IF(CABLES[[#This Row],[SEG56]]&gt;0,CABLES[[#This Row],[CABLE_DIAMETER]],0)</f>
        <v>0</v>
      </c>
      <c r="GC44" s="5">
        <f>IF(CABLES[[#This Row],[SEG57]]&gt;0,CABLES[[#This Row],[CABLE_DIAMETER]],0)</f>
        <v>0</v>
      </c>
      <c r="GD44" s="5">
        <f>IF(CABLES[[#This Row],[SEG58]]&gt;0,CABLES[[#This Row],[CABLE_DIAMETER]],0)</f>
        <v>0</v>
      </c>
      <c r="GE44" s="5">
        <f>IF(CABLES[[#This Row],[SEG59]]&gt;0,CABLES[[#This Row],[CABLE_DIAMETER]],0)</f>
        <v>0</v>
      </c>
      <c r="GF44" s="5">
        <f>IF(CABLES[[#This Row],[SEG60]]&gt;0,CABLES[[#This Row],[CABLE_DIAMETER]],0)</f>
        <v>0</v>
      </c>
      <c r="GG44" s="5">
        <f>IF(CABLES[[#This Row],[SEG1]]&gt;0,CABLES[[#This Row],[CABLE_MASS]],0)</f>
        <v>0</v>
      </c>
      <c r="GH44" s="5">
        <f>IF(CABLES[[#This Row],[SEG2]]&gt;0,CABLES[[#This Row],[CABLE_MASS]],0)</f>
        <v>0</v>
      </c>
      <c r="GI44" s="5">
        <f>IF(CABLES[[#This Row],[SEG3]]&gt;0,CABLES[[#This Row],[CABLE_MASS]],0)</f>
        <v>0</v>
      </c>
      <c r="GJ44" s="5">
        <f>IF(CABLES[[#This Row],[SEG4]]&gt;0,CABLES[[#This Row],[CABLE_MASS]],0)</f>
        <v>0</v>
      </c>
      <c r="GK44" s="5">
        <f>IF(CABLES[[#This Row],[SEG5]]&gt;0,CABLES[[#This Row],[CABLE_MASS]],0)</f>
        <v>0</v>
      </c>
      <c r="GL44" s="5">
        <f>IF(CABLES[[#This Row],[SEG6]]&gt;0,CABLES[[#This Row],[CABLE_MASS]],0)</f>
        <v>0</v>
      </c>
      <c r="GM44" s="5">
        <f>IF(CABLES[[#This Row],[SEG7]]&gt;0,CABLES[[#This Row],[CABLE_MASS]],0)</f>
        <v>0</v>
      </c>
      <c r="GN44" s="5">
        <f>IF(CABLES[[#This Row],[SEG8]]&gt;0,CABLES[[#This Row],[CABLE_MASS]],0)</f>
        <v>0</v>
      </c>
      <c r="GO44" s="5">
        <f>IF(CABLES[[#This Row],[SEG9]]&gt;0,CABLES[[#This Row],[CABLE_MASS]],0)</f>
        <v>0</v>
      </c>
      <c r="GP44" s="5">
        <f>IF(CABLES[[#This Row],[SEG10]]&gt;0,CABLES[[#This Row],[CABLE_MASS]],0)</f>
        <v>0</v>
      </c>
      <c r="GQ44" s="5">
        <f>IF(CABLES[[#This Row],[SEG11]]&gt;0,CABLES[[#This Row],[CABLE_MASS]],0)</f>
        <v>0</v>
      </c>
      <c r="GR44" s="5">
        <f>IF(CABLES[[#This Row],[SEG12]]&gt;0,CABLES[[#This Row],[CABLE_MASS]],0)</f>
        <v>0</v>
      </c>
      <c r="GS44" s="5">
        <f>IF(CABLES[[#This Row],[SEG13]]&gt;0,CABLES[[#This Row],[CABLE_MASS]],0)</f>
        <v>0</v>
      </c>
      <c r="GT44" s="5">
        <f>IF(CABLES[[#This Row],[SEG14]]&gt;0,CABLES[[#This Row],[CABLE_MASS]],0)</f>
        <v>0</v>
      </c>
      <c r="GU44" s="5">
        <f>IF(CABLES[[#This Row],[SEG15]]&gt;0,CABLES[[#This Row],[CABLE_MASS]],0)</f>
        <v>0</v>
      </c>
      <c r="GV44" s="5">
        <f>IF(CABLES[[#This Row],[SEG16]]&gt;0,CABLES[[#This Row],[CABLE_MASS]],0)</f>
        <v>0</v>
      </c>
      <c r="GW44" s="5">
        <f>IF(CABLES[[#This Row],[SEG17]]&gt;0,CABLES[[#This Row],[CABLE_MASS]],0)</f>
        <v>0</v>
      </c>
      <c r="GX44" s="5">
        <f>IF(CABLES[[#This Row],[SEG18]]&gt;0,CABLES[[#This Row],[CABLE_MASS]],0)</f>
        <v>0</v>
      </c>
      <c r="GY44" s="5">
        <f>IF(CABLES[[#This Row],[SEG19]]&gt;0,CABLES[[#This Row],[CABLE_MASS]],0)</f>
        <v>0</v>
      </c>
      <c r="GZ44" s="5">
        <f>IF(CABLES[[#This Row],[SEG20]]&gt;0,CABLES[[#This Row],[CABLE_MASS]],0)</f>
        <v>0</v>
      </c>
      <c r="HA44" s="5">
        <f>IF(CABLES[[#This Row],[SEG21]]&gt;0,CABLES[[#This Row],[CABLE_MASS]],0)</f>
        <v>0</v>
      </c>
      <c r="HB44" s="5">
        <f>IF(CABLES[[#This Row],[SEG22]]&gt;0,CABLES[[#This Row],[CABLE_MASS]],0)</f>
        <v>0</v>
      </c>
      <c r="HC44" s="5">
        <f>IF(CABLES[[#This Row],[SEG23]]&gt;0,CABLES[[#This Row],[CABLE_MASS]],0)</f>
        <v>0</v>
      </c>
      <c r="HD44" s="5">
        <f>IF(CABLES[[#This Row],[SEG24]]&gt;0,CABLES[[#This Row],[CABLE_MASS]],0)</f>
        <v>0</v>
      </c>
      <c r="HE44" s="5">
        <f>IF(CABLES[[#This Row],[SEG25]]&gt;0,CABLES[[#This Row],[CABLE_MASS]],0)</f>
        <v>0</v>
      </c>
      <c r="HF44" s="5">
        <f>IF(CABLES[[#This Row],[SEG26]]&gt;0,CABLES[[#This Row],[CABLE_MASS]],0)</f>
        <v>0</v>
      </c>
      <c r="HG44" s="5">
        <f>IF(CABLES[[#This Row],[SEG27]]&gt;0,CABLES[[#This Row],[CABLE_MASS]],0)</f>
        <v>0</v>
      </c>
      <c r="HH44" s="5">
        <f>IF(CABLES[[#This Row],[SEG28]]&gt;0,CABLES[[#This Row],[CABLE_MASS]],0)</f>
        <v>0</v>
      </c>
      <c r="HI44" s="5">
        <f>IF(CABLES[[#This Row],[SEG29]]&gt;0,CABLES[[#This Row],[CABLE_MASS]],0)</f>
        <v>0</v>
      </c>
      <c r="HJ44" s="5">
        <f>IF(CABLES[[#This Row],[SEG30]]&gt;0,CABLES[[#This Row],[CABLE_MASS]],0)</f>
        <v>0.33</v>
      </c>
      <c r="HK44" s="5">
        <f>IF(CABLES[[#This Row],[SEG31]]&gt;0,CABLES[[#This Row],[CABLE_MASS]],0)</f>
        <v>0.33</v>
      </c>
      <c r="HL44" s="5">
        <f>IF(CABLES[[#This Row],[SEG32]]&gt;0,CABLES[[#This Row],[CABLE_MASS]],0)</f>
        <v>0.33</v>
      </c>
      <c r="HM44" s="5">
        <f>IF(CABLES[[#This Row],[SEG33]]&gt;0,CABLES[[#This Row],[CABLE_MASS]],0)</f>
        <v>0</v>
      </c>
      <c r="HN44" s="5">
        <f>IF(CABLES[[#This Row],[SEG34]]&gt;0,CABLES[[#This Row],[CABLE_MASS]],0)</f>
        <v>0.33</v>
      </c>
      <c r="HO44" s="5">
        <f>IF(CABLES[[#This Row],[SEG35]]&gt;0,CABLES[[#This Row],[CABLE_MASS]],0)</f>
        <v>0.33</v>
      </c>
      <c r="HP44" s="5">
        <f>IF(CABLES[[#This Row],[SEG36]]&gt;0,CABLES[[#This Row],[CABLE_MASS]],0)</f>
        <v>0.33</v>
      </c>
      <c r="HQ44" s="5">
        <f>IF(CABLES[[#This Row],[SEG37]]&gt;0,CABLES[[#This Row],[CABLE_MASS]],0)</f>
        <v>0</v>
      </c>
      <c r="HR44" s="5">
        <f>IF(CABLES[[#This Row],[SEG38]]&gt;0,CABLES[[#This Row],[CABLE_MASS]],0)</f>
        <v>0</v>
      </c>
      <c r="HS44" s="5">
        <f>IF(CABLES[[#This Row],[SEG39]]&gt;0,CABLES[[#This Row],[CABLE_MASS]],0)</f>
        <v>0</v>
      </c>
      <c r="HT44" s="5">
        <f>IF(CABLES[[#This Row],[SEG40]]&gt;0,CABLES[[#This Row],[CABLE_MASS]],0)</f>
        <v>0</v>
      </c>
      <c r="HU44" s="5">
        <f>IF(CABLES[[#This Row],[SEG41]]&gt;0,CABLES[[#This Row],[CABLE_MASS]],0)</f>
        <v>0</v>
      </c>
      <c r="HV44" s="5">
        <f>IF(CABLES[[#This Row],[SEG42]]&gt;0,CABLES[[#This Row],[CABLE_MASS]],0)</f>
        <v>0</v>
      </c>
      <c r="HW44" s="5">
        <f>IF(CABLES[[#This Row],[SEG43]]&gt;0,CABLES[[#This Row],[CABLE_MASS]],0)</f>
        <v>0</v>
      </c>
      <c r="HX44" s="5">
        <f>IF(CABLES[[#This Row],[SEG44]]&gt;0,CABLES[[#This Row],[CABLE_MASS]],0)</f>
        <v>0</v>
      </c>
      <c r="HY44" s="5">
        <f>IF(CABLES[[#This Row],[SEG45]]&gt;0,CABLES[[#This Row],[CABLE_MASS]],0)</f>
        <v>0</v>
      </c>
      <c r="HZ44" s="5">
        <f>IF(CABLES[[#This Row],[SEG46]]&gt;0,CABLES[[#This Row],[CABLE_MASS]],0)</f>
        <v>0</v>
      </c>
      <c r="IA44" s="5">
        <f>IF(CABLES[[#This Row],[SEG47]]&gt;0,CABLES[[#This Row],[CABLE_MASS]],0)</f>
        <v>0</v>
      </c>
      <c r="IB44" s="5">
        <f>IF(CABLES[[#This Row],[SEG48]]&gt;0,CABLES[[#This Row],[CABLE_MASS]],0)</f>
        <v>0</v>
      </c>
      <c r="IC44" s="5">
        <f>IF(CABLES[[#This Row],[SEG49]]&gt;0,CABLES[[#This Row],[CABLE_MASS]],0)</f>
        <v>0</v>
      </c>
      <c r="ID44" s="5">
        <f>IF(CABLES[[#This Row],[SEG50]]&gt;0,CABLES[[#This Row],[CABLE_MASS]],0)</f>
        <v>0</v>
      </c>
      <c r="IE44" s="5">
        <f>IF(CABLES[[#This Row],[SEG51]]&gt;0,CABLES[[#This Row],[CABLE_MASS]],0)</f>
        <v>0</v>
      </c>
      <c r="IF44" s="5">
        <f>IF(CABLES[[#This Row],[SEG52]]&gt;0,CABLES[[#This Row],[CABLE_MASS]],0)</f>
        <v>0</v>
      </c>
      <c r="IG44" s="5">
        <f>IF(CABLES[[#This Row],[SEG53]]&gt;0,CABLES[[#This Row],[CABLE_MASS]],0)</f>
        <v>0</v>
      </c>
      <c r="IH44" s="5">
        <f>IF(CABLES[[#This Row],[SEG54]]&gt;0,CABLES[[#This Row],[CABLE_MASS]],0)</f>
        <v>0</v>
      </c>
      <c r="II44" s="5">
        <f>IF(CABLES[[#This Row],[SEG55]]&gt;0,CABLES[[#This Row],[CABLE_MASS]],0)</f>
        <v>0</v>
      </c>
      <c r="IJ44" s="5">
        <f>IF(CABLES[[#This Row],[SEG56]]&gt;0,CABLES[[#This Row],[CABLE_MASS]],0)</f>
        <v>0</v>
      </c>
      <c r="IK44" s="5">
        <f>IF(CABLES[[#This Row],[SEG57]]&gt;0,CABLES[[#This Row],[CABLE_MASS]],0)</f>
        <v>0</v>
      </c>
      <c r="IL44" s="5">
        <f>IF(CABLES[[#This Row],[SEG58]]&gt;0,CABLES[[#This Row],[CABLE_MASS]],0)</f>
        <v>0</v>
      </c>
      <c r="IM44" s="5">
        <f>IF(CABLES[[#This Row],[SEG59]]&gt;0,CABLES[[#This Row],[CABLE_MASS]],0)</f>
        <v>0</v>
      </c>
      <c r="IN44" s="5">
        <f>IF(CABLES[[#This Row],[SEG60]]&gt;0,CABLES[[#This Row],[CABLE_MASS]],0)</f>
        <v>0</v>
      </c>
      <c r="IO44" s="5">
        <f xml:space="preserve">  (CABLES[[#This Row],[LOAD_KW]]/(SQRT(3)*SYSTEM_VOLTAGE*POWER_FACTOR))*1000</f>
        <v>0.59338777666711529</v>
      </c>
      <c r="IP44" s="5">
        <v>45</v>
      </c>
      <c r="IQ44" s="5">
        <f xml:space="preserve"> INDEX(AS3000_AMBIENTDERATE[], MATCH(CABLES[[#This Row],[AMBIENT]],AS3000_AMBIENTDERATE[AMBIENT],0), 2)</f>
        <v>0.94</v>
      </c>
      <c r="IR44" s="5">
        <f xml:space="preserve"> ROUNDUP( CABLES[[#This Row],[CALCULATED_AMPS]]/CABLES[[#This Row],[AMBIENT_DERATING]],1)</f>
        <v>0.7</v>
      </c>
      <c r="IS44" s="10" t="s">
        <v>531</v>
      </c>
      <c r="IT44" s="5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4" s="5">
        <f t="shared" si="1"/>
        <v>28.000000000000004</v>
      </c>
      <c r="IV44" s="5">
        <f>(1000*CABLES[[#This Row],[MAX_VDROP]])/(CABLES[[#This Row],[ESTIMATED_CABLE_LENGTH]]*CABLES[[#This Row],[AMP_RATING]])</f>
        <v>793.65079365079384</v>
      </c>
      <c r="IW44" s="5">
        <f xml:space="preserve"> INDEX(AS3000_VDROP[], MATCH(CABLES[[#This Row],[VC_CALC]],AS3000_VDROP[Vc],1),1)</f>
        <v>2.5</v>
      </c>
      <c r="IX44" s="5">
        <f>MAX(CABLES[[#This Row],[CABLESIZE_METHOD1]],CABLES[[#This Row],[CABLESIZE_METHOD2]])</f>
        <v>2.5</v>
      </c>
      <c r="IZ44" s="5">
        <f>IF(LEN(CABLES[[#This Row],[OVERRIDE_CABLESIZE]])&gt;0,CABLES[[#This Row],[OVERRIDE_CABLESIZE]],CABLES[[#This Row],[INITIAL_CABLESIZE]])</f>
        <v>2.5</v>
      </c>
      <c r="JA44" s="5">
        <f>INDEX(PROTECTIVE_DEVICE[DEVICE], MATCH(CABLES[[#This Row],[CALCULATED_AMPS]],PROTECTIVE_DEVICE[DEVICE],-1),1)</f>
        <v>6</v>
      </c>
      <c r="JC44" s="5">
        <f>IF(LEN(CABLES[[#This Row],[OVERRIDE_PDEVICE]])&gt;0, CABLES[[#This Row],[OVERRIDE_PDEVICE]],CABLES[[#This Row],[RECOMMEND_PDEVICE]])</f>
        <v>6</v>
      </c>
      <c r="JD44" s="9" t="s">
        <v>450</v>
      </c>
      <c r="JE44" s="5">
        <f xml:space="preserve"> CABLES[[#This Row],[SELECTED_PDEVICE]] * INDEX(DEVICE_CURVE[], MATCH(CABLES[[#This Row],[PDEVICE_CURVE]], DEVICE_CURVE[DEVICE_CURVE],0),2)</f>
        <v>39</v>
      </c>
      <c r="JF44" s="9" t="s">
        <v>458</v>
      </c>
      <c r="JG44" s="5">
        <f xml:space="preserve"> INDEX(CONDUCTOR_MATERIAL[], MATCH(CABLES[[#This Row],[CONDUCTOR_MATERIAL]],CONDUCTOR_MATERIAL[CONDUCTOR_MATERIAL],0),2)</f>
        <v>2.2499999999999999E-2</v>
      </c>
      <c r="JH44" s="5">
        <f>CABLES[[#This Row],[SELECTED_CABLESIZE]]</f>
        <v>2.5</v>
      </c>
      <c r="JI44" s="5">
        <f xml:space="preserve"> INDEX( EARTH_CONDUCTOR_SIZE[], MATCH(CABLES[[#This Row],[SPH]],EARTH_CONDUCTOR_SIZE[MM^2],-1), 2)</f>
        <v>2.5</v>
      </c>
      <c r="JJ44" s="5">
        <f>(0.8*PHASE_VOLTAGE*CABLES[[#This Row],[SPH]]*CABLES[[#This Row],[SPE]])/(CABLES[[#This Row],[PDEVICE_IA]]*CABLES[[#This Row],[MATERIAL_CONSTANT]]*(CABLES[[#This Row],[SPH]]+CABLES[[#This Row],[SPE]]))</f>
        <v>262.10826210826212</v>
      </c>
      <c r="JK44" s="9" t="str">
        <f>IF(CABLES[[#This Row],[LMAX]]&gt;CABLES[[#This Row],[ESTIMATED_CABLE_LENGTH]], "PASS", "ERROR")</f>
        <v>PASS</v>
      </c>
      <c r="JL44" s="5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44" s="5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44" s="5">
        <f xml:space="preserve"> ROUNDUP( CABLES[[#This Row],[CALCULATED_AMPS]],1)</f>
        <v>0.6</v>
      </c>
      <c r="JO44" s="5">
        <f>CABLES[[#This Row],[SELECTED_CABLESIZE]]</f>
        <v>2.5</v>
      </c>
      <c r="JP44" s="5">
        <f>CABLES[[#This Row],[ESTIMATED_CABLE_LENGTH]]</f>
        <v>50.4</v>
      </c>
      <c r="JQ44" s="5">
        <f>CABLES[[#This Row],[SELECTED_PDEVICE]]</f>
        <v>6</v>
      </c>
    </row>
    <row r="45" spans="1:277" x14ac:dyDescent="0.35">
      <c r="A45" s="5" t="s">
        <v>44</v>
      </c>
      <c r="B45" s="5" t="s">
        <v>496</v>
      </c>
      <c r="C45" s="10" t="s">
        <v>262</v>
      </c>
      <c r="D45" s="9">
        <v>5.5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1</v>
      </c>
      <c r="AI45" s="9">
        <v>1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1</v>
      </c>
      <c r="AR45" s="9">
        <v>1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f xml:space="preserve"> IF(CABLES[[#This Row],[SEG1]] &gt;0, INDEX(SEGMENTS[], MATCH(CABLES[[#Headers],[SEG1]],SEGMENTS[SEG_ID],0),4),0)</f>
        <v>0</v>
      </c>
      <c r="BN45" s="9">
        <f xml:space="preserve"> IF(CABLES[[#This Row],[SEG2]] &gt;0, INDEX(SEGMENTS[], MATCH(CABLES[[#Headers],[SEG2]],SEGMENTS[SEG_ID],0),4),0)</f>
        <v>0</v>
      </c>
      <c r="BO45" s="9">
        <f xml:space="preserve"> IF(CABLES[[#This Row],[SEG3]] &gt;0, INDEX(SEGMENTS[], MATCH(CABLES[[#Headers],[SEG3]],SEGMENTS[SEG_ID],0),4),0)</f>
        <v>0</v>
      </c>
      <c r="BP45" s="9">
        <f xml:space="preserve"> IF(CABLES[[#This Row],[SEG4]] &gt;0, INDEX(SEGMENTS[], MATCH(CABLES[[#Headers],[SEG4]],SEGMENTS[SEG_ID],0),4),0)</f>
        <v>0</v>
      </c>
      <c r="BQ45" s="9">
        <f xml:space="preserve"> IF(CABLES[[#This Row],[SEG5]] &gt;0,INDEX(SEGMENTS[], MATCH(CABLES[[#Headers],[SEG5]],SEGMENTS[SEG_ID],0),4),0)</f>
        <v>0</v>
      </c>
      <c r="BR45" s="9">
        <f xml:space="preserve"> IF(CABLES[[#This Row],[SEG6]] &gt;0,INDEX(SEGMENTS[], MATCH(CABLES[[#Headers],[SEG6]],SEGMENTS[SEG_ID],0),4),0)</f>
        <v>0</v>
      </c>
      <c r="BS45" s="9">
        <f xml:space="preserve"> IF(CABLES[[#This Row],[SEG7]] &gt;0,INDEX(SEGMENTS[], MATCH(CABLES[[#Headers],[SEG7]],SEGMENTS[SEG_ID],0),4),0)</f>
        <v>0</v>
      </c>
      <c r="BT45" s="9">
        <f xml:space="preserve"> IF(CABLES[[#This Row],[SEG8]] &gt;0,INDEX(SEGMENTS[], MATCH(CABLES[[#Headers],[SEG8]],SEGMENTS[SEG_ID],0),4),0)</f>
        <v>0</v>
      </c>
      <c r="BU45" s="9">
        <f xml:space="preserve"> IF(CABLES[[#This Row],[SEG9]] &gt;0,INDEX(SEGMENTS[], MATCH(CABLES[[#Headers],[SEG9]],SEGMENTS[SEG_ID],0),4),0)</f>
        <v>0</v>
      </c>
      <c r="BV45" s="9">
        <f xml:space="preserve"> IF(CABLES[[#This Row],[SEG10]] &gt;0,INDEX(SEGMENTS[], MATCH(CABLES[[#Headers],[SEG10]],SEGMENTS[SEG_ID],0),4),0)</f>
        <v>0</v>
      </c>
      <c r="BW45" s="9">
        <f xml:space="preserve"> IF(CABLES[[#This Row],[SEG11]] &gt;0,INDEX(SEGMENTS[], MATCH(CABLES[[#Headers],[SEG11]],SEGMENTS[SEG_ID],0),4),0)</f>
        <v>0</v>
      </c>
      <c r="BX45" s="9">
        <f>IF(CABLES[[#This Row],[SEG12]] &gt;0, INDEX(SEGMENTS[], MATCH(CABLES[[#Headers],[SEG12]],SEGMENTS[SEG_ID],0),4),0)</f>
        <v>0</v>
      </c>
      <c r="BY45" s="9">
        <f xml:space="preserve"> IF(CABLES[[#This Row],[SEG13]] &gt;0,INDEX(SEGMENTS[], MATCH(CABLES[[#Headers],[SEG13]],SEGMENTS[SEG_ID],0),4),0)</f>
        <v>0</v>
      </c>
      <c r="BZ45" s="9">
        <f xml:space="preserve"> IF(CABLES[[#This Row],[SEG14]] &gt;0,INDEX(SEGMENTS[], MATCH(CABLES[[#Headers],[SEG14]],SEGMENTS[SEG_ID],0),4),0)</f>
        <v>0</v>
      </c>
      <c r="CA45" s="9">
        <f xml:space="preserve"> IF(CABLES[[#This Row],[SEG15]] &gt;0,INDEX(SEGMENTS[], MATCH(CABLES[[#Headers],[SEG15]],SEGMENTS[SEG_ID],0),4),0)</f>
        <v>0</v>
      </c>
      <c r="CB45" s="9">
        <f xml:space="preserve"> IF(CABLES[[#This Row],[SEG16]] &gt;0,INDEX(SEGMENTS[], MATCH(CABLES[[#Headers],[SEG16]],SEGMENTS[SEG_ID],0),4),0)</f>
        <v>0</v>
      </c>
      <c r="CC45" s="9">
        <f xml:space="preserve"> IF(CABLES[[#This Row],[SEG17]] &gt;0,INDEX(SEGMENTS[], MATCH(CABLES[[#Headers],[SEG17]],SEGMENTS[SEG_ID],0),4),0)</f>
        <v>0</v>
      </c>
      <c r="CD45" s="9">
        <f xml:space="preserve"> IF(CABLES[[#This Row],[SEG18]] &gt;0,INDEX(SEGMENTS[], MATCH(CABLES[[#Headers],[SEG18]],SEGMENTS[SEG_ID],0),4),0)</f>
        <v>0</v>
      </c>
      <c r="CE45" s="9">
        <f>IF(CABLES[[#This Row],[SEG19]] &gt;0, INDEX(SEGMENTS[], MATCH(CABLES[[#Headers],[SEG19]],SEGMENTS[SEG_ID],0),4),0)</f>
        <v>0</v>
      </c>
      <c r="CF45" s="9">
        <f>IF(CABLES[[#This Row],[SEG20]] &gt;0, INDEX(SEGMENTS[], MATCH(CABLES[[#Headers],[SEG20]],SEGMENTS[SEG_ID],0),4),0)</f>
        <v>0</v>
      </c>
      <c r="CG45" s="9">
        <f xml:space="preserve"> IF(CABLES[[#This Row],[SEG21]] &gt;0,INDEX(SEGMENTS[], MATCH(CABLES[[#Headers],[SEG21]],SEGMENTS[SEG_ID],0),4),0)</f>
        <v>0</v>
      </c>
      <c r="CH45" s="9">
        <f xml:space="preserve"> IF(CABLES[[#This Row],[SEG22]] &gt;0,INDEX(SEGMENTS[], MATCH(CABLES[[#Headers],[SEG22]],SEGMENTS[SEG_ID],0),4),0)</f>
        <v>0</v>
      </c>
      <c r="CI45" s="9">
        <f>IF(CABLES[[#This Row],[SEG23]] &gt;0, INDEX(SEGMENTS[], MATCH(CABLES[[#Headers],[SEG23]],SEGMENTS[SEG_ID],0),4),0)</f>
        <v>0</v>
      </c>
      <c r="CJ45" s="9">
        <f xml:space="preserve"> IF(CABLES[[#This Row],[SEG24]] &gt;0,INDEX(SEGMENTS[], MATCH(CABLES[[#Headers],[SEG24]],SEGMENTS[SEG_ID],0),4),0)</f>
        <v>0</v>
      </c>
      <c r="CK45" s="9">
        <f>IF(CABLES[[#This Row],[SEG25]] &gt;0, INDEX(SEGMENTS[], MATCH(CABLES[[#Headers],[SEG25]],SEGMENTS[SEG_ID],0),4),0)</f>
        <v>0</v>
      </c>
      <c r="CL45" s="9">
        <f>IF(CABLES[[#This Row],[SEG26]] &gt;0, INDEX(SEGMENTS[], MATCH(CABLES[[#Headers],[SEG26]],SEGMENTS[SEG_ID],0),4),0)</f>
        <v>0</v>
      </c>
      <c r="CM45" s="9">
        <f xml:space="preserve"> IF(CABLES[[#This Row],[SEG27]] &gt;0,INDEX(SEGMENTS[], MATCH(CABLES[[#Headers],[SEG27]],SEGMENTS[SEG_ID],0),4),0)</f>
        <v>0</v>
      </c>
      <c r="CN45" s="9">
        <f xml:space="preserve"> IF(CABLES[[#This Row],[SEG28]] &gt;0,INDEX(SEGMENTS[], MATCH(CABLES[[#Headers],[SEG28]],SEGMENTS[SEG_ID],0),4),0)</f>
        <v>0</v>
      </c>
      <c r="CO45" s="9">
        <f xml:space="preserve"> IF(CABLES[[#This Row],[SEG29]] &gt;0,INDEX(SEGMENTS[], MATCH(CABLES[[#Headers],[SEG29]],SEGMENTS[SEG_ID],0),4),0)</f>
        <v>0</v>
      </c>
      <c r="CP45" s="9">
        <f xml:space="preserve"> IF(CABLES[[#This Row],[SEG30]] &gt;0,INDEX(SEGMENTS[], MATCH(CABLES[[#Headers],[SEG30]],SEGMENTS[SEG_ID],0),4),0)</f>
        <v>6</v>
      </c>
      <c r="CQ45" s="9">
        <f>IF(CABLES[[#This Row],[SEG31]] &gt;0, INDEX(SEGMENTS[], MATCH(CABLES[[#Headers],[SEG31]],SEGMENTS[SEG_ID],0),4),0)</f>
        <v>3</v>
      </c>
      <c r="CR45" s="9">
        <f xml:space="preserve"> IF(CABLES[[#This Row],[SEG32]] &gt;0,INDEX(SEGMENTS[], MATCH(CABLES[[#Headers],[SEG32]],SEGMENTS[SEG_ID],0),4),0)</f>
        <v>0</v>
      </c>
      <c r="CS45" s="9">
        <f xml:space="preserve"> IF(CABLES[[#This Row],[SEG33]] &gt;0,INDEX(SEGMENTS[], MATCH(CABLES[[#Headers],[SEG33]],SEGMENTS[SEG_ID],0),4),0)</f>
        <v>0</v>
      </c>
      <c r="CT45" s="9">
        <f>IF(CABLES[[#This Row],[SEG34]] &gt;0, INDEX(SEGMENTS[], MATCH(CABLES[[#Headers],[SEG34]],SEGMENTS[SEG_ID],0),4),0)</f>
        <v>0</v>
      </c>
      <c r="CU45" s="9">
        <f xml:space="preserve"> IF(CABLES[[#This Row],[SEG35]] &gt;0,INDEX(SEGMENTS[], MATCH(CABLES[[#Headers],[SEG35]],SEGMENTS[SEG_ID],0),4),0)</f>
        <v>0</v>
      </c>
      <c r="CV45" s="9">
        <f xml:space="preserve"> IF(CABLES[[#This Row],[SEG36]] &gt;0,INDEX(SEGMENTS[], MATCH(CABLES[[#Headers],[SEG36]],SEGMENTS[SEG_ID],0),4),0)</f>
        <v>0</v>
      </c>
      <c r="CW45" s="9">
        <f xml:space="preserve"> IF(CABLES[[#This Row],[SEG37]] &gt;0,INDEX(SEGMENTS[], MATCH(CABLES[[#Headers],[SEG37]],SEGMENTS[SEG_ID],0),4),0)</f>
        <v>0</v>
      </c>
      <c r="CX45" s="9">
        <f xml:space="preserve"> IF(CABLES[[#This Row],[SEG38]] &gt;0,INDEX(SEGMENTS[], MATCH(CABLES[[#Headers],[SEG38]],SEGMENTS[SEG_ID],0),4),0)</f>
        <v>0</v>
      </c>
      <c r="CY45" s="9">
        <f xml:space="preserve"> IF(CABLES[[#This Row],[SEG39]] &gt;0,INDEX(SEGMENTS[], MATCH(CABLES[[#Headers],[SEG39]],SEGMENTS[SEG_ID],0),4),0)</f>
        <v>8</v>
      </c>
      <c r="CZ45" s="9">
        <f xml:space="preserve"> IF(CABLES[[#This Row],[SEG40]] &gt;0,INDEX(SEGMENTS[], MATCH(CABLES[[#Headers],[SEG40]],SEGMENTS[SEG_ID],0),4),0)</f>
        <v>11</v>
      </c>
      <c r="DA45" s="9">
        <f xml:space="preserve"> IF(CABLES[[#This Row],[SEG41]] &gt;0,INDEX(SEGMENTS[], MATCH(CABLES[[#Headers],[SEG41]],SEGMENTS[SEG_ID],0),4),0)</f>
        <v>0</v>
      </c>
      <c r="DB45" s="9">
        <f xml:space="preserve"> IF(CABLES[[#This Row],[SEG42]] &gt;0,INDEX(SEGMENTS[], MATCH(CABLES[[#Headers],[SEG42]],SEGMENTS[SEG_ID],0),4),0)</f>
        <v>0</v>
      </c>
      <c r="DC45" s="9">
        <f xml:space="preserve"> IF(CABLES[[#This Row],[SEG43]] &gt;0,INDEX(SEGMENTS[], MATCH(CABLES[[#Headers],[SEG43]],SEGMENTS[SEG_ID],0),4),0)</f>
        <v>0</v>
      </c>
      <c r="DD45" s="9">
        <f xml:space="preserve"> IF(CABLES[[#This Row],[SEG44]] &gt;0,INDEX(SEGMENTS[], MATCH(CABLES[[#Headers],[SEG44]],SEGMENTS[SEG_ID],0),4),0)</f>
        <v>0</v>
      </c>
      <c r="DE45" s="9">
        <f xml:space="preserve"> IF(CABLES[[#This Row],[SEG45]] &gt;0,INDEX(SEGMENTS[], MATCH(CABLES[[#Headers],[SEG45]],SEGMENTS[SEG_ID],0),4),0)</f>
        <v>0</v>
      </c>
      <c r="DF45" s="9">
        <f xml:space="preserve"> IF(CABLES[[#This Row],[SEG46]] &gt;0,INDEX(SEGMENTS[], MATCH(CABLES[[#Headers],[SEG46]],SEGMENTS[SEG_ID],0),4),0)</f>
        <v>0</v>
      </c>
      <c r="DG45" s="9">
        <f xml:space="preserve"> IF(CABLES[[#This Row],[SEG47]] &gt;0,INDEX(SEGMENTS[], MATCH(CABLES[[#Headers],[SEG47]],SEGMENTS[SEG_ID],0),4),0)</f>
        <v>0</v>
      </c>
      <c r="DH45" s="9">
        <f xml:space="preserve"> IF(CABLES[[#This Row],[SEG48]] &gt;0,INDEX(SEGMENTS[], MATCH(CABLES[[#Headers],[SEG48]],SEGMENTS[SEG_ID],0),4),0)</f>
        <v>0</v>
      </c>
      <c r="DI45" s="9">
        <f xml:space="preserve"> IF(CABLES[[#This Row],[SEG49]] &gt;0,INDEX(SEGMENTS[], MATCH(CABLES[[#Headers],[SEG49]],SEGMENTS[SEG_ID],0),4),0)</f>
        <v>0</v>
      </c>
      <c r="DJ45" s="9">
        <f xml:space="preserve"> IF(CABLES[[#This Row],[SEG50]] &gt;0,INDEX(SEGMENTS[], MATCH(CABLES[[#Headers],[SEG50]],SEGMENTS[SEG_ID],0),4),0)</f>
        <v>0</v>
      </c>
      <c r="DK45" s="9">
        <f xml:space="preserve"> IF(CABLES[[#This Row],[SEG51]] &gt;0,INDEX(SEGMENTS[], MATCH(CABLES[[#Headers],[SEG51]],SEGMENTS[SEG_ID],0),4),0)</f>
        <v>0</v>
      </c>
      <c r="DL45" s="9">
        <f xml:space="preserve"> IF(CABLES[[#This Row],[SEG52]] &gt;0,INDEX(SEGMENTS[], MATCH(CABLES[[#Headers],[SEG52]],SEGMENTS[SEG_ID],0),4),0)</f>
        <v>0</v>
      </c>
      <c r="DM45" s="9">
        <f xml:space="preserve"> IF(CABLES[[#This Row],[SEG53]] &gt;0,INDEX(SEGMENTS[], MATCH(CABLES[[#Headers],[SEG53]],SEGMENTS[SEG_ID],0),4),0)</f>
        <v>0</v>
      </c>
      <c r="DN45" s="9">
        <f xml:space="preserve"> IF(CABLES[[#This Row],[SEG54]] &gt;0,INDEX(SEGMENTS[], MATCH(CABLES[[#Headers],[SEG54]],SEGMENTS[SEG_ID],0),4),0)</f>
        <v>0</v>
      </c>
      <c r="DO45" s="9">
        <f xml:space="preserve"> IF(CABLES[[#This Row],[SEG55]] &gt;0,INDEX(SEGMENTS[], MATCH(CABLES[[#Headers],[SEG55]],SEGMENTS[SEG_ID],0),4),0)</f>
        <v>0</v>
      </c>
      <c r="DP45" s="9">
        <f xml:space="preserve"> IF(CABLES[[#This Row],[SEG56]] &gt;0,INDEX(SEGMENTS[], MATCH(CABLES[[#Headers],[SEG56]],SEGMENTS[SEG_ID],0),4),0)</f>
        <v>0</v>
      </c>
      <c r="DQ45" s="9">
        <f xml:space="preserve"> IF(CABLES[[#This Row],[SEG57]] &gt;0,INDEX(SEGMENTS[], MATCH(CABLES[[#Headers],[SEG57]],SEGMENTS[SEG_ID],0),4),0)</f>
        <v>0</v>
      </c>
      <c r="DR45" s="9">
        <f xml:space="preserve"> IF(CABLES[[#This Row],[SEG58]] &gt;0,INDEX(SEGMENTS[], MATCH(CABLES[[#Headers],[SEG58]],SEGMENTS[SEG_ID],0),4),0)</f>
        <v>0</v>
      </c>
      <c r="DS45" s="9">
        <f xml:space="preserve"> IF(CABLES[[#This Row],[SEG59]] &gt;0,INDEX(SEGMENTS[], MATCH(CABLES[[#Headers],[SEG59]],SEGMENTS[SEG_ID],0),4),0)</f>
        <v>0</v>
      </c>
      <c r="DT45" s="9">
        <f xml:space="preserve"> IF(CABLES[[#This Row],[SEG60]] &gt;0,INDEX(SEGMENTS[], MATCH(CABLES[[#Headers],[SEG60]],SEGMENTS[SEG_ID],0),4),0)</f>
        <v>0</v>
      </c>
      <c r="DU45" s="10">
        <f>SUM(CABLES[[#This Row],[SEGL1]:[SEGL60]])</f>
        <v>28</v>
      </c>
      <c r="DV45" s="10">
        <v>5</v>
      </c>
      <c r="DW45" s="10">
        <v>1.2</v>
      </c>
      <c r="DX45" s="10">
        <f xml:space="preserve"> IF(CABLES[[#This Row],[SEGL_TOTAL]]&gt;0, (CABLES[[#This Row],[SEGL_TOTAL]] + CABLES[[#This Row],[FITOFF]]) *CABLES[[#This Row],[XCAPACITY]],0)</f>
        <v>39.6</v>
      </c>
      <c r="DY45" s="10">
        <f>IF(CABLES[[#This Row],[SEG1]]&gt;0,CABLES[[#This Row],[CABLE_DIAMETER]],0)</f>
        <v>0</v>
      </c>
      <c r="DZ45" s="10">
        <f>IF(CABLES[[#This Row],[SEG2]]&gt;0,CABLES[[#This Row],[CABLE_DIAMETER]],0)</f>
        <v>0</v>
      </c>
      <c r="EA45" s="10">
        <f>IF(CABLES[[#This Row],[SEG3]]&gt;0,CABLES[[#This Row],[CABLE_DIAMETER]],0)</f>
        <v>0</v>
      </c>
      <c r="EB45" s="10">
        <f>IF(CABLES[[#This Row],[SEG4]]&gt;0,CABLES[[#This Row],[CABLE_DIAMETER]],0)</f>
        <v>0</v>
      </c>
      <c r="EC45" s="10">
        <f>IF(CABLES[[#This Row],[SEG5]]&gt;0,CABLES[[#This Row],[CABLE_DIAMETER]],0)</f>
        <v>0</v>
      </c>
      <c r="ED45" s="10">
        <f>IF(CABLES[[#This Row],[SEG6]]&gt;0,CABLES[[#This Row],[CABLE_DIAMETER]],0)</f>
        <v>0</v>
      </c>
      <c r="EE45" s="10">
        <f>IF(CABLES[[#This Row],[SEG7]]&gt;0,CABLES[[#This Row],[CABLE_DIAMETER]],0)</f>
        <v>0</v>
      </c>
      <c r="EF45" s="10">
        <f>IF(CABLES[[#This Row],[SEG9]]&gt;0,CABLES[[#This Row],[CABLE_DIAMETER]],0)</f>
        <v>0</v>
      </c>
      <c r="EG45" s="10">
        <f>IF(CABLES[[#This Row],[SEG9]]&gt;0,CABLES[[#This Row],[CABLE_DIAMETER]],0)</f>
        <v>0</v>
      </c>
      <c r="EH45" s="10">
        <f>IF(CABLES[[#This Row],[SEG10]]&gt;0,CABLES[[#This Row],[CABLE_DIAMETER]],0)</f>
        <v>0</v>
      </c>
      <c r="EI45" s="10">
        <f>IF(CABLES[[#This Row],[SEG11]]&gt;0,CABLES[[#This Row],[CABLE_DIAMETER]],0)</f>
        <v>0</v>
      </c>
      <c r="EJ45" s="10">
        <f>IF(CABLES[[#This Row],[SEG12]]&gt;0,CABLES[[#This Row],[CABLE_DIAMETER]],0)</f>
        <v>0</v>
      </c>
      <c r="EK45" s="10">
        <f>IF(CABLES[[#This Row],[SEG13]]&gt;0,CABLES[[#This Row],[CABLE_DIAMETER]],0)</f>
        <v>0</v>
      </c>
      <c r="EL45" s="10">
        <f>IF(CABLES[[#This Row],[SEG14]]&gt;0,CABLES[[#This Row],[CABLE_DIAMETER]],0)</f>
        <v>0</v>
      </c>
      <c r="EM45" s="10">
        <f>IF(CABLES[[#This Row],[SEG15]]&gt;0,CABLES[[#This Row],[CABLE_DIAMETER]],0)</f>
        <v>0</v>
      </c>
      <c r="EN45" s="10">
        <f>IF(CABLES[[#This Row],[SEG16]]&gt;0,CABLES[[#This Row],[CABLE_DIAMETER]],0)</f>
        <v>0</v>
      </c>
      <c r="EO45" s="10">
        <f>IF(CABLES[[#This Row],[SEG17]]&gt;0,CABLES[[#This Row],[CABLE_DIAMETER]],0)</f>
        <v>0</v>
      </c>
      <c r="EP45" s="10">
        <f>IF(CABLES[[#This Row],[SEG18]]&gt;0,CABLES[[#This Row],[CABLE_DIAMETER]],0)</f>
        <v>0</v>
      </c>
      <c r="EQ45" s="10">
        <f>IF(CABLES[[#This Row],[SEG19]]&gt;0,CABLES[[#This Row],[CABLE_DIAMETER]],0)</f>
        <v>0</v>
      </c>
      <c r="ER45" s="10">
        <f>IF(CABLES[[#This Row],[SEG20]]&gt;0,CABLES[[#This Row],[CABLE_DIAMETER]],0)</f>
        <v>0</v>
      </c>
      <c r="ES45" s="10">
        <f>IF(CABLES[[#This Row],[SEG21]]&gt;0,CABLES[[#This Row],[CABLE_DIAMETER]],0)</f>
        <v>0</v>
      </c>
      <c r="ET45" s="10">
        <f>IF(CABLES[[#This Row],[SEG22]]&gt;0,CABLES[[#This Row],[CABLE_DIAMETER]],0)</f>
        <v>0</v>
      </c>
      <c r="EU45" s="10">
        <f>IF(CABLES[[#This Row],[SEG23]]&gt;0,CABLES[[#This Row],[CABLE_DIAMETER]],0)</f>
        <v>0</v>
      </c>
      <c r="EV45" s="10">
        <f>IF(CABLES[[#This Row],[SEG24]]&gt;0,CABLES[[#This Row],[CABLE_DIAMETER]],0)</f>
        <v>0</v>
      </c>
      <c r="EW45" s="10">
        <f>IF(CABLES[[#This Row],[SEG25]]&gt;0,CABLES[[#This Row],[CABLE_DIAMETER]],0)</f>
        <v>0</v>
      </c>
      <c r="EX45" s="10">
        <f>IF(CABLES[[#This Row],[SEG26]]&gt;0,CABLES[[#This Row],[CABLE_DIAMETER]],0)</f>
        <v>0</v>
      </c>
      <c r="EY45" s="10">
        <f>IF(CABLES[[#This Row],[SEG27]]&gt;0,CABLES[[#This Row],[CABLE_DIAMETER]],0)</f>
        <v>0</v>
      </c>
      <c r="EZ45" s="10">
        <f>IF(CABLES[[#This Row],[SEG28]]&gt;0,CABLES[[#This Row],[CABLE_DIAMETER]],0)</f>
        <v>0</v>
      </c>
      <c r="FA45" s="10">
        <f>IF(CABLES[[#This Row],[SEG29]]&gt;0,CABLES[[#This Row],[CABLE_DIAMETER]],0)</f>
        <v>0</v>
      </c>
      <c r="FB45" s="10">
        <f>IF(CABLES[[#This Row],[SEG30]]&gt;0,CABLES[[#This Row],[CABLE_DIAMETER]],0)</f>
        <v>12</v>
      </c>
      <c r="FC45" s="10">
        <f>IF(CABLES[[#This Row],[SEG31]]&gt;0,CABLES[[#This Row],[CABLE_DIAMETER]],0)</f>
        <v>12</v>
      </c>
      <c r="FD45" s="10">
        <f>IF(CABLES[[#This Row],[SEG32]]&gt;0,CABLES[[#This Row],[CABLE_DIAMETER]],0)</f>
        <v>0</v>
      </c>
      <c r="FE45" s="10">
        <f>IF(CABLES[[#This Row],[SEG33]]&gt;0,CABLES[[#This Row],[CABLE_DIAMETER]],0)</f>
        <v>0</v>
      </c>
      <c r="FF45" s="10">
        <f>IF(CABLES[[#This Row],[SEG34]]&gt;0,CABLES[[#This Row],[CABLE_DIAMETER]],0)</f>
        <v>0</v>
      </c>
      <c r="FG45" s="10">
        <f>IF(CABLES[[#This Row],[SEG35]]&gt;0,CABLES[[#This Row],[CABLE_DIAMETER]],0)</f>
        <v>0</v>
      </c>
      <c r="FH45" s="10">
        <f>IF(CABLES[[#This Row],[SEG36]]&gt;0,CABLES[[#This Row],[CABLE_DIAMETER]],0)</f>
        <v>0</v>
      </c>
      <c r="FI45" s="10">
        <f>IF(CABLES[[#This Row],[SEG37]]&gt;0,CABLES[[#This Row],[CABLE_DIAMETER]],0)</f>
        <v>0</v>
      </c>
      <c r="FJ45" s="10">
        <f>IF(CABLES[[#This Row],[SEG38]]&gt;0,CABLES[[#This Row],[CABLE_DIAMETER]],0)</f>
        <v>0</v>
      </c>
      <c r="FK45" s="10">
        <f>IF(CABLES[[#This Row],[SEG39]]&gt;0,CABLES[[#This Row],[CABLE_DIAMETER]],0)</f>
        <v>12</v>
      </c>
      <c r="FL45" s="10">
        <f>IF(CABLES[[#This Row],[SEG40]]&gt;0,CABLES[[#This Row],[CABLE_DIAMETER]],0)</f>
        <v>12</v>
      </c>
      <c r="FM45" s="10">
        <f>IF(CABLES[[#This Row],[SEG41]]&gt;0,CABLES[[#This Row],[CABLE_DIAMETER]],0)</f>
        <v>0</v>
      </c>
      <c r="FN45" s="10">
        <f>IF(CABLES[[#This Row],[SEG42]]&gt;0,CABLES[[#This Row],[CABLE_DIAMETER]],0)</f>
        <v>0</v>
      </c>
      <c r="FO45" s="10">
        <f>IF(CABLES[[#This Row],[SEG43]]&gt;0,CABLES[[#This Row],[CABLE_DIAMETER]],0)</f>
        <v>0</v>
      </c>
      <c r="FP45" s="10">
        <f>IF(CABLES[[#This Row],[SEG44]]&gt;0,CABLES[[#This Row],[CABLE_DIAMETER]],0)</f>
        <v>0</v>
      </c>
      <c r="FQ45" s="10">
        <f>IF(CABLES[[#This Row],[SEG45]]&gt;0,CABLES[[#This Row],[CABLE_DIAMETER]],0)</f>
        <v>0</v>
      </c>
      <c r="FR45" s="10">
        <f>IF(CABLES[[#This Row],[SEG46]]&gt;0,CABLES[[#This Row],[CABLE_DIAMETER]],0)</f>
        <v>0</v>
      </c>
      <c r="FS45" s="10">
        <f>IF(CABLES[[#This Row],[SEG47]]&gt;0,CABLES[[#This Row],[CABLE_DIAMETER]],0)</f>
        <v>0</v>
      </c>
      <c r="FT45" s="10">
        <f>IF(CABLES[[#This Row],[SEG48]]&gt;0,CABLES[[#This Row],[CABLE_DIAMETER]],0)</f>
        <v>0</v>
      </c>
      <c r="FU45" s="10">
        <f>IF(CABLES[[#This Row],[SEG49]]&gt;0,CABLES[[#This Row],[CABLE_DIAMETER]],0)</f>
        <v>0</v>
      </c>
      <c r="FV45" s="10">
        <f>IF(CABLES[[#This Row],[SEG50]]&gt;0,CABLES[[#This Row],[CABLE_DIAMETER]],0)</f>
        <v>0</v>
      </c>
      <c r="FW45" s="10">
        <f>IF(CABLES[[#This Row],[SEG51]]&gt;0,CABLES[[#This Row],[CABLE_DIAMETER]],0)</f>
        <v>0</v>
      </c>
      <c r="FX45" s="10">
        <f>IF(CABLES[[#This Row],[SEG52]]&gt;0,CABLES[[#This Row],[CABLE_DIAMETER]],0)</f>
        <v>0</v>
      </c>
      <c r="FY45" s="10">
        <f>IF(CABLES[[#This Row],[SEG53]]&gt;0,CABLES[[#This Row],[CABLE_DIAMETER]],0)</f>
        <v>0</v>
      </c>
      <c r="FZ45" s="10">
        <f>IF(CABLES[[#This Row],[SEG54]]&gt;0,CABLES[[#This Row],[CABLE_DIAMETER]],0)</f>
        <v>0</v>
      </c>
      <c r="GA45" s="10">
        <f>IF(CABLES[[#This Row],[SEG55]]&gt;0,CABLES[[#This Row],[CABLE_DIAMETER]],0)</f>
        <v>0</v>
      </c>
      <c r="GB45" s="10">
        <f>IF(CABLES[[#This Row],[SEG56]]&gt;0,CABLES[[#This Row],[CABLE_DIAMETER]],0)</f>
        <v>0</v>
      </c>
      <c r="GC45" s="10">
        <f>IF(CABLES[[#This Row],[SEG57]]&gt;0,CABLES[[#This Row],[CABLE_DIAMETER]],0)</f>
        <v>0</v>
      </c>
      <c r="GD45" s="10">
        <f>IF(CABLES[[#This Row],[SEG58]]&gt;0,CABLES[[#This Row],[CABLE_DIAMETER]],0)</f>
        <v>0</v>
      </c>
      <c r="GE45" s="10">
        <f>IF(CABLES[[#This Row],[SEG59]]&gt;0,CABLES[[#This Row],[CABLE_DIAMETER]],0)</f>
        <v>0</v>
      </c>
      <c r="GF45" s="10">
        <f>IF(CABLES[[#This Row],[SEG60]]&gt;0,CABLES[[#This Row],[CABLE_DIAMETER]],0)</f>
        <v>0</v>
      </c>
      <c r="GG45" s="10">
        <f>IF(CABLES[[#This Row],[SEG1]]&gt;0,CABLES[[#This Row],[CABLE_MASS]],0)</f>
        <v>0</v>
      </c>
      <c r="GH45" s="10">
        <f>IF(CABLES[[#This Row],[SEG2]]&gt;0,CABLES[[#This Row],[CABLE_MASS]],0)</f>
        <v>0</v>
      </c>
      <c r="GI45" s="10">
        <f>IF(CABLES[[#This Row],[SEG3]]&gt;0,CABLES[[#This Row],[CABLE_MASS]],0)</f>
        <v>0</v>
      </c>
      <c r="GJ45" s="10">
        <f>IF(CABLES[[#This Row],[SEG4]]&gt;0,CABLES[[#This Row],[CABLE_MASS]],0)</f>
        <v>0</v>
      </c>
      <c r="GK45" s="10">
        <f>IF(CABLES[[#This Row],[SEG5]]&gt;0,CABLES[[#This Row],[CABLE_MASS]],0)</f>
        <v>0</v>
      </c>
      <c r="GL45" s="10">
        <f>IF(CABLES[[#This Row],[SEG6]]&gt;0,CABLES[[#This Row],[CABLE_MASS]],0)</f>
        <v>0</v>
      </c>
      <c r="GM45" s="10">
        <f>IF(CABLES[[#This Row],[SEG7]]&gt;0,CABLES[[#This Row],[CABLE_MASS]],0)</f>
        <v>0</v>
      </c>
      <c r="GN45" s="10">
        <f>IF(CABLES[[#This Row],[SEG8]]&gt;0,CABLES[[#This Row],[CABLE_MASS]],0)</f>
        <v>0</v>
      </c>
      <c r="GO45" s="10">
        <f>IF(CABLES[[#This Row],[SEG9]]&gt;0,CABLES[[#This Row],[CABLE_MASS]],0)</f>
        <v>0</v>
      </c>
      <c r="GP45" s="10">
        <f>IF(CABLES[[#This Row],[SEG10]]&gt;0,CABLES[[#This Row],[CABLE_MASS]],0)</f>
        <v>0</v>
      </c>
      <c r="GQ45" s="10">
        <f>IF(CABLES[[#This Row],[SEG11]]&gt;0,CABLES[[#This Row],[CABLE_MASS]],0)</f>
        <v>0</v>
      </c>
      <c r="GR45" s="10">
        <f>IF(CABLES[[#This Row],[SEG12]]&gt;0,CABLES[[#This Row],[CABLE_MASS]],0)</f>
        <v>0</v>
      </c>
      <c r="GS45" s="10">
        <f>IF(CABLES[[#This Row],[SEG13]]&gt;0,CABLES[[#This Row],[CABLE_MASS]],0)</f>
        <v>0</v>
      </c>
      <c r="GT45" s="10">
        <f>IF(CABLES[[#This Row],[SEG14]]&gt;0,CABLES[[#This Row],[CABLE_MASS]],0)</f>
        <v>0</v>
      </c>
      <c r="GU45" s="10">
        <f>IF(CABLES[[#This Row],[SEG15]]&gt;0,CABLES[[#This Row],[CABLE_MASS]],0)</f>
        <v>0</v>
      </c>
      <c r="GV45" s="10">
        <f>IF(CABLES[[#This Row],[SEG16]]&gt;0,CABLES[[#This Row],[CABLE_MASS]],0)</f>
        <v>0</v>
      </c>
      <c r="GW45" s="10">
        <f>IF(CABLES[[#This Row],[SEG17]]&gt;0,CABLES[[#This Row],[CABLE_MASS]],0)</f>
        <v>0</v>
      </c>
      <c r="GX45" s="10">
        <f>IF(CABLES[[#This Row],[SEG18]]&gt;0,CABLES[[#This Row],[CABLE_MASS]],0)</f>
        <v>0</v>
      </c>
      <c r="GY45" s="10">
        <f>IF(CABLES[[#This Row],[SEG19]]&gt;0,CABLES[[#This Row],[CABLE_MASS]],0)</f>
        <v>0</v>
      </c>
      <c r="GZ45" s="10">
        <f>IF(CABLES[[#This Row],[SEG20]]&gt;0,CABLES[[#This Row],[CABLE_MASS]],0)</f>
        <v>0</v>
      </c>
      <c r="HA45" s="10">
        <f>IF(CABLES[[#This Row],[SEG21]]&gt;0,CABLES[[#This Row],[CABLE_MASS]],0)</f>
        <v>0</v>
      </c>
      <c r="HB45" s="10">
        <f>IF(CABLES[[#This Row],[SEG22]]&gt;0,CABLES[[#This Row],[CABLE_MASS]],0)</f>
        <v>0</v>
      </c>
      <c r="HC45" s="10">
        <f>IF(CABLES[[#This Row],[SEG23]]&gt;0,CABLES[[#This Row],[CABLE_MASS]],0)</f>
        <v>0</v>
      </c>
      <c r="HD45" s="10">
        <f>IF(CABLES[[#This Row],[SEG24]]&gt;0,CABLES[[#This Row],[CABLE_MASS]],0)</f>
        <v>0</v>
      </c>
      <c r="HE45" s="10">
        <f>IF(CABLES[[#This Row],[SEG25]]&gt;0,CABLES[[#This Row],[CABLE_MASS]],0)</f>
        <v>0</v>
      </c>
      <c r="HF45" s="10">
        <f>IF(CABLES[[#This Row],[SEG26]]&gt;0,CABLES[[#This Row],[CABLE_MASS]],0)</f>
        <v>0</v>
      </c>
      <c r="HG45" s="10">
        <f>IF(CABLES[[#This Row],[SEG27]]&gt;0,CABLES[[#This Row],[CABLE_MASS]],0)</f>
        <v>0</v>
      </c>
      <c r="HH45" s="10">
        <f>IF(CABLES[[#This Row],[SEG28]]&gt;0,CABLES[[#This Row],[CABLE_MASS]],0)</f>
        <v>0</v>
      </c>
      <c r="HI45" s="10">
        <f>IF(CABLES[[#This Row],[SEG29]]&gt;0,CABLES[[#This Row],[CABLE_MASS]],0)</f>
        <v>0</v>
      </c>
      <c r="HJ45" s="10">
        <f>IF(CABLES[[#This Row],[SEG30]]&gt;0,CABLES[[#This Row],[CABLE_MASS]],0)</f>
        <v>0.21</v>
      </c>
      <c r="HK45" s="10">
        <f>IF(CABLES[[#This Row],[SEG31]]&gt;0,CABLES[[#This Row],[CABLE_MASS]],0)</f>
        <v>0.21</v>
      </c>
      <c r="HL45" s="10">
        <f>IF(CABLES[[#This Row],[SEG32]]&gt;0,CABLES[[#This Row],[CABLE_MASS]],0)</f>
        <v>0</v>
      </c>
      <c r="HM45" s="10">
        <f>IF(CABLES[[#This Row],[SEG33]]&gt;0,CABLES[[#This Row],[CABLE_MASS]],0)</f>
        <v>0</v>
      </c>
      <c r="HN45" s="10">
        <f>IF(CABLES[[#This Row],[SEG34]]&gt;0,CABLES[[#This Row],[CABLE_MASS]],0)</f>
        <v>0</v>
      </c>
      <c r="HO45" s="10">
        <f>IF(CABLES[[#This Row],[SEG35]]&gt;0,CABLES[[#This Row],[CABLE_MASS]],0)</f>
        <v>0</v>
      </c>
      <c r="HP45" s="10">
        <f>IF(CABLES[[#This Row],[SEG36]]&gt;0,CABLES[[#This Row],[CABLE_MASS]],0)</f>
        <v>0</v>
      </c>
      <c r="HQ45" s="10">
        <f>IF(CABLES[[#This Row],[SEG37]]&gt;0,CABLES[[#This Row],[CABLE_MASS]],0)</f>
        <v>0</v>
      </c>
      <c r="HR45" s="10">
        <f>IF(CABLES[[#This Row],[SEG38]]&gt;0,CABLES[[#This Row],[CABLE_MASS]],0)</f>
        <v>0</v>
      </c>
      <c r="HS45" s="10">
        <f>IF(CABLES[[#This Row],[SEG39]]&gt;0,CABLES[[#This Row],[CABLE_MASS]],0)</f>
        <v>0.21</v>
      </c>
      <c r="HT45" s="10">
        <f>IF(CABLES[[#This Row],[SEG40]]&gt;0,CABLES[[#This Row],[CABLE_MASS]],0)</f>
        <v>0.21</v>
      </c>
      <c r="HU45" s="10">
        <f>IF(CABLES[[#This Row],[SEG41]]&gt;0,CABLES[[#This Row],[CABLE_MASS]],0)</f>
        <v>0</v>
      </c>
      <c r="HV45" s="10">
        <f>IF(CABLES[[#This Row],[SEG42]]&gt;0,CABLES[[#This Row],[CABLE_MASS]],0)</f>
        <v>0</v>
      </c>
      <c r="HW45" s="10">
        <f>IF(CABLES[[#This Row],[SEG43]]&gt;0,CABLES[[#This Row],[CABLE_MASS]],0)</f>
        <v>0</v>
      </c>
      <c r="HX45" s="10">
        <f>IF(CABLES[[#This Row],[SEG44]]&gt;0,CABLES[[#This Row],[CABLE_MASS]],0)</f>
        <v>0</v>
      </c>
      <c r="HY45" s="10">
        <f>IF(CABLES[[#This Row],[SEG45]]&gt;0,CABLES[[#This Row],[CABLE_MASS]],0)</f>
        <v>0</v>
      </c>
      <c r="HZ45" s="10">
        <f>IF(CABLES[[#This Row],[SEG46]]&gt;0,CABLES[[#This Row],[CABLE_MASS]],0)</f>
        <v>0</v>
      </c>
      <c r="IA45" s="10">
        <f>IF(CABLES[[#This Row],[SEG47]]&gt;0,CABLES[[#This Row],[CABLE_MASS]],0)</f>
        <v>0</v>
      </c>
      <c r="IB45" s="10">
        <f>IF(CABLES[[#This Row],[SEG48]]&gt;0,CABLES[[#This Row],[CABLE_MASS]],0)</f>
        <v>0</v>
      </c>
      <c r="IC45" s="10">
        <f>IF(CABLES[[#This Row],[SEG49]]&gt;0,CABLES[[#This Row],[CABLE_MASS]],0)</f>
        <v>0</v>
      </c>
      <c r="ID45" s="10">
        <f>IF(CABLES[[#This Row],[SEG50]]&gt;0,CABLES[[#This Row],[CABLE_MASS]],0)</f>
        <v>0</v>
      </c>
      <c r="IE45" s="10">
        <f>IF(CABLES[[#This Row],[SEG51]]&gt;0,CABLES[[#This Row],[CABLE_MASS]],0)</f>
        <v>0</v>
      </c>
      <c r="IF45" s="10">
        <f>IF(CABLES[[#This Row],[SEG52]]&gt;0,CABLES[[#This Row],[CABLE_MASS]],0)</f>
        <v>0</v>
      </c>
      <c r="IG45" s="10">
        <f>IF(CABLES[[#This Row],[SEG53]]&gt;0,CABLES[[#This Row],[CABLE_MASS]],0)</f>
        <v>0</v>
      </c>
      <c r="IH45" s="10">
        <f>IF(CABLES[[#This Row],[SEG54]]&gt;0,CABLES[[#This Row],[CABLE_MASS]],0)</f>
        <v>0</v>
      </c>
      <c r="II45" s="10">
        <f>IF(CABLES[[#This Row],[SEG55]]&gt;0,CABLES[[#This Row],[CABLE_MASS]],0)</f>
        <v>0</v>
      </c>
      <c r="IJ45" s="10">
        <f>IF(CABLES[[#This Row],[SEG56]]&gt;0,CABLES[[#This Row],[CABLE_MASS]],0)</f>
        <v>0</v>
      </c>
      <c r="IK45" s="10">
        <f>IF(CABLES[[#This Row],[SEG57]]&gt;0,CABLES[[#This Row],[CABLE_MASS]],0)</f>
        <v>0</v>
      </c>
      <c r="IL45" s="10">
        <f>IF(CABLES[[#This Row],[SEG58]]&gt;0,CABLES[[#This Row],[CABLE_MASS]],0)</f>
        <v>0</v>
      </c>
      <c r="IM45" s="10">
        <f>IF(CABLES[[#This Row],[SEG59]]&gt;0,CABLES[[#This Row],[CABLE_MASS]],0)</f>
        <v>0</v>
      </c>
      <c r="IN45" s="10">
        <f>IF(CABLES[[#This Row],[SEG60]]&gt;0,CABLES[[#This Row],[CABLE_MASS]],0)</f>
        <v>0</v>
      </c>
      <c r="IO45" s="10">
        <f xml:space="preserve">  (CABLES[[#This Row],[LOAD_KW]]/(SQRT(3)*SYSTEM_VOLTAGE*POWER_FACTOR))*1000</f>
        <v>8.8206291126192813</v>
      </c>
      <c r="IP45" s="10">
        <v>45</v>
      </c>
      <c r="IQ45" s="10">
        <f xml:space="preserve"> INDEX(AS3000_AMBIENTDERATE[], MATCH(CABLES[[#This Row],[AMBIENT]],AS3000_AMBIENTDERATE[AMBIENT],0), 2)</f>
        <v>0.94</v>
      </c>
      <c r="IR45" s="10">
        <f xml:space="preserve"> ROUNDUP( CABLES[[#This Row],[CALCULATED_AMPS]]/CABLES[[#This Row],[AMBIENT_DERATING]],1)</f>
        <v>9.4</v>
      </c>
      <c r="IS45" s="10" t="s">
        <v>531</v>
      </c>
      <c r="IT4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5" s="10">
        <f t="shared" si="1"/>
        <v>28.000000000000004</v>
      </c>
      <c r="IV45" s="10">
        <f>(1000*CABLES[[#This Row],[MAX_VDROP]])/(CABLES[[#This Row],[ESTIMATED_CABLE_LENGTH]]*CABLES[[#This Row],[AMP_RATING]])</f>
        <v>75.220287986245438</v>
      </c>
      <c r="IW45" s="10">
        <f xml:space="preserve"> INDEX(AS3000_VDROP[], MATCH(CABLES[[#This Row],[VC_CALC]],AS3000_VDROP[Vc],1),1)</f>
        <v>2.5</v>
      </c>
      <c r="IX45" s="10">
        <f>MAX(CABLES[[#This Row],[CABLESIZE_METHOD1]],CABLES[[#This Row],[CABLESIZE_METHOD2]])</f>
        <v>2.5</v>
      </c>
      <c r="IY45" s="10"/>
      <c r="IZ45" s="10">
        <f>IF(LEN(CABLES[[#This Row],[OVERRIDE_CABLESIZE]])&gt;0,CABLES[[#This Row],[OVERRIDE_CABLESIZE]],CABLES[[#This Row],[INITIAL_CABLESIZE]])</f>
        <v>2.5</v>
      </c>
      <c r="JA45" s="10">
        <f>INDEX(PROTECTIVE_DEVICE[DEVICE], MATCH(CABLES[[#This Row],[CALCULATED_AMPS]],PROTECTIVE_DEVICE[DEVICE],-1),1)</f>
        <v>10</v>
      </c>
      <c r="JB45" s="10"/>
      <c r="JC45" s="10">
        <f>IF(LEN(CABLES[[#This Row],[OVERRIDE_PDEVICE]])&gt;0, CABLES[[#This Row],[OVERRIDE_PDEVICE]],CABLES[[#This Row],[RECOMMEND_PDEVICE]])</f>
        <v>10</v>
      </c>
      <c r="JD45" s="10" t="s">
        <v>450</v>
      </c>
      <c r="JE45" s="10">
        <f xml:space="preserve"> CABLES[[#This Row],[SELECTED_PDEVICE]] * INDEX(DEVICE_CURVE[], MATCH(CABLES[[#This Row],[PDEVICE_CURVE]], DEVICE_CURVE[DEVICE_CURVE],0),2)</f>
        <v>65</v>
      </c>
      <c r="JF45" s="10" t="s">
        <v>458</v>
      </c>
      <c r="JG45" s="10">
        <f xml:space="preserve"> INDEX(CONDUCTOR_MATERIAL[], MATCH(CABLES[[#This Row],[CONDUCTOR_MATERIAL]],CONDUCTOR_MATERIAL[CONDUCTOR_MATERIAL],0),2)</f>
        <v>2.2499999999999999E-2</v>
      </c>
      <c r="JH45" s="10">
        <f>CABLES[[#This Row],[SELECTED_CABLESIZE]]</f>
        <v>2.5</v>
      </c>
      <c r="JI45" s="10">
        <f xml:space="preserve"> INDEX( EARTH_CONDUCTOR_SIZE[], MATCH(CABLES[[#This Row],[SPH]],EARTH_CONDUCTOR_SIZE[MM^2],-1), 2)</f>
        <v>2.5</v>
      </c>
      <c r="JJ45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45" s="10" t="str">
        <f>IF(CABLES[[#This Row],[LMAX]]&gt;CABLES[[#This Row],[ESTIMATED_CABLE_LENGTH]], "PASS", "ERROR")</f>
        <v>PASS</v>
      </c>
      <c r="JL4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4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45" s="6">
        <f xml:space="preserve"> ROUNDUP( CABLES[[#This Row],[CALCULATED_AMPS]],1)</f>
        <v>8.9</v>
      </c>
      <c r="JO45" s="6">
        <f>CABLES[[#This Row],[SELECTED_CABLESIZE]]</f>
        <v>2.5</v>
      </c>
      <c r="JP45" s="10">
        <f>CABLES[[#This Row],[ESTIMATED_CABLE_LENGTH]]</f>
        <v>39.6</v>
      </c>
      <c r="JQ45" s="6">
        <f>CABLES[[#This Row],[SELECTED_PDEVICE]]</f>
        <v>10</v>
      </c>
    </row>
    <row r="46" spans="1:277" x14ac:dyDescent="0.35">
      <c r="A46" s="5" t="s">
        <v>45</v>
      </c>
      <c r="B46" s="5" t="s">
        <v>497</v>
      </c>
      <c r="C46" s="10" t="s">
        <v>262</v>
      </c>
      <c r="D46" s="9">
        <v>5.5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1</v>
      </c>
      <c r="AI46" s="9">
        <v>1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1</v>
      </c>
      <c r="AR46" s="9">
        <v>1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f xml:space="preserve"> IF(CABLES[[#This Row],[SEG1]] &gt;0, INDEX(SEGMENTS[], MATCH(CABLES[[#Headers],[SEG1]],SEGMENTS[SEG_ID],0),4),0)</f>
        <v>0</v>
      </c>
      <c r="BN46" s="9">
        <f xml:space="preserve"> IF(CABLES[[#This Row],[SEG2]] &gt;0, INDEX(SEGMENTS[], MATCH(CABLES[[#Headers],[SEG2]],SEGMENTS[SEG_ID],0),4),0)</f>
        <v>0</v>
      </c>
      <c r="BO46" s="9">
        <f xml:space="preserve"> IF(CABLES[[#This Row],[SEG3]] &gt;0, INDEX(SEGMENTS[], MATCH(CABLES[[#Headers],[SEG3]],SEGMENTS[SEG_ID],0),4),0)</f>
        <v>0</v>
      </c>
      <c r="BP46" s="9">
        <f xml:space="preserve"> IF(CABLES[[#This Row],[SEG4]] &gt;0, INDEX(SEGMENTS[], MATCH(CABLES[[#Headers],[SEG4]],SEGMENTS[SEG_ID],0),4),0)</f>
        <v>0</v>
      </c>
      <c r="BQ46" s="9">
        <f xml:space="preserve"> IF(CABLES[[#This Row],[SEG5]] &gt;0,INDEX(SEGMENTS[], MATCH(CABLES[[#Headers],[SEG5]],SEGMENTS[SEG_ID],0),4),0)</f>
        <v>0</v>
      </c>
      <c r="BR46" s="9">
        <f xml:space="preserve"> IF(CABLES[[#This Row],[SEG6]] &gt;0,INDEX(SEGMENTS[], MATCH(CABLES[[#Headers],[SEG6]],SEGMENTS[SEG_ID],0),4),0)</f>
        <v>0</v>
      </c>
      <c r="BS46" s="9">
        <f xml:space="preserve"> IF(CABLES[[#This Row],[SEG7]] &gt;0,INDEX(SEGMENTS[], MATCH(CABLES[[#Headers],[SEG7]],SEGMENTS[SEG_ID],0),4),0)</f>
        <v>0</v>
      </c>
      <c r="BT46" s="9">
        <f xml:space="preserve"> IF(CABLES[[#This Row],[SEG8]] &gt;0,INDEX(SEGMENTS[], MATCH(CABLES[[#Headers],[SEG8]],SEGMENTS[SEG_ID],0),4),0)</f>
        <v>0</v>
      </c>
      <c r="BU46" s="9">
        <f xml:space="preserve"> IF(CABLES[[#This Row],[SEG9]] &gt;0,INDEX(SEGMENTS[], MATCH(CABLES[[#Headers],[SEG9]],SEGMENTS[SEG_ID],0),4),0)</f>
        <v>0</v>
      </c>
      <c r="BV46" s="9">
        <f xml:space="preserve"> IF(CABLES[[#This Row],[SEG10]] &gt;0,INDEX(SEGMENTS[], MATCH(CABLES[[#Headers],[SEG10]],SEGMENTS[SEG_ID],0),4),0)</f>
        <v>0</v>
      </c>
      <c r="BW46" s="9">
        <f xml:space="preserve"> IF(CABLES[[#This Row],[SEG11]] &gt;0,INDEX(SEGMENTS[], MATCH(CABLES[[#Headers],[SEG11]],SEGMENTS[SEG_ID],0),4),0)</f>
        <v>0</v>
      </c>
      <c r="BX46" s="9">
        <f>IF(CABLES[[#This Row],[SEG12]] &gt;0, INDEX(SEGMENTS[], MATCH(CABLES[[#Headers],[SEG12]],SEGMENTS[SEG_ID],0),4),0)</f>
        <v>0</v>
      </c>
      <c r="BY46" s="9">
        <f xml:space="preserve"> IF(CABLES[[#This Row],[SEG13]] &gt;0,INDEX(SEGMENTS[], MATCH(CABLES[[#Headers],[SEG13]],SEGMENTS[SEG_ID],0),4),0)</f>
        <v>0</v>
      </c>
      <c r="BZ46" s="9">
        <f xml:space="preserve"> IF(CABLES[[#This Row],[SEG14]] &gt;0,INDEX(SEGMENTS[], MATCH(CABLES[[#Headers],[SEG14]],SEGMENTS[SEG_ID],0),4),0)</f>
        <v>0</v>
      </c>
      <c r="CA46" s="9">
        <f xml:space="preserve"> IF(CABLES[[#This Row],[SEG15]] &gt;0,INDEX(SEGMENTS[], MATCH(CABLES[[#Headers],[SEG15]],SEGMENTS[SEG_ID],0),4),0)</f>
        <v>0</v>
      </c>
      <c r="CB46" s="9">
        <f xml:space="preserve"> IF(CABLES[[#This Row],[SEG16]] &gt;0,INDEX(SEGMENTS[], MATCH(CABLES[[#Headers],[SEG16]],SEGMENTS[SEG_ID],0),4),0)</f>
        <v>0</v>
      </c>
      <c r="CC46" s="9">
        <f xml:space="preserve"> IF(CABLES[[#This Row],[SEG17]] &gt;0,INDEX(SEGMENTS[], MATCH(CABLES[[#Headers],[SEG17]],SEGMENTS[SEG_ID],0),4),0)</f>
        <v>0</v>
      </c>
      <c r="CD46" s="9">
        <f xml:space="preserve"> IF(CABLES[[#This Row],[SEG18]] &gt;0,INDEX(SEGMENTS[], MATCH(CABLES[[#Headers],[SEG18]],SEGMENTS[SEG_ID],0),4),0)</f>
        <v>0</v>
      </c>
      <c r="CE46" s="9">
        <f>IF(CABLES[[#This Row],[SEG19]] &gt;0, INDEX(SEGMENTS[], MATCH(CABLES[[#Headers],[SEG19]],SEGMENTS[SEG_ID],0),4),0)</f>
        <v>0</v>
      </c>
      <c r="CF46" s="9">
        <f>IF(CABLES[[#This Row],[SEG20]] &gt;0, INDEX(SEGMENTS[], MATCH(CABLES[[#Headers],[SEG20]],SEGMENTS[SEG_ID],0),4),0)</f>
        <v>0</v>
      </c>
      <c r="CG46" s="9">
        <f xml:space="preserve"> IF(CABLES[[#This Row],[SEG21]] &gt;0,INDEX(SEGMENTS[], MATCH(CABLES[[#Headers],[SEG21]],SEGMENTS[SEG_ID],0),4),0)</f>
        <v>0</v>
      </c>
      <c r="CH46" s="9">
        <f xml:space="preserve"> IF(CABLES[[#This Row],[SEG22]] &gt;0,INDEX(SEGMENTS[], MATCH(CABLES[[#Headers],[SEG22]],SEGMENTS[SEG_ID],0),4),0)</f>
        <v>0</v>
      </c>
      <c r="CI46" s="9">
        <f>IF(CABLES[[#This Row],[SEG23]] &gt;0, INDEX(SEGMENTS[], MATCH(CABLES[[#Headers],[SEG23]],SEGMENTS[SEG_ID],0),4),0)</f>
        <v>0</v>
      </c>
      <c r="CJ46" s="9">
        <f xml:space="preserve"> IF(CABLES[[#This Row],[SEG24]] &gt;0,INDEX(SEGMENTS[], MATCH(CABLES[[#Headers],[SEG24]],SEGMENTS[SEG_ID],0),4),0)</f>
        <v>0</v>
      </c>
      <c r="CK46" s="9">
        <f>IF(CABLES[[#This Row],[SEG25]] &gt;0, INDEX(SEGMENTS[], MATCH(CABLES[[#Headers],[SEG25]],SEGMENTS[SEG_ID],0),4),0)</f>
        <v>0</v>
      </c>
      <c r="CL46" s="9">
        <f>IF(CABLES[[#This Row],[SEG26]] &gt;0, INDEX(SEGMENTS[], MATCH(CABLES[[#Headers],[SEG26]],SEGMENTS[SEG_ID],0),4),0)</f>
        <v>0</v>
      </c>
      <c r="CM46" s="9">
        <f xml:space="preserve"> IF(CABLES[[#This Row],[SEG27]] &gt;0,INDEX(SEGMENTS[], MATCH(CABLES[[#Headers],[SEG27]],SEGMENTS[SEG_ID],0),4),0)</f>
        <v>0</v>
      </c>
      <c r="CN46" s="9">
        <f xml:space="preserve"> IF(CABLES[[#This Row],[SEG28]] &gt;0,INDEX(SEGMENTS[], MATCH(CABLES[[#Headers],[SEG28]],SEGMENTS[SEG_ID],0),4),0)</f>
        <v>0</v>
      </c>
      <c r="CO46" s="9">
        <f xml:space="preserve"> IF(CABLES[[#This Row],[SEG29]] &gt;0,INDEX(SEGMENTS[], MATCH(CABLES[[#Headers],[SEG29]],SEGMENTS[SEG_ID],0),4),0)</f>
        <v>0</v>
      </c>
      <c r="CP46" s="9">
        <f xml:space="preserve"> IF(CABLES[[#This Row],[SEG30]] &gt;0,INDEX(SEGMENTS[], MATCH(CABLES[[#Headers],[SEG30]],SEGMENTS[SEG_ID],0),4),0)</f>
        <v>6</v>
      </c>
      <c r="CQ46" s="9">
        <f>IF(CABLES[[#This Row],[SEG31]] &gt;0, INDEX(SEGMENTS[], MATCH(CABLES[[#Headers],[SEG31]],SEGMENTS[SEG_ID],0),4),0)</f>
        <v>3</v>
      </c>
      <c r="CR46" s="9">
        <f xml:space="preserve"> IF(CABLES[[#This Row],[SEG32]] &gt;0,INDEX(SEGMENTS[], MATCH(CABLES[[#Headers],[SEG32]],SEGMENTS[SEG_ID],0),4),0)</f>
        <v>0</v>
      </c>
      <c r="CS46" s="9">
        <f xml:space="preserve"> IF(CABLES[[#This Row],[SEG33]] &gt;0,INDEX(SEGMENTS[], MATCH(CABLES[[#Headers],[SEG33]],SEGMENTS[SEG_ID],0),4),0)</f>
        <v>0</v>
      </c>
      <c r="CT46" s="9">
        <f>IF(CABLES[[#This Row],[SEG34]] &gt;0, INDEX(SEGMENTS[], MATCH(CABLES[[#Headers],[SEG34]],SEGMENTS[SEG_ID],0),4),0)</f>
        <v>0</v>
      </c>
      <c r="CU46" s="9">
        <f xml:space="preserve"> IF(CABLES[[#This Row],[SEG35]] &gt;0,INDEX(SEGMENTS[], MATCH(CABLES[[#Headers],[SEG35]],SEGMENTS[SEG_ID],0),4),0)</f>
        <v>0</v>
      </c>
      <c r="CV46" s="9">
        <f xml:space="preserve"> IF(CABLES[[#This Row],[SEG36]] &gt;0,INDEX(SEGMENTS[], MATCH(CABLES[[#Headers],[SEG36]],SEGMENTS[SEG_ID],0),4),0)</f>
        <v>0</v>
      </c>
      <c r="CW46" s="9">
        <f xml:space="preserve"> IF(CABLES[[#This Row],[SEG37]] &gt;0,INDEX(SEGMENTS[], MATCH(CABLES[[#Headers],[SEG37]],SEGMENTS[SEG_ID],0),4),0)</f>
        <v>0</v>
      </c>
      <c r="CX46" s="9">
        <f xml:space="preserve"> IF(CABLES[[#This Row],[SEG38]] &gt;0,INDEX(SEGMENTS[], MATCH(CABLES[[#Headers],[SEG38]],SEGMENTS[SEG_ID],0),4),0)</f>
        <v>0</v>
      </c>
      <c r="CY46" s="9">
        <f xml:space="preserve"> IF(CABLES[[#This Row],[SEG39]] &gt;0,INDEX(SEGMENTS[], MATCH(CABLES[[#Headers],[SEG39]],SEGMENTS[SEG_ID],0),4),0)</f>
        <v>8</v>
      </c>
      <c r="CZ46" s="9">
        <f xml:space="preserve"> IF(CABLES[[#This Row],[SEG40]] &gt;0,INDEX(SEGMENTS[], MATCH(CABLES[[#Headers],[SEG40]],SEGMENTS[SEG_ID],0),4),0)</f>
        <v>11</v>
      </c>
      <c r="DA46" s="9">
        <f xml:space="preserve"> IF(CABLES[[#This Row],[SEG41]] &gt;0,INDEX(SEGMENTS[], MATCH(CABLES[[#Headers],[SEG41]],SEGMENTS[SEG_ID],0),4),0)</f>
        <v>0</v>
      </c>
      <c r="DB46" s="9">
        <f xml:space="preserve"> IF(CABLES[[#This Row],[SEG42]] &gt;0,INDEX(SEGMENTS[], MATCH(CABLES[[#Headers],[SEG42]],SEGMENTS[SEG_ID],0),4),0)</f>
        <v>0</v>
      </c>
      <c r="DC46" s="9">
        <f xml:space="preserve"> IF(CABLES[[#This Row],[SEG43]] &gt;0,INDEX(SEGMENTS[], MATCH(CABLES[[#Headers],[SEG43]],SEGMENTS[SEG_ID],0),4),0)</f>
        <v>0</v>
      </c>
      <c r="DD46" s="9">
        <f xml:space="preserve"> IF(CABLES[[#This Row],[SEG44]] &gt;0,INDEX(SEGMENTS[], MATCH(CABLES[[#Headers],[SEG44]],SEGMENTS[SEG_ID],0),4),0)</f>
        <v>0</v>
      </c>
      <c r="DE46" s="9">
        <f xml:space="preserve"> IF(CABLES[[#This Row],[SEG45]] &gt;0,INDEX(SEGMENTS[], MATCH(CABLES[[#Headers],[SEG45]],SEGMENTS[SEG_ID],0),4),0)</f>
        <v>0</v>
      </c>
      <c r="DF46" s="9">
        <f xml:space="preserve"> IF(CABLES[[#This Row],[SEG46]] &gt;0,INDEX(SEGMENTS[], MATCH(CABLES[[#Headers],[SEG46]],SEGMENTS[SEG_ID],0),4),0)</f>
        <v>0</v>
      </c>
      <c r="DG46" s="9">
        <f xml:space="preserve"> IF(CABLES[[#This Row],[SEG47]] &gt;0,INDEX(SEGMENTS[], MATCH(CABLES[[#Headers],[SEG47]],SEGMENTS[SEG_ID],0),4),0)</f>
        <v>0</v>
      </c>
      <c r="DH46" s="9">
        <f xml:space="preserve"> IF(CABLES[[#This Row],[SEG48]] &gt;0,INDEX(SEGMENTS[], MATCH(CABLES[[#Headers],[SEG48]],SEGMENTS[SEG_ID],0),4),0)</f>
        <v>0</v>
      </c>
      <c r="DI46" s="9">
        <f xml:space="preserve"> IF(CABLES[[#This Row],[SEG49]] &gt;0,INDEX(SEGMENTS[], MATCH(CABLES[[#Headers],[SEG49]],SEGMENTS[SEG_ID],0),4),0)</f>
        <v>0</v>
      </c>
      <c r="DJ46" s="9">
        <f xml:space="preserve"> IF(CABLES[[#This Row],[SEG50]] &gt;0,INDEX(SEGMENTS[], MATCH(CABLES[[#Headers],[SEG50]],SEGMENTS[SEG_ID],0),4),0)</f>
        <v>0</v>
      </c>
      <c r="DK46" s="9">
        <f xml:space="preserve"> IF(CABLES[[#This Row],[SEG51]] &gt;0,INDEX(SEGMENTS[], MATCH(CABLES[[#Headers],[SEG51]],SEGMENTS[SEG_ID],0),4),0)</f>
        <v>0</v>
      </c>
      <c r="DL46" s="9">
        <f xml:space="preserve"> IF(CABLES[[#This Row],[SEG52]] &gt;0,INDEX(SEGMENTS[], MATCH(CABLES[[#Headers],[SEG52]],SEGMENTS[SEG_ID],0),4),0)</f>
        <v>0</v>
      </c>
      <c r="DM46" s="9">
        <f xml:space="preserve"> IF(CABLES[[#This Row],[SEG53]] &gt;0,INDEX(SEGMENTS[], MATCH(CABLES[[#Headers],[SEG53]],SEGMENTS[SEG_ID],0),4),0)</f>
        <v>0</v>
      </c>
      <c r="DN46" s="9">
        <f xml:space="preserve"> IF(CABLES[[#This Row],[SEG54]] &gt;0,INDEX(SEGMENTS[], MATCH(CABLES[[#Headers],[SEG54]],SEGMENTS[SEG_ID],0),4),0)</f>
        <v>0</v>
      </c>
      <c r="DO46" s="9">
        <f xml:space="preserve"> IF(CABLES[[#This Row],[SEG55]] &gt;0,INDEX(SEGMENTS[], MATCH(CABLES[[#Headers],[SEG55]],SEGMENTS[SEG_ID],0),4),0)</f>
        <v>0</v>
      </c>
      <c r="DP46" s="9">
        <f xml:space="preserve"> IF(CABLES[[#This Row],[SEG56]] &gt;0,INDEX(SEGMENTS[], MATCH(CABLES[[#Headers],[SEG56]],SEGMENTS[SEG_ID],0),4),0)</f>
        <v>0</v>
      </c>
      <c r="DQ46" s="9">
        <f xml:space="preserve"> IF(CABLES[[#This Row],[SEG57]] &gt;0,INDEX(SEGMENTS[], MATCH(CABLES[[#Headers],[SEG57]],SEGMENTS[SEG_ID],0),4),0)</f>
        <v>0</v>
      </c>
      <c r="DR46" s="9">
        <f xml:space="preserve"> IF(CABLES[[#This Row],[SEG58]] &gt;0,INDEX(SEGMENTS[], MATCH(CABLES[[#Headers],[SEG58]],SEGMENTS[SEG_ID],0),4),0)</f>
        <v>0</v>
      </c>
      <c r="DS46" s="9">
        <f xml:space="preserve"> IF(CABLES[[#This Row],[SEG59]] &gt;0,INDEX(SEGMENTS[], MATCH(CABLES[[#Headers],[SEG59]],SEGMENTS[SEG_ID],0),4),0)</f>
        <v>0</v>
      </c>
      <c r="DT46" s="9">
        <f xml:space="preserve"> IF(CABLES[[#This Row],[SEG60]] &gt;0,INDEX(SEGMENTS[], MATCH(CABLES[[#Headers],[SEG60]],SEGMENTS[SEG_ID],0),4),0)</f>
        <v>0</v>
      </c>
      <c r="DU46" s="10">
        <f>SUM(CABLES[[#This Row],[SEGL1]:[SEGL60]])</f>
        <v>28</v>
      </c>
      <c r="DV46" s="10">
        <v>5</v>
      </c>
      <c r="DW46" s="10">
        <v>1.2</v>
      </c>
      <c r="DX46" s="10">
        <f xml:space="preserve"> IF(CABLES[[#This Row],[SEGL_TOTAL]]&gt;0, (CABLES[[#This Row],[SEGL_TOTAL]] + CABLES[[#This Row],[FITOFF]]) *CABLES[[#This Row],[XCAPACITY]],0)</f>
        <v>39.6</v>
      </c>
      <c r="DY46" s="10">
        <f>IF(CABLES[[#This Row],[SEG1]]&gt;0,CABLES[[#This Row],[CABLE_DIAMETER]],0)</f>
        <v>0</v>
      </c>
      <c r="DZ46" s="10">
        <f>IF(CABLES[[#This Row],[SEG2]]&gt;0,CABLES[[#This Row],[CABLE_DIAMETER]],0)</f>
        <v>0</v>
      </c>
      <c r="EA46" s="10">
        <f>IF(CABLES[[#This Row],[SEG3]]&gt;0,CABLES[[#This Row],[CABLE_DIAMETER]],0)</f>
        <v>0</v>
      </c>
      <c r="EB46" s="10">
        <f>IF(CABLES[[#This Row],[SEG4]]&gt;0,CABLES[[#This Row],[CABLE_DIAMETER]],0)</f>
        <v>0</v>
      </c>
      <c r="EC46" s="10">
        <f>IF(CABLES[[#This Row],[SEG5]]&gt;0,CABLES[[#This Row],[CABLE_DIAMETER]],0)</f>
        <v>0</v>
      </c>
      <c r="ED46" s="10">
        <f>IF(CABLES[[#This Row],[SEG6]]&gt;0,CABLES[[#This Row],[CABLE_DIAMETER]],0)</f>
        <v>0</v>
      </c>
      <c r="EE46" s="10">
        <f>IF(CABLES[[#This Row],[SEG7]]&gt;0,CABLES[[#This Row],[CABLE_DIAMETER]],0)</f>
        <v>0</v>
      </c>
      <c r="EF46" s="10">
        <f>IF(CABLES[[#This Row],[SEG9]]&gt;0,CABLES[[#This Row],[CABLE_DIAMETER]],0)</f>
        <v>0</v>
      </c>
      <c r="EG46" s="10">
        <f>IF(CABLES[[#This Row],[SEG9]]&gt;0,CABLES[[#This Row],[CABLE_DIAMETER]],0)</f>
        <v>0</v>
      </c>
      <c r="EH46" s="10">
        <f>IF(CABLES[[#This Row],[SEG10]]&gt;0,CABLES[[#This Row],[CABLE_DIAMETER]],0)</f>
        <v>0</v>
      </c>
      <c r="EI46" s="10">
        <f>IF(CABLES[[#This Row],[SEG11]]&gt;0,CABLES[[#This Row],[CABLE_DIAMETER]],0)</f>
        <v>0</v>
      </c>
      <c r="EJ46" s="10">
        <f>IF(CABLES[[#This Row],[SEG12]]&gt;0,CABLES[[#This Row],[CABLE_DIAMETER]],0)</f>
        <v>0</v>
      </c>
      <c r="EK46" s="10">
        <f>IF(CABLES[[#This Row],[SEG13]]&gt;0,CABLES[[#This Row],[CABLE_DIAMETER]],0)</f>
        <v>0</v>
      </c>
      <c r="EL46" s="10">
        <f>IF(CABLES[[#This Row],[SEG14]]&gt;0,CABLES[[#This Row],[CABLE_DIAMETER]],0)</f>
        <v>0</v>
      </c>
      <c r="EM46" s="10">
        <f>IF(CABLES[[#This Row],[SEG15]]&gt;0,CABLES[[#This Row],[CABLE_DIAMETER]],0)</f>
        <v>0</v>
      </c>
      <c r="EN46" s="10">
        <f>IF(CABLES[[#This Row],[SEG16]]&gt;0,CABLES[[#This Row],[CABLE_DIAMETER]],0)</f>
        <v>0</v>
      </c>
      <c r="EO46" s="10">
        <f>IF(CABLES[[#This Row],[SEG17]]&gt;0,CABLES[[#This Row],[CABLE_DIAMETER]],0)</f>
        <v>0</v>
      </c>
      <c r="EP46" s="10">
        <f>IF(CABLES[[#This Row],[SEG18]]&gt;0,CABLES[[#This Row],[CABLE_DIAMETER]],0)</f>
        <v>0</v>
      </c>
      <c r="EQ46" s="10">
        <f>IF(CABLES[[#This Row],[SEG19]]&gt;0,CABLES[[#This Row],[CABLE_DIAMETER]],0)</f>
        <v>0</v>
      </c>
      <c r="ER46" s="10">
        <f>IF(CABLES[[#This Row],[SEG20]]&gt;0,CABLES[[#This Row],[CABLE_DIAMETER]],0)</f>
        <v>0</v>
      </c>
      <c r="ES46" s="10">
        <f>IF(CABLES[[#This Row],[SEG21]]&gt;0,CABLES[[#This Row],[CABLE_DIAMETER]],0)</f>
        <v>0</v>
      </c>
      <c r="ET46" s="10">
        <f>IF(CABLES[[#This Row],[SEG22]]&gt;0,CABLES[[#This Row],[CABLE_DIAMETER]],0)</f>
        <v>0</v>
      </c>
      <c r="EU46" s="10">
        <f>IF(CABLES[[#This Row],[SEG23]]&gt;0,CABLES[[#This Row],[CABLE_DIAMETER]],0)</f>
        <v>0</v>
      </c>
      <c r="EV46" s="10">
        <f>IF(CABLES[[#This Row],[SEG24]]&gt;0,CABLES[[#This Row],[CABLE_DIAMETER]],0)</f>
        <v>0</v>
      </c>
      <c r="EW46" s="10">
        <f>IF(CABLES[[#This Row],[SEG25]]&gt;0,CABLES[[#This Row],[CABLE_DIAMETER]],0)</f>
        <v>0</v>
      </c>
      <c r="EX46" s="10">
        <f>IF(CABLES[[#This Row],[SEG26]]&gt;0,CABLES[[#This Row],[CABLE_DIAMETER]],0)</f>
        <v>0</v>
      </c>
      <c r="EY46" s="10">
        <f>IF(CABLES[[#This Row],[SEG27]]&gt;0,CABLES[[#This Row],[CABLE_DIAMETER]],0)</f>
        <v>0</v>
      </c>
      <c r="EZ46" s="10">
        <f>IF(CABLES[[#This Row],[SEG28]]&gt;0,CABLES[[#This Row],[CABLE_DIAMETER]],0)</f>
        <v>0</v>
      </c>
      <c r="FA46" s="10">
        <f>IF(CABLES[[#This Row],[SEG29]]&gt;0,CABLES[[#This Row],[CABLE_DIAMETER]],0)</f>
        <v>0</v>
      </c>
      <c r="FB46" s="10">
        <f>IF(CABLES[[#This Row],[SEG30]]&gt;0,CABLES[[#This Row],[CABLE_DIAMETER]],0)</f>
        <v>12</v>
      </c>
      <c r="FC46" s="10">
        <f>IF(CABLES[[#This Row],[SEG31]]&gt;0,CABLES[[#This Row],[CABLE_DIAMETER]],0)</f>
        <v>12</v>
      </c>
      <c r="FD46" s="10">
        <f>IF(CABLES[[#This Row],[SEG32]]&gt;0,CABLES[[#This Row],[CABLE_DIAMETER]],0)</f>
        <v>0</v>
      </c>
      <c r="FE46" s="10">
        <f>IF(CABLES[[#This Row],[SEG33]]&gt;0,CABLES[[#This Row],[CABLE_DIAMETER]],0)</f>
        <v>0</v>
      </c>
      <c r="FF46" s="10">
        <f>IF(CABLES[[#This Row],[SEG34]]&gt;0,CABLES[[#This Row],[CABLE_DIAMETER]],0)</f>
        <v>0</v>
      </c>
      <c r="FG46" s="10">
        <f>IF(CABLES[[#This Row],[SEG35]]&gt;0,CABLES[[#This Row],[CABLE_DIAMETER]],0)</f>
        <v>0</v>
      </c>
      <c r="FH46" s="10">
        <f>IF(CABLES[[#This Row],[SEG36]]&gt;0,CABLES[[#This Row],[CABLE_DIAMETER]],0)</f>
        <v>0</v>
      </c>
      <c r="FI46" s="10">
        <f>IF(CABLES[[#This Row],[SEG37]]&gt;0,CABLES[[#This Row],[CABLE_DIAMETER]],0)</f>
        <v>0</v>
      </c>
      <c r="FJ46" s="10">
        <f>IF(CABLES[[#This Row],[SEG38]]&gt;0,CABLES[[#This Row],[CABLE_DIAMETER]],0)</f>
        <v>0</v>
      </c>
      <c r="FK46" s="10">
        <f>IF(CABLES[[#This Row],[SEG39]]&gt;0,CABLES[[#This Row],[CABLE_DIAMETER]],0)</f>
        <v>12</v>
      </c>
      <c r="FL46" s="10">
        <f>IF(CABLES[[#This Row],[SEG40]]&gt;0,CABLES[[#This Row],[CABLE_DIAMETER]],0)</f>
        <v>12</v>
      </c>
      <c r="FM46" s="10">
        <f>IF(CABLES[[#This Row],[SEG41]]&gt;0,CABLES[[#This Row],[CABLE_DIAMETER]],0)</f>
        <v>0</v>
      </c>
      <c r="FN46" s="10">
        <f>IF(CABLES[[#This Row],[SEG42]]&gt;0,CABLES[[#This Row],[CABLE_DIAMETER]],0)</f>
        <v>0</v>
      </c>
      <c r="FO46" s="10">
        <f>IF(CABLES[[#This Row],[SEG43]]&gt;0,CABLES[[#This Row],[CABLE_DIAMETER]],0)</f>
        <v>0</v>
      </c>
      <c r="FP46" s="10">
        <f>IF(CABLES[[#This Row],[SEG44]]&gt;0,CABLES[[#This Row],[CABLE_DIAMETER]],0)</f>
        <v>0</v>
      </c>
      <c r="FQ46" s="10">
        <f>IF(CABLES[[#This Row],[SEG45]]&gt;0,CABLES[[#This Row],[CABLE_DIAMETER]],0)</f>
        <v>0</v>
      </c>
      <c r="FR46" s="10">
        <f>IF(CABLES[[#This Row],[SEG46]]&gt;0,CABLES[[#This Row],[CABLE_DIAMETER]],0)</f>
        <v>0</v>
      </c>
      <c r="FS46" s="10">
        <f>IF(CABLES[[#This Row],[SEG47]]&gt;0,CABLES[[#This Row],[CABLE_DIAMETER]],0)</f>
        <v>0</v>
      </c>
      <c r="FT46" s="10">
        <f>IF(CABLES[[#This Row],[SEG48]]&gt;0,CABLES[[#This Row],[CABLE_DIAMETER]],0)</f>
        <v>0</v>
      </c>
      <c r="FU46" s="10">
        <f>IF(CABLES[[#This Row],[SEG49]]&gt;0,CABLES[[#This Row],[CABLE_DIAMETER]],0)</f>
        <v>0</v>
      </c>
      <c r="FV46" s="10">
        <f>IF(CABLES[[#This Row],[SEG50]]&gt;0,CABLES[[#This Row],[CABLE_DIAMETER]],0)</f>
        <v>0</v>
      </c>
      <c r="FW46" s="10">
        <f>IF(CABLES[[#This Row],[SEG51]]&gt;0,CABLES[[#This Row],[CABLE_DIAMETER]],0)</f>
        <v>0</v>
      </c>
      <c r="FX46" s="10">
        <f>IF(CABLES[[#This Row],[SEG52]]&gt;0,CABLES[[#This Row],[CABLE_DIAMETER]],0)</f>
        <v>0</v>
      </c>
      <c r="FY46" s="10">
        <f>IF(CABLES[[#This Row],[SEG53]]&gt;0,CABLES[[#This Row],[CABLE_DIAMETER]],0)</f>
        <v>0</v>
      </c>
      <c r="FZ46" s="10">
        <f>IF(CABLES[[#This Row],[SEG54]]&gt;0,CABLES[[#This Row],[CABLE_DIAMETER]],0)</f>
        <v>0</v>
      </c>
      <c r="GA46" s="10">
        <f>IF(CABLES[[#This Row],[SEG55]]&gt;0,CABLES[[#This Row],[CABLE_DIAMETER]],0)</f>
        <v>0</v>
      </c>
      <c r="GB46" s="10">
        <f>IF(CABLES[[#This Row],[SEG56]]&gt;0,CABLES[[#This Row],[CABLE_DIAMETER]],0)</f>
        <v>0</v>
      </c>
      <c r="GC46" s="10">
        <f>IF(CABLES[[#This Row],[SEG57]]&gt;0,CABLES[[#This Row],[CABLE_DIAMETER]],0)</f>
        <v>0</v>
      </c>
      <c r="GD46" s="10">
        <f>IF(CABLES[[#This Row],[SEG58]]&gt;0,CABLES[[#This Row],[CABLE_DIAMETER]],0)</f>
        <v>0</v>
      </c>
      <c r="GE46" s="10">
        <f>IF(CABLES[[#This Row],[SEG59]]&gt;0,CABLES[[#This Row],[CABLE_DIAMETER]],0)</f>
        <v>0</v>
      </c>
      <c r="GF46" s="10">
        <f>IF(CABLES[[#This Row],[SEG60]]&gt;0,CABLES[[#This Row],[CABLE_DIAMETER]],0)</f>
        <v>0</v>
      </c>
      <c r="GG46" s="10">
        <f>IF(CABLES[[#This Row],[SEG1]]&gt;0,CABLES[[#This Row],[CABLE_MASS]],0)</f>
        <v>0</v>
      </c>
      <c r="GH46" s="10">
        <f>IF(CABLES[[#This Row],[SEG2]]&gt;0,CABLES[[#This Row],[CABLE_MASS]],0)</f>
        <v>0</v>
      </c>
      <c r="GI46" s="10">
        <f>IF(CABLES[[#This Row],[SEG3]]&gt;0,CABLES[[#This Row],[CABLE_MASS]],0)</f>
        <v>0</v>
      </c>
      <c r="GJ46" s="10">
        <f>IF(CABLES[[#This Row],[SEG4]]&gt;0,CABLES[[#This Row],[CABLE_MASS]],0)</f>
        <v>0</v>
      </c>
      <c r="GK46" s="10">
        <f>IF(CABLES[[#This Row],[SEG5]]&gt;0,CABLES[[#This Row],[CABLE_MASS]],0)</f>
        <v>0</v>
      </c>
      <c r="GL46" s="10">
        <f>IF(CABLES[[#This Row],[SEG6]]&gt;0,CABLES[[#This Row],[CABLE_MASS]],0)</f>
        <v>0</v>
      </c>
      <c r="GM46" s="10">
        <f>IF(CABLES[[#This Row],[SEG7]]&gt;0,CABLES[[#This Row],[CABLE_MASS]],0)</f>
        <v>0</v>
      </c>
      <c r="GN46" s="10">
        <f>IF(CABLES[[#This Row],[SEG8]]&gt;0,CABLES[[#This Row],[CABLE_MASS]],0)</f>
        <v>0</v>
      </c>
      <c r="GO46" s="10">
        <f>IF(CABLES[[#This Row],[SEG9]]&gt;0,CABLES[[#This Row],[CABLE_MASS]],0)</f>
        <v>0</v>
      </c>
      <c r="GP46" s="10">
        <f>IF(CABLES[[#This Row],[SEG10]]&gt;0,CABLES[[#This Row],[CABLE_MASS]],0)</f>
        <v>0</v>
      </c>
      <c r="GQ46" s="10">
        <f>IF(CABLES[[#This Row],[SEG11]]&gt;0,CABLES[[#This Row],[CABLE_MASS]],0)</f>
        <v>0</v>
      </c>
      <c r="GR46" s="10">
        <f>IF(CABLES[[#This Row],[SEG12]]&gt;0,CABLES[[#This Row],[CABLE_MASS]],0)</f>
        <v>0</v>
      </c>
      <c r="GS46" s="10">
        <f>IF(CABLES[[#This Row],[SEG13]]&gt;0,CABLES[[#This Row],[CABLE_MASS]],0)</f>
        <v>0</v>
      </c>
      <c r="GT46" s="10">
        <f>IF(CABLES[[#This Row],[SEG14]]&gt;0,CABLES[[#This Row],[CABLE_MASS]],0)</f>
        <v>0</v>
      </c>
      <c r="GU46" s="10">
        <f>IF(CABLES[[#This Row],[SEG15]]&gt;0,CABLES[[#This Row],[CABLE_MASS]],0)</f>
        <v>0</v>
      </c>
      <c r="GV46" s="10">
        <f>IF(CABLES[[#This Row],[SEG16]]&gt;0,CABLES[[#This Row],[CABLE_MASS]],0)</f>
        <v>0</v>
      </c>
      <c r="GW46" s="10">
        <f>IF(CABLES[[#This Row],[SEG17]]&gt;0,CABLES[[#This Row],[CABLE_MASS]],0)</f>
        <v>0</v>
      </c>
      <c r="GX46" s="10">
        <f>IF(CABLES[[#This Row],[SEG18]]&gt;0,CABLES[[#This Row],[CABLE_MASS]],0)</f>
        <v>0</v>
      </c>
      <c r="GY46" s="10">
        <f>IF(CABLES[[#This Row],[SEG19]]&gt;0,CABLES[[#This Row],[CABLE_MASS]],0)</f>
        <v>0</v>
      </c>
      <c r="GZ46" s="10">
        <f>IF(CABLES[[#This Row],[SEG20]]&gt;0,CABLES[[#This Row],[CABLE_MASS]],0)</f>
        <v>0</v>
      </c>
      <c r="HA46" s="10">
        <f>IF(CABLES[[#This Row],[SEG21]]&gt;0,CABLES[[#This Row],[CABLE_MASS]],0)</f>
        <v>0</v>
      </c>
      <c r="HB46" s="10">
        <f>IF(CABLES[[#This Row],[SEG22]]&gt;0,CABLES[[#This Row],[CABLE_MASS]],0)</f>
        <v>0</v>
      </c>
      <c r="HC46" s="10">
        <f>IF(CABLES[[#This Row],[SEG23]]&gt;0,CABLES[[#This Row],[CABLE_MASS]],0)</f>
        <v>0</v>
      </c>
      <c r="HD46" s="10">
        <f>IF(CABLES[[#This Row],[SEG24]]&gt;0,CABLES[[#This Row],[CABLE_MASS]],0)</f>
        <v>0</v>
      </c>
      <c r="HE46" s="10">
        <f>IF(CABLES[[#This Row],[SEG25]]&gt;0,CABLES[[#This Row],[CABLE_MASS]],0)</f>
        <v>0</v>
      </c>
      <c r="HF46" s="10">
        <f>IF(CABLES[[#This Row],[SEG26]]&gt;0,CABLES[[#This Row],[CABLE_MASS]],0)</f>
        <v>0</v>
      </c>
      <c r="HG46" s="10">
        <f>IF(CABLES[[#This Row],[SEG27]]&gt;0,CABLES[[#This Row],[CABLE_MASS]],0)</f>
        <v>0</v>
      </c>
      <c r="HH46" s="10">
        <f>IF(CABLES[[#This Row],[SEG28]]&gt;0,CABLES[[#This Row],[CABLE_MASS]],0)</f>
        <v>0</v>
      </c>
      <c r="HI46" s="10">
        <f>IF(CABLES[[#This Row],[SEG29]]&gt;0,CABLES[[#This Row],[CABLE_MASS]],0)</f>
        <v>0</v>
      </c>
      <c r="HJ46" s="10">
        <f>IF(CABLES[[#This Row],[SEG30]]&gt;0,CABLES[[#This Row],[CABLE_MASS]],0)</f>
        <v>0.21</v>
      </c>
      <c r="HK46" s="10">
        <f>IF(CABLES[[#This Row],[SEG31]]&gt;0,CABLES[[#This Row],[CABLE_MASS]],0)</f>
        <v>0.21</v>
      </c>
      <c r="HL46" s="10">
        <f>IF(CABLES[[#This Row],[SEG32]]&gt;0,CABLES[[#This Row],[CABLE_MASS]],0)</f>
        <v>0</v>
      </c>
      <c r="HM46" s="10">
        <f>IF(CABLES[[#This Row],[SEG33]]&gt;0,CABLES[[#This Row],[CABLE_MASS]],0)</f>
        <v>0</v>
      </c>
      <c r="HN46" s="10">
        <f>IF(CABLES[[#This Row],[SEG34]]&gt;0,CABLES[[#This Row],[CABLE_MASS]],0)</f>
        <v>0</v>
      </c>
      <c r="HO46" s="10">
        <f>IF(CABLES[[#This Row],[SEG35]]&gt;0,CABLES[[#This Row],[CABLE_MASS]],0)</f>
        <v>0</v>
      </c>
      <c r="HP46" s="10">
        <f>IF(CABLES[[#This Row],[SEG36]]&gt;0,CABLES[[#This Row],[CABLE_MASS]],0)</f>
        <v>0</v>
      </c>
      <c r="HQ46" s="10">
        <f>IF(CABLES[[#This Row],[SEG37]]&gt;0,CABLES[[#This Row],[CABLE_MASS]],0)</f>
        <v>0</v>
      </c>
      <c r="HR46" s="10">
        <f>IF(CABLES[[#This Row],[SEG38]]&gt;0,CABLES[[#This Row],[CABLE_MASS]],0)</f>
        <v>0</v>
      </c>
      <c r="HS46" s="10">
        <f>IF(CABLES[[#This Row],[SEG39]]&gt;0,CABLES[[#This Row],[CABLE_MASS]],0)</f>
        <v>0.21</v>
      </c>
      <c r="HT46" s="10">
        <f>IF(CABLES[[#This Row],[SEG40]]&gt;0,CABLES[[#This Row],[CABLE_MASS]],0)</f>
        <v>0.21</v>
      </c>
      <c r="HU46" s="10">
        <f>IF(CABLES[[#This Row],[SEG41]]&gt;0,CABLES[[#This Row],[CABLE_MASS]],0)</f>
        <v>0</v>
      </c>
      <c r="HV46" s="10">
        <f>IF(CABLES[[#This Row],[SEG42]]&gt;0,CABLES[[#This Row],[CABLE_MASS]],0)</f>
        <v>0</v>
      </c>
      <c r="HW46" s="10">
        <f>IF(CABLES[[#This Row],[SEG43]]&gt;0,CABLES[[#This Row],[CABLE_MASS]],0)</f>
        <v>0</v>
      </c>
      <c r="HX46" s="10">
        <f>IF(CABLES[[#This Row],[SEG44]]&gt;0,CABLES[[#This Row],[CABLE_MASS]],0)</f>
        <v>0</v>
      </c>
      <c r="HY46" s="10">
        <f>IF(CABLES[[#This Row],[SEG45]]&gt;0,CABLES[[#This Row],[CABLE_MASS]],0)</f>
        <v>0</v>
      </c>
      <c r="HZ46" s="10">
        <f>IF(CABLES[[#This Row],[SEG46]]&gt;0,CABLES[[#This Row],[CABLE_MASS]],0)</f>
        <v>0</v>
      </c>
      <c r="IA46" s="10">
        <f>IF(CABLES[[#This Row],[SEG47]]&gt;0,CABLES[[#This Row],[CABLE_MASS]],0)</f>
        <v>0</v>
      </c>
      <c r="IB46" s="10">
        <f>IF(CABLES[[#This Row],[SEG48]]&gt;0,CABLES[[#This Row],[CABLE_MASS]],0)</f>
        <v>0</v>
      </c>
      <c r="IC46" s="10">
        <f>IF(CABLES[[#This Row],[SEG49]]&gt;0,CABLES[[#This Row],[CABLE_MASS]],0)</f>
        <v>0</v>
      </c>
      <c r="ID46" s="10">
        <f>IF(CABLES[[#This Row],[SEG50]]&gt;0,CABLES[[#This Row],[CABLE_MASS]],0)</f>
        <v>0</v>
      </c>
      <c r="IE46" s="10">
        <f>IF(CABLES[[#This Row],[SEG51]]&gt;0,CABLES[[#This Row],[CABLE_MASS]],0)</f>
        <v>0</v>
      </c>
      <c r="IF46" s="10">
        <f>IF(CABLES[[#This Row],[SEG52]]&gt;0,CABLES[[#This Row],[CABLE_MASS]],0)</f>
        <v>0</v>
      </c>
      <c r="IG46" s="10">
        <f>IF(CABLES[[#This Row],[SEG53]]&gt;0,CABLES[[#This Row],[CABLE_MASS]],0)</f>
        <v>0</v>
      </c>
      <c r="IH46" s="10">
        <f>IF(CABLES[[#This Row],[SEG54]]&gt;0,CABLES[[#This Row],[CABLE_MASS]],0)</f>
        <v>0</v>
      </c>
      <c r="II46" s="10">
        <f>IF(CABLES[[#This Row],[SEG55]]&gt;0,CABLES[[#This Row],[CABLE_MASS]],0)</f>
        <v>0</v>
      </c>
      <c r="IJ46" s="10">
        <f>IF(CABLES[[#This Row],[SEG56]]&gt;0,CABLES[[#This Row],[CABLE_MASS]],0)</f>
        <v>0</v>
      </c>
      <c r="IK46" s="10">
        <f>IF(CABLES[[#This Row],[SEG57]]&gt;0,CABLES[[#This Row],[CABLE_MASS]],0)</f>
        <v>0</v>
      </c>
      <c r="IL46" s="10">
        <f>IF(CABLES[[#This Row],[SEG58]]&gt;0,CABLES[[#This Row],[CABLE_MASS]],0)</f>
        <v>0</v>
      </c>
      <c r="IM46" s="10">
        <f>IF(CABLES[[#This Row],[SEG59]]&gt;0,CABLES[[#This Row],[CABLE_MASS]],0)</f>
        <v>0</v>
      </c>
      <c r="IN46" s="10">
        <f>IF(CABLES[[#This Row],[SEG60]]&gt;0,CABLES[[#This Row],[CABLE_MASS]],0)</f>
        <v>0</v>
      </c>
      <c r="IO46" s="10">
        <f xml:space="preserve">  (CABLES[[#This Row],[LOAD_KW]]/(SQRT(3)*SYSTEM_VOLTAGE*POWER_FACTOR))*1000</f>
        <v>8.8206291126192813</v>
      </c>
      <c r="IP46" s="10">
        <v>45</v>
      </c>
      <c r="IQ46" s="10">
        <f xml:space="preserve"> INDEX(AS3000_AMBIENTDERATE[], MATCH(CABLES[[#This Row],[AMBIENT]],AS3000_AMBIENTDERATE[AMBIENT],0), 2)</f>
        <v>0.94</v>
      </c>
      <c r="IR46" s="10">
        <f xml:space="preserve"> ROUNDUP( CABLES[[#This Row],[CALCULATED_AMPS]]/CABLES[[#This Row],[AMBIENT_DERATING]],1)</f>
        <v>9.4</v>
      </c>
      <c r="IS46" s="10" t="s">
        <v>531</v>
      </c>
      <c r="IT4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6" s="10">
        <f t="shared" si="1"/>
        <v>28.000000000000004</v>
      </c>
      <c r="IV46" s="10">
        <f>(1000*CABLES[[#This Row],[MAX_VDROP]])/(CABLES[[#This Row],[ESTIMATED_CABLE_LENGTH]]*CABLES[[#This Row],[AMP_RATING]])</f>
        <v>75.220287986245438</v>
      </c>
      <c r="IW46" s="10">
        <f xml:space="preserve"> INDEX(AS3000_VDROP[], MATCH(CABLES[[#This Row],[VC_CALC]],AS3000_VDROP[Vc],1),1)</f>
        <v>2.5</v>
      </c>
      <c r="IX46" s="10">
        <f>MAX(CABLES[[#This Row],[CABLESIZE_METHOD1]],CABLES[[#This Row],[CABLESIZE_METHOD2]])</f>
        <v>2.5</v>
      </c>
      <c r="IY46" s="10"/>
      <c r="IZ46" s="10">
        <f>IF(LEN(CABLES[[#This Row],[OVERRIDE_CABLESIZE]])&gt;0,CABLES[[#This Row],[OVERRIDE_CABLESIZE]],CABLES[[#This Row],[INITIAL_CABLESIZE]])</f>
        <v>2.5</v>
      </c>
      <c r="JA46" s="10">
        <f>INDEX(PROTECTIVE_DEVICE[DEVICE], MATCH(CABLES[[#This Row],[CALCULATED_AMPS]],PROTECTIVE_DEVICE[DEVICE],-1),1)</f>
        <v>10</v>
      </c>
      <c r="JB46" s="10"/>
      <c r="JC46" s="10">
        <f>IF(LEN(CABLES[[#This Row],[OVERRIDE_PDEVICE]])&gt;0, CABLES[[#This Row],[OVERRIDE_PDEVICE]],CABLES[[#This Row],[RECOMMEND_PDEVICE]])</f>
        <v>10</v>
      </c>
      <c r="JD46" s="10" t="s">
        <v>450</v>
      </c>
      <c r="JE46" s="10">
        <f xml:space="preserve"> CABLES[[#This Row],[SELECTED_PDEVICE]] * INDEX(DEVICE_CURVE[], MATCH(CABLES[[#This Row],[PDEVICE_CURVE]], DEVICE_CURVE[DEVICE_CURVE],0),2)</f>
        <v>65</v>
      </c>
      <c r="JF46" s="10" t="s">
        <v>458</v>
      </c>
      <c r="JG46" s="10">
        <f xml:space="preserve"> INDEX(CONDUCTOR_MATERIAL[], MATCH(CABLES[[#This Row],[CONDUCTOR_MATERIAL]],CONDUCTOR_MATERIAL[CONDUCTOR_MATERIAL],0),2)</f>
        <v>2.2499999999999999E-2</v>
      </c>
      <c r="JH46" s="10">
        <f>CABLES[[#This Row],[SELECTED_CABLESIZE]]</f>
        <v>2.5</v>
      </c>
      <c r="JI46" s="10">
        <f xml:space="preserve"> INDEX( EARTH_CONDUCTOR_SIZE[], MATCH(CABLES[[#This Row],[SPH]],EARTH_CONDUCTOR_SIZE[MM^2],-1), 2)</f>
        <v>2.5</v>
      </c>
      <c r="JJ46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46" s="10" t="str">
        <f>IF(CABLES[[#This Row],[LMAX]]&gt;CABLES[[#This Row],[ESTIMATED_CABLE_LENGTH]], "PASS", "ERROR")</f>
        <v>PASS</v>
      </c>
      <c r="JL4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4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46" s="6">
        <f xml:space="preserve"> ROUNDUP( CABLES[[#This Row],[CALCULATED_AMPS]],1)</f>
        <v>8.9</v>
      </c>
      <c r="JO46" s="6">
        <f>CABLES[[#This Row],[SELECTED_CABLESIZE]]</f>
        <v>2.5</v>
      </c>
      <c r="JP46" s="10">
        <f>CABLES[[#This Row],[ESTIMATED_CABLE_LENGTH]]</f>
        <v>39.6</v>
      </c>
      <c r="JQ46" s="6">
        <f>CABLES[[#This Row],[SELECTED_PDEVICE]]</f>
        <v>10</v>
      </c>
    </row>
    <row r="47" spans="1:277" x14ac:dyDescent="0.35">
      <c r="A47" s="5" t="s">
        <v>46</v>
      </c>
      <c r="B47" s="5" t="s">
        <v>498</v>
      </c>
      <c r="C47" s="10" t="s">
        <v>262</v>
      </c>
      <c r="D47" s="9">
        <v>5.5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1</v>
      </c>
      <c r="AI47" s="9">
        <v>1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9">
        <v>1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f xml:space="preserve"> IF(CABLES[[#This Row],[SEG1]] &gt;0, INDEX(SEGMENTS[], MATCH(CABLES[[#Headers],[SEG1]],SEGMENTS[SEG_ID],0),4),0)</f>
        <v>0</v>
      </c>
      <c r="BN47" s="9">
        <f xml:space="preserve"> IF(CABLES[[#This Row],[SEG2]] &gt;0, INDEX(SEGMENTS[], MATCH(CABLES[[#Headers],[SEG2]],SEGMENTS[SEG_ID],0),4),0)</f>
        <v>0</v>
      </c>
      <c r="BO47" s="9">
        <f xml:space="preserve"> IF(CABLES[[#This Row],[SEG3]] &gt;0, INDEX(SEGMENTS[], MATCH(CABLES[[#Headers],[SEG3]],SEGMENTS[SEG_ID],0),4),0)</f>
        <v>0</v>
      </c>
      <c r="BP47" s="9">
        <f xml:space="preserve"> IF(CABLES[[#This Row],[SEG4]] &gt;0, INDEX(SEGMENTS[], MATCH(CABLES[[#Headers],[SEG4]],SEGMENTS[SEG_ID],0),4),0)</f>
        <v>0</v>
      </c>
      <c r="BQ47" s="9">
        <f xml:space="preserve"> IF(CABLES[[#This Row],[SEG5]] &gt;0,INDEX(SEGMENTS[], MATCH(CABLES[[#Headers],[SEG5]],SEGMENTS[SEG_ID],0),4),0)</f>
        <v>0</v>
      </c>
      <c r="BR47" s="9">
        <f xml:space="preserve"> IF(CABLES[[#This Row],[SEG6]] &gt;0,INDEX(SEGMENTS[], MATCH(CABLES[[#Headers],[SEG6]],SEGMENTS[SEG_ID],0),4),0)</f>
        <v>0</v>
      </c>
      <c r="BS47" s="9">
        <f xml:space="preserve"> IF(CABLES[[#This Row],[SEG7]] &gt;0,INDEX(SEGMENTS[], MATCH(CABLES[[#Headers],[SEG7]],SEGMENTS[SEG_ID],0),4),0)</f>
        <v>0</v>
      </c>
      <c r="BT47" s="9">
        <f xml:space="preserve"> IF(CABLES[[#This Row],[SEG8]] &gt;0,INDEX(SEGMENTS[], MATCH(CABLES[[#Headers],[SEG8]],SEGMENTS[SEG_ID],0),4),0)</f>
        <v>0</v>
      </c>
      <c r="BU47" s="9">
        <f xml:space="preserve"> IF(CABLES[[#This Row],[SEG9]] &gt;0,INDEX(SEGMENTS[], MATCH(CABLES[[#Headers],[SEG9]],SEGMENTS[SEG_ID],0),4),0)</f>
        <v>0</v>
      </c>
      <c r="BV47" s="9">
        <f xml:space="preserve"> IF(CABLES[[#This Row],[SEG10]] &gt;0,INDEX(SEGMENTS[], MATCH(CABLES[[#Headers],[SEG10]],SEGMENTS[SEG_ID],0),4),0)</f>
        <v>0</v>
      </c>
      <c r="BW47" s="9">
        <f xml:space="preserve"> IF(CABLES[[#This Row],[SEG11]] &gt;0,INDEX(SEGMENTS[], MATCH(CABLES[[#Headers],[SEG11]],SEGMENTS[SEG_ID],0),4),0)</f>
        <v>0</v>
      </c>
      <c r="BX47" s="9">
        <f>IF(CABLES[[#This Row],[SEG12]] &gt;0, INDEX(SEGMENTS[], MATCH(CABLES[[#Headers],[SEG12]],SEGMENTS[SEG_ID],0),4),0)</f>
        <v>0</v>
      </c>
      <c r="BY47" s="9">
        <f xml:space="preserve"> IF(CABLES[[#This Row],[SEG13]] &gt;0,INDEX(SEGMENTS[], MATCH(CABLES[[#Headers],[SEG13]],SEGMENTS[SEG_ID],0),4),0)</f>
        <v>0</v>
      </c>
      <c r="BZ47" s="9">
        <f xml:space="preserve"> IF(CABLES[[#This Row],[SEG14]] &gt;0,INDEX(SEGMENTS[], MATCH(CABLES[[#Headers],[SEG14]],SEGMENTS[SEG_ID],0),4),0)</f>
        <v>0</v>
      </c>
      <c r="CA47" s="9">
        <f xml:space="preserve"> IF(CABLES[[#This Row],[SEG15]] &gt;0,INDEX(SEGMENTS[], MATCH(CABLES[[#Headers],[SEG15]],SEGMENTS[SEG_ID],0),4),0)</f>
        <v>0</v>
      </c>
      <c r="CB47" s="9">
        <f xml:space="preserve"> IF(CABLES[[#This Row],[SEG16]] &gt;0,INDEX(SEGMENTS[], MATCH(CABLES[[#Headers],[SEG16]],SEGMENTS[SEG_ID],0),4),0)</f>
        <v>0</v>
      </c>
      <c r="CC47" s="9">
        <f xml:space="preserve"> IF(CABLES[[#This Row],[SEG17]] &gt;0,INDEX(SEGMENTS[], MATCH(CABLES[[#Headers],[SEG17]],SEGMENTS[SEG_ID],0),4),0)</f>
        <v>0</v>
      </c>
      <c r="CD47" s="9">
        <f xml:space="preserve"> IF(CABLES[[#This Row],[SEG18]] &gt;0,INDEX(SEGMENTS[], MATCH(CABLES[[#Headers],[SEG18]],SEGMENTS[SEG_ID],0),4),0)</f>
        <v>0</v>
      </c>
      <c r="CE47" s="9">
        <f>IF(CABLES[[#This Row],[SEG19]] &gt;0, INDEX(SEGMENTS[], MATCH(CABLES[[#Headers],[SEG19]],SEGMENTS[SEG_ID],0),4),0)</f>
        <v>0</v>
      </c>
      <c r="CF47" s="9">
        <f>IF(CABLES[[#This Row],[SEG20]] &gt;0, INDEX(SEGMENTS[], MATCH(CABLES[[#Headers],[SEG20]],SEGMENTS[SEG_ID],0),4),0)</f>
        <v>0</v>
      </c>
      <c r="CG47" s="9">
        <f xml:space="preserve"> IF(CABLES[[#This Row],[SEG21]] &gt;0,INDEX(SEGMENTS[], MATCH(CABLES[[#Headers],[SEG21]],SEGMENTS[SEG_ID],0),4),0)</f>
        <v>0</v>
      </c>
      <c r="CH47" s="9">
        <f xml:space="preserve"> IF(CABLES[[#This Row],[SEG22]] &gt;0,INDEX(SEGMENTS[], MATCH(CABLES[[#Headers],[SEG22]],SEGMENTS[SEG_ID],0),4),0)</f>
        <v>0</v>
      </c>
      <c r="CI47" s="9">
        <f>IF(CABLES[[#This Row],[SEG23]] &gt;0, INDEX(SEGMENTS[], MATCH(CABLES[[#Headers],[SEG23]],SEGMENTS[SEG_ID],0),4),0)</f>
        <v>0</v>
      </c>
      <c r="CJ47" s="9">
        <f xml:space="preserve"> IF(CABLES[[#This Row],[SEG24]] &gt;0,INDEX(SEGMENTS[], MATCH(CABLES[[#Headers],[SEG24]],SEGMENTS[SEG_ID],0),4),0)</f>
        <v>0</v>
      </c>
      <c r="CK47" s="9">
        <f>IF(CABLES[[#This Row],[SEG25]] &gt;0, INDEX(SEGMENTS[], MATCH(CABLES[[#Headers],[SEG25]],SEGMENTS[SEG_ID],0),4),0)</f>
        <v>0</v>
      </c>
      <c r="CL47" s="9">
        <f>IF(CABLES[[#This Row],[SEG26]] &gt;0, INDEX(SEGMENTS[], MATCH(CABLES[[#Headers],[SEG26]],SEGMENTS[SEG_ID],0),4),0)</f>
        <v>0</v>
      </c>
      <c r="CM47" s="9">
        <f xml:space="preserve"> IF(CABLES[[#This Row],[SEG27]] &gt;0,INDEX(SEGMENTS[], MATCH(CABLES[[#Headers],[SEG27]],SEGMENTS[SEG_ID],0),4),0)</f>
        <v>0</v>
      </c>
      <c r="CN47" s="9">
        <f xml:space="preserve"> IF(CABLES[[#This Row],[SEG28]] &gt;0,INDEX(SEGMENTS[], MATCH(CABLES[[#Headers],[SEG28]],SEGMENTS[SEG_ID],0),4),0)</f>
        <v>0</v>
      </c>
      <c r="CO47" s="9">
        <f xml:space="preserve"> IF(CABLES[[#This Row],[SEG29]] &gt;0,INDEX(SEGMENTS[], MATCH(CABLES[[#Headers],[SEG29]],SEGMENTS[SEG_ID],0),4),0)</f>
        <v>0</v>
      </c>
      <c r="CP47" s="9">
        <f xml:space="preserve"> IF(CABLES[[#This Row],[SEG30]] &gt;0,INDEX(SEGMENTS[], MATCH(CABLES[[#Headers],[SEG30]],SEGMENTS[SEG_ID],0),4),0)</f>
        <v>6</v>
      </c>
      <c r="CQ47" s="9">
        <f>IF(CABLES[[#This Row],[SEG31]] &gt;0, INDEX(SEGMENTS[], MATCH(CABLES[[#Headers],[SEG31]],SEGMENTS[SEG_ID],0),4),0)</f>
        <v>3</v>
      </c>
      <c r="CR47" s="9">
        <f xml:space="preserve"> IF(CABLES[[#This Row],[SEG32]] &gt;0,INDEX(SEGMENTS[], MATCH(CABLES[[#Headers],[SEG32]],SEGMENTS[SEG_ID],0),4),0)</f>
        <v>0</v>
      </c>
      <c r="CS47" s="9">
        <f xml:space="preserve"> IF(CABLES[[#This Row],[SEG33]] &gt;0,INDEX(SEGMENTS[], MATCH(CABLES[[#Headers],[SEG33]],SEGMENTS[SEG_ID],0),4),0)</f>
        <v>0</v>
      </c>
      <c r="CT47" s="9">
        <f>IF(CABLES[[#This Row],[SEG34]] &gt;0, INDEX(SEGMENTS[], MATCH(CABLES[[#Headers],[SEG34]],SEGMENTS[SEG_ID],0),4),0)</f>
        <v>0</v>
      </c>
      <c r="CU47" s="9">
        <f xml:space="preserve"> IF(CABLES[[#This Row],[SEG35]] &gt;0,INDEX(SEGMENTS[], MATCH(CABLES[[#Headers],[SEG35]],SEGMENTS[SEG_ID],0),4),0)</f>
        <v>0</v>
      </c>
      <c r="CV47" s="9">
        <f xml:space="preserve"> IF(CABLES[[#This Row],[SEG36]] &gt;0,INDEX(SEGMENTS[], MATCH(CABLES[[#Headers],[SEG36]],SEGMENTS[SEG_ID],0),4),0)</f>
        <v>0</v>
      </c>
      <c r="CW47" s="9">
        <f xml:space="preserve"> IF(CABLES[[#This Row],[SEG37]] &gt;0,INDEX(SEGMENTS[], MATCH(CABLES[[#Headers],[SEG37]],SEGMENTS[SEG_ID],0),4),0)</f>
        <v>0</v>
      </c>
      <c r="CX47" s="9">
        <f xml:space="preserve"> IF(CABLES[[#This Row],[SEG38]] &gt;0,INDEX(SEGMENTS[], MATCH(CABLES[[#Headers],[SEG38]],SEGMENTS[SEG_ID],0),4),0)</f>
        <v>0</v>
      </c>
      <c r="CY47" s="9">
        <f xml:space="preserve"> IF(CABLES[[#This Row],[SEG39]] &gt;0,INDEX(SEGMENTS[], MATCH(CABLES[[#Headers],[SEG39]],SEGMENTS[SEG_ID],0),4),0)</f>
        <v>8</v>
      </c>
      <c r="CZ47" s="9">
        <f xml:space="preserve"> IF(CABLES[[#This Row],[SEG40]] &gt;0,INDEX(SEGMENTS[], MATCH(CABLES[[#Headers],[SEG40]],SEGMENTS[SEG_ID],0),4),0)</f>
        <v>11</v>
      </c>
      <c r="DA47" s="9">
        <f xml:space="preserve"> IF(CABLES[[#This Row],[SEG41]] &gt;0,INDEX(SEGMENTS[], MATCH(CABLES[[#Headers],[SEG41]],SEGMENTS[SEG_ID],0),4),0)</f>
        <v>0</v>
      </c>
      <c r="DB47" s="9">
        <f xml:space="preserve"> IF(CABLES[[#This Row],[SEG42]] &gt;0,INDEX(SEGMENTS[], MATCH(CABLES[[#Headers],[SEG42]],SEGMENTS[SEG_ID],0),4),0)</f>
        <v>0</v>
      </c>
      <c r="DC47" s="9">
        <f xml:space="preserve"> IF(CABLES[[#This Row],[SEG43]] &gt;0,INDEX(SEGMENTS[], MATCH(CABLES[[#Headers],[SEG43]],SEGMENTS[SEG_ID],0),4),0)</f>
        <v>0</v>
      </c>
      <c r="DD47" s="9">
        <f xml:space="preserve"> IF(CABLES[[#This Row],[SEG44]] &gt;0,INDEX(SEGMENTS[], MATCH(CABLES[[#Headers],[SEG44]],SEGMENTS[SEG_ID],0),4),0)</f>
        <v>0</v>
      </c>
      <c r="DE47" s="9">
        <f xml:space="preserve"> IF(CABLES[[#This Row],[SEG45]] &gt;0,INDEX(SEGMENTS[], MATCH(CABLES[[#Headers],[SEG45]],SEGMENTS[SEG_ID],0),4),0)</f>
        <v>0</v>
      </c>
      <c r="DF47" s="9">
        <f xml:space="preserve"> IF(CABLES[[#This Row],[SEG46]] &gt;0,INDEX(SEGMENTS[], MATCH(CABLES[[#Headers],[SEG46]],SEGMENTS[SEG_ID],0),4),0)</f>
        <v>0</v>
      </c>
      <c r="DG47" s="9">
        <f xml:space="preserve"> IF(CABLES[[#This Row],[SEG47]] &gt;0,INDEX(SEGMENTS[], MATCH(CABLES[[#Headers],[SEG47]],SEGMENTS[SEG_ID],0),4),0)</f>
        <v>0</v>
      </c>
      <c r="DH47" s="9">
        <f xml:space="preserve"> IF(CABLES[[#This Row],[SEG48]] &gt;0,INDEX(SEGMENTS[], MATCH(CABLES[[#Headers],[SEG48]],SEGMENTS[SEG_ID],0),4),0)</f>
        <v>0</v>
      </c>
      <c r="DI47" s="9">
        <f xml:space="preserve"> IF(CABLES[[#This Row],[SEG49]] &gt;0,INDEX(SEGMENTS[], MATCH(CABLES[[#Headers],[SEG49]],SEGMENTS[SEG_ID],0),4),0)</f>
        <v>0</v>
      </c>
      <c r="DJ47" s="9">
        <f xml:space="preserve"> IF(CABLES[[#This Row],[SEG50]] &gt;0,INDEX(SEGMENTS[], MATCH(CABLES[[#Headers],[SEG50]],SEGMENTS[SEG_ID],0),4),0)</f>
        <v>0</v>
      </c>
      <c r="DK47" s="9">
        <f xml:space="preserve"> IF(CABLES[[#This Row],[SEG51]] &gt;0,INDEX(SEGMENTS[], MATCH(CABLES[[#Headers],[SEG51]],SEGMENTS[SEG_ID],0),4),0)</f>
        <v>0</v>
      </c>
      <c r="DL47" s="9">
        <f xml:space="preserve"> IF(CABLES[[#This Row],[SEG52]] &gt;0,INDEX(SEGMENTS[], MATCH(CABLES[[#Headers],[SEG52]],SEGMENTS[SEG_ID],0),4),0)</f>
        <v>0</v>
      </c>
      <c r="DM47" s="9">
        <f xml:space="preserve"> IF(CABLES[[#This Row],[SEG53]] &gt;0,INDEX(SEGMENTS[], MATCH(CABLES[[#Headers],[SEG53]],SEGMENTS[SEG_ID],0),4),0)</f>
        <v>0</v>
      </c>
      <c r="DN47" s="9">
        <f xml:space="preserve"> IF(CABLES[[#This Row],[SEG54]] &gt;0,INDEX(SEGMENTS[], MATCH(CABLES[[#Headers],[SEG54]],SEGMENTS[SEG_ID],0),4),0)</f>
        <v>0</v>
      </c>
      <c r="DO47" s="9">
        <f xml:space="preserve"> IF(CABLES[[#This Row],[SEG55]] &gt;0,INDEX(SEGMENTS[], MATCH(CABLES[[#Headers],[SEG55]],SEGMENTS[SEG_ID],0),4),0)</f>
        <v>0</v>
      </c>
      <c r="DP47" s="9">
        <f xml:space="preserve"> IF(CABLES[[#This Row],[SEG56]] &gt;0,INDEX(SEGMENTS[], MATCH(CABLES[[#Headers],[SEG56]],SEGMENTS[SEG_ID],0),4),0)</f>
        <v>0</v>
      </c>
      <c r="DQ47" s="9">
        <f xml:space="preserve"> IF(CABLES[[#This Row],[SEG57]] &gt;0,INDEX(SEGMENTS[], MATCH(CABLES[[#Headers],[SEG57]],SEGMENTS[SEG_ID],0),4),0)</f>
        <v>0</v>
      </c>
      <c r="DR47" s="9">
        <f xml:space="preserve"> IF(CABLES[[#This Row],[SEG58]] &gt;0,INDEX(SEGMENTS[], MATCH(CABLES[[#Headers],[SEG58]],SEGMENTS[SEG_ID],0),4),0)</f>
        <v>0</v>
      </c>
      <c r="DS47" s="9">
        <f xml:space="preserve"> IF(CABLES[[#This Row],[SEG59]] &gt;0,INDEX(SEGMENTS[], MATCH(CABLES[[#Headers],[SEG59]],SEGMENTS[SEG_ID],0),4),0)</f>
        <v>0</v>
      </c>
      <c r="DT47" s="9">
        <f xml:space="preserve"> IF(CABLES[[#This Row],[SEG60]] &gt;0,INDEX(SEGMENTS[], MATCH(CABLES[[#Headers],[SEG60]],SEGMENTS[SEG_ID],0),4),0)</f>
        <v>0</v>
      </c>
      <c r="DU47" s="10">
        <f>SUM(CABLES[[#This Row],[SEGL1]:[SEGL60]])</f>
        <v>28</v>
      </c>
      <c r="DV47" s="10">
        <v>5</v>
      </c>
      <c r="DW47" s="10">
        <v>1.2</v>
      </c>
      <c r="DX47" s="10">
        <f xml:space="preserve"> IF(CABLES[[#This Row],[SEGL_TOTAL]]&gt;0, (CABLES[[#This Row],[SEGL_TOTAL]] + CABLES[[#This Row],[FITOFF]]) *CABLES[[#This Row],[XCAPACITY]],0)</f>
        <v>39.6</v>
      </c>
      <c r="DY47" s="10">
        <f>IF(CABLES[[#This Row],[SEG1]]&gt;0,CABLES[[#This Row],[CABLE_DIAMETER]],0)</f>
        <v>0</v>
      </c>
      <c r="DZ47" s="10">
        <f>IF(CABLES[[#This Row],[SEG2]]&gt;0,CABLES[[#This Row],[CABLE_DIAMETER]],0)</f>
        <v>0</v>
      </c>
      <c r="EA47" s="10">
        <f>IF(CABLES[[#This Row],[SEG3]]&gt;0,CABLES[[#This Row],[CABLE_DIAMETER]],0)</f>
        <v>0</v>
      </c>
      <c r="EB47" s="10">
        <f>IF(CABLES[[#This Row],[SEG4]]&gt;0,CABLES[[#This Row],[CABLE_DIAMETER]],0)</f>
        <v>0</v>
      </c>
      <c r="EC47" s="10">
        <f>IF(CABLES[[#This Row],[SEG5]]&gt;0,CABLES[[#This Row],[CABLE_DIAMETER]],0)</f>
        <v>0</v>
      </c>
      <c r="ED47" s="10">
        <f>IF(CABLES[[#This Row],[SEG6]]&gt;0,CABLES[[#This Row],[CABLE_DIAMETER]],0)</f>
        <v>0</v>
      </c>
      <c r="EE47" s="10">
        <f>IF(CABLES[[#This Row],[SEG7]]&gt;0,CABLES[[#This Row],[CABLE_DIAMETER]],0)</f>
        <v>0</v>
      </c>
      <c r="EF47" s="10">
        <f>IF(CABLES[[#This Row],[SEG9]]&gt;0,CABLES[[#This Row],[CABLE_DIAMETER]],0)</f>
        <v>0</v>
      </c>
      <c r="EG47" s="10">
        <f>IF(CABLES[[#This Row],[SEG9]]&gt;0,CABLES[[#This Row],[CABLE_DIAMETER]],0)</f>
        <v>0</v>
      </c>
      <c r="EH47" s="10">
        <f>IF(CABLES[[#This Row],[SEG10]]&gt;0,CABLES[[#This Row],[CABLE_DIAMETER]],0)</f>
        <v>0</v>
      </c>
      <c r="EI47" s="10">
        <f>IF(CABLES[[#This Row],[SEG11]]&gt;0,CABLES[[#This Row],[CABLE_DIAMETER]],0)</f>
        <v>0</v>
      </c>
      <c r="EJ47" s="10">
        <f>IF(CABLES[[#This Row],[SEG12]]&gt;0,CABLES[[#This Row],[CABLE_DIAMETER]],0)</f>
        <v>0</v>
      </c>
      <c r="EK47" s="10">
        <f>IF(CABLES[[#This Row],[SEG13]]&gt;0,CABLES[[#This Row],[CABLE_DIAMETER]],0)</f>
        <v>0</v>
      </c>
      <c r="EL47" s="10">
        <f>IF(CABLES[[#This Row],[SEG14]]&gt;0,CABLES[[#This Row],[CABLE_DIAMETER]],0)</f>
        <v>0</v>
      </c>
      <c r="EM47" s="10">
        <f>IF(CABLES[[#This Row],[SEG15]]&gt;0,CABLES[[#This Row],[CABLE_DIAMETER]],0)</f>
        <v>0</v>
      </c>
      <c r="EN47" s="10">
        <f>IF(CABLES[[#This Row],[SEG16]]&gt;0,CABLES[[#This Row],[CABLE_DIAMETER]],0)</f>
        <v>0</v>
      </c>
      <c r="EO47" s="10">
        <f>IF(CABLES[[#This Row],[SEG17]]&gt;0,CABLES[[#This Row],[CABLE_DIAMETER]],0)</f>
        <v>0</v>
      </c>
      <c r="EP47" s="10">
        <f>IF(CABLES[[#This Row],[SEG18]]&gt;0,CABLES[[#This Row],[CABLE_DIAMETER]],0)</f>
        <v>0</v>
      </c>
      <c r="EQ47" s="10">
        <f>IF(CABLES[[#This Row],[SEG19]]&gt;0,CABLES[[#This Row],[CABLE_DIAMETER]],0)</f>
        <v>0</v>
      </c>
      <c r="ER47" s="10">
        <f>IF(CABLES[[#This Row],[SEG20]]&gt;0,CABLES[[#This Row],[CABLE_DIAMETER]],0)</f>
        <v>0</v>
      </c>
      <c r="ES47" s="10">
        <f>IF(CABLES[[#This Row],[SEG21]]&gt;0,CABLES[[#This Row],[CABLE_DIAMETER]],0)</f>
        <v>0</v>
      </c>
      <c r="ET47" s="10">
        <f>IF(CABLES[[#This Row],[SEG22]]&gt;0,CABLES[[#This Row],[CABLE_DIAMETER]],0)</f>
        <v>0</v>
      </c>
      <c r="EU47" s="10">
        <f>IF(CABLES[[#This Row],[SEG23]]&gt;0,CABLES[[#This Row],[CABLE_DIAMETER]],0)</f>
        <v>0</v>
      </c>
      <c r="EV47" s="10">
        <f>IF(CABLES[[#This Row],[SEG24]]&gt;0,CABLES[[#This Row],[CABLE_DIAMETER]],0)</f>
        <v>0</v>
      </c>
      <c r="EW47" s="10">
        <f>IF(CABLES[[#This Row],[SEG25]]&gt;0,CABLES[[#This Row],[CABLE_DIAMETER]],0)</f>
        <v>0</v>
      </c>
      <c r="EX47" s="10">
        <f>IF(CABLES[[#This Row],[SEG26]]&gt;0,CABLES[[#This Row],[CABLE_DIAMETER]],0)</f>
        <v>0</v>
      </c>
      <c r="EY47" s="10">
        <f>IF(CABLES[[#This Row],[SEG27]]&gt;0,CABLES[[#This Row],[CABLE_DIAMETER]],0)</f>
        <v>0</v>
      </c>
      <c r="EZ47" s="10">
        <f>IF(CABLES[[#This Row],[SEG28]]&gt;0,CABLES[[#This Row],[CABLE_DIAMETER]],0)</f>
        <v>0</v>
      </c>
      <c r="FA47" s="10">
        <f>IF(CABLES[[#This Row],[SEG29]]&gt;0,CABLES[[#This Row],[CABLE_DIAMETER]],0)</f>
        <v>0</v>
      </c>
      <c r="FB47" s="10">
        <f>IF(CABLES[[#This Row],[SEG30]]&gt;0,CABLES[[#This Row],[CABLE_DIAMETER]],0)</f>
        <v>12</v>
      </c>
      <c r="FC47" s="10">
        <f>IF(CABLES[[#This Row],[SEG31]]&gt;0,CABLES[[#This Row],[CABLE_DIAMETER]],0)</f>
        <v>12</v>
      </c>
      <c r="FD47" s="10">
        <f>IF(CABLES[[#This Row],[SEG32]]&gt;0,CABLES[[#This Row],[CABLE_DIAMETER]],0)</f>
        <v>0</v>
      </c>
      <c r="FE47" s="10">
        <f>IF(CABLES[[#This Row],[SEG33]]&gt;0,CABLES[[#This Row],[CABLE_DIAMETER]],0)</f>
        <v>0</v>
      </c>
      <c r="FF47" s="10">
        <f>IF(CABLES[[#This Row],[SEG34]]&gt;0,CABLES[[#This Row],[CABLE_DIAMETER]],0)</f>
        <v>0</v>
      </c>
      <c r="FG47" s="10">
        <f>IF(CABLES[[#This Row],[SEG35]]&gt;0,CABLES[[#This Row],[CABLE_DIAMETER]],0)</f>
        <v>0</v>
      </c>
      <c r="FH47" s="10">
        <f>IF(CABLES[[#This Row],[SEG36]]&gt;0,CABLES[[#This Row],[CABLE_DIAMETER]],0)</f>
        <v>0</v>
      </c>
      <c r="FI47" s="10">
        <f>IF(CABLES[[#This Row],[SEG37]]&gt;0,CABLES[[#This Row],[CABLE_DIAMETER]],0)</f>
        <v>0</v>
      </c>
      <c r="FJ47" s="10">
        <f>IF(CABLES[[#This Row],[SEG38]]&gt;0,CABLES[[#This Row],[CABLE_DIAMETER]],0)</f>
        <v>0</v>
      </c>
      <c r="FK47" s="10">
        <f>IF(CABLES[[#This Row],[SEG39]]&gt;0,CABLES[[#This Row],[CABLE_DIAMETER]],0)</f>
        <v>12</v>
      </c>
      <c r="FL47" s="10">
        <f>IF(CABLES[[#This Row],[SEG40]]&gt;0,CABLES[[#This Row],[CABLE_DIAMETER]],0)</f>
        <v>12</v>
      </c>
      <c r="FM47" s="10">
        <f>IF(CABLES[[#This Row],[SEG41]]&gt;0,CABLES[[#This Row],[CABLE_DIAMETER]],0)</f>
        <v>0</v>
      </c>
      <c r="FN47" s="10">
        <f>IF(CABLES[[#This Row],[SEG42]]&gt;0,CABLES[[#This Row],[CABLE_DIAMETER]],0)</f>
        <v>0</v>
      </c>
      <c r="FO47" s="10">
        <f>IF(CABLES[[#This Row],[SEG43]]&gt;0,CABLES[[#This Row],[CABLE_DIAMETER]],0)</f>
        <v>0</v>
      </c>
      <c r="FP47" s="10">
        <f>IF(CABLES[[#This Row],[SEG44]]&gt;0,CABLES[[#This Row],[CABLE_DIAMETER]],0)</f>
        <v>0</v>
      </c>
      <c r="FQ47" s="10">
        <f>IF(CABLES[[#This Row],[SEG45]]&gt;0,CABLES[[#This Row],[CABLE_DIAMETER]],0)</f>
        <v>0</v>
      </c>
      <c r="FR47" s="10">
        <f>IF(CABLES[[#This Row],[SEG46]]&gt;0,CABLES[[#This Row],[CABLE_DIAMETER]],0)</f>
        <v>0</v>
      </c>
      <c r="FS47" s="10">
        <f>IF(CABLES[[#This Row],[SEG47]]&gt;0,CABLES[[#This Row],[CABLE_DIAMETER]],0)</f>
        <v>0</v>
      </c>
      <c r="FT47" s="10">
        <f>IF(CABLES[[#This Row],[SEG48]]&gt;0,CABLES[[#This Row],[CABLE_DIAMETER]],0)</f>
        <v>0</v>
      </c>
      <c r="FU47" s="10">
        <f>IF(CABLES[[#This Row],[SEG49]]&gt;0,CABLES[[#This Row],[CABLE_DIAMETER]],0)</f>
        <v>0</v>
      </c>
      <c r="FV47" s="10">
        <f>IF(CABLES[[#This Row],[SEG50]]&gt;0,CABLES[[#This Row],[CABLE_DIAMETER]],0)</f>
        <v>0</v>
      </c>
      <c r="FW47" s="10">
        <f>IF(CABLES[[#This Row],[SEG51]]&gt;0,CABLES[[#This Row],[CABLE_DIAMETER]],0)</f>
        <v>0</v>
      </c>
      <c r="FX47" s="10">
        <f>IF(CABLES[[#This Row],[SEG52]]&gt;0,CABLES[[#This Row],[CABLE_DIAMETER]],0)</f>
        <v>0</v>
      </c>
      <c r="FY47" s="10">
        <f>IF(CABLES[[#This Row],[SEG53]]&gt;0,CABLES[[#This Row],[CABLE_DIAMETER]],0)</f>
        <v>0</v>
      </c>
      <c r="FZ47" s="10">
        <f>IF(CABLES[[#This Row],[SEG54]]&gt;0,CABLES[[#This Row],[CABLE_DIAMETER]],0)</f>
        <v>0</v>
      </c>
      <c r="GA47" s="10">
        <f>IF(CABLES[[#This Row],[SEG55]]&gt;0,CABLES[[#This Row],[CABLE_DIAMETER]],0)</f>
        <v>0</v>
      </c>
      <c r="GB47" s="10">
        <f>IF(CABLES[[#This Row],[SEG56]]&gt;0,CABLES[[#This Row],[CABLE_DIAMETER]],0)</f>
        <v>0</v>
      </c>
      <c r="GC47" s="10">
        <f>IF(CABLES[[#This Row],[SEG57]]&gt;0,CABLES[[#This Row],[CABLE_DIAMETER]],0)</f>
        <v>0</v>
      </c>
      <c r="GD47" s="10">
        <f>IF(CABLES[[#This Row],[SEG58]]&gt;0,CABLES[[#This Row],[CABLE_DIAMETER]],0)</f>
        <v>0</v>
      </c>
      <c r="GE47" s="10">
        <f>IF(CABLES[[#This Row],[SEG59]]&gt;0,CABLES[[#This Row],[CABLE_DIAMETER]],0)</f>
        <v>0</v>
      </c>
      <c r="GF47" s="10">
        <f>IF(CABLES[[#This Row],[SEG60]]&gt;0,CABLES[[#This Row],[CABLE_DIAMETER]],0)</f>
        <v>0</v>
      </c>
      <c r="GG47" s="10">
        <f>IF(CABLES[[#This Row],[SEG1]]&gt;0,CABLES[[#This Row],[CABLE_MASS]],0)</f>
        <v>0</v>
      </c>
      <c r="GH47" s="10">
        <f>IF(CABLES[[#This Row],[SEG2]]&gt;0,CABLES[[#This Row],[CABLE_MASS]],0)</f>
        <v>0</v>
      </c>
      <c r="GI47" s="10">
        <f>IF(CABLES[[#This Row],[SEG3]]&gt;0,CABLES[[#This Row],[CABLE_MASS]],0)</f>
        <v>0</v>
      </c>
      <c r="GJ47" s="10">
        <f>IF(CABLES[[#This Row],[SEG4]]&gt;0,CABLES[[#This Row],[CABLE_MASS]],0)</f>
        <v>0</v>
      </c>
      <c r="GK47" s="10">
        <f>IF(CABLES[[#This Row],[SEG5]]&gt;0,CABLES[[#This Row],[CABLE_MASS]],0)</f>
        <v>0</v>
      </c>
      <c r="GL47" s="10">
        <f>IF(CABLES[[#This Row],[SEG6]]&gt;0,CABLES[[#This Row],[CABLE_MASS]],0)</f>
        <v>0</v>
      </c>
      <c r="GM47" s="10">
        <f>IF(CABLES[[#This Row],[SEG7]]&gt;0,CABLES[[#This Row],[CABLE_MASS]],0)</f>
        <v>0</v>
      </c>
      <c r="GN47" s="10">
        <f>IF(CABLES[[#This Row],[SEG8]]&gt;0,CABLES[[#This Row],[CABLE_MASS]],0)</f>
        <v>0</v>
      </c>
      <c r="GO47" s="10">
        <f>IF(CABLES[[#This Row],[SEG9]]&gt;0,CABLES[[#This Row],[CABLE_MASS]],0)</f>
        <v>0</v>
      </c>
      <c r="GP47" s="10">
        <f>IF(CABLES[[#This Row],[SEG10]]&gt;0,CABLES[[#This Row],[CABLE_MASS]],0)</f>
        <v>0</v>
      </c>
      <c r="GQ47" s="10">
        <f>IF(CABLES[[#This Row],[SEG11]]&gt;0,CABLES[[#This Row],[CABLE_MASS]],0)</f>
        <v>0</v>
      </c>
      <c r="GR47" s="10">
        <f>IF(CABLES[[#This Row],[SEG12]]&gt;0,CABLES[[#This Row],[CABLE_MASS]],0)</f>
        <v>0</v>
      </c>
      <c r="GS47" s="10">
        <f>IF(CABLES[[#This Row],[SEG13]]&gt;0,CABLES[[#This Row],[CABLE_MASS]],0)</f>
        <v>0</v>
      </c>
      <c r="GT47" s="10">
        <f>IF(CABLES[[#This Row],[SEG14]]&gt;0,CABLES[[#This Row],[CABLE_MASS]],0)</f>
        <v>0</v>
      </c>
      <c r="GU47" s="10">
        <f>IF(CABLES[[#This Row],[SEG15]]&gt;0,CABLES[[#This Row],[CABLE_MASS]],0)</f>
        <v>0</v>
      </c>
      <c r="GV47" s="10">
        <f>IF(CABLES[[#This Row],[SEG16]]&gt;0,CABLES[[#This Row],[CABLE_MASS]],0)</f>
        <v>0</v>
      </c>
      <c r="GW47" s="10">
        <f>IF(CABLES[[#This Row],[SEG17]]&gt;0,CABLES[[#This Row],[CABLE_MASS]],0)</f>
        <v>0</v>
      </c>
      <c r="GX47" s="10">
        <f>IF(CABLES[[#This Row],[SEG18]]&gt;0,CABLES[[#This Row],[CABLE_MASS]],0)</f>
        <v>0</v>
      </c>
      <c r="GY47" s="10">
        <f>IF(CABLES[[#This Row],[SEG19]]&gt;0,CABLES[[#This Row],[CABLE_MASS]],0)</f>
        <v>0</v>
      </c>
      <c r="GZ47" s="10">
        <f>IF(CABLES[[#This Row],[SEG20]]&gt;0,CABLES[[#This Row],[CABLE_MASS]],0)</f>
        <v>0</v>
      </c>
      <c r="HA47" s="10">
        <f>IF(CABLES[[#This Row],[SEG21]]&gt;0,CABLES[[#This Row],[CABLE_MASS]],0)</f>
        <v>0</v>
      </c>
      <c r="HB47" s="10">
        <f>IF(CABLES[[#This Row],[SEG22]]&gt;0,CABLES[[#This Row],[CABLE_MASS]],0)</f>
        <v>0</v>
      </c>
      <c r="HC47" s="10">
        <f>IF(CABLES[[#This Row],[SEG23]]&gt;0,CABLES[[#This Row],[CABLE_MASS]],0)</f>
        <v>0</v>
      </c>
      <c r="HD47" s="10">
        <f>IF(CABLES[[#This Row],[SEG24]]&gt;0,CABLES[[#This Row],[CABLE_MASS]],0)</f>
        <v>0</v>
      </c>
      <c r="HE47" s="10">
        <f>IF(CABLES[[#This Row],[SEG25]]&gt;0,CABLES[[#This Row],[CABLE_MASS]],0)</f>
        <v>0</v>
      </c>
      <c r="HF47" s="10">
        <f>IF(CABLES[[#This Row],[SEG26]]&gt;0,CABLES[[#This Row],[CABLE_MASS]],0)</f>
        <v>0</v>
      </c>
      <c r="HG47" s="10">
        <f>IF(CABLES[[#This Row],[SEG27]]&gt;0,CABLES[[#This Row],[CABLE_MASS]],0)</f>
        <v>0</v>
      </c>
      <c r="HH47" s="10">
        <f>IF(CABLES[[#This Row],[SEG28]]&gt;0,CABLES[[#This Row],[CABLE_MASS]],0)</f>
        <v>0</v>
      </c>
      <c r="HI47" s="10">
        <f>IF(CABLES[[#This Row],[SEG29]]&gt;0,CABLES[[#This Row],[CABLE_MASS]],0)</f>
        <v>0</v>
      </c>
      <c r="HJ47" s="10">
        <f>IF(CABLES[[#This Row],[SEG30]]&gt;0,CABLES[[#This Row],[CABLE_MASS]],0)</f>
        <v>0.21</v>
      </c>
      <c r="HK47" s="10">
        <f>IF(CABLES[[#This Row],[SEG31]]&gt;0,CABLES[[#This Row],[CABLE_MASS]],0)</f>
        <v>0.21</v>
      </c>
      <c r="HL47" s="10">
        <f>IF(CABLES[[#This Row],[SEG32]]&gt;0,CABLES[[#This Row],[CABLE_MASS]],0)</f>
        <v>0</v>
      </c>
      <c r="HM47" s="10">
        <f>IF(CABLES[[#This Row],[SEG33]]&gt;0,CABLES[[#This Row],[CABLE_MASS]],0)</f>
        <v>0</v>
      </c>
      <c r="HN47" s="10">
        <f>IF(CABLES[[#This Row],[SEG34]]&gt;0,CABLES[[#This Row],[CABLE_MASS]],0)</f>
        <v>0</v>
      </c>
      <c r="HO47" s="10">
        <f>IF(CABLES[[#This Row],[SEG35]]&gt;0,CABLES[[#This Row],[CABLE_MASS]],0)</f>
        <v>0</v>
      </c>
      <c r="HP47" s="10">
        <f>IF(CABLES[[#This Row],[SEG36]]&gt;0,CABLES[[#This Row],[CABLE_MASS]],0)</f>
        <v>0</v>
      </c>
      <c r="HQ47" s="10">
        <f>IF(CABLES[[#This Row],[SEG37]]&gt;0,CABLES[[#This Row],[CABLE_MASS]],0)</f>
        <v>0</v>
      </c>
      <c r="HR47" s="10">
        <f>IF(CABLES[[#This Row],[SEG38]]&gt;0,CABLES[[#This Row],[CABLE_MASS]],0)</f>
        <v>0</v>
      </c>
      <c r="HS47" s="10">
        <f>IF(CABLES[[#This Row],[SEG39]]&gt;0,CABLES[[#This Row],[CABLE_MASS]],0)</f>
        <v>0.21</v>
      </c>
      <c r="HT47" s="10">
        <f>IF(CABLES[[#This Row],[SEG40]]&gt;0,CABLES[[#This Row],[CABLE_MASS]],0)</f>
        <v>0.21</v>
      </c>
      <c r="HU47" s="10">
        <f>IF(CABLES[[#This Row],[SEG41]]&gt;0,CABLES[[#This Row],[CABLE_MASS]],0)</f>
        <v>0</v>
      </c>
      <c r="HV47" s="10">
        <f>IF(CABLES[[#This Row],[SEG42]]&gt;0,CABLES[[#This Row],[CABLE_MASS]],0)</f>
        <v>0</v>
      </c>
      <c r="HW47" s="10">
        <f>IF(CABLES[[#This Row],[SEG43]]&gt;0,CABLES[[#This Row],[CABLE_MASS]],0)</f>
        <v>0</v>
      </c>
      <c r="HX47" s="10">
        <f>IF(CABLES[[#This Row],[SEG44]]&gt;0,CABLES[[#This Row],[CABLE_MASS]],0)</f>
        <v>0</v>
      </c>
      <c r="HY47" s="10">
        <f>IF(CABLES[[#This Row],[SEG45]]&gt;0,CABLES[[#This Row],[CABLE_MASS]],0)</f>
        <v>0</v>
      </c>
      <c r="HZ47" s="10">
        <f>IF(CABLES[[#This Row],[SEG46]]&gt;0,CABLES[[#This Row],[CABLE_MASS]],0)</f>
        <v>0</v>
      </c>
      <c r="IA47" s="10">
        <f>IF(CABLES[[#This Row],[SEG47]]&gt;0,CABLES[[#This Row],[CABLE_MASS]],0)</f>
        <v>0</v>
      </c>
      <c r="IB47" s="10">
        <f>IF(CABLES[[#This Row],[SEG48]]&gt;0,CABLES[[#This Row],[CABLE_MASS]],0)</f>
        <v>0</v>
      </c>
      <c r="IC47" s="10">
        <f>IF(CABLES[[#This Row],[SEG49]]&gt;0,CABLES[[#This Row],[CABLE_MASS]],0)</f>
        <v>0</v>
      </c>
      <c r="ID47" s="10">
        <f>IF(CABLES[[#This Row],[SEG50]]&gt;0,CABLES[[#This Row],[CABLE_MASS]],0)</f>
        <v>0</v>
      </c>
      <c r="IE47" s="10">
        <f>IF(CABLES[[#This Row],[SEG51]]&gt;0,CABLES[[#This Row],[CABLE_MASS]],0)</f>
        <v>0</v>
      </c>
      <c r="IF47" s="10">
        <f>IF(CABLES[[#This Row],[SEG52]]&gt;0,CABLES[[#This Row],[CABLE_MASS]],0)</f>
        <v>0</v>
      </c>
      <c r="IG47" s="10">
        <f>IF(CABLES[[#This Row],[SEG53]]&gt;0,CABLES[[#This Row],[CABLE_MASS]],0)</f>
        <v>0</v>
      </c>
      <c r="IH47" s="10">
        <f>IF(CABLES[[#This Row],[SEG54]]&gt;0,CABLES[[#This Row],[CABLE_MASS]],0)</f>
        <v>0</v>
      </c>
      <c r="II47" s="10">
        <f>IF(CABLES[[#This Row],[SEG55]]&gt;0,CABLES[[#This Row],[CABLE_MASS]],0)</f>
        <v>0</v>
      </c>
      <c r="IJ47" s="10">
        <f>IF(CABLES[[#This Row],[SEG56]]&gt;0,CABLES[[#This Row],[CABLE_MASS]],0)</f>
        <v>0</v>
      </c>
      <c r="IK47" s="10">
        <f>IF(CABLES[[#This Row],[SEG57]]&gt;0,CABLES[[#This Row],[CABLE_MASS]],0)</f>
        <v>0</v>
      </c>
      <c r="IL47" s="10">
        <f>IF(CABLES[[#This Row],[SEG58]]&gt;0,CABLES[[#This Row],[CABLE_MASS]],0)</f>
        <v>0</v>
      </c>
      <c r="IM47" s="10">
        <f>IF(CABLES[[#This Row],[SEG59]]&gt;0,CABLES[[#This Row],[CABLE_MASS]],0)</f>
        <v>0</v>
      </c>
      <c r="IN47" s="10">
        <f>IF(CABLES[[#This Row],[SEG60]]&gt;0,CABLES[[#This Row],[CABLE_MASS]],0)</f>
        <v>0</v>
      </c>
      <c r="IO47" s="10">
        <f xml:space="preserve">  (CABLES[[#This Row],[LOAD_KW]]/(SQRT(3)*SYSTEM_VOLTAGE*POWER_FACTOR))*1000</f>
        <v>8.8206291126192813</v>
      </c>
      <c r="IP47" s="10">
        <v>45</v>
      </c>
      <c r="IQ47" s="10">
        <f xml:space="preserve"> INDEX(AS3000_AMBIENTDERATE[], MATCH(CABLES[[#This Row],[AMBIENT]],AS3000_AMBIENTDERATE[AMBIENT],0), 2)</f>
        <v>0.94</v>
      </c>
      <c r="IR47" s="10">
        <f xml:space="preserve"> ROUNDUP( CABLES[[#This Row],[CALCULATED_AMPS]]/CABLES[[#This Row],[AMBIENT_DERATING]],1)</f>
        <v>9.4</v>
      </c>
      <c r="IS47" s="10" t="s">
        <v>531</v>
      </c>
      <c r="IT4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7" s="10">
        <f t="shared" si="1"/>
        <v>28.000000000000004</v>
      </c>
      <c r="IV47" s="10">
        <f>(1000*CABLES[[#This Row],[MAX_VDROP]])/(CABLES[[#This Row],[ESTIMATED_CABLE_LENGTH]]*CABLES[[#This Row],[AMP_RATING]])</f>
        <v>75.220287986245438</v>
      </c>
      <c r="IW47" s="10">
        <f xml:space="preserve"> INDEX(AS3000_VDROP[], MATCH(CABLES[[#This Row],[VC_CALC]],AS3000_VDROP[Vc],1),1)</f>
        <v>2.5</v>
      </c>
      <c r="IX47" s="10">
        <f>MAX(CABLES[[#This Row],[CABLESIZE_METHOD1]],CABLES[[#This Row],[CABLESIZE_METHOD2]])</f>
        <v>2.5</v>
      </c>
      <c r="IY47" s="10"/>
      <c r="IZ47" s="10">
        <f>IF(LEN(CABLES[[#This Row],[OVERRIDE_CABLESIZE]])&gt;0,CABLES[[#This Row],[OVERRIDE_CABLESIZE]],CABLES[[#This Row],[INITIAL_CABLESIZE]])</f>
        <v>2.5</v>
      </c>
      <c r="JA47" s="10">
        <f>INDEX(PROTECTIVE_DEVICE[DEVICE], MATCH(CABLES[[#This Row],[CALCULATED_AMPS]],PROTECTIVE_DEVICE[DEVICE],-1),1)</f>
        <v>10</v>
      </c>
      <c r="JB47" s="10"/>
      <c r="JC47" s="10">
        <f>IF(LEN(CABLES[[#This Row],[OVERRIDE_PDEVICE]])&gt;0, CABLES[[#This Row],[OVERRIDE_PDEVICE]],CABLES[[#This Row],[RECOMMEND_PDEVICE]])</f>
        <v>10</v>
      </c>
      <c r="JD47" s="10" t="s">
        <v>450</v>
      </c>
      <c r="JE47" s="10">
        <f xml:space="preserve"> CABLES[[#This Row],[SELECTED_PDEVICE]] * INDEX(DEVICE_CURVE[], MATCH(CABLES[[#This Row],[PDEVICE_CURVE]], DEVICE_CURVE[DEVICE_CURVE],0),2)</f>
        <v>65</v>
      </c>
      <c r="JF47" s="10" t="s">
        <v>458</v>
      </c>
      <c r="JG47" s="10">
        <f xml:space="preserve"> INDEX(CONDUCTOR_MATERIAL[], MATCH(CABLES[[#This Row],[CONDUCTOR_MATERIAL]],CONDUCTOR_MATERIAL[CONDUCTOR_MATERIAL],0),2)</f>
        <v>2.2499999999999999E-2</v>
      </c>
      <c r="JH47" s="10">
        <f>CABLES[[#This Row],[SELECTED_CABLESIZE]]</f>
        <v>2.5</v>
      </c>
      <c r="JI47" s="10">
        <f xml:space="preserve"> INDEX( EARTH_CONDUCTOR_SIZE[], MATCH(CABLES[[#This Row],[SPH]],EARTH_CONDUCTOR_SIZE[MM^2],-1), 2)</f>
        <v>2.5</v>
      </c>
      <c r="JJ47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47" s="10" t="str">
        <f>IF(CABLES[[#This Row],[LMAX]]&gt;CABLES[[#This Row],[ESTIMATED_CABLE_LENGTH]], "PASS", "ERROR")</f>
        <v>PASS</v>
      </c>
      <c r="JL4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4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47" s="6">
        <f xml:space="preserve"> ROUNDUP( CABLES[[#This Row],[CALCULATED_AMPS]],1)</f>
        <v>8.9</v>
      </c>
      <c r="JO47" s="6">
        <f>CABLES[[#This Row],[SELECTED_CABLESIZE]]</f>
        <v>2.5</v>
      </c>
      <c r="JP47" s="10">
        <f>CABLES[[#This Row],[ESTIMATED_CABLE_LENGTH]]</f>
        <v>39.6</v>
      </c>
      <c r="JQ47" s="6">
        <f>CABLES[[#This Row],[SELECTED_PDEVICE]]</f>
        <v>10</v>
      </c>
    </row>
    <row r="48" spans="1:277" x14ac:dyDescent="0.35">
      <c r="A48" s="5" t="s">
        <v>47</v>
      </c>
      <c r="B48" s="5" t="s">
        <v>499</v>
      </c>
      <c r="C48" s="10" t="s">
        <v>262</v>
      </c>
      <c r="D48" s="9">
        <v>4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1</v>
      </c>
      <c r="AI48" s="9">
        <v>1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1</v>
      </c>
      <c r="AR48" s="9">
        <v>1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f xml:space="preserve"> IF(CABLES[[#This Row],[SEG1]] &gt;0, INDEX(SEGMENTS[], MATCH(CABLES[[#Headers],[SEG1]],SEGMENTS[SEG_ID],0),4),0)</f>
        <v>0</v>
      </c>
      <c r="BN48" s="9">
        <f xml:space="preserve"> IF(CABLES[[#This Row],[SEG2]] &gt;0, INDEX(SEGMENTS[], MATCH(CABLES[[#Headers],[SEG2]],SEGMENTS[SEG_ID],0),4),0)</f>
        <v>0</v>
      </c>
      <c r="BO48" s="9">
        <f xml:space="preserve"> IF(CABLES[[#This Row],[SEG3]] &gt;0, INDEX(SEGMENTS[], MATCH(CABLES[[#Headers],[SEG3]],SEGMENTS[SEG_ID],0),4),0)</f>
        <v>0</v>
      </c>
      <c r="BP48" s="9">
        <f xml:space="preserve"> IF(CABLES[[#This Row],[SEG4]] &gt;0, INDEX(SEGMENTS[], MATCH(CABLES[[#Headers],[SEG4]],SEGMENTS[SEG_ID],0),4),0)</f>
        <v>0</v>
      </c>
      <c r="BQ48" s="9">
        <f xml:space="preserve"> IF(CABLES[[#This Row],[SEG5]] &gt;0,INDEX(SEGMENTS[], MATCH(CABLES[[#Headers],[SEG5]],SEGMENTS[SEG_ID],0),4),0)</f>
        <v>0</v>
      </c>
      <c r="BR48" s="9">
        <f xml:space="preserve"> IF(CABLES[[#This Row],[SEG6]] &gt;0,INDEX(SEGMENTS[], MATCH(CABLES[[#Headers],[SEG6]],SEGMENTS[SEG_ID],0),4),0)</f>
        <v>0</v>
      </c>
      <c r="BS48" s="9">
        <f xml:space="preserve"> IF(CABLES[[#This Row],[SEG7]] &gt;0,INDEX(SEGMENTS[], MATCH(CABLES[[#Headers],[SEG7]],SEGMENTS[SEG_ID],0),4),0)</f>
        <v>0</v>
      </c>
      <c r="BT48" s="9">
        <f xml:space="preserve"> IF(CABLES[[#This Row],[SEG8]] &gt;0,INDEX(SEGMENTS[], MATCH(CABLES[[#Headers],[SEG8]],SEGMENTS[SEG_ID],0),4),0)</f>
        <v>0</v>
      </c>
      <c r="BU48" s="9">
        <f xml:space="preserve"> IF(CABLES[[#This Row],[SEG9]] &gt;0,INDEX(SEGMENTS[], MATCH(CABLES[[#Headers],[SEG9]],SEGMENTS[SEG_ID],0),4),0)</f>
        <v>0</v>
      </c>
      <c r="BV48" s="9">
        <f xml:space="preserve"> IF(CABLES[[#This Row],[SEG10]] &gt;0,INDEX(SEGMENTS[], MATCH(CABLES[[#Headers],[SEG10]],SEGMENTS[SEG_ID],0),4),0)</f>
        <v>0</v>
      </c>
      <c r="BW48" s="9">
        <f xml:space="preserve"> IF(CABLES[[#This Row],[SEG11]] &gt;0,INDEX(SEGMENTS[], MATCH(CABLES[[#Headers],[SEG11]],SEGMENTS[SEG_ID],0),4),0)</f>
        <v>0</v>
      </c>
      <c r="BX48" s="9">
        <f>IF(CABLES[[#This Row],[SEG12]] &gt;0, INDEX(SEGMENTS[], MATCH(CABLES[[#Headers],[SEG12]],SEGMENTS[SEG_ID],0),4),0)</f>
        <v>0</v>
      </c>
      <c r="BY48" s="9">
        <f xml:space="preserve"> IF(CABLES[[#This Row],[SEG13]] &gt;0,INDEX(SEGMENTS[], MATCH(CABLES[[#Headers],[SEG13]],SEGMENTS[SEG_ID],0),4),0)</f>
        <v>0</v>
      </c>
      <c r="BZ48" s="9">
        <f xml:space="preserve"> IF(CABLES[[#This Row],[SEG14]] &gt;0,INDEX(SEGMENTS[], MATCH(CABLES[[#Headers],[SEG14]],SEGMENTS[SEG_ID],0),4),0)</f>
        <v>0</v>
      </c>
      <c r="CA48" s="9">
        <f xml:space="preserve"> IF(CABLES[[#This Row],[SEG15]] &gt;0,INDEX(SEGMENTS[], MATCH(CABLES[[#Headers],[SEG15]],SEGMENTS[SEG_ID],0),4),0)</f>
        <v>0</v>
      </c>
      <c r="CB48" s="9">
        <f xml:space="preserve"> IF(CABLES[[#This Row],[SEG16]] &gt;0,INDEX(SEGMENTS[], MATCH(CABLES[[#Headers],[SEG16]],SEGMENTS[SEG_ID],0),4),0)</f>
        <v>0</v>
      </c>
      <c r="CC48" s="9">
        <f xml:space="preserve"> IF(CABLES[[#This Row],[SEG17]] &gt;0,INDEX(SEGMENTS[], MATCH(CABLES[[#Headers],[SEG17]],SEGMENTS[SEG_ID],0),4),0)</f>
        <v>0</v>
      </c>
      <c r="CD48" s="9">
        <f xml:space="preserve"> IF(CABLES[[#This Row],[SEG18]] &gt;0,INDEX(SEGMENTS[], MATCH(CABLES[[#Headers],[SEG18]],SEGMENTS[SEG_ID],0),4),0)</f>
        <v>0</v>
      </c>
      <c r="CE48" s="9">
        <f>IF(CABLES[[#This Row],[SEG19]] &gt;0, INDEX(SEGMENTS[], MATCH(CABLES[[#Headers],[SEG19]],SEGMENTS[SEG_ID],0),4),0)</f>
        <v>0</v>
      </c>
      <c r="CF48" s="9">
        <f>IF(CABLES[[#This Row],[SEG20]] &gt;0, INDEX(SEGMENTS[], MATCH(CABLES[[#Headers],[SEG20]],SEGMENTS[SEG_ID],0),4),0)</f>
        <v>0</v>
      </c>
      <c r="CG48" s="9">
        <f xml:space="preserve"> IF(CABLES[[#This Row],[SEG21]] &gt;0,INDEX(SEGMENTS[], MATCH(CABLES[[#Headers],[SEG21]],SEGMENTS[SEG_ID],0),4),0)</f>
        <v>0</v>
      </c>
      <c r="CH48" s="9">
        <f xml:space="preserve"> IF(CABLES[[#This Row],[SEG22]] &gt;0,INDEX(SEGMENTS[], MATCH(CABLES[[#Headers],[SEG22]],SEGMENTS[SEG_ID],0),4),0)</f>
        <v>0</v>
      </c>
      <c r="CI48" s="9">
        <f>IF(CABLES[[#This Row],[SEG23]] &gt;0, INDEX(SEGMENTS[], MATCH(CABLES[[#Headers],[SEG23]],SEGMENTS[SEG_ID],0),4),0)</f>
        <v>0</v>
      </c>
      <c r="CJ48" s="9">
        <f xml:space="preserve"> IF(CABLES[[#This Row],[SEG24]] &gt;0,INDEX(SEGMENTS[], MATCH(CABLES[[#Headers],[SEG24]],SEGMENTS[SEG_ID],0),4),0)</f>
        <v>0</v>
      </c>
      <c r="CK48" s="9">
        <f>IF(CABLES[[#This Row],[SEG25]] &gt;0, INDEX(SEGMENTS[], MATCH(CABLES[[#Headers],[SEG25]],SEGMENTS[SEG_ID],0),4),0)</f>
        <v>0</v>
      </c>
      <c r="CL48" s="9">
        <f>IF(CABLES[[#This Row],[SEG26]] &gt;0, INDEX(SEGMENTS[], MATCH(CABLES[[#Headers],[SEG26]],SEGMENTS[SEG_ID],0),4),0)</f>
        <v>0</v>
      </c>
      <c r="CM48" s="9">
        <f xml:space="preserve"> IF(CABLES[[#This Row],[SEG27]] &gt;0,INDEX(SEGMENTS[], MATCH(CABLES[[#Headers],[SEG27]],SEGMENTS[SEG_ID],0),4),0)</f>
        <v>0</v>
      </c>
      <c r="CN48" s="9">
        <f xml:space="preserve"> IF(CABLES[[#This Row],[SEG28]] &gt;0,INDEX(SEGMENTS[], MATCH(CABLES[[#Headers],[SEG28]],SEGMENTS[SEG_ID],0),4),0)</f>
        <v>0</v>
      </c>
      <c r="CO48" s="9">
        <f xml:space="preserve"> IF(CABLES[[#This Row],[SEG29]] &gt;0,INDEX(SEGMENTS[], MATCH(CABLES[[#Headers],[SEG29]],SEGMENTS[SEG_ID],0),4),0)</f>
        <v>0</v>
      </c>
      <c r="CP48" s="9">
        <f xml:space="preserve"> IF(CABLES[[#This Row],[SEG30]] &gt;0,INDEX(SEGMENTS[], MATCH(CABLES[[#Headers],[SEG30]],SEGMENTS[SEG_ID],0),4),0)</f>
        <v>6</v>
      </c>
      <c r="CQ48" s="9">
        <f>IF(CABLES[[#This Row],[SEG31]] &gt;0, INDEX(SEGMENTS[], MATCH(CABLES[[#Headers],[SEG31]],SEGMENTS[SEG_ID],0),4),0)</f>
        <v>3</v>
      </c>
      <c r="CR48" s="9">
        <f xml:space="preserve"> IF(CABLES[[#This Row],[SEG32]] &gt;0,INDEX(SEGMENTS[], MATCH(CABLES[[#Headers],[SEG32]],SEGMENTS[SEG_ID],0),4),0)</f>
        <v>0</v>
      </c>
      <c r="CS48" s="9">
        <f xml:space="preserve"> IF(CABLES[[#This Row],[SEG33]] &gt;0,INDEX(SEGMENTS[], MATCH(CABLES[[#Headers],[SEG33]],SEGMENTS[SEG_ID],0),4),0)</f>
        <v>0</v>
      </c>
      <c r="CT48" s="9">
        <f>IF(CABLES[[#This Row],[SEG34]] &gt;0, INDEX(SEGMENTS[], MATCH(CABLES[[#Headers],[SEG34]],SEGMENTS[SEG_ID],0),4),0)</f>
        <v>0</v>
      </c>
      <c r="CU48" s="9">
        <f xml:space="preserve"> IF(CABLES[[#This Row],[SEG35]] &gt;0,INDEX(SEGMENTS[], MATCH(CABLES[[#Headers],[SEG35]],SEGMENTS[SEG_ID],0),4),0)</f>
        <v>0</v>
      </c>
      <c r="CV48" s="9">
        <f xml:space="preserve"> IF(CABLES[[#This Row],[SEG36]] &gt;0,INDEX(SEGMENTS[], MATCH(CABLES[[#Headers],[SEG36]],SEGMENTS[SEG_ID],0),4),0)</f>
        <v>0</v>
      </c>
      <c r="CW48" s="9">
        <f xml:space="preserve"> IF(CABLES[[#This Row],[SEG37]] &gt;0,INDEX(SEGMENTS[], MATCH(CABLES[[#Headers],[SEG37]],SEGMENTS[SEG_ID],0),4),0)</f>
        <v>0</v>
      </c>
      <c r="CX48" s="9">
        <f xml:space="preserve"> IF(CABLES[[#This Row],[SEG38]] &gt;0,INDEX(SEGMENTS[], MATCH(CABLES[[#Headers],[SEG38]],SEGMENTS[SEG_ID],0),4),0)</f>
        <v>0</v>
      </c>
      <c r="CY48" s="9">
        <f xml:space="preserve"> IF(CABLES[[#This Row],[SEG39]] &gt;0,INDEX(SEGMENTS[], MATCH(CABLES[[#Headers],[SEG39]],SEGMENTS[SEG_ID],0),4),0)</f>
        <v>8</v>
      </c>
      <c r="CZ48" s="9">
        <f xml:space="preserve"> IF(CABLES[[#This Row],[SEG40]] &gt;0,INDEX(SEGMENTS[], MATCH(CABLES[[#Headers],[SEG40]],SEGMENTS[SEG_ID],0),4),0)</f>
        <v>11</v>
      </c>
      <c r="DA48" s="9">
        <f xml:space="preserve"> IF(CABLES[[#This Row],[SEG41]] &gt;0,INDEX(SEGMENTS[], MATCH(CABLES[[#Headers],[SEG41]],SEGMENTS[SEG_ID],0),4),0)</f>
        <v>0</v>
      </c>
      <c r="DB48" s="9">
        <f xml:space="preserve"> IF(CABLES[[#This Row],[SEG42]] &gt;0,INDEX(SEGMENTS[], MATCH(CABLES[[#Headers],[SEG42]],SEGMENTS[SEG_ID],0),4),0)</f>
        <v>0</v>
      </c>
      <c r="DC48" s="9">
        <f xml:space="preserve"> IF(CABLES[[#This Row],[SEG43]] &gt;0,INDEX(SEGMENTS[], MATCH(CABLES[[#Headers],[SEG43]],SEGMENTS[SEG_ID],0),4),0)</f>
        <v>0</v>
      </c>
      <c r="DD48" s="9">
        <f xml:space="preserve"> IF(CABLES[[#This Row],[SEG44]] &gt;0,INDEX(SEGMENTS[], MATCH(CABLES[[#Headers],[SEG44]],SEGMENTS[SEG_ID],0),4),0)</f>
        <v>0</v>
      </c>
      <c r="DE48" s="9">
        <f xml:space="preserve"> IF(CABLES[[#This Row],[SEG45]] &gt;0,INDEX(SEGMENTS[], MATCH(CABLES[[#Headers],[SEG45]],SEGMENTS[SEG_ID],0),4),0)</f>
        <v>0</v>
      </c>
      <c r="DF48" s="9">
        <f xml:space="preserve"> IF(CABLES[[#This Row],[SEG46]] &gt;0,INDEX(SEGMENTS[], MATCH(CABLES[[#Headers],[SEG46]],SEGMENTS[SEG_ID],0),4),0)</f>
        <v>0</v>
      </c>
      <c r="DG48" s="9">
        <f xml:space="preserve"> IF(CABLES[[#This Row],[SEG47]] &gt;0,INDEX(SEGMENTS[], MATCH(CABLES[[#Headers],[SEG47]],SEGMENTS[SEG_ID],0),4),0)</f>
        <v>0</v>
      </c>
      <c r="DH48" s="9">
        <f xml:space="preserve"> IF(CABLES[[#This Row],[SEG48]] &gt;0,INDEX(SEGMENTS[], MATCH(CABLES[[#Headers],[SEG48]],SEGMENTS[SEG_ID],0),4),0)</f>
        <v>0</v>
      </c>
      <c r="DI48" s="9">
        <f xml:space="preserve"> IF(CABLES[[#This Row],[SEG49]] &gt;0,INDEX(SEGMENTS[], MATCH(CABLES[[#Headers],[SEG49]],SEGMENTS[SEG_ID],0),4),0)</f>
        <v>0</v>
      </c>
      <c r="DJ48" s="9">
        <f xml:space="preserve"> IF(CABLES[[#This Row],[SEG50]] &gt;0,INDEX(SEGMENTS[], MATCH(CABLES[[#Headers],[SEG50]],SEGMENTS[SEG_ID],0),4),0)</f>
        <v>0</v>
      </c>
      <c r="DK48" s="9">
        <f xml:space="preserve"> IF(CABLES[[#This Row],[SEG51]] &gt;0,INDEX(SEGMENTS[], MATCH(CABLES[[#Headers],[SEG51]],SEGMENTS[SEG_ID],0),4),0)</f>
        <v>0</v>
      </c>
      <c r="DL48" s="9">
        <f xml:space="preserve"> IF(CABLES[[#This Row],[SEG52]] &gt;0,INDEX(SEGMENTS[], MATCH(CABLES[[#Headers],[SEG52]],SEGMENTS[SEG_ID],0),4),0)</f>
        <v>0</v>
      </c>
      <c r="DM48" s="9">
        <f xml:space="preserve"> IF(CABLES[[#This Row],[SEG53]] &gt;0,INDEX(SEGMENTS[], MATCH(CABLES[[#Headers],[SEG53]],SEGMENTS[SEG_ID],0),4),0)</f>
        <v>0</v>
      </c>
      <c r="DN48" s="9">
        <f xml:space="preserve"> IF(CABLES[[#This Row],[SEG54]] &gt;0,INDEX(SEGMENTS[], MATCH(CABLES[[#Headers],[SEG54]],SEGMENTS[SEG_ID],0),4),0)</f>
        <v>0</v>
      </c>
      <c r="DO48" s="9">
        <f xml:space="preserve"> IF(CABLES[[#This Row],[SEG55]] &gt;0,INDEX(SEGMENTS[], MATCH(CABLES[[#Headers],[SEG55]],SEGMENTS[SEG_ID],0),4),0)</f>
        <v>0</v>
      </c>
      <c r="DP48" s="9">
        <f xml:space="preserve"> IF(CABLES[[#This Row],[SEG56]] &gt;0,INDEX(SEGMENTS[], MATCH(CABLES[[#Headers],[SEG56]],SEGMENTS[SEG_ID],0),4),0)</f>
        <v>0</v>
      </c>
      <c r="DQ48" s="9">
        <f xml:space="preserve"> IF(CABLES[[#This Row],[SEG57]] &gt;0,INDEX(SEGMENTS[], MATCH(CABLES[[#Headers],[SEG57]],SEGMENTS[SEG_ID],0),4),0)</f>
        <v>0</v>
      </c>
      <c r="DR48" s="9">
        <f xml:space="preserve"> IF(CABLES[[#This Row],[SEG58]] &gt;0,INDEX(SEGMENTS[], MATCH(CABLES[[#Headers],[SEG58]],SEGMENTS[SEG_ID],0),4),0)</f>
        <v>0</v>
      </c>
      <c r="DS48" s="9">
        <f xml:space="preserve"> IF(CABLES[[#This Row],[SEG59]] &gt;0,INDEX(SEGMENTS[], MATCH(CABLES[[#Headers],[SEG59]],SEGMENTS[SEG_ID],0),4),0)</f>
        <v>0</v>
      </c>
      <c r="DT48" s="9">
        <f xml:space="preserve"> IF(CABLES[[#This Row],[SEG60]] &gt;0,INDEX(SEGMENTS[], MATCH(CABLES[[#Headers],[SEG60]],SEGMENTS[SEG_ID],0),4),0)</f>
        <v>0</v>
      </c>
      <c r="DU48" s="10">
        <f>SUM(CABLES[[#This Row],[SEGL1]:[SEGL60]])</f>
        <v>28</v>
      </c>
      <c r="DV48" s="10">
        <v>5</v>
      </c>
      <c r="DW48" s="10">
        <v>1.2</v>
      </c>
      <c r="DX48" s="10">
        <f xml:space="preserve"> IF(CABLES[[#This Row],[SEGL_TOTAL]]&gt;0, (CABLES[[#This Row],[SEGL_TOTAL]] + CABLES[[#This Row],[FITOFF]]) *CABLES[[#This Row],[XCAPACITY]],0)</f>
        <v>39.6</v>
      </c>
      <c r="DY48" s="10">
        <f>IF(CABLES[[#This Row],[SEG1]]&gt;0,CABLES[[#This Row],[CABLE_DIAMETER]],0)</f>
        <v>0</v>
      </c>
      <c r="DZ48" s="10">
        <f>IF(CABLES[[#This Row],[SEG2]]&gt;0,CABLES[[#This Row],[CABLE_DIAMETER]],0)</f>
        <v>0</v>
      </c>
      <c r="EA48" s="10">
        <f>IF(CABLES[[#This Row],[SEG3]]&gt;0,CABLES[[#This Row],[CABLE_DIAMETER]],0)</f>
        <v>0</v>
      </c>
      <c r="EB48" s="10">
        <f>IF(CABLES[[#This Row],[SEG4]]&gt;0,CABLES[[#This Row],[CABLE_DIAMETER]],0)</f>
        <v>0</v>
      </c>
      <c r="EC48" s="10">
        <f>IF(CABLES[[#This Row],[SEG5]]&gt;0,CABLES[[#This Row],[CABLE_DIAMETER]],0)</f>
        <v>0</v>
      </c>
      <c r="ED48" s="10">
        <f>IF(CABLES[[#This Row],[SEG6]]&gt;0,CABLES[[#This Row],[CABLE_DIAMETER]],0)</f>
        <v>0</v>
      </c>
      <c r="EE48" s="10">
        <f>IF(CABLES[[#This Row],[SEG7]]&gt;0,CABLES[[#This Row],[CABLE_DIAMETER]],0)</f>
        <v>0</v>
      </c>
      <c r="EF48" s="10">
        <f>IF(CABLES[[#This Row],[SEG9]]&gt;0,CABLES[[#This Row],[CABLE_DIAMETER]],0)</f>
        <v>0</v>
      </c>
      <c r="EG48" s="10">
        <f>IF(CABLES[[#This Row],[SEG9]]&gt;0,CABLES[[#This Row],[CABLE_DIAMETER]],0)</f>
        <v>0</v>
      </c>
      <c r="EH48" s="10">
        <f>IF(CABLES[[#This Row],[SEG10]]&gt;0,CABLES[[#This Row],[CABLE_DIAMETER]],0)</f>
        <v>0</v>
      </c>
      <c r="EI48" s="10">
        <f>IF(CABLES[[#This Row],[SEG11]]&gt;0,CABLES[[#This Row],[CABLE_DIAMETER]],0)</f>
        <v>0</v>
      </c>
      <c r="EJ48" s="10">
        <f>IF(CABLES[[#This Row],[SEG12]]&gt;0,CABLES[[#This Row],[CABLE_DIAMETER]],0)</f>
        <v>0</v>
      </c>
      <c r="EK48" s="10">
        <f>IF(CABLES[[#This Row],[SEG13]]&gt;0,CABLES[[#This Row],[CABLE_DIAMETER]],0)</f>
        <v>0</v>
      </c>
      <c r="EL48" s="10">
        <f>IF(CABLES[[#This Row],[SEG14]]&gt;0,CABLES[[#This Row],[CABLE_DIAMETER]],0)</f>
        <v>0</v>
      </c>
      <c r="EM48" s="10">
        <f>IF(CABLES[[#This Row],[SEG15]]&gt;0,CABLES[[#This Row],[CABLE_DIAMETER]],0)</f>
        <v>0</v>
      </c>
      <c r="EN48" s="10">
        <f>IF(CABLES[[#This Row],[SEG16]]&gt;0,CABLES[[#This Row],[CABLE_DIAMETER]],0)</f>
        <v>0</v>
      </c>
      <c r="EO48" s="10">
        <f>IF(CABLES[[#This Row],[SEG17]]&gt;0,CABLES[[#This Row],[CABLE_DIAMETER]],0)</f>
        <v>0</v>
      </c>
      <c r="EP48" s="10">
        <f>IF(CABLES[[#This Row],[SEG18]]&gt;0,CABLES[[#This Row],[CABLE_DIAMETER]],0)</f>
        <v>0</v>
      </c>
      <c r="EQ48" s="10">
        <f>IF(CABLES[[#This Row],[SEG19]]&gt;0,CABLES[[#This Row],[CABLE_DIAMETER]],0)</f>
        <v>0</v>
      </c>
      <c r="ER48" s="10">
        <f>IF(CABLES[[#This Row],[SEG20]]&gt;0,CABLES[[#This Row],[CABLE_DIAMETER]],0)</f>
        <v>0</v>
      </c>
      <c r="ES48" s="10">
        <f>IF(CABLES[[#This Row],[SEG21]]&gt;0,CABLES[[#This Row],[CABLE_DIAMETER]],0)</f>
        <v>0</v>
      </c>
      <c r="ET48" s="10">
        <f>IF(CABLES[[#This Row],[SEG22]]&gt;0,CABLES[[#This Row],[CABLE_DIAMETER]],0)</f>
        <v>0</v>
      </c>
      <c r="EU48" s="10">
        <f>IF(CABLES[[#This Row],[SEG23]]&gt;0,CABLES[[#This Row],[CABLE_DIAMETER]],0)</f>
        <v>0</v>
      </c>
      <c r="EV48" s="10">
        <f>IF(CABLES[[#This Row],[SEG24]]&gt;0,CABLES[[#This Row],[CABLE_DIAMETER]],0)</f>
        <v>0</v>
      </c>
      <c r="EW48" s="10">
        <f>IF(CABLES[[#This Row],[SEG25]]&gt;0,CABLES[[#This Row],[CABLE_DIAMETER]],0)</f>
        <v>0</v>
      </c>
      <c r="EX48" s="10">
        <f>IF(CABLES[[#This Row],[SEG26]]&gt;0,CABLES[[#This Row],[CABLE_DIAMETER]],0)</f>
        <v>0</v>
      </c>
      <c r="EY48" s="10">
        <f>IF(CABLES[[#This Row],[SEG27]]&gt;0,CABLES[[#This Row],[CABLE_DIAMETER]],0)</f>
        <v>0</v>
      </c>
      <c r="EZ48" s="10">
        <f>IF(CABLES[[#This Row],[SEG28]]&gt;0,CABLES[[#This Row],[CABLE_DIAMETER]],0)</f>
        <v>0</v>
      </c>
      <c r="FA48" s="10">
        <f>IF(CABLES[[#This Row],[SEG29]]&gt;0,CABLES[[#This Row],[CABLE_DIAMETER]],0)</f>
        <v>0</v>
      </c>
      <c r="FB48" s="10">
        <f>IF(CABLES[[#This Row],[SEG30]]&gt;0,CABLES[[#This Row],[CABLE_DIAMETER]],0)</f>
        <v>12</v>
      </c>
      <c r="FC48" s="10">
        <f>IF(CABLES[[#This Row],[SEG31]]&gt;0,CABLES[[#This Row],[CABLE_DIAMETER]],0)</f>
        <v>12</v>
      </c>
      <c r="FD48" s="10">
        <f>IF(CABLES[[#This Row],[SEG32]]&gt;0,CABLES[[#This Row],[CABLE_DIAMETER]],0)</f>
        <v>0</v>
      </c>
      <c r="FE48" s="10">
        <f>IF(CABLES[[#This Row],[SEG33]]&gt;0,CABLES[[#This Row],[CABLE_DIAMETER]],0)</f>
        <v>0</v>
      </c>
      <c r="FF48" s="10">
        <f>IF(CABLES[[#This Row],[SEG34]]&gt;0,CABLES[[#This Row],[CABLE_DIAMETER]],0)</f>
        <v>0</v>
      </c>
      <c r="FG48" s="10">
        <f>IF(CABLES[[#This Row],[SEG35]]&gt;0,CABLES[[#This Row],[CABLE_DIAMETER]],0)</f>
        <v>0</v>
      </c>
      <c r="FH48" s="10">
        <f>IF(CABLES[[#This Row],[SEG36]]&gt;0,CABLES[[#This Row],[CABLE_DIAMETER]],0)</f>
        <v>0</v>
      </c>
      <c r="FI48" s="10">
        <f>IF(CABLES[[#This Row],[SEG37]]&gt;0,CABLES[[#This Row],[CABLE_DIAMETER]],0)</f>
        <v>0</v>
      </c>
      <c r="FJ48" s="10">
        <f>IF(CABLES[[#This Row],[SEG38]]&gt;0,CABLES[[#This Row],[CABLE_DIAMETER]],0)</f>
        <v>0</v>
      </c>
      <c r="FK48" s="10">
        <f>IF(CABLES[[#This Row],[SEG39]]&gt;0,CABLES[[#This Row],[CABLE_DIAMETER]],0)</f>
        <v>12</v>
      </c>
      <c r="FL48" s="10">
        <f>IF(CABLES[[#This Row],[SEG40]]&gt;0,CABLES[[#This Row],[CABLE_DIAMETER]],0)</f>
        <v>12</v>
      </c>
      <c r="FM48" s="10">
        <f>IF(CABLES[[#This Row],[SEG41]]&gt;0,CABLES[[#This Row],[CABLE_DIAMETER]],0)</f>
        <v>0</v>
      </c>
      <c r="FN48" s="10">
        <f>IF(CABLES[[#This Row],[SEG42]]&gt;0,CABLES[[#This Row],[CABLE_DIAMETER]],0)</f>
        <v>0</v>
      </c>
      <c r="FO48" s="10">
        <f>IF(CABLES[[#This Row],[SEG43]]&gt;0,CABLES[[#This Row],[CABLE_DIAMETER]],0)</f>
        <v>0</v>
      </c>
      <c r="FP48" s="10">
        <f>IF(CABLES[[#This Row],[SEG44]]&gt;0,CABLES[[#This Row],[CABLE_DIAMETER]],0)</f>
        <v>0</v>
      </c>
      <c r="FQ48" s="10">
        <f>IF(CABLES[[#This Row],[SEG45]]&gt;0,CABLES[[#This Row],[CABLE_DIAMETER]],0)</f>
        <v>0</v>
      </c>
      <c r="FR48" s="10">
        <f>IF(CABLES[[#This Row],[SEG46]]&gt;0,CABLES[[#This Row],[CABLE_DIAMETER]],0)</f>
        <v>0</v>
      </c>
      <c r="FS48" s="10">
        <f>IF(CABLES[[#This Row],[SEG47]]&gt;0,CABLES[[#This Row],[CABLE_DIAMETER]],0)</f>
        <v>0</v>
      </c>
      <c r="FT48" s="10">
        <f>IF(CABLES[[#This Row],[SEG48]]&gt;0,CABLES[[#This Row],[CABLE_DIAMETER]],0)</f>
        <v>0</v>
      </c>
      <c r="FU48" s="10">
        <f>IF(CABLES[[#This Row],[SEG49]]&gt;0,CABLES[[#This Row],[CABLE_DIAMETER]],0)</f>
        <v>0</v>
      </c>
      <c r="FV48" s="10">
        <f>IF(CABLES[[#This Row],[SEG50]]&gt;0,CABLES[[#This Row],[CABLE_DIAMETER]],0)</f>
        <v>0</v>
      </c>
      <c r="FW48" s="10">
        <f>IF(CABLES[[#This Row],[SEG51]]&gt;0,CABLES[[#This Row],[CABLE_DIAMETER]],0)</f>
        <v>0</v>
      </c>
      <c r="FX48" s="10">
        <f>IF(CABLES[[#This Row],[SEG52]]&gt;0,CABLES[[#This Row],[CABLE_DIAMETER]],0)</f>
        <v>0</v>
      </c>
      <c r="FY48" s="10">
        <f>IF(CABLES[[#This Row],[SEG53]]&gt;0,CABLES[[#This Row],[CABLE_DIAMETER]],0)</f>
        <v>0</v>
      </c>
      <c r="FZ48" s="10">
        <f>IF(CABLES[[#This Row],[SEG54]]&gt;0,CABLES[[#This Row],[CABLE_DIAMETER]],0)</f>
        <v>0</v>
      </c>
      <c r="GA48" s="10">
        <f>IF(CABLES[[#This Row],[SEG55]]&gt;0,CABLES[[#This Row],[CABLE_DIAMETER]],0)</f>
        <v>0</v>
      </c>
      <c r="GB48" s="10">
        <f>IF(CABLES[[#This Row],[SEG56]]&gt;0,CABLES[[#This Row],[CABLE_DIAMETER]],0)</f>
        <v>0</v>
      </c>
      <c r="GC48" s="10">
        <f>IF(CABLES[[#This Row],[SEG57]]&gt;0,CABLES[[#This Row],[CABLE_DIAMETER]],0)</f>
        <v>0</v>
      </c>
      <c r="GD48" s="10">
        <f>IF(CABLES[[#This Row],[SEG58]]&gt;0,CABLES[[#This Row],[CABLE_DIAMETER]],0)</f>
        <v>0</v>
      </c>
      <c r="GE48" s="10">
        <f>IF(CABLES[[#This Row],[SEG59]]&gt;0,CABLES[[#This Row],[CABLE_DIAMETER]],0)</f>
        <v>0</v>
      </c>
      <c r="GF48" s="10">
        <f>IF(CABLES[[#This Row],[SEG60]]&gt;0,CABLES[[#This Row],[CABLE_DIAMETER]],0)</f>
        <v>0</v>
      </c>
      <c r="GG48" s="10">
        <f>IF(CABLES[[#This Row],[SEG1]]&gt;0,CABLES[[#This Row],[CABLE_MASS]],0)</f>
        <v>0</v>
      </c>
      <c r="GH48" s="10">
        <f>IF(CABLES[[#This Row],[SEG2]]&gt;0,CABLES[[#This Row],[CABLE_MASS]],0)</f>
        <v>0</v>
      </c>
      <c r="GI48" s="10">
        <f>IF(CABLES[[#This Row],[SEG3]]&gt;0,CABLES[[#This Row],[CABLE_MASS]],0)</f>
        <v>0</v>
      </c>
      <c r="GJ48" s="10">
        <f>IF(CABLES[[#This Row],[SEG4]]&gt;0,CABLES[[#This Row],[CABLE_MASS]],0)</f>
        <v>0</v>
      </c>
      <c r="GK48" s="10">
        <f>IF(CABLES[[#This Row],[SEG5]]&gt;0,CABLES[[#This Row],[CABLE_MASS]],0)</f>
        <v>0</v>
      </c>
      <c r="GL48" s="10">
        <f>IF(CABLES[[#This Row],[SEG6]]&gt;0,CABLES[[#This Row],[CABLE_MASS]],0)</f>
        <v>0</v>
      </c>
      <c r="GM48" s="10">
        <f>IF(CABLES[[#This Row],[SEG7]]&gt;0,CABLES[[#This Row],[CABLE_MASS]],0)</f>
        <v>0</v>
      </c>
      <c r="GN48" s="10">
        <f>IF(CABLES[[#This Row],[SEG8]]&gt;0,CABLES[[#This Row],[CABLE_MASS]],0)</f>
        <v>0</v>
      </c>
      <c r="GO48" s="10">
        <f>IF(CABLES[[#This Row],[SEG9]]&gt;0,CABLES[[#This Row],[CABLE_MASS]],0)</f>
        <v>0</v>
      </c>
      <c r="GP48" s="10">
        <f>IF(CABLES[[#This Row],[SEG10]]&gt;0,CABLES[[#This Row],[CABLE_MASS]],0)</f>
        <v>0</v>
      </c>
      <c r="GQ48" s="10">
        <f>IF(CABLES[[#This Row],[SEG11]]&gt;0,CABLES[[#This Row],[CABLE_MASS]],0)</f>
        <v>0</v>
      </c>
      <c r="GR48" s="10">
        <f>IF(CABLES[[#This Row],[SEG12]]&gt;0,CABLES[[#This Row],[CABLE_MASS]],0)</f>
        <v>0</v>
      </c>
      <c r="GS48" s="10">
        <f>IF(CABLES[[#This Row],[SEG13]]&gt;0,CABLES[[#This Row],[CABLE_MASS]],0)</f>
        <v>0</v>
      </c>
      <c r="GT48" s="10">
        <f>IF(CABLES[[#This Row],[SEG14]]&gt;0,CABLES[[#This Row],[CABLE_MASS]],0)</f>
        <v>0</v>
      </c>
      <c r="GU48" s="10">
        <f>IF(CABLES[[#This Row],[SEG15]]&gt;0,CABLES[[#This Row],[CABLE_MASS]],0)</f>
        <v>0</v>
      </c>
      <c r="GV48" s="10">
        <f>IF(CABLES[[#This Row],[SEG16]]&gt;0,CABLES[[#This Row],[CABLE_MASS]],0)</f>
        <v>0</v>
      </c>
      <c r="GW48" s="10">
        <f>IF(CABLES[[#This Row],[SEG17]]&gt;0,CABLES[[#This Row],[CABLE_MASS]],0)</f>
        <v>0</v>
      </c>
      <c r="GX48" s="10">
        <f>IF(CABLES[[#This Row],[SEG18]]&gt;0,CABLES[[#This Row],[CABLE_MASS]],0)</f>
        <v>0</v>
      </c>
      <c r="GY48" s="10">
        <f>IF(CABLES[[#This Row],[SEG19]]&gt;0,CABLES[[#This Row],[CABLE_MASS]],0)</f>
        <v>0</v>
      </c>
      <c r="GZ48" s="10">
        <f>IF(CABLES[[#This Row],[SEG20]]&gt;0,CABLES[[#This Row],[CABLE_MASS]],0)</f>
        <v>0</v>
      </c>
      <c r="HA48" s="10">
        <f>IF(CABLES[[#This Row],[SEG21]]&gt;0,CABLES[[#This Row],[CABLE_MASS]],0)</f>
        <v>0</v>
      </c>
      <c r="HB48" s="10">
        <f>IF(CABLES[[#This Row],[SEG22]]&gt;0,CABLES[[#This Row],[CABLE_MASS]],0)</f>
        <v>0</v>
      </c>
      <c r="HC48" s="10">
        <f>IF(CABLES[[#This Row],[SEG23]]&gt;0,CABLES[[#This Row],[CABLE_MASS]],0)</f>
        <v>0</v>
      </c>
      <c r="HD48" s="10">
        <f>IF(CABLES[[#This Row],[SEG24]]&gt;0,CABLES[[#This Row],[CABLE_MASS]],0)</f>
        <v>0</v>
      </c>
      <c r="HE48" s="10">
        <f>IF(CABLES[[#This Row],[SEG25]]&gt;0,CABLES[[#This Row],[CABLE_MASS]],0)</f>
        <v>0</v>
      </c>
      <c r="HF48" s="10">
        <f>IF(CABLES[[#This Row],[SEG26]]&gt;0,CABLES[[#This Row],[CABLE_MASS]],0)</f>
        <v>0</v>
      </c>
      <c r="HG48" s="10">
        <f>IF(CABLES[[#This Row],[SEG27]]&gt;0,CABLES[[#This Row],[CABLE_MASS]],0)</f>
        <v>0</v>
      </c>
      <c r="HH48" s="10">
        <f>IF(CABLES[[#This Row],[SEG28]]&gt;0,CABLES[[#This Row],[CABLE_MASS]],0)</f>
        <v>0</v>
      </c>
      <c r="HI48" s="10">
        <f>IF(CABLES[[#This Row],[SEG29]]&gt;0,CABLES[[#This Row],[CABLE_MASS]],0)</f>
        <v>0</v>
      </c>
      <c r="HJ48" s="10">
        <f>IF(CABLES[[#This Row],[SEG30]]&gt;0,CABLES[[#This Row],[CABLE_MASS]],0)</f>
        <v>0.21</v>
      </c>
      <c r="HK48" s="10">
        <f>IF(CABLES[[#This Row],[SEG31]]&gt;0,CABLES[[#This Row],[CABLE_MASS]],0)</f>
        <v>0.21</v>
      </c>
      <c r="HL48" s="10">
        <f>IF(CABLES[[#This Row],[SEG32]]&gt;0,CABLES[[#This Row],[CABLE_MASS]],0)</f>
        <v>0</v>
      </c>
      <c r="HM48" s="10">
        <f>IF(CABLES[[#This Row],[SEG33]]&gt;0,CABLES[[#This Row],[CABLE_MASS]],0)</f>
        <v>0</v>
      </c>
      <c r="HN48" s="10">
        <f>IF(CABLES[[#This Row],[SEG34]]&gt;0,CABLES[[#This Row],[CABLE_MASS]],0)</f>
        <v>0</v>
      </c>
      <c r="HO48" s="10">
        <f>IF(CABLES[[#This Row],[SEG35]]&gt;0,CABLES[[#This Row],[CABLE_MASS]],0)</f>
        <v>0</v>
      </c>
      <c r="HP48" s="10">
        <f>IF(CABLES[[#This Row],[SEG36]]&gt;0,CABLES[[#This Row],[CABLE_MASS]],0)</f>
        <v>0</v>
      </c>
      <c r="HQ48" s="10">
        <f>IF(CABLES[[#This Row],[SEG37]]&gt;0,CABLES[[#This Row],[CABLE_MASS]],0)</f>
        <v>0</v>
      </c>
      <c r="HR48" s="10">
        <f>IF(CABLES[[#This Row],[SEG38]]&gt;0,CABLES[[#This Row],[CABLE_MASS]],0)</f>
        <v>0</v>
      </c>
      <c r="HS48" s="10">
        <f>IF(CABLES[[#This Row],[SEG39]]&gt;0,CABLES[[#This Row],[CABLE_MASS]],0)</f>
        <v>0.21</v>
      </c>
      <c r="HT48" s="10">
        <f>IF(CABLES[[#This Row],[SEG40]]&gt;0,CABLES[[#This Row],[CABLE_MASS]],0)</f>
        <v>0.21</v>
      </c>
      <c r="HU48" s="10">
        <f>IF(CABLES[[#This Row],[SEG41]]&gt;0,CABLES[[#This Row],[CABLE_MASS]],0)</f>
        <v>0</v>
      </c>
      <c r="HV48" s="10">
        <f>IF(CABLES[[#This Row],[SEG42]]&gt;0,CABLES[[#This Row],[CABLE_MASS]],0)</f>
        <v>0</v>
      </c>
      <c r="HW48" s="10">
        <f>IF(CABLES[[#This Row],[SEG43]]&gt;0,CABLES[[#This Row],[CABLE_MASS]],0)</f>
        <v>0</v>
      </c>
      <c r="HX48" s="10">
        <f>IF(CABLES[[#This Row],[SEG44]]&gt;0,CABLES[[#This Row],[CABLE_MASS]],0)</f>
        <v>0</v>
      </c>
      <c r="HY48" s="10">
        <f>IF(CABLES[[#This Row],[SEG45]]&gt;0,CABLES[[#This Row],[CABLE_MASS]],0)</f>
        <v>0</v>
      </c>
      <c r="HZ48" s="10">
        <f>IF(CABLES[[#This Row],[SEG46]]&gt;0,CABLES[[#This Row],[CABLE_MASS]],0)</f>
        <v>0</v>
      </c>
      <c r="IA48" s="10">
        <f>IF(CABLES[[#This Row],[SEG47]]&gt;0,CABLES[[#This Row],[CABLE_MASS]],0)</f>
        <v>0</v>
      </c>
      <c r="IB48" s="10">
        <f>IF(CABLES[[#This Row],[SEG48]]&gt;0,CABLES[[#This Row],[CABLE_MASS]],0)</f>
        <v>0</v>
      </c>
      <c r="IC48" s="10">
        <f>IF(CABLES[[#This Row],[SEG49]]&gt;0,CABLES[[#This Row],[CABLE_MASS]],0)</f>
        <v>0</v>
      </c>
      <c r="ID48" s="10">
        <f>IF(CABLES[[#This Row],[SEG50]]&gt;0,CABLES[[#This Row],[CABLE_MASS]],0)</f>
        <v>0</v>
      </c>
      <c r="IE48" s="10">
        <f>IF(CABLES[[#This Row],[SEG51]]&gt;0,CABLES[[#This Row],[CABLE_MASS]],0)</f>
        <v>0</v>
      </c>
      <c r="IF48" s="10">
        <f>IF(CABLES[[#This Row],[SEG52]]&gt;0,CABLES[[#This Row],[CABLE_MASS]],0)</f>
        <v>0</v>
      </c>
      <c r="IG48" s="10">
        <f>IF(CABLES[[#This Row],[SEG53]]&gt;0,CABLES[[#This Row],[CABLE_MASS]],0)</f>
        <v>0</v>
      </c>
      <c r="IH48" s="10">
        <f>IF(CABLES[[#This Row],[SEG54]]&gt;0,CABLES[[#This Row],[CABLE_MASS]],0)</f>
        <v>0</v>
      </c>
      <c r="II48" s="10">
        <f>IF(CABLES[[#This Row],[SEG55]]&gt;0,CABLES[[#This Row],[CABLE_MASS]],0)</f>
        <v>0</v>
      </c>
      <c r="IJ48" s="10">
        <f>IF(CABLES[[#This Row],[SEG56]]&gt;0,CABLES[[#This Row],[CABLE_MASS]],0)</f>
        <v>0</v>
      </c>
      <c r="IK48" s="10">
        <f>IF(CABLES[[#This Row],[SEG57]]&gt;0,CABLES[[#This Row],[CABLE_MASS]],0)</f>
        <v>0</v>
      </c>
      <c r="IL48" s="10">
        <f>IF(CABLES[[#This Row],[SEG58]]&gt;0,CABLES[[#This Row],[CABLE_MASS]],0)</f>
        <v>0</v>
      </c>
      <c r="IM48" s="10">
        <f>IF(CABLES[[#This Row],[SEG59]]&gt;0,CABLES[[#This Row],[CABLE_MASS]],0)</f>
        <v>0</v>
      </c>
      <c r="IN48" s="10">
        <f>IF(CABLES[[#This Row],[SEG60]]&gt;0,CABLES[[#This Row],[CABLE_MASS]],0)</f>
        <v>0</v>
      </c>
      <c r="IO48" s="10">
        <f xml:space="preserve">  (CABLES[[#This Row],[LOAD_KW]]/(SQRT(3)*SYSTEM_VOLTAGE*POWER_FACTOR))*1000</f>
        <v>6.4150029909958413</v>
      </c>
      <c r="IP48" s="10">
        <v>45</v>
      </c>
      <c r="IQ48" s="10">
        <f xml:space="preserve"> INDEX(AS3000_AMBIENTDERATE[], MATCH(CABLES[[#This Row],[AMBIENT]],AS3000_AMBIENTDERATE[AMBIENT],0), 2)</f>
        <v>0.94</v>
      </c>
      <c r="IR48" s="10">
        <f xml:space="preserve"> ROUNDUP( CABLES[[#This Row],[CALCULATED_AMPS]]/CABLES[[#This Row],[AMBIENT_DERATING]],1)</f>
        <v>6.8999999999999995</v>
      </c>
      <c r="IS48" s="10" t="s">
        <v>531</v>
      </c>
      <c r="IT4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48" s="10">
        <f t="shared" si="1"/>
        <v>28.000000000000004</v>
      </c>
      <c r="IV48" s="10">
        <f>(1000*CABLES[[#This Row],[MAX_VDROP]])/(CABLES[[#This Row],[ESTIMATED_CABLE_LENGTH]]*CABLES[[#This Row],[AMP_RATING]])</f>
        <v>102.47401551749378</v>
      </c>
      <c r="IW48" s="10">
        <f xml:space="preserve"> INDEX(AS3000_VDROP[], MATCH(CABLES[[#This Row],[VC_CALC]],AS3000_VDROP[Vc],1),1)</f>
        <v>2.5</v>
      </c>
      <c r="IX48" s="10">
        <f>MAX(CABLES[[#This Row],[CABLESIZE_METHOD1]],CABLES[[#This Row],[CABLESIZE_METHOD2]])</f>
        <v>2.5</v>
      </c>
      <c r="IY48" s="10"/>
      <c r="IZ48" s="10">
        <f>IF(LEN(CABLES[[#This Row],[OVERRIDE_CABLESIZE]])&gt;0,CABLES[[#This Row],[OVERRIDE_CABLESIZE]],CABLES[[#This Row],[INITIAL_CABLESIZE]])</f>
        <v>2.5</v>
      </c>
      <c r="JA48" s="10">
        <f>INDEX(PROTECTIVE_DEVICE[DEVICE], MATCH(CABLES[[#This Row],[CALCULATED_AMPS]],PROTECTIVE_DEVICE[DEVICE],-1),1)</f>
        <v>10</v>
      </c>
      <c r="JB48" s="10"/>
      <c r="JC48" s="10">
        <f>IF(LEN(CABLES[[#This Row],[OVERRIDE_PDEVICE]])&gt;0, CABLES[[#This Row],[OVERRIDE_PDEVICE]],CABLES[[#This Row],[RECOMMEND_PDEVICE]])</f>
        <v>10</v>
      </c>
      <c r="JD48" s="10" t="s">
        <v>450</v>
      </c>
      <c r="JE48" s="10">
        <f xml:space="preserve"> CABLES[[#This Row],[SELECTED_PDEVICE]] * INDEX(DEVICE_CURVE[], MATCH(CABLES[[#This Row],[PDEVICE_CURVE]], DEVICE_CURVE[DEVICE_CURVE],0),2)</f>
        <v>65</v>
      </c>
      <c r="JF48" s="10" t="s">
        <v>458</v>
      </c>
      <c r="JG48" s="10">
        <f xml:space="preserve"> INDEX(CONDUCTOR_MATERIAL[], MATCH(CABLES[[#This Row],[CONDUCTOR_MATERIAL]],CONDUCTOR_MATERIAL[CONDUCTOR_MATERIAL],0),2)</f>
        <v>2.2499999999999999E-2</v>
      </c>
      <c r="JH48" s="10">
        <f>CABLES[[#This Row],[SELECTED_CABLESIZE]]</f>
        <v>2.5</v>
      </c>
      <c r="JI48" s="10">
        <f xml:space="preserve"> INDEX( EARTH_CONDUCTOR_SIZE[], MATCH(CABLES[[#This Row],[SPH]],EARTH_CONDUCTOR_SIZE[MM^2],-1), 2)</f>
        <v>2.5</v>
      </c>
      <c r="JJ48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48" s="10" t="str">
        <f>IF(CABLES[[#This Row],[LMAX]]&gt;CABLES[[#This Row],[ESTIMATED_CABLE_LENGTH]], "PASS", "ERROR")</f>
        <v>PASS</v>
      </c>
      <c r="JL4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4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48" s="6">
        <f xml:space="preserve"> ROUNDUP( CABLES[[#This Row],[CALCULATED_AMPS]],1)</f>
        <v>6.5</v>
      </c>
      <c r="JO48" s="6">
        <f>CABLES[[#This Row],[SELECTED_CABLESIZE]]</f>
        <v>2.5</v>
      </c>
      <c r="JP48" s="10">
        <f>CABLES[[#This Row],[ESTIMATED_CABLE_LENGTH]]</f>
        <v>39.6</v>
      </c>
      <c r="JQ48" s="6">
        <f>CABLES[[#This Row],[SELECTED_PDEVICE]]</f>
        <v>10</v>
      </c>
    </row>
    <row r="49" spans="1:277" x14ac:dyDescent="0.35">
      <c r="A49" s="5" t="s">
        <v>48</v>
      </c>
      <c r="B49" s="5" t="s">
        <v>104</v>
      </c>
      <c r="C49" s="10" t="s">
        <v>262</v>
      </c>
      <c r="D49" s="9">
        <v>7.5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  <c r="AI49" s="9">
        <v>1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9">
        <v>1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f xml:space="preserve"> IF(CABLES[[#This Row],[SEG1]] &gt;0, INDEX(SEGMENTS[], MATCH(CABLES[[#Headers],[SEG1]],SEGMENTS[SEG_ID],0),4),0)</f>
        <v>0</v>
      </c>
      <c r="BN49" s="9">
        <f xml:space="preserve"> IF(CABLES[[#This Row],[SEG2]] &gt;0, INDEX(SEGMENTS[], MATCH(CABLES[[#Headers],[SEG2]],SEGMENTS[SEG_ID],0),4),0)</f>
        <v>0</v>
      </c>
      <c r="BO49" s="9">
        <f xml:space="preserve"> IF(CABLES[[#This Row],[SEG3]] &gt;0, INDEX(SEGMENTS[], MATCH(CABLES[[#Headers],[SEG3]],SEGMENTS[SEG_ID],0),4),0)</f>
        <v>0</v>
      </c>
      <c r="BP49" s="9">
        <f xml:space="preserve"> IF(CABLES[[#This Row],[SEG4]] &gt;0, INDEX(SEGMENTS[], MATCH(CABLES[[#Headers],[SEG4]],SEGMENTS[SEG_ID],0),4),0)</f>
        <v>0</v>
      </c>
      <c r="BQ49" s="9">
        <f xml:space="preserve"> IF(CABLES[[#This Row],[SEG5]] &gt;0,INDEX(SEGMENTS[], MATCH(CABLES[[#Headers],[SEG5]],SEGMENTS[SEG_ID],0),4),0)</f>
        <v>0</v>
      </c>
      <c r="BR49" s="9">
        <f xml:space="preserve"> IF(CABLES[[#This Row],[SEG6]] &gt;0,INDEX(SEGMENTS[], MATCH(CABLES[[#Headers],[SEG6]],SEGMENTS[SEG_ID],0),4),0)</f>
        <v>0</v>
      </c>
      <c r="BS49" s="9">
        <f xml:space="preserve"> IF(CABLES[[#This Row],[SEG7]] &gt;0,INDEX(SEGMENTS[], MATCH(CABLES[[#Headers],[SEG7]],SEGMENTS[SEG_ID],0),4),0)</f>
        <v>0</v>
      </c>
      <c r="BT49" s="9">
        <f xml:space="preserve"> IF(CABLES[[#This Row],[SEG8]] &gt;0,INDEX(SEGMENTS[], MATCH(CABLES[[#Headers],[SEG8]],SEGMENTS[SEG_ID],0),4),0)</f>
        <v>0</v>
      </c>
      <c r="BU49" s="9">
        <f xml:space="preserve"> IF(CABLES[[#This Row],[SEG9]] &gt;0,INDEX(SEGMENTS[], MATCH(CABLES[[#Headers],[SEG9]],SEGMENTS[SEG_ID],0),4),0)</f>
        <v>0</v>
      </c>
      <c r="BV49" s="9">
        <f xml:space="preserve"> IF(CABLES[[#This Row],[SEG10]] &gt;0,INDEX(SEGMENTS[], MATCH(CABLES[[#Headers],[SEG10]],SEGMENTS[SEG_ID],0),4),0)</f>
        <v>0</v>
      </c>
      <c r="BW49" s="9">
        <f xml:space="preserve"> IF(CABLES[[#This Row],[SEG11]] &gt;0,INDEX(SEGMENTS[], MATCH(CABLES[[#Headers],[SEG11]],SEGMENTS[SEG_ID],0),4),0)</f>
        <v>0</v>
      </c>
      <c r="BX49" s="9">
        <f>IF(CABLES[[#This Row],[SEG12]] &gt;0, INDEX(SEGMENTS[], MATCH(CABLES[[#Headers],[SEG12]],SEGMENTS[SEG_ID],0),4),0)</f>
        <v>0</v>
      </c>
      <c r="BY49" s="9">
        <f xml:space="preserve"> IF(CABLES[[#This Row],[SEG13]] &gt;0,INDEX(SEGMENTS[], MATCH(CABLES[[#Headers],[SEG13]],SEGMENTS[SEG_ID],0),4),0)</f>
        <v>0</v>
      </c>
      <c r="BZ49" s="9">
        <f xml:space="preserve"> IF(CABLES[[#This Row],[SEG14]] &gt;0,INDEX(SEGMENTS[], MATCH(CABLES[[#Headers],[SEG14]],SEGMENTS[SEG_ID],0),4),0)</f>
        <v>0</v>
      </c>
      <c r="CA49" s="9">
        <f xml:space="preserve"> IF(CABLES[[#This Row],[SEG15]] &gt;0,INDEX(SEGMENTS[], MATCH(CABLES[[#Headers],[SEG15]],SEGMENTS[SEG_ID],0),4),0)</f>
        <v>0</v>
      </c>
      <c r="CB49" s="9">
        <f xml:space="preserve"> IF(CABLES[[#This Row],[SEG16]] &gt;0,INDEX(SEGMENTS[], MATCH(CABLES[[#Headers],[SEG16]],SEGMENTS[SEG_ID],0),4),0)</f>
        <v>0</v>
      </c>
      <c r="CC49" s="9">
        <f xml:space="preserve"> IF(CABLES[[#This Row],[SEG17]] &gt;0,INDEX(SEGMENTS[], MATCH(CABLES[[#Headers],[SEG17]],SEGMENTS[SEG_ID],0),4),0)</f>
        <v>0</v>
      </c>
      <c r="CD49" s="9">
        <f xml:space="preserve"> IF(CABLES[[#This Row],[SEG18]] &gt;0,INDEX(SEGMENTS[], MATCH(CABLES[[#Headers],[SEG18]],SEGMENTS[SEG_ID],0),4),0)</f>
        <v>0</v>
      </c>
      <c r="CE49" s="9">
        <f>IF(CABLES[[#This Row],[SEG19]] &gt;0, INDEX(SEGMENTS[], MATCH(CABLES[[#Headers],[SEG19]],SEGMENTS[SEG_ID],0),4),0)</f>
        <v>0</v>
      </c>
      <c r="CF49" s="9">
        <f>IF(CABLES[[#This Row],[SEG20]] &gt;0, INDEX(SEGMENTS[], MATCH(CABLES[[#Headers],[SEG20]],SEGMENTS[SEG_ID],0),4),0)</f>
        <v>0</v>
      </c>
      <c r="CG49" s="9">
        <f xml:space="preserve"> IF(CABLES[[#This Row],[SEG21]] &gt;0,INDEX(SEGMENTS[], MATCH(CABLES[[#Headers],[SEG21]],SEGMENTS[SEG_ID],0),4),0)</f>
        <v>0</v>
      </c>
      <c r="CH49" s="9">
        <f xml:space="preserve"> IF(CABLES[[#This Row],[SEG22]] &gt;0,INDEX(SEGMENTS[], MATCH(CABLES[[#Headers],[SEG22]],SEGMENTS[SEG_ID],0),4),0)</f>
        <v>0</v>
      </c>
      <c r="CI49" s="9">
        <f>IF(CABLES[[#This Row],[SEG23]] &gt;0, INDEX(SEGMENTS[], MATCH(CABLES[[#Headers],[SEG23]],SEGMENTS[SEG_ID],0),4),0)</f>
        <v>0</v>
      </c>
      <c r="CJ49" s="9">
        <f xml:space="preserve"> IF(CABLES[[#This Row],[SEG24]] &gt;0,INDEX(SEGMENTS[], MATCH(CABLES[[#Headers],[SEG24]],SEGMENTS[SEG_ID],0),4),0)</f>
        <v>0</v>
      </c>
      <c r="CK49" s="9">
        <f>IF(CABLES[[#This Row],[SEG25]] &gt;0, INDEX(SEGMENTS[], MATCH(CABLES[[#Headers],[SEG25]],SEGMENTS[SEG_ID],0),4),0)</f>
        <v>0</v>
      </c>
      <c r="CL49" s="9">
        <f>IF(CABLES[[#This Row],[SEG26]] &gt;0, INDEX(SEGMENTS[], MATCH(CABLES[[#Headers],[SEG26]],SEGMENTS[SEG_ID],0),4),0)</f>
        <v>0</v>
      </c>
      <c r="CM49" s="9">
        <f xml:space="preserve"> IF(CABLES[[#This Row],[SEG27]] &gt;0,INDEX(SEGMENTS[], MATCH(CABLES[[#Headers],[SEG27]],SEGMENTS[SEG_ID],0),4),0)</f>
        <v>0</v>
      </c>
      <c r="CN49" s="9">
        <f xml:space="preserve"> IF(CABLES[[#This Row],[SEG28]] &gt;0,INDEX(SEGMENTS[], MATCH(CABLES[[#Headers],[SEG28]],SEGMENTS[SEG_ID],0),4),0)</f>
        <v>0</v>
      </c>
      <c r="CO49" s="9">
        <f xml:space="preserve"> IF(CABLES[[#This Row],[SEG29]] &gt;0,INDEX(SEGMENTS[], MATCH(CABLES[[#Headers],[SEG29]],SEGMENTS[SEG_ID],0),4),0)</f>
        <v>0</v>
      </c>
      <c r="CP49" s="9">
        <f xml:space="preserve"> IF(CABLES[[#This Row],[SEG30]] &gt;0,INDEX(SEGMENTS[], MATCH(CABLES[[#Headers],[SEG30]],SEGMENTS[SEG_ID],0),4),0)</f>
        <v>6</v>
      </c>
      <c r="CQ49" s="9">
        <f>IF(CABLES[[#This Row],[SEG31]] &gt;0, INDEX(SEGMENTS[], MATCH(CABLES[[#Headers],[SEG31]],SEGMENTS[SEG_ID],0),4),0)</f>
        <v>3</v>
      </c>
      <c r="CR49" s="9">
        <f xml:space="preserve"> IF(CABLES[[#This Row],[SEG32]] &gt;0,INDEX(SEGMENTS[], MATCH(CABLES[[#Headers],[SEG32]],SEGMENTS[SEG_ID],0),4),0)</f>
        <v>0</v>
      </c>
      <c r="CS49" s="9">
        <f xml:space="preserve"> IF(CABLES[[#This Row],[SEG33]] &gt;0,INDEX(SEGMENTS[], MATCH(CABLES[[#Headers],[SEG33]],SEGMENTS[SEG_ID],0),4),0)</f>
        <v>0</v>
      </c>
      <c r="CT49" s="9">
        <f>IF(CABLES[[#This Row],[SEG34]] &gt;0, INDEX(SEGMENTS[], MATCH(CABLES[[#Headers],[SEG34]],SEGMENTS[SEG_ID],0),4),0)</f>
        <v>0</v>
      </c>
      <c r="CU49" s="9">
        <f xml:space="preserve"> IF(CABLES[[#This Row],[SEG35]] &gt;0,INDEX(SEGMENTS[], MATCH(CABLES[[#Headers],[SEG35]],SEGMENTS[SEG_ID],0),4),0)</f>
        <v>0</v>
      </c>
      <c r="CV49" s="9">
        <f xml:space="preserve"> IF(CABLES[[#This Row],[SEG36]] &gt;0,INDEX(SEGMENTS[], MATCH(CABLES[[#Headers],[SEG36]],SEGMENTS[SEG_ID],0),4),0)</f>
        <v>0</v>
      </c>
      <c r="CW49" s="9">
        <f xml:space="preserve"> IF(CABLES[[#This Row],[SEG37]] &gt;0,INDEX(SEGMENTS[], MATCH(CABLES[[#Headers],[SEG37]],SEGMENTS[SEG_ID],0),4),0)</f>
        <v>0</v>
      </c>
      <c r="CX49" s="9">
        <f xml:space="preserve"> IF(CABLES[[#This Row],[SEG38]] &gt;0,INDEX(SEGMENTS[], MATCH(CABLES[[#Headers],[SEG38]],SEGMENTS[SEG_ID],0),4),0)</f>
        <v>0</v>
      </c>
      <c r="CY49" s="9">
        <f xml:space="preserve"> IF(CABLES[[#This Row],[SEG39]] &gt;0,INDEX(SEGMENTS[], MATCH(CABLES[[#Headers],[SEG39]],SEGMENTS[SEG_ID],0),4),0)</f>
        <v>8</v>
      </c>
      <c r="CZ49" s="9">
        <f xml:space="preserve"> IF(CABLES[[#This Row],[SEG40]] &gt;0,INDEX(SEGMENTS[], MATCH(CABLES[[#Headers],[SEG40]],SEGMENTS[SEG_ID],0),4),0)</f>
        <v>11</v>
      </c>
      <c r="DA49" s="9">
        <f xml:space="preserve"> IF(CABLES[[#This Row],[SEG41]] &gt;0,INDEX(SEGMENTS[], MATCH(CABLES[[#Headers],[SEG41]],SEGMENTS[SEG_ID],0),4),0)</f>
        <v>0</v>
      </c>
      <c r="DB49" s="9">
        <f xml:space="preserve"> IF(CABLES[[#This Row],[SEG42]] &gt;0,INDEX(SEGMENTS[], MATCH(CABLES[[#Headers],[SEG42]],SEGMENTS[SEG_ID],0),4),0)</f>
        <v>0</v>
      </c>
      <c r="DC49" s="9">
        <f xml:space="preserve"> IF(CABLES[[#This Row],[SEG43]] &gt;0,INDEX(SEGMENTS[], MATCH(CABLES[[#Headers],[SEG43]],SEGMENTS[SEG_ID],0),4),0)</f>
        <v>0</v>
      </c>
      <c r="DD49" s="9">
        <f xml:space="preserve"> IF(CABLES[[#This Row],[SEG44]] &gt;0,INDEX(SEGMENTS[], MATCH(CABLES[[#Headers],[SEG44]],SEGMENTS[SEG_ID],0),4),0)</f>
        <v>0</v>
      </c>
      <c r="DE49" s="9">
        <f xml:space="preserve"> IF(CABLES[[#This Row],[SEG45]] &gt;0,INDEX(SEGMENTS[], MATCH(CABLES[[#Headers],[SEG45]],SEGMENTS[SEG_ID],0),4),0)</f>
        <v>0</v>
      </c>
      <c r="DF49" s="9">
        <f xml:space="preserve"> IF(CABLES[[#This Row],[SEG46]] &gt;0,INDEX(SEGMENTS[], MATCH(CABLES[[#Headers],[SEG46]],SEGMENTS[SEG_ID],0),4),0)</f>
        <v>0</v>
      </c>
      <c r="DG49" s="9">
        <f xml:space="preserve"> IF(CABLES[[#This Row],[SEG47]] &gt;0,INDEX(SEGMENTS[], MATCH(CABLES[[#Headers],[SEG47]],SEGMENTS[SEG_ID],0),4),0)</f>
        <v>0</v>
      </c>
      <c r="DH49" s="9">
        <f xml:space="preserve"> IF(CABLES[[#This Row],[SEG48]] &gt;0,INDEX(SEGMENTS[], MATCH(CABLES[[#Headers],[SEG48]],SEGMENTS[SEG_ID],0),4),0)</f>
        <v>0</v>
      </c>
      <c r="DI49" s="9">
        <f xml:space="preserve"> IF(CABLES[[#This Row],[SEG49]] &gt;0,INDEX(SEGMENTS[], MATCH(CABLES[[#Headers],[SEG49]],SEGMENTS[SEG_ID],0),4),0)</f>
        <v>0</v>
      </c>
      <c r="DJ49" s="9">
        <f xml:space="preserve"> IF(CABLES[[#This Row],[SEG50]] &gt;0,INDEX(SEGMENTS[], MATCH(CABLES[[#Headers],[SEG50]],SEGMENTS[SEG_ID],0),4),0)</f>
        <v>0</v>
      </c>
      <c r="DK49" s="9">
        <f xml:space="preserve"> IF(CABLES[[#This Row],[SEG51]] &gt;0,INDEX(SEGMENTS[], MATCH(CABLES[[#Headers],[SEG51]],SEGMENTS[SEG_ID],0),4),0)</f>
        <v>0</v>
      </c>
      <c r="DL49" s="9">
        <f xml:space="preserve"> IF(CABLES[[#This Row],[SEG52]] &gt;0,INDEX(SEGMENTS[], MATCH(CABLES[[#Headers],[SEG52]],SEGMENTS[SEG_ID],0),4),0)</f>
        <v>0</v>
      </c>
      <c r="DM49" s="9">
        <f xml:space="preserve"> IF(CABLES[[#This Row],[SEG53]] &gt;0,INDEX(SEGMENTS[], MATCH(CABLES[[#Headers],[SEG53]],SEGMENTS[SEG_ID],0),4),0)</f>
        <v>0</v>
      </c>
      <c r="DN49" s="9">
        <f xml:space="preserve"> IF(CABLES[[#This Row],[SEG54]] &gt;0,INDEX(SEGMENTS[], MATCH(CABLES[[#Headers],[SEG54]],SEGMENTS[SEG_ID],0),4),0)</f>
        <v>0</v>
      </c>
      <c r="DO49" s="9">
        <f xml:space="preserve"> IF(CABLES[[#This Row],[SEG55]] &gt;0,INDEX(SEGMENTS[], MATCH(CABLES[[#Headers],[SEG55]],SEGMENTS[SEG_ID],0),4),0)</f>
        <v>0</v>
      </c>
      <c r="DP49" s="9">
        <f xml:space="preserve"> IF(CABLES[[#This Row],[SEG56]] &gt;0,INDEX(SEGMENTS[], MATCH(CABLES[[#Headers],[SEG56]],SEGMENTS[SEG_ID],0),4),0)</f>
        <v>0</v>
      </c>
      <c r="DQ49" s="9">
        <f xml:space="preserve"> IF(CABLES[[#This Row],[SEG57]] &gt;0,INDEX(SEGMENTS[], MATCH(CABLES[[#Headers],[SEG57]],SEGMENTS[SEG_ID],0),4),0)</f>
        <v>0</v>
      </c>
      <c r="DR49" s="9">
        <f xml:space="preserve"> IF(CABLES[[#This Row],[SEG58]] &gt;0,INDEX(SEGMENTS[], MATCH(CABLES[[#Headers],[SEG58]],SEGMENTS[SEG_ID],0),4),0)</f>
        <v>0</v>
      </c>
      <c r="DS49" s="9">
        <f xml:space="preserve"> IF(CABLES[[#This Row],[SEG59]] &gt;0,INDEX(SEGMENTS[], MATCH(CABLES[[#Headers],[SEG59]],SEGMENTS[SEG_ID],0),4),0)</f>
        <v>0</v>
      </c>
      <c r="DT49" s="9">
        <f xml:space="preserve"> IF(CABLES[[#This Row],[SEG60]] &gt;0,INDEX(SEGMENTS[], MATCH(CABLES[[#Headers],[SEG60]],SEGMENTS[SEG_ID],0),4),0)</f>
        <v>0</v>
      </c>
      <c r="DU49" s="10">
        <f>SUM(CABLES[[#This Row],[SEGL1]:[SEGL60]])</f>
        <v>28</v>
      </c>
      <c r="DV49" s="10">
        <v>5</v>
      </c>
      <c r="DW49" s="10">
        <v>1.2</v>
      </c>
      <c r="DX49" s="10">
        <f xml:space="preserve"> IF(CABLES[[#This Row],[SEGL_TOTAL]]&gt;0, (CABLES[[#This Row],[SEGL_TOTAL]] + CABLES[[#This Row],[FITOFF]]) *CABLES[[#This Row],[XCAPACITY]],0)</f>
        <v>39.6</v>
      </c>
      <c r="DY49" s="10">
        <f>IF(CABLES[[#This Row],[SEG1]]&gt;0,CABLES[[#This Row],[CABLE_DIAMETER]],0)</f>
        <v>0</v>
      </c>
      <c r="DZ49" s="10">
        <f>IF(CABLES[[#This Row],[SEG2]]&gt;0,CABLES[[#This Row],[CABLE_DIAMETER]],0)</f>
        <v>0</v>
      </c>
      <c r="EA49" s="10">
        <f>IF(CABLES[[#This Row],[SEG3]]&gt;0,CABLES[[#This Row],[CABLE_DIAMETER]],0)</f>
        <v>0</v>
      </c>
      <c r="EB49" s="10">
        <f>IF(CABLES[[#This Row],[SEG4]]&gt;0,CABLES[[#This Row],[CABLE_DIAMETER]],0)</f>
        <v>0</v>
      </c>
      <c r="EC49" s="10">
        <f>IF(CABLES[[#This Row],[SEG5]]&gt;0,CABLES[[#This Row],[CABLE_DIAMETER]],0)</f>
        <v>0</v>
      </c>
      <c r="ED49" s="10">
        <f>IF(CABLES[[#This Row],[SEG6]]&gt;0,CABLES[[#This Row],[CABLE_DIAMETER]],0)</f>
        <v>0</v>
      </c>
      <c r="EE49" s="10">
        <f>IF(CABLES[[#This Row],[SEG7]]&gt;0,CABLES[[#This Row],[CABLE_DIAMETER]],0)</f>
        <v>0</v>
      </c>
      <c r="EF49" s="10">
        <f>IF(CABLES[[#This Row],[SEG9]]&gt;0,CABLES[[#This Row],[CABLE_DIAMETER]],0)</f>
        <v>0</v>
      </c>
      <c r="EG49" s="10">
        <f>IF(CABLES[[#This Row],[SEG9]]&gt;0,CABLES[[#This Row],[CABLE_DIAMETER]],0)</f>
        <v>0</v>
      </c>
      <c r="EH49" s="10">
        <f>IF(CABLES[[#This Row],[SEG10]]&gt;0,CABLES[[#This Row],[CABLE_DIAMETER]],0)</f>
        <v>0</v>
      </c>
      <c r="EI49" s="10">
        <f>IF(CABLES[[#This Row],[SEG11]]&gt;0,CABLES[[#This Row],[CABLE_DIAMETER]],0)</f>
        <v>0</v>
      </c>
      <c r="EJ49" s="10">
        <f>IF(CABLES[[#This Row],[SEG12]]&gt;0,CABLES[[#This Row],[CABLE_DIAMETER]],0)</f>
        <v>0</v>
      </c>
      <c r="EK49" s="10">
        <f>IF(CABLES[[#This Row],[SEG13]]&gt;0,CABLES[[#This Row],[CABLE_DIAMETER]],0)</f>
        <v>0</v>
      </c>
      <c r="EL49" s="10">
        <f>IF(CABLES[[#This Row],[SEG14]]&gt;0,CABLES[[#This Row],[CABLE_DIAMETER]],0)</f>
        <v>0</v>
      </c>
      <c r="EM49" s="10">
        <f>IF(CABLES[[#This Row],[SEG15]]&gt;0,CABLES[[#This Row],[CABLE_DIAMETER]],0)</f>
        <v>0</v>
      </c>
      <c r="EN49" s="10">
        <f>IF(CABLES[[#This Row],[SEG16]]&gt;0,CABLES[[#This Row],[CABLE_DIAMETER]],0)</f>
        <v>0</v>
      </c>
      <c r="EO49" s="10">
        <f>IF(CABLES[[#This Row],[SEG17]]&gt;0,CABLES[[#This Row],[CABLE_DIAMETER]],0)</f>
        <v>0</v>
      </c>
      <c r="EP49" s="10">
        <f>IF(CABLES[[#This Row],[SEG18]]&gt;0,CABLES[[#This Row],[CABLE_DIAMETER]],0)</f>
        <v>0</v>
      </c>
      <c r="EQ49" s="10">
        <f>IF(CABLES[[#This Row],[SEG19]]&gt;0,CABLES[[#This Row],[CABLE_DIAMETER]],0)</f>
        <v>0</v>
      </c>
      <c r="ER49" s="10">
        <f>IF(CABLES[[#This Row],[SEG20]]&gt;0,CABLES[[#This Row],[CABLE_DIAMETER]],0)</f>
        <v>0</v>
      </c>
      <c r="ES49" s="10">
        <f>IF(CABLES[[#This Row],[SEG21]]&gt;0,CABLES[[#This Row],[CABLE_DIAMETER]],0)</f>
        <v>0</v>
      </c>
      <c r="ET49" s="10">
        <f>IF(CABLES[[#This Row],[SEG22]]&gt;0,CABLES[[#This Row],[CABLE_DIAMETER]],0)</f>
        <v>0</v>
      </c>
      <c r="EU49" s="10">
        <f>IF(CABLES[[#This Row],[SEG23]]&gt;0,CABLES[[#This Row],[CABLE_DIAMETER]],0)</f>
        <v>0</v>
      </c>
      <c r="EV49" s="10">
        <f>IF(CABLES[[#This Row],[SEG24]]&gt;0,CABLES[[#This Row],[CABLE_DIAMETER]],0)</f>
        <v>0</v>
      </c>
      <c r="EW49" s="10">
        <f>IF(CABLES[[#This Row],[SEG25]]&gt;0,CABLES[[#This Row],[CABLE_DIAMETER]],0)</f>
        <v>0</v>
      </c>
      <c r="EX49" s="10">
        <f>IF(CABLES[[#This Row],[SEG26]]&gt;0,CABLES[[#This Row],[CABLE_DIAMETER]],0)</f>
        <v>0</v>
      </c>
      <c r="EY49" s="10">
        <f>IF(CABLES[[#This Row],[SEG27]]&gt;0,CABLES[[#This Row],[CABLE_DIAMETER]],0)</f>
        <v>0</v>
      </c>
      <c r="EZ49" s="10">
        <f>IF(CABLES[[#This Row],[SEG28]]&gt;0,CABLES[[#This Row],[CABLE_DIAMETER]],0)</f>
        <v>0</v>
      </c>
      <c r="FA49" s="10">
        <f>IF(CABLES[[#This Row],[SEG29]]&gt;0,CABLES[[#This Row],[CABLE_DIAMETER]],0)</f>
        <v>0</v>
      </c>
      <c r="FB49" s="10">
        <f>IF(CABLES[[#This Row],[SEG30]]&gt;0,CABLES[[#This Row],[CABLE_DIAMETER]],0)</f>
        <v>12</v>
      </c>
      <c r="FC49" s="10">
        <f>IF(CABLES[[#This Row],[SEG31]]&gt;0,CABLES[[#This Row],[CABLE_DIAMETER]],0)</f>
        <v>12</v>
      </c>
      <c r="FD49" s="10">
        <f>IF(CABLES[[#This Row],[SEG32]]&gt;0,CABLES[[#This Row],[CABLE_DIAMETER]],0)</f>
        <v>0</v>
      </c>
      <c r="FE49" s="10">
        <f>IF(CABLES[[#This Row],[SEG33]]&gt;0,CABLES[[#This Row],[CABLE_DIAMETER]],0)</f>
        <v>0</v>
      </c>
      <c r="FF49" s="10">
        <f>IF(CABLES[[#This Row],[SEG34]]&gt;0,CABLES[[#This Row],[CABLE_DIAMETER]],0)</f>
        <v>0</v>
      </c>
      <c r="FG49" s="10">
        <f>IF(CABLES[[#This Row],[SEG35]]&gt;0,CABLES[[#This Row],[CABLE_DIAMETER]],0)</f>
        <v>0</v>
      </c>
      <c r="FH49" s="10">
        <f>IF(CABLES[[#This Row],[SEG36]]&gt;0,CABLES[[#This Row],[CABLE_DIAMETER]],0)</f>
        <v>0</v>
      </c>
      <c r="FI49" s="10">
        <f>IF(CABLES[[#This Row],[SEG37]]&gt;0,CABLES[[#This Row],[CABLE_DIAMETER]],0)</f>
        <v>0</v>
      </c>
      <c r="FJ49" s="10">
        <f>IF(CABLES[[#This Row],[SEG38]]&gt;0,CABLES[[#This Row],[CABLE_DIAMETER]],0)</f>
        <v>0</v>
      </c>
      <c r="FK49" s="10">
        <f>IF(CABLES[[#This Row],[SEG39]]&gt;0,CABLES[[#This Row],[CABLE_DIAMETER]],0)</f>
        <v>12</v>
      </c>
      <c r="FL49" s="10">
        <f>IF(CABLES[[#This Row],[SEG40]]&gt;0,CABLES[[#This Row],[CABLE_DIAMETER]],0)</f>
        <v>12</v>
      </c>
      <c r="FM49" s="10">
        <f>IF(CABLES[[#This Row],[SEG41]]&gt;0,CABLES[[#This Row],[CABLE_DIAMETER]],0)</f>
        <v>0</v>
      </c>
      <c r="FN49" s="10">
        <f>IF(CABLES[[#This Row],[SEG42]]&gt;0,CABLES[[#This Row],[CABLE_DIAMETER]],0)</f>
        <v>0</v>
      </c>
      <c r="FO49" s="10">
        <f>IF(CABLES[[#This Row],[SEG43]]&gt;0,CABLES[[#This Row],[CABLE_DIAMETER]],0)</f>
        <v>0</v>
      </c>
      <c r="FP49" s="10">
        <f>IF(CABLES[[#This Row],[SEG44]]&gt;0,CABLES[[#This Row],[CABLE_DIAMETER]],0)</f>
        <v>0</v>
      </c>
      <c r="FQ49" s="10">
        <f>IF(CABLES[[#This Row],[SEG45]]&gt;0,CABLES[[#This Row],[CABLE_DIAMETER]],0)</f>
        <v>0</v>
      </c>
      <c r="FR49" s="10">
        <f>IF(CABLES[[#This Row],[SEG46]]&gt;0,CABLES[[#This Row],[CABLE_DIAMETER]],0)</f>
        <v>0</v>
      </c>
      <c r="FS49" s="10">
        <f>IF(CABLES[[#This Row],[SEG47]]&gt;0,CABLES[[#This Row],[CABLE_DIAMETER]],0)</f>
        <v>0</v>
      </c>
      <c r="FT49" s="10">
        <f>IF(CABLES[[#This Row],[SEG48]]&gt;0,CABLES[[#This Row],[CABLE_DIAMETER]],0)</f>
        <v>0</v>
      </c>
      <c r="FU49" s="10">
        <f>IF(CABLES[[#This Row],[SEG49]]&gt;0,CABLES[[#This Row],[CABLE_DIAMETER]],0)</f>
        <v>0</v>
      </c>
      <c r="FV49" s="10">
        <f>IF(CABLES[[#This Row],[SEG50]]&gt;0,CABLES[[#This Row],[CABLE_DIAMETER]],0)</f>
        <v>0</v>
      </c>
      <c r="FW49" s="10">
        <f>IF(CABLES[[#This Row],[SEG51]]&gt;0,CABLES[[#This Row],[CABLE_DIAMETER]],0)</f>
        <v>0</v>
      </c>
      <c r="FX49" s="10">
        <f>IF(CABLES[[#This Row],[SEG52]]&gt;0,CABLES[[#This Row],[CABLE_DIAMETER]],0)</f>
        <v>0</v>
      </c>
      <c r="FY49" s="10">
        <f>IF(CABLES[[#This Row],[SEG53]]&gt;0,CABLES[[#This Row],[CABLE_DIAMETER]],0)</f>
        <v>0</v>
      </c>
      <c r="FZ49" s="10">
        <f>IF(CABLES[[#This Row],[SEG54]]&gt;0,CABLES[[#This Row],[CABLE_DIAMETER]],0)</f>
        <v>0</v>
      </c>
      <c r="GA49" s="10">
        <f>IF(CABLES[[#This Row],[SEG55]]&gt;0,CABLES[[#This Row],[CABLE_DIAMETER]],0)</f>
        <v>0</v>
      </c>
      <c r="GB49" s="10">
        <f>IF(CABLES[[#This Row],[SEG56]]&gt;0,CABLES[[#This Row],[CABLE_DIAMETER]],0)</f>
        <v>0</v>
      </c>
      <c r="GC49" s="10">
        <f>IF(CABLES[[#This Row],[SEG57]]&gt;0,CABLES[[#This Row],[CABLE_DIAMETER]],0)</f>
        <v>0</v>
      </c>
      <c r="GD49" s="10">
        <f>IF(CABLES[[#This Row],[SEG58]]&gt;0,CABLES[[#This Row],[CABLE_DIAMETER]],0)</f>
        <v>0</v>
      </c>
      <c r="GE49" s="10">
        <f>IF(CABLES[[#This Row],[SEG59]]&gt;0,CABLES[[#This Row],[CABLE_DIAMETER]],0)</f>
        <v>0</v>
      </c>
      <c r="GF49" s="10">
        <f>IF(CABLES[[#This Row],[SEG60]]&gt;0,CABLES[[#This Row],[CABLE_DIAMETER]],0)</f>
        <v>0</v>
      </c>
      <c r="GG49" s="10">
        <f>IF(CABLES[[#This Row],[SEG1]]&gt;0,CABLES[[#This Row],[CABLE_MASS]],0)</f>
        <v>0</v>
      </c>
      <c r="GH49" s="10">
        <f>IF(CABLES[[#This Row],[SEG2]]&gt;0,CABLES[[#This Row],[CABLE_MASS]],0)</f>
        <v>0</v>
      </c>
      <c r="GI49" s="10">
        <f>IF(CABLES[[#This Row],[SEG3]]&gt;0,CABLES[[#This Row],[CABLE_MASS]],0)</f>
        <v>0</v>
      </c>
      <c r="GJ49" s="10">
        <f>IF(CABLES[[#This Row],[SEG4]]&gt;0,CABLES[[#This Row],[CABLE_MASS]],0)</f>
        <v>0</v>
      </c>
      <c r="GK49" s="10">
        <f>IF(CABLES[[#This Row],[SEG5]]&gt;0,CABLES[[#This Row],[CABLE_MASS]],0)</f>
        <v>0</v>
      </c>
      <c r="GL49" s="10">
        <f>IF(CABLES[[#This Row],[SEG6]]&gt;0,CABLES[[#This Row],[CABLE_MASS]],0)</f>
        <v>0</v>
      </c>
      <c r="GM49" s="10">
        <f>IF(CABLES[[#This Row],[SEG7]]&gt;0,CABLES[[#This Row],[CABLE_MASS]],0)</f>
        <v>0</v>
      </c>
      <c r="GN49" s="10">
        <f>IF(CABLES[[#This Row],[SEG8]]&gt;0,CABLES[[#This Row],[CABLE_MASS]],0)</f>
        <v>0</v>
      </c>
      <c r="GO49" s="10">
        <f>IF(CABLES[[#This Row],[SEG9]]&gt;0,CABLES[[#This Row],[CABLE_MASS]],0)</f>
        <v>0</v>
      </c>
      <c r="GP49" s="10">
        <f>IF(CABLES[[#This Row],[SEG10]]&gt;0,CABLES[[#This Row],[CABLE_MASS]],0)</f>
        <v>0</v>
      </c>
      <c r="GQ49" s="10">
        <f>IF(CABLES[[#This Row],[SEG11]]&gt;0,CABLES[[#This Row],[CABLE_MASS]],0)</f>
        <v>0</v>
      </c>
      <c r="GR49" s="10">
        <f>IF(CABLES[[#This Row],[SEG12]]&gt;0,CABLES[[#This Row],[CABLE_MASS]],0)</f>
        <v>0</v>
      </c>
      <c r="GS49" s="10">
        <f>IF(CABLES[[#This Row],[SEG13]]&gt;0,CABLES[[#This Row],[CABLE_MASS]],0)</f>
        <v>0</v>
      </c>
      <c r="GT49" s="10">
        <f>IF(CABLES[[#This Row],[SEG14]]&gt;0,CABLES[[#This Row],[CABLE_MASS]],0)</f>
        <v>0</v>
      </c>
      <c r="GU49" s="10">
        <f>IF(CABLES[[#This Row],[SEG15]]&gt;0,CABLES[[#This Row],[CABLE_MASS]],0)</f>
        <v>0</v>
      </c>
      <c r="GV49" s="10">
        <f>IF(CABLES[[#This Row],[SEG16]]&gt;0,CABLES[[#This Row],[CABLE_MASS]],0)</f>
        <v>0</v>
      </c>
      <c r="GW49" s="10">
        <f>IF(CABLES[[#This Row],[SEG17]]&gt;0,CABLES[[#This Row],[CABLE_MASS]],0)</f>
        <v>0</v>
      </c>
      <c r="GX49" s="10">
        <f>IF(CABLES[[#This Row],[SEG18]]&gt;0,CABLES[[#This Row],[CABLE_MASS]],0)</f>
        <v>0</v>
      </c>
      <c r="GY49" s="10">
        <f>IF(CABLES[[#This Row],[SEG19]]&gt;0,CABLES[[#This Row],[CABLE_MASS]],0)</f>
        <v>0</v>
      </c>
      <c r="GZ49" s="10">
        <f>IF(CABLES[[#This Row],[SEG20]]&gt;0,CABLES[[#This Row],[CABLE_MASS]],0)</f>
        <v>0</v>
      </c>
      <c r="HA49" s="10">
        <f>IF(CABLES[[#This Row],[SEG21]]&gt;0,CABLES[[#This Row],[CABLE_MASS]],0)</f>
        <v>0</v>
      </c>
      <c r="HB49" s="10">
        <f>IF(CABLES[[#This Row],[SEG22]]&gt;0,CABLES[[#This Row],[CABLE_MASS]],0)</f>
        <v>0</v>
      </c>
      <c r="HC49" s="10">
        <f>IF(CABLES[[#This Row],[SEG23]]&gt;0,CABLES[[#This Row],[CABLE_MASS]],0)</f>
        <v>0</v>
      </c>
      <c r="HD49" s="10">
        <f>IF(CABLES[[#This Row],[SEG24]]&gt;0,CABLES[[#This Row],[CABLE_MASS]],0)</f>
        <v>0</v>
      </c>
      <c r="HE49" s="10">
        <f>IF(CABLES[[#This Row],[SEG25]]&gt;0,CABLES[[#This Row],[CABLE_MASS]],0)</f>
        <v>0</v>
      </c>
      <c r="HF49" s="10">
        <f>IF(CABLES[[#This Row],[SEG26]]&gt;0,CABLES[[#This Row],[CABLE_MASS]],0)</f>
        <v>0</v>
      </c>
      <c r="HG49" s="10">
        <f>IF(CABLES[[#This Row],[SEG27]]&gt;0,CABLES[[#This Row],[CABLE_MASS]],0)</f>
        <v>0</v>
      </c>
      <c r="HH49" s="10">
        <f>IF(CABLES[[#This Row],[SEG28]]&gt;0,CABLES[[#This Row],[CABLE_MASS]],0)</f>
        <v>0</v>
      </c>
      <c r="HI49" s="10">
        <f>IF(CABLES[[#This Row],[SEG29]]&gt;0,CABLES[[#This Row],[CABLE_MASS]],0)</f>
        <v>0</v>
      </c>
      <c r="HJ49" s="10">
        <f>IF(CABLES[[#This Row],[SEG30]]&gt;0,CABLES[[#This Row],[CABLE_MASS]],0)</f>
        <v>0.21</v>
      </c>
      <c r="HK49" s="10">
        <f>IF(CABLES[[#This Row],[SEG31]]&gt;0,CABLES[[#This Row],[CABLE_MASS]],0)</f>
        <v>0.21</v>
      </c>
      <c r="HL49" s="10">
        <f>IF(CABLES[[#This Row],[SEG32]]&gt;0,CABLES[[#This Row],[CABLE_MASS]],0)</f>
        <v>0</v>
      </c>
      <c r="HM49" s="10">
        <f>IF(CABLES[[#This Row],[SEG33]]&gt;0,CABLES[[#This Row],[CABLE_MASS]],0)</f>
        <v>0</v>
      </c>
      <c r="HN49" s="10">
        <f>IF(CABLES[[#This Row],[SEG34]]&gt;0,CABLES[[#This Row],[CABLE_MASS]],0)</f>
        <v>0</v>
      </c>
      <c r="HO49" s="10">
        <f>IF(CABLES[[#This Row],[SEG35]]&gt;0,CABLES[[#This Row],[CABLE_MASS]],0)</f>
        <v>0</v>
      </c>
      <c r="HP49" s="10">
        <f>IF(CABLES[[#This Row],[SEG36]]&gt;0,CABLES[[#This Row],[CABLE_MASS]],0)</f>
        <v>0</v>
      </c>
      <c r="HQ49" s="10">
        <f>IF(CABLES[[#This Row],[SEG37]]&gt;0,CABLES[[#This Row],[CABLE_MASS]],0)</f>
        <v>0</v>
      </c>
      <c r="HR49" s="10">
        <f>IF(CABLES[[#This Row],[SEG38]]&gt;0,CABLES[[#This Row],[CABLE_MASS]],0)</f>
        <v>0</v>
      </c>
      <c r="HS49" s="10">
        <f>IF(CABLES[[#This Row],[SEG39]]&gt;0,CABLES[[#This Row],[CABLE_MASS]],0)</f>
        <v>0.21</v>
      </c>
      <c r="HT49" s="10">
        <f>IF(CABLES[[#This Row],[SEG40]]&gt;0,CABLES[[#This Row],[CABLE_MASS]],0)</f>
        <v>0.21</v>
      </c>
      <c r="HU49" s="10">
        <f>IF(CABLES[[#This Row],[SEG41]]&gt;0,CABLES[[#This Row],[CABLE_MASS]],0)</f>
        <v>0</v>
      </c>
      <c r="HV49" s="10">
        <f>IF(CABLES[[#This Row],[SEG42]]&gt;0,CABLES[[#This Row],[CABLE_MASS]],0)</f>
        <v>0</v>
      </c>
      <c r="HW49" s="10">
        <f>IF(CABLES[[#This Row],[SEG43]]&gt;0,CABLES[[#This Row],[CABLE_MASS]],0)</f>
        <v>0</v>
      </c>
      <c r="HX49" s="10">
        <f>IF(CABLES[[#This Row],[SEG44]]&gt;0,CABLES[[#This Row],[CABLE_MASS]],0)</f>
        <v>0</v>
      </c>
      <c r="HY49" s="10">
        <f>IF(CABLES[[#This Row],[SEG45]]&gt;0,CABLES[[#This Row],[CABLE_MASS]],0)</f>
        <v>0</v>
      </c>
      <c r="HZ49" s="10">
        <f>IF(CABLES[[#This Row],[SEG46]]&gt;0,CABLES[[#This Row],[CABLE_MASS]],0)</f>
        <v>0</v>
      </c>
      <c r="IA49" s="10">
        <f>IF(CABLES[[#This Row],[SEG47]]&gt;0,CABLES[[#This Row],[CABLE_MASS]],0)</f>
        <v>0</v>
      </c>
      <c r="IB49" s="10">
        <f>IF(CABLES[[#This Row],[SEG48]]&gt;0,CABLES[[#This Row],[CABLE_MASS]],0)</f>
        <v>0</v>
      </c>
      <c r="IC49" s="10">
        <f>IF(CABLES[[#This Row],[SEG49]]&gt;0,CABLES[[#This Row],[CABLE_MASS]],0)</f>
        <v>0</v>
      </c>
      <c r="ID49" s="10">
        <f>IF(CABLES[[#This Row],[SEG50]]&gt;0,CABLES[[#This Row],[CABLE_MASS]],0)</f>
        <v>0</v>
      </c>
      <c r="IE49" s="10">
        <f>IF(CABLES[[#This Row],[SEG51]]&gt;0,CABLES[[#This Row],[CABLE_MASS]],0)</f>
        <v>0</v>
      </c>
      <c r="IF49" s="10">
        <f>IF(CABLES[[#This Row],[SEG52]]&gt;0,CABLES[[#This Row],[CABLE_MASS]],0)</f>
        <v>0</v>
      </c>
      <c r="IG49" s="10">
        <f>IF(CABLES[[#This Row],[SEG53]]&gt;0,CABLES[[#This Row],[CABLE_MASS]],0)</f>
        <v>0</v>
      </c>
      <c r="IH49" s="10">
        <f>IF(CABLES[[#This Row],[SEG54]]&gt;0,CABLES[[#This Row],[CABLE_MASS]],0)</f>
        <v>0</v>
      </c>
      <c r="II49" s="10">
        <f>IF(CABLES[[#This Row],[SEG55]]&gt;0,CABLES[[#This Row],[CABLE_MASS]],0)</f>
        <v>0</v>
      </c>
      <c r="IJ49" s="10">
        <f>IF(CABLES[[#This Row],[SEG56]]&gt;0,CABLES[[#This Row],[CABLE_MASS]],0)</f>
        <v>0</v>
      </c>
      <c r="IK49" s="10">
        <f>IF(CABLES[[#This Row],[SEG57]]&gt;0,CABLES[[#This Row],[CABLE_MASS]],0)</f>
        <v>0</v>
      </c>
      <c r="IL49" s="10">
        <f>IF(CABLES[[#This Row],[SEG58]]&gt;0,CABLES[[#This Row],[CABLE_MASS]],0)</f>
        <v>0</v>
      </c>
      <c r="IM49" s="10">
        <f>IF(CABLES[[#This Row],[SEG59]]&gt;0,CABLES[[#This Row],[CABLE_MASS]],0)</f>
        <v>0</v>
      </c>
      <c r="IN49" s="10">
        <f>IF(CABLES[[#This Row],[SEG60]]&gt;0,CABLES[[#This Row],[CABLE_MASS]],0)</f>
        <v>0</v>
      </c>
      <c r="IO49" s="10">
        <f xml:space="preserve">  (CABLES[[#This Row],[LOAD_KW]]/(SQRT(3)*SYSTEM_VOLTAGE*POWER_FACTOR))*1000</f>
        <v>12.028130608117204</v>
      </c>
      <c r="IP49" s="10">
        <v>45</v>
      </c>
      <c r="IQ49" s="10">
        <f xml:space="preserve"> INDEX(AS3000_AMBIENTDERATE[], MATCH(CABLES[[#This Row],[AMBIENT]],AS3000_AMBIENTDERATE[AMBIENT],0), 2)</f>
        <v>0.94</v>
      </c>
      <c r="IR49" s="10">
        <f xml:space="preserve"> ROUNDUP( CABLES[[#This Row],[CALCULATED_AMPS]]/CABLES[[#This Row],[AMBIENT_DERATING]],1)</f>
        <v>12.799999999999999</v>
      </c>
      <c r="IS49" s="10" t="s">
        <v>531</v>
      </c>
      <c r="IT4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49" s="10">
        <f t="shared" si="1"/>
        <v>28.000000000000004</v>
      </c>
      <c r="IV49" s="10">
        <f>(1000*CABLES[[#This Row],[MAX_VDROP]])/(CABLES[[#This Row],[ESTIMATED_CABLE_LENGTH]]*CABLES[[#This Row],[AMP_RATING]])</f>
        <v>55.239898989898997</v>
      </c>
      <c r="IW49" s="10">
        <f xml:space="preserve"> INDEX(AS3000_VDROP[], MATCH(CABLES[[#This Row],[VC_CALC]],AS3000_VDROP[Vc],1),1)</f>
        <v>2.5</v>
      </c>
      <c r="IX49" s="10">
        <f>MAX(CABLES[[#This Row],[CABLESIZE_METHOD1]],CABLES[[#This Row],[CABLESIZE_METHOD2]])</f>
        <v>2.5</v>
      </c>
      <c r="IY49" s="10"/>
      <c r="IZ49" s="10">
        <f>IF(LEN(CABLES[[#This Row],[OVERRIDE_CABLESIZE]])&gt;0,CABLES[[#This Row],[OVERRIDE_CABLESIZE]],CABLES[[#This Row],[INITIAL_CABLESIZE]])</f>
        <v>2.5</v>
      </c>
      <c r="JA49" s="10">
        <f>INDEX(PROTECTIVE_DEVICE[DEVICE], MATCH(CABLES[[#This Row],[CALCULATED_AMPS]],PROTECTIVE_DEVICE[DEVICE],-1),1)</f>
        <v>16</v>
      </c>
      <c r="JB49" s="10"/>
      <c r="JC49" s="10">
        <f>IF(LEN(CABLES[[#This Row],[OVERRIDE_PDEVICE]])&gt;0, CABLES[[#This Row],[OVERRIDE_PDEVICE]],CABLES[[#This Row],[RECOMMEND_PDEVICE]])</f>
        <v>16</v>
      </c>
      <c r="JD49" s="10" t="s">
        <v>450</v>
      </c>
      <c r="JE49" s="10">
        <f xml:space="preserve"> CABLES[[#This Row],[SELECTED_PDEVICE]] * INDEX(DEVICE_CURVE[], MATCH(CABLES[[#This Row],[PDEVICE_CURVE]], DEVICE_CURVE[DEVICE_CURVE],0),2)</f>
        <v>104</v>
      </c>
      <c r="JF49" s="10" t="s">
        <v>458</v>
      </c>
      <c r="JG49" s="10">
        <f xml:space="preserve"> INDEX(CONDUCTOR_MATERIAL[], MATCH(CABLES[[#This Row],[CONDUCTOR_MATERIAL]],CONDUCTOR_MATERIAL[CONDUCTOR_MATERIAL],0),2)</f>
        <v>2.2499999999999999E-2</v>
      </c>
      <c r="JH49" s="10">
        <f>CABLES[[#This Row],[SELECTED_CABLESIZE]]</f>
        <v>2.5</v>
      </c>
      <c r="JI49" s="10">
        <f xml:space="preserve"> INDEX( EARTH_CONDUCTOR_SIZE[], MATCH(CABLES[[#This Row],[SPH]],EARTH_CONDUCTOR_SIZE[MM^2],-1), 2)</f>
        <v>2.5</v>
      </c>
      <c r="JJ49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49" s="10" t="str">
        <f>IF(CABLES[[#This Row],[LMAX]]&gt;CABLES[[#This Row],[ESTIMATED_CABLE_LENGTH]], "PASS", "ERROR")</f>
        <v>PASS</v>
      </c>
      <c r="JL4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4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49" s="6">
        <f xml:space="preserve"> ROUNDUP( CABLES[[#This Row],[CALCULATED_AMPS]],1)</f>
        <v>12.1</v>
      </c>
      <c r="JO49" s="6">
        <f>CABLES[[#This Row],[SELECTED_CABLESIZE]]</f>
        <v>2.5</v>
      </c>
      <c r="JP49" s="10">
        <f>CABLES[[#This Row],[ESTIMATED_CABLE_LENGTH]]</f>
        <v>39.6</v>
      </c>
      <c r="JQ49" s="6">
        <f>CABLES[[#This Row],[SELECTED_PDEVICE]]</f>
        <v>16</v>
      </c>
    </row>
    <row r="50" spans="1:277" x14ac:dyDescent="0.35">
      <c r="A50" s="5" t="s">
        <v>49</v>
      </c>
      <c r="B50" s="5" t="s">
        <v>105</v>
      </c>
      <c r="C50" s="10" t="s">
        <v>262</v>
      </c>
      <c r="D50" s="9">
        <v>1.1000000000000001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1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1</v>
      </c>
      <c r="AR50" s="9">
        <v>1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f xml:space="preserve"> IF(CABLES[[#This Row],[SEG1]] &gt;0, INDEX(SEGMENTS[], MATCH(CABLES[[#Headers],[SEG1]],SEGMENTS[SEG_ID],0),4),0)</f>
        <v>0</v>
      </c>
      <c r="BN50" s="9">
        <f xml:space="preserve"> IF(CABLES[[#This Row],[SEG2]] &gt;0, INDEX(SEGMENTS[], MATCH(CABLES[[#Headers],[SEG2]],SEGMENTS[SEG_ID],0),4),0)</f>
        <v>0</v>
      </c>
      <c r="BO50" s="9">
        <f xml:space="preserve"> IF(CABLES[[#This Row],[SEG3]] &gt;0, INDEX(SEGMENTS[], MATCH(CABLES[[#Headers],[SEG3]],SEGMENTS[SEG_ID],0),4),0)</f>
        <v>0</v>
      </c>
      <c r="BP50" s="9">
        <f xml:space="preserve"> IF(CABLES[[#This Row],[SEG4]] &gt;0, INDEX(SEGMENTS[], MATCH(CABLES[[#Headers],[SEG4]],SEGMENTS[SEG_ID],0),4),0)</f>
        <v>0</v>
      </c>
      <c r="BQ50" s="9">
        <f xml:space="preserve"> IF(CABLES[[#This Row],[SEG5]] &gt;0,INDEX(SEGMENTS[], MATCH(CABLES[[#Headers],[SEG5]],SEGMENTS[SEG_ID],0),4),0)</f>
        <v>0</v>
      </c>
      <c r="BR50" s="9">
        <f xml:space="preserve"> IF(CABLES[[#This Row],[SEG6]] &gt;0,INDEX(SEGMENTS[], MATCH(CABLES[[#Headers],[SEG6]],SEGMENTS[SEG_ID],0),4),0)</f>
        <v>0</v>
      </c>
      <c r="BS50" s="9">
        <f xml:space="preserve"> IF(CABLES[[#This Row],[SEG7]] &gt;0,INDEX(SEGMENTS[], MATCH(CABLES[[#Headers],[SEG7]],SEGMENTS[SEG_ID],0),4),0)</f>
        <v>0</v>
      </c>
      <c r="BT50" s="9">
        <f xml:space="preserve"> IF(CABLES[[#This Row],[SEG8]] &gt;0,INDEX(SEGMENTS[], MATCH(CABLES[[#Headers],[SEG8]],SEGMENTS[SEG_ID],0),4),0)</f>
        <v>0</v>
      </c>
      <c r="BU50" s="9">
        <f xml:space="preserve"> IF(CABLES[[#This Row],[SEG9]] &gt;0,INDEX(SEGMENTS[], MATCH(CABLES[[#Headers],[SEG9]],SEGMENTS[SEG_ID],0),4),0)</f>
        <v>0</v>
      </c>
      <c r="BV50" s="9">
        <f xml:space="preserve"> IF(CABLES[[#This Row],[SEG10]] &gt;0,INDEX(SEGMENTS[], MATCH(CABLES[[#Headers],[SEG10]],SEGMENTS[SEG_ID],0),4),0)</f>
        <v>0</v>
      </c>
      <c r="BW50" s="9">
        <f xml:space="preserve"> IF(CABLES[[#This Row],[SEG11]] &gt;0,INDEX(SEGMENTS[], MATCH(CABLES[[#Headers],[SEG11]],SEGMENTS[SEG_ID],0),4),0)</f>
        <v>0</v>
      </c>
      <c r="BX50" s="9">
        <f>IF(CABLES[[#This Row],[SEG12]] &gt;0, INDEX(SEGMENTS[], MATCH(CABLES[[#Headers],[SEG12]],SEGMENTS[SEG_ID],0),4),0)</f>
        <v>0</v>
      </c>
      <c r="BY50" s="9">
        <f xml:space="preserve"> IF(CABLES[[#This Row],[SEG13]] &gt;0,INDEX(SEGMENTS[], MATCH(CABLES[[#Headers],[SEG13]],SEGMENTS[SEG_ID],0),4),0)</f>
        <v>0</v>
      </c>
      <c r="BZ50" s="9">
        <f xml:space="preserve"> IF(CABLES[[#This Row],[SEG14]] &gt;0,INDEX(SEGMENTS[], MATCH(CABLES[[#Headers],[SEG14]],SEGMENTS[SEG_ID],0),4),0)</f>
        <v>0</v>
      </c>
      <c r="CA50" s="9">
        <f xml:space="preserve"> IF(CABLES[[#This Row],[SEG15]] &gt;0,INDEX(SEGMENTS[], MATCH(CABLES[[#Headers],[SEG15]],SEGMENTS[SEG_ID],0),4),0)</f>
        <v>0</v>
      </c>
      <c r="CB50" s="9">
        <f xml:space="preserve"> IF(CABLES[[#This Row],[SEG16]] &gt;0,INDEX(SEGMENTS[], MATCH(CABLES[[#Headers],[SEG16]],SEGMENTS[SEG_ID],0),4),0)</f>
        <v>0</v>
      </c>
      <c r="CC50" s="9">
        <f xml:space="preserve"> IF(CABLES[[#This Row],[SEG17]] &gt;0,INDEX(SEGMENTS[], MATCH(CABLES[[#Headers],[SEG17]],SEGMENTS[SEG_ID],0),4),0)</f>
        <v>0</v>
      </c>
      <c r="CD50" s="9">
        <f xml:space="preserve"> IF(CABLES[[#This Row],[SEG18]] &gt;0,INDEX(SEGMENTS[], MATCH(CABLES[[#Headers],[SEG18]],SEGMENTS[SEG_ID],0),4),0)</f>
        <v>0</v>
      </c>
      <c r="CE50" s="9">
        <f>IF(CABLES[[#This Row],[SEG19]] &gt;0, INDEX(SEGMENTS[], MATCH(CABLES[[#Headers],[SEG19]],SEGMENTS[SEG_ID],0),4),0)</f>
        <v>0</v>
      </c>
      <c r="CF50" s="9">
        <f>IF(CABLES[[#This Row],[SEG20]] &gt;0, INDEX(SEGMENTS[], MATCH(CABLES[[#Headers],[SEG20]],SEGMENTS[SEG_ID],0),4),0)</f>
        <v>0</v>
      </c>
      <c r="CG50" s="9">
        <f xml:space="preserve"> IF(CABLES[[#This Row],[SEG21]] &gt;0,INDEX(SEGMENTS[], MATCH(CABLES[[#Headers],[SEG21]],SEGMENTS[SEG_ID],0),4),0)</f>
        <v>0</v>
      </c>
      <c r="CH50" s="9">
        <f xml:space="preserve"> IF(CABLES[[#This Row],[SEG22]] &gt;0,INDEX(SEGMENTS[], MATCH(CABLES[[#Headers],[SEG22]],SEGMENTS[SEG_ID],0),4),0)</f>
        <v>0</v>
      </c>
      <c r="CI50" s="9">
        <f>IF(CABLES[[#This Row],[SEG23]] &gt;0, INDEX(SEGMENTS[], MATCH(CABLES[[#Headers],[SEG23]],SEGMENTS[SEG_ID],0),4),0)</f>
        <v>0</v>
      </c>
      <c r="CJ50" s="9">
        <f xml:space="preserve"> IF(CABLES[[#This Row],[SEG24]] &gt;0,INDEX(SEGMENTS[], MATCH(CABLES[[#Headers],[SEG24]],SEGMENTS[SEG_ID],0),4),0)</f>
        <v>0</v>
      </c>
      <c r="CK50" s="9">
        <f>IF(CABLES[[#This Row],[SEG25]] &gt;0, INDEX(SEGMENTS[], MATCH(CABLES[[#Headers],[SEG25]],SEGMENTS[SEG_ID],0),4),0)</f>
        <v>0</v>
      </c>
      <c r="CL50" s="9">
        <f>IF(CABLES[[#This Row],[SEG26]] &gt;0, INDEX(SEGMENTS[], MATCH(CABLES[[#Headers],[SEG26]],SEGMENTS[SEG_ID],0),4),0)</f>
        <v>0</v>
      </c>
      <c r="CM50" s="9">
        <f xml:space="preserve"> IF(CABLES[[#This Row],[SEG27]] &gt;0,INDEX(SEGMENTS[], MATCH(CABLES[[#Headers],[SEG27]],SEGMENTS[SEG_ID],0),4),0)</f>
        <v>0</v>
      </c>
      <c r="CN50" s="9">
        <f xml:space="preserve"> IF(CABLES[[#This Row],[SEG28]] &gt;0,INDEX(SEGMENTS[], MATCH(CABLES[[#Headers],[SEG28]],SEGMENTS[SEG_ID],0),4),0)</f>
        <v>0</v>
      </c>
      <c r="CO50" s="9">
        <f xml:space="preserve"> IF(CABLES[[#This Row],[SEG29]] &gt;0,INDEX(SEGMENTS[], MATCH(CABLES[[#Headers],[SEG29]],SEGMENTS[SEG_ID],0),4),0)</f>
        <v>0</v>
      </c>
      <c r="CP50" s="9">
        <f xml:space="preserve"> IF(CABLES[[#This Row],[SEG30]] &gt;0,INDEX(SEGMENTS[], MATCH(CABLES[[#Headers],[SEG30]],SEGMENTS[SEG_ID],0),4),0)</f>
        <v>6</v>
      </c>
      <c r="CQ50" s="9">
        <f>IF(CABLES[[#This Row],[SEG31]] &gt;0, INDEX(SEGMENTS[], MATCH(CABLES[[#Headers],[SEG31]],SEGMENTS[SEG_ID],0),4),0)</f>
        <v>3</v>
      </c>
      <c r="CR50" s="9">
        <f xml:space="preserve"> IF(CABLES[[#This Row],[SEG32]] &gt;0,INDEX(SEGMENTS[], MATCH(CABLES[[#Headers],[SEG32]],SEGMENTS[SEG_ID],0),4),0)</f>
        <v>0</v>
      </c>
      <c r="CS50" s="9">
        <f xml:space="preserve"> IF(CABLES[[#This Row],[SEG33]] &gt;0,INDEX(SEGMENTS[], MATCH(CABLES[[#Headers],[SEG33]],SEGMENTS[SEG_ID],0),4),0)</f>
        <v>0</v>
      </c>
      <c r="CT50" s="9">
        <f>IF(CABLES[[#This Row],[SEG34]] &gt;0, INDEX(SEGMENTS[], MATCH(CABLES[[#Headers],[SEG34]],SEGMENTS[SEG_ID],0),4),0)</f>
        <v>0</v>
      </c>
      <c r="CU50" s="9">
        <f xml:space="preserve"> IF(CABLES[[#This Row],[SEG35]] &gt;0,INDEX(SEGMENTS[], MATCH(CABLES[[#Headers],[SEG35]],SEGMENTS[SEG_ID],0),4),0)</f>
        <v>0</v>
      </c>
      <c r="CV50" s="9">
        <f xml:space="preserve"> IF(CABLES[[#This Row],[SEG36]] &gt;0,INDEX(SEGMENTS[], MATCH(CABLES[[#Headers],[SEG36]],SEGMENTS[SEG_ID],0),4),0)</f>
        <v>0</v>
      </c>
      <c r="CW50" s="9">
        <f xml:space="preserve"> IF(CABLES[[#This Row],[SEG37]] &gt;0,INDEX(SEGMENTS[], MATCH(CABLES[[#Headers],[SEG37]],SEGMENTS[SEG_ID],0),4),0)</f>
        <v>0</v>
      </c>
      <c r="CX50" s="9">
        <f xml:space="preserve"> IF(CABLES[[#This Row],[SEG38]] &gt;0,INDEX(SEGMENTS[], MATCH(CABLES[[#Headers],[SEG38]],SEGMENTS[SEG_ID],0),4),0)</f>
        <v>0</v>
      </c>
      <c r="CY50" s="9">
        <f xml:space="preserve"> IF(CABLES[[#This Row],[SEG39]] &gt;0,INDEX(SEGMENTS[], MATCH(CABLES[[#Headers],[SEG39]],SEGMENTS[SEG_ID],0),4),0)</f>
        <v>8</v>
      </c>
      <c r="CZ50" s="9">
        <f xml:space="preserve"> IF(CABLES[[#This Row],[SEG40]] &gt;0,INDEX(SEGMENTS[], MATCH(CABLES[[#Headers],[SEG40]],SEGMENTS[SEG_ID],0),4),0)</f>
        <v>11</v>
      </c>
      <c r="DA50" s="9">
        <f xml:space="preserve"> IF(CABLES[[#This Row],[SEG41]] &gt;0,INDEX(SEGMENTS[], MATCH(CABLES[[#Headers],[SEG41]],SEGMENTS[SEG_ID],0),4),0)</f>
        <v>0</v>
      </c>
      <c r="DB50" s="9">
        <f xml:space="preserve"> IF(CABLES[[#This Row],[SEG42]] &gt;0,INDEX(SEGMENTS[], MATCH(CABLES[[#Headers],[SEG42]],SEGMENTS[SEG_ID],0),4),0)</f>
        <v>0</v>
      </c>
      <c r="DC50" s="9">
        <f xml:space="preserve"> IF(CABLES[[#This Row],[SEG43]] &gt;0,INDEX(SEGMENTS[], MATCH(CABLES[[#Headers],[SEG43]],SEGMENTS[SEG_ID],0),4),0)</f>
        <v>0</v>
      </c>
      <c r="DD50" s="9">
        <f xml:space="preserve"> IF(CABLES[[#This Row],[SEG44]] &gt;0,INDEX(SEGMENTS[], MATCH(CABLES[[#Headers],[SEG44]],SEGMENTS[SEG_ID],0),4),0)</f>
        <v>0</v>
      </c>
      <c r="DE50" s="9">
        <f xml:space="preserve"> IF(CABLES[[#This Row],[SEG45]] &gt;0,INDEX(SEGMENTS[], MATCH(CABLES[[#Headers],[SEG45]],SEGMENTS[SEG_ID],0),4),0)</f>
        <v>0</v>
      </c>
      <c r="DF50" s="9">
        <f xml:space="preserve"> IF(CABLES[[#This Row],[SEG46]] &gt;0,INDEX(SEGMENTS[], MATCH(CABLES[[#Headers],[SEG46]],SEGMENTS[SEG_ID],0),4),0)</f>
        <v>0</v>
      </c>
      <c r="DG50" s="9">
        <f xml:space="preserve"> IF(CABLES[[#This Row],[SEG47]] &gt;0,INDEX(SEGMENTS[], MATCH(CABLES[[#Headers],[SEG47]],SEGMENTS[SEG_ID],0),4),0)</f>
        <v>0</v>
      </c>
      <c r="DH50" s="9">
        <f xml:space="preserve"> IF(CABLES[[#This Row],[SEG48]] &gt;0,INDEX(SEGMENTS[], MATCH(CABLES[[#Headers],[SEG48]],SEGMENTS[SEG_ID],0),4),0)</f>
        <v>0</v>
      </c>
      <c r="DI50" s="9">
        <f xml:space="preserve"> IF(CABLES[[#This Row],[SEG49]] &gt;0,INDEX(SEGMENTS[], MATCH(CABLES[[#Headers],[SEG49]],SEGMENTS[SEG_ID],0),4),0)</f>
        <v>0</v>
      </c>
      <c r="DJ50" s="9">
        <f xml:space="preserve"> IF(CABLES[[#This Row],[SEG50]] &gt;0,INDEX(SEGMENTS[], MATCH(CABLES[[#Headers],[SEG50]],SEGMENTS[SEG_ID],0),4),0)</f>
        <v>0</v>
      </c>
      <c r="DK50" s="9">
        <f xml:space="preserve"> IF(CABLES[[#This Row],[SEG51]] &gt;0,INDEX(SEGMENTS[], MATCH(CABLES[[#Headers],[SEG51]],SEGMENTS[SEG_ID],0),4),0)</f>
        <v>0</v>
      </c>
      <c r="DL50" s="9">
        <f xml:space="preserve"> IF(CABLES[[#This Row],[SEG52]] &gt;0,INDEX(SEGMENTS[], MATCH(CABLES[[#Headers],[SEG52]],SEGMENTS[SEG_ID],0),4),0)</f>
        <v>0</v>
      </c>
      <c r="DM50" s="9">
        <f xml:space="preserve"> IF(CABLES[[#This Row],[SEG53]] &gt;0,INDEX(SEGMENTS[], MATCH(CABLES[[#Headers],[SEG53]],SEGMENTS[SEG_ID],0),4),0)</f>
        <v>0</v>
      </c>
      <c r="DN50" s="9">
        <f xml:space="preserve"> IF(CABLES[[#This Row],[SEG54]] &gt;0,INDEX(SEGMENTS[], MATCH(CABLES[[#Headers],[SEG54]],SEGMENTS[SEG_ID],0),4),0)</f>
        <v>0</v>
      </c>
      <c r="DO50" s="9">
        <f xml:space="preserve"> IF(CABLES[[#This Row],[SEG55]] &gt;0,INDEX(SEGMENTS[], MATCH(CABLES[[#Headers],[SEG55]],SEGMENTS[SEG_ID],0),4),0)</f>
        <v>0</v>
      </c>
      <c r="DP50" s="9">
        <f xml:space="preserve"> IF(CABLES[[#This Row],[SEG56]] &gt;0,INDEX(SEGMENTS[], MATCH(CABLES[[#Headers],[SEG56]],SEGMENTS[SEG_ID],0),4),0)</f>
        <v>0</v>
      </c>
      <c r="DQ50" s="9">
        <f xml:space="preserve"> IF(CABLES[[#This Row],[SEG57]] &gt;0,INDEX(SEGMENTS[], MATCH(CABLES[[#Headers],[SEG57]],SEGMENTS[SEG_ID],0),4),0)</f>
        <v>0</v>
      </c>
      <c r="DR50" s="9">
        <f xml:space="preserve"> IF(CABLES[[#This Row],[SEG58]] &gt;0,INDEX(SEGMENTS[], MATCH(CABLES[[#Headers],[SEG58]],SEGMENTS[SEG_ID],0),4),0)</f>
        <v>0</v>
      </c>
      <c r="DS50" s="9">
        <f xml:space="preserve"> IF(CABLES[[#This Row],[SEG59]] &gt;0,INDEX(SEGMENTS[], MATCH(CABLES[[#Headers],[SEG59]],SEGMENTS[SEG_ID],0),4),0)</f>
        <v>0</v>
      </c>
      <c r="DT50" s="9">
        <f xml:space="preserve"> IF(CABLES[[#This Row],[SEG60]] &gt;0,INDEX(SEGMENTS[], MATCH(CABLES[[#Headers],[SEG60]],SEGMENTS[SEG_ID],0),4),0)</f>
        <v>0</v>
      </c>
      <c r="DU50" s="10">
        <f>SUM(CABLES[[#This Row],[SEGL1]:[SEGL60]])</f>
        <v>28</v>
      </c>
      <c r="DV50" s="10">
        <v>5</v>
      </c>
      <c r="DW50" s="10">
        <v>1.2</v>
      </c>
      <c r="DX50" s="10">
        <f xml:space="preserve"> IF(CABLES[[#This Row],[SEGL_TOTAL]]&gt;0, (CABLES[[#This Row],[SEGL_TOTAL]] + CABLES[[#This Row],[FITOFF]]) *CABLES[[#This Row],[XCAPACITY]],0)</f>
        <v>39.6</v>
      </c>
      <c r="DY50" s="10">
        <f>IF(CABLES[[#This Row],[SEG1]]&gt;0,CABLES[[#This Row],[CABLE_DIAMETER]],0)</f>
        <v>0</v>
      </c>
      <c r="DZ50" s="10">
        <f>IF(CABLES[[#This Row],[SEG2]]&gt;0,CABLES[[#This Row],[CABLE_DIAMETER]],0)</f>
        <v>0</v>
      </c>
      <c r="EA50" s="10">
        <f>IF(CABLES[[#This Row],[SEG3]]&gt;0,CABLES[[#This Row],[CABLE_DIAMETER]],0)</f>
        <v>0</v>
      </c>
      <c r="EB50" s="10">
        <f>IF(CABLES[[#This Row],[SEG4]]&gt;0,CABLES[[#This Row],[CABLE_DIAMETER]],0)</f>
        <v>0</v>
      </c>
      <c r="EC50" s="10">
        <f>IF(CABLES[[#This Row],[SEG5]]&gt;0,CABLES[[#This Row],[CABLE_DIAMETER]],0)</f>
        <v>0</v>
      </c>
      <c r="ED50" s="10">
        <f>IF(CABLES[[#This Row],[SEG6]]&gt;0,CABLES[[#This Row],[CABLE_DIAMETER]],0)</f>
        <v>0</v>
      </c>
      <c r="EE50" s="10">
        <f>IF(CABLES[[#This Row],[SEG7]]&gt;0,CABLES[[#This Row],[CABLE_DIAMETER]],0)</f>
        <v>0</v>
      </c>
      <c r="EF50" s="10">
        <f>IF(CABLES[[#This Row],[SEG9]]&gt;0,CABLES[[#This Row],[CABLE_DIAMETER]],0)</f>
        <v>0</v>
      </c>
      <c r="EG50" s="10">
        <f>IF(CABLES[[#This Row],[SEG9]]&gt;0,CABLES[[#This Row],[CABLE_DIAMETER]],0)</f>
        <v>0</v>
      </c>
      <c r="EH50" s="10">
        <f>IF(CABLES[[#This Row],[SEG10]]&gt;0,CABLES[[#This Row],[CABLE_DIAMETER]],0)</f>
        <v>0</v>
      </c>
      <c r="EI50" s="10">
        <f>IF(CABLES[[#This Row],[SEG11]]&gt;0,CABLES[[#This Row],[CABLE_DIAMETER]],0)</f>
        <v>0</v>
      </c>
      <c r="EJ50" s="10">
        <f>IF(CABLES[[#This Row],[SEG12]]&gt;0,CABLES[[#This Row],[CABLE_DIAMETER]],0)</f>
        <v>0</v>
      </c>
      <c r="EK50" s="10">
        <f>IF(CABLES[[#This Row],[SEG13]]&gt;0,CABLES[[#This Row],[CABLE_DIAMETER]],0)</f>
        <v>0</v>
      </c>
      <c r="EL50" s="10">
        <f>IF(CABLES[[#This Row],[SEG14]]&gt;0,CABLES[[#This Row],[CABLE_DIAMETER]],0)</f>
        <v>0</v>
      </c>
      <c r="EM50" s="10">
        <f>IF(CABLES[[#This Row],[SEG15]]&gt;0,CABLES[[#This Row],[CABLE_DIAMETER]],0)</f>
        <v>0</v>
      </c>
      <c r="EN50" s="10">
        <f>IF(CABLES[[#This Row],[SEG16]]&gt;0,CABLES[[#This Row],[CABLE_DIAMETER]],0)</f>
        <v>0</v>
      </c>
      <c r="EO50" s="10">
        <f>IF(CABLES[[#This Row],[SEG17]]&gt;0,CABLES[[#This Row],[CABLE_DIAMETER]],0)</f>
        <v>0</v>
      </c>
      <c r="EP50" s="10">
        <f>IF(CABLES[[#This Row],[SEG18]]&gt;0,CABLES[[#This Row],[CABLE_DIAMETER]],0)</f>
        <v>0</v>
      </c>
      <c r="EQ50" s="10">
        <f>IF(CABLES[[#This Row],[SEG19]]&gt;0,CABLES[[#This Row],[CABLE_DIAMETER]],0)</f>
        <v>0</v>
      </c>
      <c r="ER50" s="10">
        <f>IF(CABLES[[#This Row],[SEG20]]&gt;0,CABLES[[#This Row],[CABLE_DIAMETER]],0)</f>
        <v>0</v>
      </c>
      <c r="ES50" s="10">
        <f>IF(CABLES[[#This Row],[SEG21]]&gt;0,CABLES[[#This Row],[CABLE_DIAMETER]],0)</f>
        <v>0</v>
      </c>
      <c r="ET50" s="10">
        <f>IF(CABLES[[#This Row],[SEG22]]&gt;0,CABLES[[#This Row],[CABLE_DIAMETER]],0)</f>
        <v>0</v>
      </c>
      <c r="EU50" s="10">
        <f>IF(CABLES[[#This Row],[SEG23]]&gt;0,CABLES[[#This Row],[CABLE_DIAMETER]],0)</f>
        <v>0</v>
      </c>
      <c r="EV50" s="10">
        <f>IF(CABLES[[#This Row],[SEG24]]&gt;0,CABLES[[#This Row],[CABLE_DIAMETER]],0)</f>
        <v>0</v>
      </c>
      <c r="EW50" s="10">
        <f>IF(CABLES[[#This Row],[SEG25]]&gt;0,CABLES[[#This Row],[CABLE_DIAMETER]],0)</f>
        <v>0</v>
      </c>
      <c r="EX50" s="10">
        <f>IF(CABLES[[#This Row],[SEG26]]&gt;0,CABLES[[#This Row],[CABLE_DIAMETER]],0)</f>
        <v>0</v>
      </c>
      <c r="EY50" s="10">
        <f>IF(CABLES[[#This Row],[SEG27]]&gt;0,CABLES[[#This Row],[CABLE_DIAMETER]],0)</f>
        <v>0</v>
      </c>
      <c r="EZ50" s="10">
        <f>IF(CABLES[[#This Row],[SEG28]]&gt;0,CABLES[[#This Row],[CABLE_DIAMETER]],0)</f>
        <v>0</v>
      </c>
      <c r="FA50" s="10">
        <f>IF(CABLES[[#This Row],[SEG29]]&gt;0,CABLES[[#This Row],[CABLE_DIAMETER]],0)</f>
        <v>0</v>
      </c>
      <c r="FB50" s="10">
        <f>IF(CABLES[[#This Row],[SEG30]]&gt;0,CABLES[[#This Row],[CABLE_DIAMETER]],0)</f>
        <v>12</v>
      </c>
      <c r="FC50" s="10">
        <f>IF(CABLES[[#This Row],[SEG31]]&gt;0,CABLES[[#This Row],[CABLE_DIAMETER]],0)</f>
        <v>12</v>
      </c>
      <c r="FD50" s="10">
        <f>IF(CABLES[[#This Row],[SEG32]]&gt;0,CABLES[[#This Row],[CABLE_DIAMETER]],0)</f>
        <v>0</v>
      </c>
      <c r="FE50" s="10">
        <f>IF(CABLES[[#This Row],[SEG33]]&gt;0,CABLES[[#This Row],[CABLE_DIAMETER]],0)</f>
        <v>0</v>
      </c>
      <c r="FF50" s="10">
        <f>IF(CABLES[[#This Row],[SEG34]]&gt;0,CABLES[[#This Row],[CABLE_DIAMETER]],0)</f>
        <v>0</v>
      </c>
      <c r="FG50" s="10">
        <f>IF(CABLES[[#This Row],[SEG35]]&gt;0,CABLES[[#This Row],[CABLE_DIAMETER]],0)</f>
        <v>0</v>
      </c>
      <c r="FH50" s="10">
        <f>IF(CABLES[[#This Row],[SEG36]]&gt;0,CABLES[[#This Row],[CABLE_DIAMETER]],0)</f>
        <v>0</v>
      </c>
      <c r="FI50" s="10">
        <f>IF(CABLES[[#This Row],[SEG37]]&gt;0,CABLES[[#This Row],[CABLE_DIAMETER]],0)</f>
        <v>0</v>
      </c>
      <c r="FJ50" s="10">
        <f>IF(CABLES[[#This Row],[SEG38]]&gt;0,CABLES[[#This Row],[CABLE_DIAMETER]],0)</f>
        <v>0</v>
      </c>
      <c r="FK50" s="10">
        <f>IF(CABLES[[#This Row],[SEG39]]&gt;0,CABLES[[#This Row],[CABLE_DIAMETER]],0)</f>
        <v>12</v>
      </c>
      <c r="FL50" s="10">
        <f>IF(CABLES[[#This Row],[SEG40]]&gt;0,CABLES[[#This Row],[CABLE_DIAMETER]],0)</f>
        <v>12</v>
      </c>
      <c r="FM50" s="10">
        <f>IF(CABLES[[#This Row],[SEG41]]&gt;0,CABLES[[#This Row],[CABLE_DIAMETER]],0)</f>
        <v>0</v>
      </c>
      <c r="FN50" s="10">
        <f>IF(CABLES[[#This Row],[SEG42]]&gt;0,CABLES[[#This Row],[CABLE_DIAMETER]],0)</f>
        <v>0</v>
      </c>
      <c r="FO50" s="10">
        <f>IF(CABLES[[#This Row],[SEG43]]&gt;0,CABLES[[#This Row],[CABLE_DIAMETER]],0)</f>
        <v>0</v>
      </c>
      <c r="FP50" s="10">
        <f>IF(CABLES[[#This Row],[SEG44]]&gt;0,CABLES[[#This Row],[CABLE_DIAMETER]],0)</f>
        <v>0</v>
      </c>
      <c r="FQ50" s="10">
        <f>IF(CABLES[[#This Row],[SEG45]]&gt;0,CABLES[[#This Row],[CABLE_DIAMETER]],0)</f>
        <v>0</v>
      </c>
      <c r="FR50" s="10">
        <f>IF(CABLES[[#This Row],[SEG46]]&gt;0,CABLES[[#This Row],[CABLE_DIAMETER]],0)</f>
        <v>0</v>
      </c>
      <c r="FS50" s="10">
        <f>IF(CABLES[[#This Row],[SEG47]]&gt;0,CABLES[[#This Row],[CABLE_DIAMETER]],0)</f>
        <v>0</v>
      </c>
      <c r="FT50" s="10">
        <f>IF(CABLES[[#This Row],[SEG48]]&gt;0,CABLES[[#This Row],[CABLE_DIAMETER]],0)</f>
        <v>0</v>
      </c>
      <c r="FU50" s="10">
        <f>IF(CABLES[[#This Row],[SEG49]]&gt;0,CABLES[[#This Row],[CABLE_DIAMETER]],0)</f>
        <v>0</v>
      </c>
      <c r="FV50" s="10">
        <f>IF(CABLES[[#This Row],[SEG50]]&gt;0,CABLES[[#This Row],[CABLE_DIAMETER]],0)</f>
        <v>0</v>
      </c>
      <c r="FW50" s="10">
        <f>IF(CABLES[[#This Row],[SEG51]]&gt;0,CABLES[[#This Row],[CABLE_DIAMETER]],0)</f>
        <v>0</v>
      </c>
      <c r="FX50" s="10">
        <f>IF(CABLES[[#This Row],[SEG52]]&gt;0,CABLES[[#This Row],[CABLE_DIAMETER]],0)</f>
        <v>0</v>
      </c>
      <c r="FY50" s="10">
        <f>IF(CABLES[[#This Row],[SEG53]]&gt;0,CABLES[[#This Row],[CABLE_DIAMETER]],0)</f>
        <v>0</v>
      </c>
      <c r="FZ50" s="10">
        <f>IF(CABLES[[#This Row],[SEG54]]&gt;0,CABLES[[#This Row],[CABLE_DIAMETER]],0)</f>
        <v>0</v>
      </c>
      <c r="GA50" s="10">
        <f>IF(CABLES[[#This Row],[SEG55]]&gt;0,CABLES[[#This Row],[CABLE_DIAMETER]],0)</f>
        <v>0</v>
      </c>
      <c r="GB50" s="10">
        <f>IF(CABLES[[#This Row],[SEG56]]&gt;0,CABLES[[#This Row],[CABLE_DIAMETER]],0)</f>
        <v>0</v>
      </c>
      <c r="GC50" s="10">
        <f>IF(CABLES[[#This Row],[SEG57]]&gt;0,CABLES[[#This Row],[CABLE_DIAMETER]],0)</f>
        <v>0</v>
      </c>
      <c r="GD50" s="10">
        <f>IF(CABLES[[#This Row],[SEG58]]&gt;0,CABLES[[#This Row],[CABLE_DIAMETER]],0)</f>
        <v>0</v>
      </c>
      <c r="GE50" s="10">
        <f>IF(CABLES[[#This Row],[SEG59]]&gt;0,CABLES[[#This Row],[CABLE_DIAMETER]],0)</f>
        <v>0</v>
      </c>
      <c r="GF50" s="10">
        <f>IF(CABLES[[#This Row],[SEG60]]&gt;0,CABLES[[#This Row],[CABLE_DIAMETER]],0)</f>
        <v>0</v>
      </c>
      <c r="GG50" s="10">
        <f>IF(CABLES[[#This Row],[SEG1]]&gt;0,CABLES[[#This Row],[CABLE_MASS]],0)</f>
        <v>0</v>
      </c>
      <c r="GH50" s="10">
        <f>IF(CABLES[[#This Row],[SEG2]]&gt;0,CABLES[[#This Row],[CABLE_MASS]],0)</f>
        <v>0</v>
      </c>
      <c r="GI50" s="10">
        <f>IF(CABLES[[#This Row],[SEG3]]&gt;0,CABLES[[#This Row],[CABLE_MASS]],0)</f>
        <v>0</v>
      </c>
      <c r="GJ50" s="10">
        <f>IF(CABLES[[#This Row],[SEG4]]&gt;0,CABLES[[#This Row],[CABLE_MASS]],0)</f>
        <v>0</v>
      </c>
      <c r="GK50" s="10">
        <f>IF(CABLES[[#This Row],[SEG5]]&gt;0,CABLES[[#This Row],[CABLE_MASS]],0)</f>
        <v>0</v>
      </c>
      <c r="GL50" s="10">
        <f>IF(CABLES[[#This Row],[SEG6]]&gt;0,CABLES[[#This Row],[CABLE_MASS]],0)</f>
        <v>0</v>
      </c>
      <c r="GM50" s="10">
        <f>IF(CABLES[[#This Row],[SEG7]]&gt;0,CABLES[[#This Row],[CABLE_MASS]],0)</f>
        <v>0</v>
      </c>
      <c r="GN50" s="10">
        <f>IF(CABLES[[#This Row],[SEG8]]&gt;0,CABLES[[#This Row],[CABLE_MASS]],0)</f>
        <v>0</v>
      </c>
      <c r="GO50" s="10">
        <f>IF(CABLES[[#This Row],[SEG9]]&gt;0,CABLES[[#This Row],[CABLE_MASS]],0)</f>
        <v>0</v>
      </c>
      <c r="GP50" s="10">
        <f>IF(CABLES[[#This Row],[SEG10]]&gt;0,CABLES[[#This Row],[CABLE_MASS]],0)</f>
        <v>0</v>
      </c>
      <c r="GQ50" s="10">
        <f>IF(CABLES[[#This Row],[SEG11]]&gt;0,CABLES[[#This Row],[CABLE_MASS]],0)</f>
        <v>0</v>
      </c>
      <c r="GR50" s="10">
        <f>IF(CABLES[[#This Row],[SEG12]]&gt;0,CABLES[[#This Row],[CABLE_MASS]],0)</f>
        <v>0</v>
      </c>
      <c r="GS50" s="10">
        <f>IF(CABLES[[#This Row],[SEG13]]&gt;0,CABLES[[#This Row],[CABLE_MASS]],0)</f>
        <v>0</v>
      </c>
      <c r="GT50" s="10">
        <f>IF(CABLES[[#This Row],[SEG14]]&gt;0,CABLES[[#This Row],[CABLE_MASS]],0)</f>
        <v>0</v>
      </c>
      <c r="GU50" s="10">
        <f>IF(CABLES[[#This Row],[SEG15]]&gt;0,CABLES[[#This Row],[CABLE_MASS]],0)</f>
        <v>0</v>
      </c>
      <c r="GV50" s="10">
        <f>IF(CABLES[[#This Row],[SEG16]]&gt;0,CABLES[[#This Row],[CABLE_MASS]],0)</f>
        <v>0</v>
      </c>
      <c r="GW50" s="10">
        <f>IF(CABLES[[#This Row],[SEG17]]&gt;0,CABLES[[#This Row],[CABLE_MASS]],0)</f>
        <v>0</v>
      </c>
      <c r="GX50" s="10">
        <f>IF(CABLES[[#This Row],[SEG18]]&gt;0,CABLES[[#This Row],[CABLE_MASS]],0)</f>
        <v>0</v>
      </c>
      <c r="GY50" s="10">
        <f>IF(CABLES[[#This Row],[SEG19]]&gt;0,CABLES[[#This Row],[CABLE_MASS]],0)</f>
        <v>0</v>
      </c>
      <c r="GZ50" s="10">
        <f>IF(CABLES[[#This Row],[SEG20]]&gt;0,CABLES[[#This Row],[CABLE_MASS]],0)</f>
        <v>0</v>
      </c>
      <c r="HA50" s="10">
        <f>IF(CABLES[[#This Row],[SEG21]]&gt;0,CABLES[[#This Row],[CABLE_MASS]],0)</f>
        <v>0</v>
      </c>
      <c r="HB50" s="10">
        <f>IF(CABLES[[#This Row],[SEG22]]&gt;0,CABLES[[#This Row],[CABLE_MASS]],0)</f>
        <v>0</v>
      </c>
      <c r="HC50" s="10">
        <f>IF(CABLES[[#This Row],[SEG23]]&gt;0,CABLES[[#This Row],[CABLE_MASS]],0)</f>
        <v>0</v>
      </c>
      <c r="HD50" s="10">
        <f>IF(CABLES[[#This Row],[SEG24]]&gt;0,CABLES[[#This Row],[CABLE_MASS]],0)</f>
        <v>0</v>
      </c>
      <c r="HE50" s="10">
        <f>IF(CABLES[[#This Row],[SEG25]]&gt;0,CABLES[[#This Row],[CABLE_MASS]],0)</f>
        <v>0</v>
      </c>
      <c r="HF50" s="10">
        <f>IF(CABLES[[#This Row],[SEG26]]&gt;0,CABLES[[#This Row],[CABLE_MASS]],0)</f>
        <v>0</v>
      </c>
      <c r="HG50" s="10">
        <f>IF(CABLES[[#This Row],[SEG27]]&gt;0,CABLES[[#This Row],[CABLE_MASS]],0)</f>
        <v>0</v>
      </c>
      <c r="HH50" s="10">
        <f>IF(CABLES[[#This Row],[SEG28]]&gt;0,CABLES[[#This Row],[CABLE_MASS]],0)</f>
        <v>0</v>
      </c>
      <c r="HI50" s="10">
        <f>IF(CABLES[[#This Row],[SEG29]]&gt;0,CABLES[[#This Row],[CABLE_MASS]],0)</f>
        <v>0</v>
      </c>
      <c r="HJ50" s="10">
        <f>IF(CABLES[[#This Row],[SEG30]]&gt;0,CABLES[[#This Row],[CABLE_MASS]],0)</f>
        <v>0.21</v>
      </c>
      <c r="HK50" s="10">
        <f>IF(CABLES[[#This Row],[SEG31]]&gt;0,CABLES[[#This Row],[CABLE_MASS]],0)</f>
        <v>0.21</v>
      </c>
      <c r="HL50" s="10">
        <f>IF(CABLES[[#This Row],[SEG32]]&gt;0,CABLES[[#This Row],[CABLE_MASS]],0)</f>
        <v>0</v>
      </c>
      <c r="HM50" s="10">
        <f>IF(CABLES[[#This Row],[SEG33]]&gt;0,CABLES[[#This Row],[CABLE_MASS]],0)</f>
        <v>0</v>
      </c>
      <c r="HN50" s="10">
        <f>IF(CABLES[[#This Row],[SEG34]]&gt;0,CABLES[[#This Row],[CABLE_MASS]],0)</f>
        <v>0</v>
      </c>
      <c r="HO50" s="10">
        <f>IF(CABLES[[#This Row],[SEG35]]&gt;0,CABLES[[#This Row],[CABLE_MASS]],0)</f>
        <v>0</v>
      </c>
      <c r="HP50" s="10">
        <f>IF(CABLES[[#This Row],[SEG36]]&gt;0,CABLES[[#This Row],[CABLE_MASS]],0)</f>
        <v>0</v>
      </c>
      <c r="HQ50" s="10">
        <f>IF(CABLES[[#This Row],[SEG37]]&gt;0,CABLES[[#This Row],[CABLE_MASS]],0)</f>
        <v>0</v>
      </c>
      <c r="HR50" s="10">
        <f>IF(CABLES[[#This Row],[SEG38]]&gt;0,CABLES[[#This Row],[CABLE_MASS]],0)</f>
        <v>0</v>
      </c>
      <c r="HS50" s="10">
        <f>IF(CABLES[[#This Row],[SEG39]]&gt;0,CABLES[[#This Row],[CABLE_MASS]],0)</f>
        <v>0.21</v>
      </c>
      <c r="HT50" s="10">
        <f>IF(CABLES[[#This Row],[SEG40]]&gt;0,CABLES[[#This Row],[CABLE_MASS]],0)</f>
        <v>0.21</v>
      </c>
      <c r="HU50" s="10">
        <f>IF(CABLES[[#This Row],[SEG41]]&gt;0,CABLES[[#This Row],[CABLE_MASS]],0)</f>
        <v>0</v>
      </c>
      <c r="HV50" s="10">
        <f>IF(CABLES[[#This Row],[SEG42]]&gt;0,CABLES[[#This Row],[CABLE_MASS]],0)</f>
        <v>0</v>
      </c>
      <c r="HW50" s="10">
        <f>IF(CABLES[[#This Row],[SEG43]]&gt;0,CABLES[[#This Row],[CABLE_MASS]],0)</f>
        <v>0</v>
      </c>
      <c r="HX50" s="10">
        <f>IF(CABLES[[#This Row],[SEG44]]&gt;0,CABLES[[#This Row],[CABLE_MASS]],0)</f>
        <v>0</v>
      </c>
      <c r="HY50" s="10">
        <f>IF(CABLES[[#This Row],[SEG45]]&gt;0,CABLES[[#This Row],[CABLE_MASS]],0)</f>
        <v>0</v>
      </c>
      <c r="HZ50" s="10">
        <f>IF(CABLES[[#This Row],[SEG46]]&gt;0,CABLES[[#This Row],[CABLE_MASS]],0)</f>
        <v>0</v>
      </c>
      <c r="IA50" s="10">
        <f>IF(CABLES[[#This Row],[SEG47]]&gt;0,CABLES[[#This Row],[CABLE_MASS]],0)</f>
        <v>0</v>
      </c>
      <c r="IB50" s="10">
        <f>IF(CABLES[[#This Row],[SEG48]]&gt;0,CABLES[[#This Row],[CABLE_MASS]],0)</f>
        <v>0</v>
      </c>
      <c r="IC50" s="10">
        <f>IF(CABLES[[#This Row],[SEG49]]&gt;0,CABLES[[#This Row],[CABLE_MASS]],0)</f>
        <v>0</v>
      </c>
      <c r="ID50" s="10">
        <f>IF(CABLES[[#This Row],[SEG50]]&gt;0,CABLES[[#This Row],[CABLE_MASS]],0)</f>
        <v>0</v>
      </c>
      <c r="IE50" s="10">
        <f>IF(CABLES[[#This Row],[SEG51]]&gt;0,CABLES[[#This Row],[CABLE_MASS]],0)</f>
        <v>0</v>
      </c>
      <c r="IF50" s="10">
        <f>IF(CABLES[[#This Row],[SEG52]]&gt;0,CABLES[[#This Row],[CABLE_MASS]],0)</f>
        <v>0</v>
      </c>
      <c r="IG50" s="10">
        <f>IF(CABLES[[#This Row],[SEG53]]&gt;0,CABLES[[#This Row],[CABLE_MASS]],0)</f>
        <v>0</v>
      </c>
      <c r="IH50" s="10">
        <f>IF(CABLES[[#This Row],[SEG54]]&gt;0,CABLES[[#This Row],[CABLE_MASS]],0)</f>
        <v>0</v>
      </c>
      <c r="II50" s="10">
        <f>IF(CABLES[[#This Row],[SEG55]]&gt;0,CABLES[[#This Row],[CABLE_MASS]],0)</f>
        <v>0</v>
      </c>
      <c r="IJ50" s="10">
        <f>IF(CABLES[[#This Row],[SEG56]]&gt;0,CABLES[[#This Row],[CABLE_MASS]],0)</f>
        <v>0</v>
      </c>
      <c r="IK50" s="10">
        <f>IF(CABLES[[#This Row],[SEG57]]&gt;0,CABLES[[#This Row],[CABLE_MASS]],0)</f>
        <v>0</v>
      </c>
      <c r="IL50" s="10">
        <f>IF(CABLES[[#This Row],[SEG58]]&gt;0,CABLES[[#This Row],[CABLE_MASS]],0)</f>
        <v>0</v>
      </c>
      <c r="IM50" s="10">
        <f>IF(CABLES[[#This Row],[SEG59]]&gt;0,CABLES[[#This Row],[CABLE_MASS]],0)</f>
        <v>0</v>
      </c>
      <c r="IN50" s="10">
        <f>IF(CABLES[[#This Row],[SEG60]]&gt;0,CABLES[[#This Row],[CABLE_MASS]],0)</f>
        <v>0</v>
      </c>
      <c r="IO50" s="10">
        <f xml:space="preserve">  (CABLES[[#This Row],[LOAD_KW]]/(SQRT(3)*SYSTEM_VOLTAGE*POWER_FACTOR))*1000</f>
        <v>1.7641258225238565</v>
      </c>
      <c r="IP50" s="10">
        <v>45</v>
      </c>
      <c r="IQ50" s="10">
        <f xml:space="preserve"> INDEX(AS3000_AMBIENTDERATE[], MATCH(CABLES[[#This Row],[AMBIENT]],AS3000_AMBIENTDERATE[AMBIENT],0), 2)</f>
        <v>0.94</v>
      </c>
      <c r="IR50" s="10">
        <f xml:space="preserve"> ROUNDUP( CABLES[[#This Row],[CALCULATED_AMPS]]/CABLES[[#This Row],[AMBIENT_DERATING]],1)</f>
        <v>1.9000000000000001</v>
      </c>
      <c r="IS50" s="10" t="s">
        <v>531</v>
      </c>
      <c r="IT5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0" s="10">
        <f t="shared" si="1"/>
        <v>28.000000000000004</v>
      </c>
      <c r="IV50" s="10">
        <f>(1000*CABLES[[#This Row],[MAX_VDROP]])/(CABLES[[#This Row],[ESTIMATED_CABLE_LENGTH]]*CABLES[[#This Row],[AMP_RATING]])</f>
        <v>372.1424774056353</v>
      </c>
      <c r="IW50" s="10">
        <f xml:space="preserve"> INDEX(AS3000_VDROP[], MATCH(CABLES[[#This Row],[VC_CALC]],AS3000_VDROP[Vc],1),1)</f>
        <v>2.5</v>
      </c>
      <c r="IX50" s="10">
        <f>MAX(CABLES[[#This Row],[CABLESIZE_METHOD1]],CABLES[[#This Row],[CABLESIZE_METHOD2]])</f>
        <v>2.5</v>
      </c>
      <c r="IY50" s="10"/>
      <c r="IZ50" s="10">
        <f>IF(LEN(CABLES[[#This Row],[OVERRIDE_CABLESIZE]])&gt;0,CABLES[[#This Row],[OVERRIDE_CABLESIZE]],CABLES[[#This Row],[INITIAL_CABLESIZE]])</f>
        <v>2.5</v>
      </c>
      <c r="JA50" s="10">
        <f>INDEX(PROTECTIVE_DEVICE[DEVICE], MATCH(CABLES[[#This Row],[CALCULATED_AMPS]],PROTECTIVE_DEVICE[DEVICE],-1),1)</f>
        <v>6</v>
      </c>
      <c r="JB50" s="10"/>
      <c r="JC50" s="10">
        <f>IF(LEN(CABLES[[#This Row],[OVERRIDE_PDEVICE]])&gt;0, CABLES[[#This Row],[OVERRIDE_PDEVICE]],CABLES[[#This Row],[RECOMMEND_PDEVICE]])</f>
        <v>6</v>
      </c>
      <c r="JD50" s="10" t="s">
        <v>450</v>
      </c>
      <c r="JE50" s="10">
        <f xml:space="preserve"> CABLES[[#This Row],[SELECTED_PDEVICE]] * INDEX(DEVICE_CURVE[], MATCH(CABLES[[#This Row],[PDEVICE_CURVE]], DEVICE_CURVE[DEVICE_CURVE],0),2)</f>
        <v>39</v>
      </c>
      <c r="JF50" s="10" t="s">
        <v>458</v>
      </c>
      <c r="JG50" s="10">
        <f xml:space="preserve"> INDEX(CONDUCTOR_MATERIAL[], MATCH(CABLES[[#This Row],[CONDUCTOR_MATERIAL]],CONDUCTOR_MATERIAL[CONDUCTOR_MATERIAL],0),2)</f>
        <v>2.2499999999999999E-2</v>
      </c>
      <c r="JH50" s="10">
        <f>CABLES[[#This Row],[SELECTED_CABLESIZE]]</f>
        <v>2.5</v>
      </c>
      <c r="JI50" s="10">
        <f xml:space="preserve"> INDEX( EARTH_CONDUCTOR_SIZE[], MATCH(CABLES[[#This Row],[SPH]],EARTH_CONDUCTOR_SIZE[MM^2],-1), 2)</f>
        <v>2.5</v>
      </c>
      <c r="JJ50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50" s="10" t="str">
        <f>IF(CABLES[[#This Row],[LMAX]]&gt;CABLES[[#This Row],[ESTIMATED_CABLE_LENGTH]], "PASS", "ERROR")</f>
        <v>PASS</v>
      </c>
      <c r="JL5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0" s="6">
        <f xml:space="preserve"> ROUNDUP( CABLES[[#This Row],[CALCULATED_AMPS]],1)</f>
        <v>1.8</v>
      </c>
      <c r="JO50" s="6">
        <f>CABLES[[#This Row],[SELECTED_CABLESIZE]]</f>
        <v>2.5</v>
      </c>
      <c r="JP50" s="10">
        <f>CABLES[[#This Row],[ESTIMATED_CABLE_LENGTH]]</f>
        <v>39.6</v>
      </c>
      <c r="JQ50" s="6">
        <f>CABLES[[#This Row],[SELECTED_PDEVICE]]</f>
        <v>6</v>
      </c>
    </row>
    <row r="51" spans="1:277" x14ac:dyDescent="0.35">
      <c r="A51" s="5" t="s">
        <v>50</v>
      </c>
      <c r="B51" s="5" t="s">
        <v>106</v>
      </c>
      <c r="C51" s="10" t="s">
        <v>262</v>
      </c>
      <c r="D51" s="9">
        <v>1.1000000000000001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1</v>
      </c>
      <c r="AI51" s="9">
        <v>1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1</v>
      </c>
      <c r="AR51" s="9">
        <v>1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f xml:space="preserve"> IF(CABLES[[#This Row],[SEG1]] &gt;0, INDEX(SEGMENTS[], MATCH(CABLES[[#Headers],[SEG1]],SEGMENTS[SEG_ID],0),4),0)</f>
        <v>0</v>
      </c>
      <c r="BN51" s="9">
        <f xml:space="preserve"> IF(CABLES[[#This Row],[SEG2]] &gt;0, INDEX(SEGMENTS[], MATCH(CABLES[[#Headers],[SEG2]],SEGMENTS[SEG_ID],0),4),0)</f>
        <v>0</v>
      </c>
      <c r="BO51" s="9">
        <f xml:space="preserve"> IF(CABLES[[#This Row],[SEG3]] &gt;0, INDEX(SEGMENTS[], MATCH(CABLES[[#Headers],[SEG3]],SEGMENTS[SEG_ID],0),4),0)</f>
        <v>0</v>
      </c>
      <c r="BP51" s="9">
        <f xml:space="preserve"> IF(CABLES[[#This Row],[SEG4]] &gt;0, INDEX(SEGMENTS[], MATCH(CABLES[[#Headers],[SEG4]],SEGMENTS[SEG_ID],0),4),0)</f>
        <v>0</v>
      </c>
      <c r="BQ51" s="9">
        <f xml:space="preserve"> IF(CABLES[[#This Row],[SEG5]] &gt;0,INDEX(SEGMENTS[], MATCH(CABLES[[#Headers],[SEG5]],SEGMENTS[SEG_ID],0),4),0)</f>
        <v>0</v>
      </c>
      <c r="BR51" s="9">
        <f xml:space="preserve"> IF(CABLES[[#This Row],[SEG6]] &gt;0,INDEX(SEGMENTS[], MATCH(CABLES[[#Headers],[SEG6]],SEGMENTS[SEG_ID],0),4),0)</f>
        <v>0</v>
      </c>
      <c r="BS51" s="9">
        <f xml:space="preserve"> IF(CABLES[[#This Row],[SEG7]] &gt;0,INDEX(SEGMENTS[], MATCH(CABLES[[#Headers],[SEG7]],SEGMENTS[SEG_ID],0),4),0)</f>
        <v>0</v>
      </c>
      <c r="BT51" s="9">
        <f xml:space="preserve"> IF(CABLES[[#This Row],[SEG8]] &gt;0,INDEX(SEGMENTS[], MATCH(CABLES[[#Headers],[SEG8]],SEGMENTS[SEG_ID],0),4),0)</f>
        <v>0</v>
      </c>
      <c r="BU51" s="9">
        <f xml:space="preserve"> IF(CABLES[[#This Row],[SEG9]] &gt;0,INDEX(SEGMENTS[], MATCH(CABLES[[#Headers],[SEG9]],SEGMENTS[SEG_ID],0),4),0)</f>
        <v>0</v>
      </c>
      <c r="BV51" s="9">
        <f xml:space="preserve"> IF(CABLES[[#This Row],[SEG10]] &gt;0,INDEX(SEGMENTS[], MATCH(CABLES[[#Headers],[SEG10]],SEGMENTS[SEG_ID],0),4),0)</f>
        <v>0</v>
      </c>
      <c r="BW51" s="9">
        <f xml:space="preserve"> IF(CABLES[[#This Row],[SEG11]] &gt;0,INDEX(SEGMENTS[], MATCH(CABLES[[#Headers],[SEG11]],SEGMENTS[SEG_ID],0),4),0)</f>
        <v>0</v>
      </c>
      <c r="BX51" s="9">
        <f>IF(CABLES[[#This Row],[SEG12]] &gt;0, INDEX(SEGMENTS[], MATCH(CABLES[[#Headers],[SEG12]],SEGMENTS[SEG_ID],0),4),0)</f>
        <v>0</v>
      </c>
      <c r="BY51" s="9">
        <f xml:space="preserve"> IF(CABLES[[#This Row],[SEG13]] &gt;0,INDEX(SEGMENTS[], MATCH(CABLES[[#Headers],[SEG13]],SEGMENTS[SEG_ID],0),4),0)</f>
        <v>0</v>
      </c>
      <c r="BZ51" s="9">
        <f xml:space="preserve"> IF(CABLES[[#This Row],[SEG14]] &gt;0,INDEX(SEGMENTS[], MATCH(CABLES[[#Headers],[SEG14]],SEGMENTS[SEG_ID],0),4),0)</f>
        <v>0</v>
      </c>
      <c r="CA51" s="9">
        <f xml:space="preserve"> IF(CABLES[[#This Row],[SEG15]] &gt;0,INDEX(SEGMENTS[], MATCH(CABLES[[#Headers],[SEG15]],SEGMENTS[SEG_ID],0),4),0)</f>
        <v>0</v>
      </c>
      <c r="CB51" s="9">
        <f xml:space="preserve"> IF(CABLES[[#This Row],[SEG16]] &gt;0,INDEX(SEGMENTS[], MATCH(CABLES[[#Headers],[SEG16]],SEGMENTS[SEG_ID],0),4),0)</f>
        <v>0</v>
      </c>
      <c r="CC51" s="9">
        <f xml:space="preserve"> IF(CABLES[[#This Row],[SEG17]] &gt;0,INDEX(SEGMENTS[], MATCH(CABLES[[#Headers],[SEG17]],SEGMENTS[SEG_ID],0),4),0)</f>
        <v>0</v>
      </c>
      <c r="CD51" s="9">
        <f xml:space="preserve"> IF(CABLES[[#This Row],[SEG18]] &gt;0,INDEX(SEGMENTS[], MATCH(CABLES[[#Headers],[SEG18]],SEGMENTS[SEG_ID],0),4),0)</f>
        <v>0</v>
      </c>
      <c r="CE51" s="9">
        <f>IF(CABLES[[#This Row],[SEG19]] &gt;0, INDEX(SEGMENTS[], MATCH(CABLES[[#Headers],[SEG19]],SEGMENTS[SEG_ID],0),4),0)</f>
        <v>0</v>
      </c>
      <c r="CF51" s="9">
        <f>IF(CABLES[[#This Row],[SEG20]] &gt;0, INDEX(SEGMENTS[], MATCH(CABLES[[#Headers],[SEG20]],SEGMENTS[SEG_ID],0),4),0)</f>
        <v>0</v>
      </c>
      <c r="CG51" s="9">
        <f xml:space="preserve"> IF(CABLES[[#This Row],[SEG21]] &gt;0,INDEX(SEGMENTS[], MATCH(CABLES[[#Headers],[SEG21]],SEGMENTS[SEG_ID],0),4),0)</f>
        <v>0</v>
      </c>
      <c r="CH51" s="9">
        <f xml:space="preserve"> IF(CABLES[[#This Row],[SEG22]] &gt;0,INDEX(SEGMENTS[], MATCH(CABLES[[#Headers],[SEG22]],SEGMENTS[SEG_ID],0),4),0)</f>
        <v>0</v>
      </c>
      <c r="CI51" s="9">
        <f>IF(CABLES[[#This Row],[SEG23]] &gt;0, INDEX(SEGMENTS[], MATCH(CABLES[[#Headers],[SEG23]],SEGMENTS[SEG_ID],0),4),0)</f>
        <v>0</v>
      </c>
      <c r="CJ51" s="9">
        <f xml:space="preserve"> IF(CABLES[[#This Row],[SEG24]] &gt;0,INDEX(SEGMENTS[], MATCH(CABLES[[#Headers],[SEG24]],SEGMENTS[SEG_ID],0),4),0)</f>
        <v>0</v>
      </c>
      <c r="CK51" s="9">
        <f>IF(CABLES[[#This Row],[SEG25]] &gt;0, INDEX(SEGMENTS[], MATCH(CABLES[[#Headers],[SEG25]],SEGMENTS[SEG_ID],0),4),0)</f>
        <v>0</v>
      </c>
      <c r="CL51" s="9">
        <f>IF(CABLES[[#This Row],[SEG26]] &gt;0, INDEX(SEGMENTS[], MATCH(CABLES[[#Headers],[SEG26]],SEGMENTS[SEG_ID],0),4),0)</f>
        <v>0</v>
      </c>
      <c r="CM51" s="9">
        <f xml:space="preserve"> IF(CABLES[[#This Row],[SEG27]] &gt;0,INDEX(SEGMENTS[], MATCH(CABLES[[#Headers],[SEG27]],SEGMENTS[SEG_ID],0),4),0)</f>
        <v>0</v>
      </c>
      <c r="CN51" s="9">
        <f xml:space="preserve"> IF(CABLES[[#This Row],[SEG28]] &gt;0,INDEX(SEGMENTS[], MATCH(CABLES[[#Headers],[SEG28]],SEGMENTS[SEG_ID],0),4),0)</f>
        <v>0</v>
      </c>
      <c r="CO51" s="9">
        <f xml:space="preserve"> IF(CABLES[[#This Row],[SEG29]] &gt;0,INDEX(SEGMENTS[], MATCH(CABLES[[#Headers],[SEG29]],SEGMENTS[SEG_ID],0),4),0)</f>
        <v>0</v>
      </c>
      <c r="CP51" s="9">
        <f xml:space="preserve"> IF(CABLES[[#This Row],[SEG30]] &gt;0,INDEX(SEGMENTS[], MATCH(CABLES[[#Headers],[SEG30]],SEGMENTS[SEG_ID],0),4),0)</f>
        <v>6</v>
      </c>
      <c r="CQ51" s="9">
        <f>IF(CABLES[[#This Row],[SEG31]] &gt;0, INDEX(SEGMENTS[], MATCH(CABLES[[#Headers],[SEG31]],SEGMENTS[SEG_ID],0),4),0)</f>
        <v>3</v>
      </c>
      <c r="CR51" s="9">
        <f xml:space="preserve"> IF(CABLES[[#This Row],[SEG32]] &gt;0,INDEX(SEGMENTS[], MATCH(CABLES[[#Headers],[SEG32]],SEGMENTS[SEG_ID],0),4),0)</f>
        <v>0</v>
      </c>
      <c r="CS51" s="9">
        <f xml:space="preserve"> IF(CABLES[[#This Row],[SEG33]] &gt;0,INDEX(SEGMENTS[], MATCH(CABLES[[#Headers],[SEG33]],SEGMENTS[SEG_ID],0),4),0)</f>
        <v>0</v>
      </c>
      <c r="CT51" s="9">
        <f>IF(CABLES[[#This Row],[SEG34]] &gt;0, INDEX(SEGMENTS[], MATCH(CABLES[[#Headers],[SEG34]],SEGMENTS[SEG_ID],0),4),0)</f>
        <v>0</v>
      </c>
      <c r="CU51" s="9">
        <f xml:space="preserve"> IF(CABLES[[#This Row],[SEG35]] &gt;0,INDEX(SEGMENTS[], MATCH(CABLES[[#Headers],[SEG35]],SEGMENTS[SEG_ID],0),4),0)</f>
        <v>0</v>
      </c>
      <c r="CV51" s="9">
        <f xml:space="preserve"> IF(CABLES[[#This Row],[SEG36]] &gt;0,INDEX(SEGMENTS[], MATCH(CABLES[[#Headers],[SEG36]],SEGMENTS[SEG_ID],0),4),0)</f>
        <v>0</v>
      </c>
      <c r="CW51" s="9">
        <f xml:space="preserve"> IF(CABLES[[#This Row],[SEG37]] &gt;0,INDEX(SEGMENTS[], MATCH(CABLES[[#Headers],[SEG37]],SEGMENTS[SEG_ID],0),4),0)</f>
        <v>0</v>
      </c>
      <c r="CX51" s="9">
        <f xml:space="preserve"> IF(CABLES[[#This Row],[SEG38]] &gt;0,INDEX(SEGMENTS[], MATCH(CABLES[[#Headers],[SEG38]],SEGMENTS[SEG_ID],0),4),0)</f>
        <v>0</v>
      </c>
      <c r="CY51" s="9">
        <f xml:space="preserve"> IF(CABLES[[#This Row],[SEG39]] &gt;0,INDEX(SEGMENTS[], MATCH(CABLES[[#Headers],[SEG39]],SEGMENTS[SEG_ID],0),4),0)</f>
        <v>8</v>
      </c>
      <c r="CZ51" s="9">
        <f xml:space="preserve"> IF(CABLES[[#This Row],[SEG40]] &gt;0,INDEX(SEGMENTS[], MATCH(CABLES[[#Headers],[SEG40]],SEGMENTS[SEG_ID],0),4),0)</f>
        <v>11</v>
      </c>
      <c r="DA51" s="9">
        <f xml:space="preserve"> IF(CABLES[[#This Row],[SEG41]] &gt;0,INDEX(SEGMENTS[], MATCH(CABLES[[#Headers],[SEG41]],SEGMENTS[SEG_ID],0),4),0)</f>
        <v>0</v>
      </c>
      <c r="DB51" s="9">
        <f xml:space="preserve"> IF(CABLES[[#This Row],[SEG42]] &gt;0,INDEX(SEGMENTS[], MATCH(CABLES[[#Headers],[SEG42]],SEGMENTS[SEG_ID],0),4),0)</f>
        <v>0</v>
      </c>
      <c r="DC51" s="9">
        <f xml:space="preserve"> IF(CABLES[[#This Row],[SEG43]] &gt;0,INDEX(SEGMENTS[], MATCH(CABLES[[#Headers],[SEG43]],SEGMENTS[SEG_ID],0),4),0)</f>
        <v>0</v>
      </c>
      <c r="DD51" s="9">
        <f xml:space="preserve"> IF(CABLES[[#This Row],[SEG44]] &gt;0,INDEX(SEGMENTS[], MATCH(CABLES[[#Headers],[SEG44]],SEGMENTS[SEG_ID],0),4),0)</f>
        <v>0</v>
      </c>
      <c r="DE51" s="9">
        <f xml:space="preserve"> IF(CABLES[[#This Row],[SEG45]] &gt;0,INDEX(SEGMENTS[], MATCH(CABLES[[#Headers],[SEG45]],SEGMENTS[SEG_ID],0),4),0)</f>
        <v>0</v>
      </c>
      <c r="DF51" s="9">
        <f xml:space="preserve"> IF(CABLES[[#This Row],[SEG46]] &gt;0,INDEX(SEGMENTS[], MATCH(CABLES[[#Headers],[SEG46]],SEGMENTS[SEG_ID],0),4),0)</f>
        <v>0</v>
      </c>
      <c r="DG51" s="9">
        <f xml:space="preserve"> IF(CABLES[[#This Row],[SEG47]] &gt;0,INDEX(SEGMENTS[], MATCH(CABLES[[#Headers],[SEG47]],SEGMENTS[SEG_ID],0),4),0)</f>
        <v>0</v>
      </c>
      <c r="DH51" s="9">
        <f xml:space="preserve"> IF(CABLES[[#This Row],[SEG48]] &gt;0,INDEX(SEGMENTS[], MATCH(CABLES[[#Headers],[SEG48]],SEGMENTS[SEG_ID],0),4),0)</f>
        <v>0</v>
      </c>
      <c r="DI51" s="9">
        <f xml:space="preserve"> IF(CABLES[[#This Row],[SEG49]] &gt;0,INDEX(SEGMENTS[], MATCH(CABLES[[#Headers],[SEG49]],SEGMENTS[SEG_ID],0),4),0)</f>
        <v>0</v>
      </c>
      <c r="DJ51" s="9">
        <f xml:space="preserve"> IF(CABLES[[#This Row],[SEG50]] &gt;0,INDEX(SEGMENTS[], MATCH(CABLES[[#Headers],[SEG50]],SEGMENTS[SEG_ID],0),4),0)</f>
        <v>0</v>
      </c>
      <c r="DK51" s="9">
        <f xml:space="preserve"> IF(CABLES[[#This Row],[SEG51]] &gt;0,INDEX(SEGMENTS[], MATCH(CABLES[[#Headers],[SEG51]],SEGMENTS[SEG_ID],0),4),0)</f>
        <v>0</v>
      </c>
      <c r="DL51" s="9">
        <f xml:space="preserve"> IF(CABLES[[#This Row],[SEG52]] &gt;0,INDEX(SEGMENTS[], MATCH(CABLES[[#Headers],[SEG52]],SEGMENTS[SEG_ID],0),4),0)</f>
        <v>0</v>
      </c>
      <c r="DM51" s="9">
        <f xml:space="preserve"> IF(CABLES[[#This Row],[SEG53]] &gt;0,INDEX(SEGMENTS[], MATCH(CABLES[[#Headers],[SEG53]],SEGMENTS[SEG_ID],0),4),0)</f>
        <v>0</v>
      </c>
      <c r="DN51" s="9">
        <f xml:space="preserve"> IF(CABLES[[#This Row],[SEG54]] &gt;0,INDEX(SEGMENTS[], MATCH(CABLES[[#Headers],[SEG54]],SEGMENTS[SEG_ID],0),4),0)</f>
        <v>0</v>
      </c>
      <c r="DO51" s="9">
        <f xml:space="preserve"> IF(CABLES[[#This Row],[SEG55]] &gt;0,INDEX(SEGMENTS[], MATCH(CABLES[[#Headers],[SEG55]],SEGMENTS[SEG_ID],0),4),0)</f>
        <v>0</v>
      </c>
      <c r="DP51" s="9">
        <f xml:space="preserve"> IF(CABLES[[#This Row],[SEG56]] &gt;0,INDEX(SEGMENTS[], MATCH(CABLES[[#Headers],[SEG56]],SEGMENTS[SEG_ID],0),4),0)</f>
        <v>0</v>
      </c>
      <c r="DQ51" s="9">
        <f xml:space="preserve"> IF(CABLES[[#This Row],[SEG57]] &gt;0,INDEX(SEGMENTS[], MATCH(CABLES[[#Headers],[SEG57]],SEGMENTS[SEG_ID],0),4),0)</f>
        <v>0</v>
      </c>
      <c r="DR51" s="9">
        <f xml:space="preserve"> IF(CABLES[[#This Row],[SEG58]] &gt;0,INDEX(SEGMENTS[], MATCH(CABLES[[#Headers],[SEG58]],SEGMENTS[SEG_ID],0),4),0)</f>
        <v>0</v>
      </c>
      <c r="DS51" s="9">
        <f xml:space="preserve"> IF(CABLES[[#This Row],[SEG59]] &gt;0,INDEX(SEGMENTS[], MATCH(CABLES[[#Headers],[SEG59]],SEGMENTS[SEG_ID],0),4),0)</f>
        <v>0</v>
      </c>
      <c r="DT51" s="9">
        <f xml:space="preserve"> IF(CABLES[[#This Row],[SEG60]] &gt;0,INDEX(SEGMENTS[], MATCH(CABLES[[#Headers],[SEG60]],SEGMENTS[SEG_ID],0),4),0)</f>
        <v>0</v>
      </c>
      <c r="DU51" s="10">
        <f>SUM(CABLES[[#This Row],[SEGL1]:[SEGL60]])</f>
        <v>28</v>
      </c>
      <c r="DV51" s="10">
        <v>5</v>
      </c>
      <c r="DW51" s="10">
        <v>1.2</v>
      </c>
      <c r="DX51" s="10">
        <f xml:space="preserve"> IF(CABLES[[#This Row],[SEGL_TOTAL]]&gt;0, (CABLES[[#This Row],[SEGL_TOTAL]] + CABLES[[#This Row],[FITOFF]]) *CABLES[[#This Row],[XCAPACITY]],0)</f>
        <v>39.6</v>
      </c>
      <c r="DY51" s="10">
        <f>IF(CABLES[[#This Row],[SEG1]]&gt;0,CABLES[[#This Row],[CABLE_DIAMETER]],0)</f>
        <v>0</v>
      </c>
      <c r="DZ51" s="10">
        <f>IF(CABLES[[#This Row],[SEG2]]&gt;0,CABLES[[#This Row],[CABLE_DIAMETER]],0)</f>
        <v>0</v>
      </c>
      <c r="EA51" s="10">
        <f>IF(CABLES[[#This Row],[SEG3]]&gt;0,CABLES[[#This Row],[CABLE_DIAMETER]],0)</f>
        <v>0</v>
      </c>
      <c r="EB51" s="10">
        <f>IF(CABLES[[#This Row],[SEG4]]&gt;0,CABLES[[#This Row],[CABLE_DIAMETER]],0)</f>
        <v>0</v>
      </c>
      <c r="EC51" s="10">
        <f>IF(CABLES[[#This Row],[SEG5]]&gt;0,CABLES[[#This Row],[CABLE_DIAMETER]],0)</f>
        <v>0</v>
      </c>
      <c r="ED51" s="10">
        <f>IF(CABLES[[#This Row],[SEG6]]&gt;0,CABLES[[#This Row],[CABLE_DIAMETER]],0)</f>
        <v>0</v>
      </c>
      <c r="EE51" s="10">
        <f>IF(CABLES[[#This Row],[SEG7]]&gt;0,CABLES[[#This Row],[CABLE_DIAMETER]],0)</f>
        <v>0</v>
      </c>
      <c r="EF51" s="10">
        <f>IF(CABLES[[#This Row],[SEG9]]&gt;0,CABLES[[#This Row],[CABLE_DIAMETER]],0)</f>
        <v>0</v>
      </c>
      <c r="EG51" s="10">
        <f>IF(CABLES[[#This Row],[SEG9]]&gt;0,CABLES[[#This Row],[CABLE_DIAMETER]],0)</f>
        <v>0</v>
      </c>
      <c r="EH51" s="10">
        <f>IF(CABLES[[#This Row],[SEG10]]&gt;0,CABLES[[#This Row],[CABLE_DIAMETER]],0)</f>
        <v>0</v>
      </c>
      <c r="EI51" s="10">
        <f>IF(CABLES[[#This Row],[SEG11]]&gt;0,CABLES[[#This Row],[CABLE_DIAMETER]],0)</f>
        <v>0</v>
      </c>
      <c r="EJ51" s="10">
        <f>IF(CABLES[[#This Row],[SEG12]]&gt;0,CABLES[[#This Row],[CABLE_DIAMETER]],0)</f>
        <v>0</v>
      </c>
      <c r="EK51" s="10">
        <f>IF(CABLES[[#This Row],[SEG13]]&gt;0,CABLES[[#This Row],[CABLE_DIAMETER]],0)</f>
        <v>0</v>
      </c>
      <c r="EL51" s="10">
        <f>IF(CABLES[[#This Row],[SEG14]]&gt;0,CABLES[[#This Row],[CABLE_DIAMETER]],0)</f>
        <v>0</v>
      </c>
      <c r="EM51" s="10">
        <f>IF(CABLES[[#This Row],[SEG15]]&gt;0,CABLES[[#This Row],[CABLE_DIAMETER]],0)</f>
        <v>0</v>
      </c>
      <c r="EN51" s="10">
        <f>IF(CABLES[[#This Row],[SEG16]]&gt;0,CABLES[[#This Row],[CABLE_DIAMETER]],0)</f>
        <v>0</v>
      </c>
      <c r="EO51" s="10">
        <f>IF(CABLES[[#This Row],[SEG17]]&gt;0,CABLES[[#This Row],[CABLE_DIAMETER]],0)</f>
        <v>0</v>
      </c>
      <c r="EP51" s="10">
        <f>IF(CABLES[[#This Row],[SEG18]]&gt;0,CABLES[[#This Row],[CABLE_DIAMETER]],0)</f>
        <v>0</v>
      </c>
      <c r="EQ51" s="10">
        <f>IF(CABLES[[#This Row],[SEG19]]&gt;0,CABLES[[#This Row],[CABLE_DIAMETER]],0)</f>
        <v>0</v>
      </c>
      <c r="ER51" s="10">
        <f>IF(CABLES[[#This Row],[SEG20]]&gt;0,CABLES[[#This Row],[CABLE_DIAMETER]],0)</f>
        <v>0</v>
      </c>
      <c r="ES51" s="10">
        <f>IF(CABLES[[#This Row],[SEG21]]&gt;0,CABLES[[#This Row],[CABLE_DIAMETER]],0)</f>
        <v>0</v>
      </c>
      <c r="ET51" s="10">
        <f>IF(CABLES[[#This Row],[SEG22]]&gt;0,CABLES[[#This Row],[CABLE_DIAMETER]],0)</f>
        <v>0</v>
      </c>
      <c r="EU51" s="10">
        <f>IF(CABLES[[#This Row],[SEG23]]&gt;0,CABLES[[#This Row],[CABLE_DIAMETER]],0)</f>
        <v>0</v>
      </c>
      <c r="EV51" s="10">
        <f>IF(CABLES[[#This Row],[SEG24]]&gt;0,CABLES[[#This Row],[CABLE_DIAMETER]],0)</f>
        <v>0</v>
      </c>
      <c r="EW51" s="10">
        <f>IF(CABLES[[#This Row],[SEG25]]&gt;0,CABLES[[#This Row],[CABLE_DIAMETER]],0)</f>
        <v>0</v>
      </c>
      <c r="EX51" s="10">
        <f>IF(CABLES[[#This Row],[SEG26]]&gt;0,CABLES[[#This Row],[CABLE_DIAMETER]],0)</f>
        <v>0</v>
      </c>
      <c r="EY51" s="10">
        <f>IF(CABLES[[#This Row],[SEG27]]&gt;0,CABLES[[#This Row],[CABLE_DIAMETER]],0)</f>
        <v>0</v>
      </c>
      <c r="EZ51" s="10">
        <f>IF(CABLES[[#This Row],[SEG28]]&gt;0,CABLES[[#This Row],[CABLE_DIAMETER]],0)</f>
        <v>0</v>
      </c>
      <c r="FA51" s="10">
        <f>IF(CABLES[[#This Row],[SEG29]]&gt;0,CABLES[[#This Row],[CABLE_DIAMETER]],0)</f>
        <v>0</v>
      </c>
      <c r="FB51" s="10">
        <f>IF(CABLES[[#This Row],[SEG30]]&gt;0,CABLES[[#This Row],[CABLE_DIAMETER]],0)</f>
        <v>12</v>
      </c>
      <c r="FC51" s="10">
        <f>IF(CABLES[[#This Row],[SEG31]]&gt;0,CABLES[[#This Row],[CABLE_DIAMETER]],0)</f>
        <v>12</v>
      </c>
      <c r="FD51" s="10">
        <f>IF(CABLES[[#This Row],[SEG32]]&gt;0,CABLES[[#This Row],[CABLE_DIAMETER]],0)</f>
        <v>0</v>
      </c>
      <c r="FE51" s="10">
        <f>IF(CABLES[[#This Row],[SEG33]]&gt;0,CABLES[[#This Row],[CABLE_DIAMETER]],0)</f>
        <v>0</v>
      </c>
      <c r="FF51" s="10">
        <f>IF(CABLES[[#This Row],[SEG34]]&gt;0,CABLES[[#This Row],[CABLE_DIAMETER]],0)</f>
        <v>0</v>
      </c>
      <c r="FG51" s="10">
        <f>IF(CABLES[[#This Row],[SEG35]]&gt;0,CABLES[[#This Row],[CABLE_DIAMETER]],0)</f>
        <v>0</v>
      </c>
      <c r="FH51" s="10">
        <f>IF(CABLES[[#This Row],[SEG36]]&gt;0,CABLES[[#This Row],[CABLE_DIAMETER]],0)</f>
        <v>0</v>
      </c>
      <c r="FI51" s="10">
        <f>IF(CABLES[[#This Row],[SEG37]]&gt;0,CABLES[[#This Row],[CABLE_DIAMETER]],0)</f>
        <v>0</v>
      </c>
      <c r="FJ51" s="10">
        <f>IF(CABLES[[#This Row],[SEG38]]&gt;0,CABLES[[#This Row],[CABLE_DIAMETER]],0)</f>
        <v>0</v>
      </c>
      <c r="FK51" s="10">
        <f>IF(CABLES[[#This Row],[SEG39]]&gt;0,CABLES[[#This Row],[CABLE_DIAMETER]],0)</f>
        <v>12</v>
      </c>
      <c r="FL51" s="10">
        <f>IF(CABLES[[#This Row],[SEG40]]&gt;0,CABLES[[#This Row],[CABLE_DIAMETER]],0)</f>
        <v>12</v>
      </c>
      <c r="FM51" s="10">
        <f>IF(CABLES[[#This Row],[SEG41]]&gt;0,CABLES[[#This Row],[CABLE_DIAMETER]],0)</f>
        <v>0</v>
      </c>
      <c r="FN51" s="10">
        <f>IF(CABLES[[#This Row],[SEG42]]&gt;0,CABLES[[#This Row],[CABLE_DIAMETER]],0)</f>
        <v>0</v>
      </c>
      <c r="FO51" s="10">
        <f>IF(CABLES[[#This Row],[SEG43]]&gt;0,CABLES[[#This Row],[CABLE_DIAMETER]],0)</f>
        <v>0</v>
      </c>
      <c r="FP51" s="10">
        <f>IF(CABLES[[#This Row],[SEG44]]&gt;0,CABLES[[#This Row],[CABLE_DIAMETER]],0)</f>
        <v>0</v>
      </c>
      <c r="FQ51" s="10">
        <f>IF(CABLES[[#This Row],[SEG45]]&gt;0,CABLES[[#This Row],[CABLE_DIAMETER]],0)</f>
        <v>0</v>
      </c>
      <c r="FR51" s="10">
        <f>IF(CABLES[[#This Row],[SEG46]]&gt;0,CABLES[[#This Row],[CABLE_DIAMETER]],0)</f>
        <v>0</v>
      </c>
      <c r="FS51" s="10">
        <f>IF(CABLES[[#This Row],[SEG47]]&gt;0,CABLES[[#This Row],[CABLE_DIAMETER]],0)</f>
        <v>0</v>
      </c>
      <c r="FT51" s="10">
        <f>IF(CABLES[[#This Row],[SEG48]]&gt;0,CABLES[[#This Row],[CABLE_DIAMETER]],0)</f>
        <v>0</v>
      </c>
      <c r="FU51" s="10">
        <f>IF(CABLES[[#This Row],[SEG49]]&gt;0,CABLES[[#This Row],[CABLE_DIAMETER]],0)</f>
        <v>0</v>
      </c>
      <c r="FV51" s="10">
        <f>IF(CABLES[[#This Row],[SEG50]]&gt;0,CABLES[[#This Row],[CABLE_DIAMETER]],0)</f>
        <v>0</v>
      </c>
      <c r="FW51" s="10">
        <f>IF(CABLES[[#This Row],[SEG51]]&gt;0,CABLES[[#This Row],[CABLE_DIAMETER]],0)</f>
        <v>0</v>
      </c>
      <c r="FX51" s="10">
        <f>IF(CABLES[[#This Row],[SEG52]]&gt;0,CABLES[[#This Row],[CABLE_DIAMETER]],0)</f>
        <v>0</v>
      </c>
      <c r="FY51" s="10">
        <f>IF(CABLES[[#This Row],[SEG53]]&gt;0,CABLES[[#This Row],[CABLE_DIAMETER]],0)</f>
        <v>0</v>
      </c>
      <c r="FZ51" s="10">
        <f>IF(CABLES[[#This Row],[SEG54]]&gt;0,CABLES[[#This Row],[CABLE_DIAMETER]],0)</f>
        <v>0</v>
      </c>
      <c r="GA51" s="10">
        <f>IF(CABLES[[#This Row],[SEG55]]&gt;0,CABLES[[#This Row],[CABLE_DIAMETER]],0)</f>
        <v>0</v>
      </c>
      <c r="GB51" s="10">
        <f>IF(CABLES[[#This Row],[SEG56]]&gt;0,CABLES[[#This Row],[CABLE_DIAMETER]],0)</f>
        <v>0</v>
      </c>
      <c r="GC51" s="10">
        <f>IF(CABLES[[#This Row],[SEG57]]&gt;0,CABLES[[#This Row],[CABLE_DIAMETER]],0)</f>
        <v>0</v>
      </c>
      <c r="GD51" s="10">
        <f>IF(CABLES[[#This Row],[SEG58]]&gt;0,CABLES[[#This Row],[CABLE_DIAMETER]],0)</f>
        <v>0</v>
      </c>
      <c r="GE51" s="10">
        <f>IF(CABLES[[#This Row],[SEG59]]&gt;0,CABLES[[#This Row],[CABLE_DIAMETER]],0)</f>
        <v>0</v>
      </c>
      <c r="GF51" s="10">
        <f>IF(CABLES[[#This Row],[SEG60]]&gt;0,CABLES[[#This Row],[CABLE_DIAMETER]],0)</f>
        <v>0</v>
      </c>
      <c r="GG51" s="10">
        <f>IF(CABLES[[#This Row],[SEG1]]&gt;0,CABLES[[#This Row],[CABLE_MASS]],0)</f>
        <v>0</v>
      </c>
      <c r="GH51" s="10">
        <f>IF(CABLES[[#This Row],[SEG2]]&gt;0,CABLES[[#This Row],[CABLE_MASS]],0)</f>
        <v>0</v>
      </c>
      <c r="GI51" s="10">
        <f>IF(CABLES[[#This Row],[SEG3]]&gt;0,CABLES[[#This Row],[CABLE_MASS]],0)</f>
        <v>0</v>
      </c>
      <c r="GJ51" s="10">
        <f>IF(CABLES[[#This Row],[SEG4]]&gt;0,CABLES[[#This Row],[CABLE_MASS]],0)</f>
        <v>0</v>
      </c>
      <c r="GK51" s="10">
        <f>IF(CABLES[[#This Row],[SEG5]]&gt;0,CABLES[[#This Row],[CABLE_MASS]],0)</f>
        <v>0</v>
      </c>
      <c r="GL51" s="10">
        <f>IF(CABLES[[#This Row],[SEG6]]&gt;0,CABLES[[#This Row],[CABLE_MASS]],0)</f>
        <v>0</v>
      </c>
      <c r="GM51" s="10">
        <f>IF(CABLES[[#This Row],[SEG7]]&gt;0,CABLES[[#This Row],[CABLE_MASS]],0)</f>
        <v>0</v>
      </c>
      <c r="GN51" s="10">
        <f>IF(CABLES[[#This Row],[SEG8]]&gt;0,CABLES[[#This Row],[CABLE_MASS]],0)</f>
        <v>0</v>
      </c>
      <c r="GO51" s="10">
        <f>IF(CABLES[[#This Row],[SEG9]]&gt;0,CABLES[[#This Row],[CABLE_MASS]],0)</f>
        <v>0</v>
      </c>
      <c r="GP51" s="10">
        <f>IF(CABLES[[#This Row],[SEG10]]&gt;0,CABLES[[#This Row],[CABLE_MASS]],0)</f>
        <v>0</v>
      </c>
      <c r="GQ51" s="10">
        <f>IF(CABLES[[#This Row],[SEG11]]&gt;0,CABLES[[#This Row],[CABLE_MASS]],0)</f>
        <v>0</v>
      </c>
      <c r="GR51" s="10">
        <f>IF(CABLES[[#This Row],[SEG12]]&gt;0,CABLES[[#This Row],[CABLE_MASS]],0)</f>
        <v>0</v>
      </c>
      <c r="GS51" s="10">
        <f>IF(CABLES[[#This Row],[SEG13]]&gt;0,CABLES[[#This Row],[CABLE_MASS]],0)</f>
        <v>0</v>
      </c>
      <c r="GT51" s="10">
        <f>IF(CABLES[[#This Row],[SEG14]]&gt;0,CABLES[[#This Row],[CABLE_MASS]],0)</f>
        <v>0</v>
      </c>
      <c r="GU51" s="10">
        <f>IF(CABLES[[#This Row],[SEG15]]&gt;0,CABLES[[#This Row],[CABLE_MASS]],0)</f>
        <v>0</v>
      </c>
      <c r="GV51" s="10">
        <f>IF(CABLES[[#This Row],[SEG16]]&gt;0,CABLES[[#This Row],[CABLE_MASS]],0)</f>
        <v>0</v>
      </c>
      <c r="GW51" s="10">
        <f>IF(CABLES[[#This Row],[SEG17]]&gt;0,CABLES[[#This Row],[CABLE_MASS]],0)</f>
        <v>0</v>
      </c>
      <c r="GX51" s="10">
        <f>IF(CABLES[[#This Row],[SEG18]]&gt;0,CABLES[[#This Row],[CABLE_MASS]],0)</f>
        <v>0</v>
      </c>
      <c r="GY51" s="10">
        <f>IF(CABLES[[#This Row],[SEG19]]&gt;0,CABLES[[#This Row],[CABLE_MASS]],0)</f>
        <v>0</v>
      </c>
      <c r="GZ51" s="10">
        <f>IF(CABLES[[#This Row],[SEG20]]&gt;0,CABLES[[#This Row],[CABLE_MASS]],0)</f>
        <v>0</v>
      </c>
      <c r="HA51" s="10">
        <f>IF(CABLES[[#This Row],[SEG21]]&gt;0,CABLES[[#This Row],[CABLE_MASS]],0)</f>
        <v>0</v>
      </c>
      <c r="HB51" s="10">
        <f>IF(CABLES[[#This Row],[SEG22]]&gt;0,CABLES[[#This Row],[CABLE_MASS]],0)</f>
        <v>0</v>
      </c>
      <c r="HC51" s="10">
        <f>IF(CABLES[[#This Row],[SEG23]]&gt;0,CABLES[[#This Row],[CABLE_MASS]],0)</f>
        <v>0</v>
      </c>
      <c r="HD51" s="10">
        <f>IF(CABLES[[#This Row],[SEG24]]&gt;0,CABLES[[#This Row],[CABLE_MASS]],0)</f>
        <v>0</v>
      </c>
      <c r="HE51" s="10">
        <f>IF(CABLES[[#This Row],[SEG25]]&gt;0,CABLES[[#This Row],[CABLE_MASS]],0)</f>
        <v>0</v>
      </c>
      <c r="HF51" s="10">
        <f>IF(CABLES[[#This Row],[SEG26]]&gt;0,CABLES[[#This Row],[CABLE_MASS]],0)</f>
        <v>0</v>
      </c>
      <c r="HG51" s="10">
        <f>IF(CABLES[[#This Row],[SEG27]]&gt;0,CABLES[[#This Row],[CABLE_MASS]],0)</f>
        <v>0</v>
      </c>
      <c r="HH51" s="10">
        <f>IF(CABLES[[#This Row],[SEG28]]&gt;0,CABLES[[#This Row],[CABLE_MASS]],0)</f>
        <v>0</v>
      </c>
      <c r="HI51" s="10">
        <f>IF(CABLES[[#This Row],[SEG29]]&gt;0,CABLES[[#This Row],[CABLE_MASS]],0)</f>
        <v>0</v>
      </c>
      <c r="HJ51" s="10">
        <f>IF(CABLES[[#This Row],[SEG30]]&gt;0,CABLES[[#This Row],[CABLE_MASS]],0)</f>
        <v>0.21</v>
      </c>
      <c r="HK51" s="10">
        <f>IF(CABLES[[#This Row],[SEG31]]&gt;0,CABLES[[#This Row],[CABLE_MASS]],0)</f>
        <v>0.21</v>
      </c>
      <c r="HL51" s="10">
        <f>IF(CABLES[[#This Row],[SEG32]]&gt;0,CABLES[[#This Row],[CABLE_MASS]],0)</f>
        <v>0</v>
      </c>
      <c r="HM51" s="10">
        <f>IF(CABLES[[#This Row],[SEG33]]&gt;0,CABLES[[#This Row],[CABLE_MASS]],0)</f>
        <v>0</v>
      </c>
      <c r="HN51" s="10">
        <f>IF(CABLES[[#This Row],[SEG34]]&gt;0,CABLES[[#This Row],[CABLE_MASS]],0)</f>
        <v>0</v>
      </c>
      <c r="HO51" s="10">
        <f>IF(CABLES[[#This Row],[SEG35]]&gt;0,CABLES[[#This Row],[CABLE_MASS]],0)</f>
        <v>0</v>
      </c>
      <c r="HP51" s="10">
        <f>IF(CABLES[[#This Row],[SEG36]]&gt;0,CABLES[[#This Row],[CABLE_MASS]],0)</f>
        <v>0</v>
      </c>
      <c r="HQ51" s="10">
        <f>IF(CABLES[[#This Row],[SEG37]]&gt;0,CABLES[[#This Row],[CABLE_MASS]],0)</f>
        <v>0</v>
      </c>
      <c r="HR51" s="10">
        <f>IF(CABLES[[#This Row],[SEG38]]&gt;0,CABLES[[#This Row],[CABLE_MASS]],0)</f>
        <v>0</v>
      </c>
      <c r="HS51" s="10">
        <f>IF(CABLES[[#This Row],[SEG39]]&gt;0,CABLES[[#This Row],[CABLE_MASS]],0)</f>
        <v>0.21</v>
      </c>
      <c r="HT51" s="10">
        <f>IF(CABLES[[#This Row],[SEG40]]&gt;0,CABLES[[#This Row],[CABLE_MASS]],0)</f>
        <v>0.21</v>
      </c>
      <c r="HU51" s="10">
        <f>IF(CABLES[[#This Row],[SEG41]]&gt;0,CABLES[[#This Row],[CABLE_MASS]],0)</f>
        <v>0</v>
      </c>
      <c r="HV51" s="10">
        <f>IF(CABLES[[#This Row],[SEG42]]&gt;0,CABLES[[#This Row],[CABLE_MASS]],0)</f>
        <v>0</v>
      </c>
      <c r="HW51" s="10">
        <f>IF(CABLES[[#This Row],[SEG43]]&gt;0,CABLES[[#This Row],[CABLE_MASS]],0)</f>
        <v>0</v>
      </c>
      <c r="HX51" s="10">
        <f>IF(CABLES[[#This Row],[SEG44]]&gt;0,CABLES[[#This Row],[CABLE_MASS]],0)</f>
        <v>0</v>
      </c>
      <c r="HY51" s="10">
        <f>IF(CABLES[[#This Row],[SEG45]]&gt;0,CABLES[[#This Row],[CABLE_MASS]],0)</f>
        <v>0</v>
      </c>
      <c r="HZ51" s="10">
        <f>IF(CABLES[[#This Row],[SEG46]]&gt;0,CABLES[[#This Row],[CABLE_MASS]],0)</f>
        <v>0</v>
      </c>
      <c r="IA51" s="10">
        <f>IF(CABLES[[#This Row],[SEG47]]&gt;0,CABLES[[#This Row],[CABLE_MASS]],0)</f>
        <v>0</v>
      </c>
      <c r="IB51" s="10">
        <f>IF(CABLES[[#This Row],[SEG48]]&gt;0,CABLES[[#This Row],[CABLE_MASS]],0)</f>
        <v>0</v>
      </c>
      <c r="IC51" s="10">
        <f>IF(CABLES[[#This Row],[SEG49]]&gt;0,CABLES[[#This Row],[CABLE_MASS]],0)</f>
        <v>0</v>
      </c>
      <c r="ID51" s="10">
        <f>IF(CABLES[[#This Row],[SEG50]]&gt;0,CABLES[[#This Row],[CABLE_MASS]],0)</f>
        <v>0</v>
      </c>
      <c r="IE51" s="10">
        <f>IF(CABLES[[#This Row],[SEG51]]&gt;0,CABLES[[#This Row],[CABLE_MASS]],0)</f>
        <v>0</v>
      </c>
      <c r="IF51" s="10">
        <f>IF(CABLES[[#This Row],[SEG52]]&gt;0,CABLES[[#This Row],[CABLE_MASS]],0)</f>
        <v>0</v>
      </c>
      <c r="IG51" s="10">
        <f>IF(CABLES[[#This Row],[SEG53]]&gt;0,CABLES[[#This Row],[CABLE_MASS]],0)</f>
        <v>0</v>
      </c>
      <c r="IH51" s="10">
        <f>IF(CABLES[[#This Row],[SEG54]]&gt;0,CABLES[[#This Row],[CABLE_MASS]],0)</f>
        <v>0</v>
      </c>
      <c r="II51" s="10">
        <f>IF(CABLES[[#This Row],[SEG55]]&gt;0,CABLES[[#This Row],[CABLE_MASS]],0)</f>
        <v>0</v>
      </c>
      <c r="IJ51" s="10">
        <f>IF(CABLES[[#This Row],[SEG56]]&gt;0,CABLES[[#This Row],[CABLE_MASS]],0)</f>
        <v>0</v>
      </c>
      <c r="IK51" s="10">
        <f>IF(CABLES[[#This Row],[SEG57]]&gt;0,CABLES[[#This Row],[CABLE_MASS]],0)</f>
        <v>0</v>
      </c>
      <c r="IL51" s="10">
        <f>IF(CABLES[[#This Row],[SEG58]]&gt;0,CABLES[[#This Row],[CABLE_MASS]],0)</f>
        <v>0</v>
      </c>
      <c r="IM51" s="10">
        <f>IF(CABLES[[#This Row],[SEG59]]&gt;0,CABLES[[#This Row],[CABLE_MASS]],0)</f>
        <v>0</v>
      </c>
      <c r="IN51" s="10">
        <f>IF(CABLES[[#This Row],[SEG60]]&gt;0,CABLES[[#This Row],[CABLE_MASS]],0)</f>
        <v>0</v>
      </c>
      <c r="IO51" s="10">
        <f xml:space="preserve">  (CABLES[[#This Row],[LOAD_KW]]/(SQRT(3)*SYSTEM_VOLTAGE*POWER_FACTOR))*1000</f>
        <v>1.7641258225238565</v>
      </c>
      <c r="IP51" s="10">
        <v>45</v>
      </c>
      <c r="IQ51" s="10">
        <f xml:space="preserve"> INDEX(AS3000_AMBIENTDERATE[], MATCH(CABLES[[#This Row],[AMBIENT]],AS3000_AMBIENTDERATE[AMBIENT],0), 2)</f>
        <v>0.94</v>
      </c>
      <c r="IR51" s="10">
        <f xml:space="preserve"> ROUNDUP( CABLES[[#This Row],[CALCULATED_AMPS]]/CABLES[[#This Row],[AMBIENT_DERATING]],1)</f>
        <v>1.9000000000000001</v>
      </c>
      <c r="IS51" s="10" t="s">
        <v>531</v>
      </c>
      <c r="IT5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1" s="10">
        <f t="shared" si="1"/>
        <v>28.000000000000004</v>
      </c>
      <c r="IV51" s="10">
        <f>(1000*CABLES[[#This Row],[MAX_VDROP]])/(CABLES[[#This Row],[ESTIMATED_CABLE_LENGTH]]*CABLES[[#This Row],[AMP_RATING]])</f>
        <v>372.1424774056353</v>
      </c>
      <c r="IW51" s="10">
        <f xml:space="preserve"> INDEX(AS3000_VDROP[], MATCH(CABLES[[#This Row],[VC_CALC]],AS3000_VDROP[Vc],1),1)</f>
        <v>2.5</v>
      </c>
      <c r="IX51" s="10">
        <f>MAX(CABLES[[#This Row],[CABLESIZE_METHOD1]],CABLES[[#This Row],[CABLESIZE_METHOD2]])</f>
        <v>2.5</v>
      </c>
      <c r="IY51" s="10"/>
      <c r="IZ51" s="10">
        <f>IF(LEN(CABLES[[#This Row],[OVERRIDE_CABLESIZE]])&gt;0,CABLES[[#This Row],[OVERRIDE_CABLESIZE]],CABLES[[#This Row],[INITIAL_CABLESIZE]])</f>
        <v>2.5</v>
      </c>
      <c r="JA51" s="10">
        <f>INDEX(PROTECTIVE_DEVICE[DEVICE], MATCH(CABLES[[#This Row],[CALCULATED_AMPS]],PROTECTIVE_DEVICE[DEVICE],-1),1)</f>
        <v>6</v>
      </c>
      <c r="JB51" s="10"/>
      <c r="JC51" s="10">
        <f>IF(LEN(CABLES[[#This Row],[OVERRIDE_PDEVICE]])&gt;0, CABLES[[#This Row],[OVERRIDE_PDEVICE]],CABLES[[#This Row],[RECOMMEND_PDEVICE]])</f>
        <v>6</v>
      </c>
      <c r="JD51" s="10" t="s">
        <v>450</v>
      </c>
      <c r="JE51" s="10">
        <f xml:space="preserve"> CABLES[[#This Row],[SELECTED_PDEVICE]] * INDEX(DEVICE_CURVE[], MATCH(CABLES[[#This Row],[PDEVICE_CURVE]], DEVICE_CURVE[DEVICE_CURVE],0),2)</f>
        <v>39</v>
      </c>
      <c r="JF51" s="10" t="s">
        <v>458</v>
      </c>
      <c r="JG51" s="10">
        <f xml:space="preserve"> INDEX(CONDUCTOR_MATERIAL[], MATCH(CABLES[[#This Row],[CONDUCTOR_MATERIAL]],CONDUCTOR_MATERIAL[CONDUCTOR_MATERIAL],0),2)</f>
        <v>2.2499999999999999E-2</v>
      </c>
      <c r="JH51" s="10">
        <f>CABLES[[#This Row],[SELECTED_CABLESIZE]]</f>
        <v>2.5</v>
      </c>
      <c r="JI51" s="10">
        <f xml:space="preserve"> INDEX( EARTH_CONDUCTOR_SIZE[], MATCH(CABLES[[#This Row],[SPH]],EARTH_CONDUCTOR_SIZE[MM^2],-1), 2)</f>
        <v>2.5</v>
      </c>
      <c r="JJ51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51" s="10" t="str">
        <f>IF(CABLES[[#This Row],[LMAX]]&gt;CABLES[[#This Row],[ESTIMATED_CABLE_LENGTH]], "PASS", "ERROR")</f>
        <v>PASS</v>
      </c>
      <c r="JL5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1" s="6">
        <f xml:space="preserve"> ROUNDUP( CABLES[[#This Row],[CALCULATED_AMPS]],1)</f>
        <v>1.8</v>
      </c>
      <c r="JO51" s="6">
        <f>CABLES[[#This Row],[SELECTED_CABLESIZE]]</f>
        <v>2.5</v>
      </c>
      <c r="JP51" s="10">
        <f>CABLES[[#This Row],[ESTIMATED_CABLE_LENGTH]]</f>
        <v>39.6</v>
      </c>
      <c r="JQ51" s="6">
        <f>CABLES[[#This Row],[SELECTED_PDEVICE]]</f>
        <v>6</v>
      </c>
    </row>
    <row r="52" spans="1:277" x14ac:dyDescent="0.35">
      <c r="A52" s="5" t="s">
        <v>51</v>
      </c>
      <c r="B52" s="5" t="s">
        <v>107</v>
      </c>
      <c r="C52" s="10" t="s">
        <v>262</v>
      </c>
      <c r="D52" s="9">
        <v>1.1000000000000001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</v>
      </c>
      <c r="AI52" s="9">
        <v>1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1</v>
      </c>
      <c r="AR52" s="9">
        <v>1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f xml:space="preserve"> IF(CABLES[[#This Row],[SEG1]] &gt;0, INDEX(SEGMENTS[], MATCH(CABLES[[#Headers],[SEG1]],SEGMENTS[SEG_ID],0),4),0)</f>
        <v>0</v>
      </c>
      <c r="BN52" s="9">
        <f xml:space="preserve"> IF(CABLES[[#This Row],[SEG2]] &gt;0, INDEX(SEGMENTS[], MATCH(CABLES[[#Headers],[SEG2]],SEGMENTS[SEG_ID],0),4),0)</f>
        <v>0</v>
      </c>
      <c r="BO52" s="9">
        <f xml:space="preserve"> IF(CABLES[[#This Row],[SEG3]] &gt;0, INDEX(SEGMENTS[], MATCH(CABLES[[#Headers],[SEG3]],SEGMENTS[SEG_ID],0),4),0)</f>
        <v>0</v>
      </c>
      <c r="BP52" s="9">
        <f xml:space="preserve"> IF(CABLES[[#This Row],[SEG4]] &gt;0, INDEX(SEGMENTS[], MATCH(CABLES[[#Headers],[SEG4]],SEGMENTS[SEG_ID],0),4),0)</f>
        <v>0</v>
      </c>
      <c r="BQ52" s="9">
        <f xml:space="preserve"> IF(CABLES[[#This Row],[SEG5]] &gt;0,INDEX(SEGMENTS[], MATCH(CABLES[[#Headers],[SEG5]],SEGMENTS[SEG_ID],0),4),0)</f>
        <v>0</v>
      </c>
      <c r="BR52" s="9">
        <f xml:space="preserve"> IF(CABLES[[#This Row],[SEG6]] &gt;0,INDEX(SEGMENTS[], MATCH(CABLES[[#Headers],[SEG6]],SEGMENTS[SEG_ID],0),4),0)</f>
        <v>0</v>
      </c>
      <c r="BS52" s="9">
        <f xml:space="preserve"> IF(CABLES[[#This Row],[SEG7]] &gt;0,INDEX(SEGMENTS[], MATCH(CABLES[[#Headers],[SEG7]],SEGMENTS[SEG_ID],0),4),0)</f>
        <v>0</v>
      </c>
      <c r="BT52" s="9">
        <f xml:space="preserve"> IF(CABLES[[#This Row],[SEG8]] &gt;0,INDEX(SEGMENTS[], MATCH(CABLES[[#Headers],[SEG8]],SEGMENTS[SEG_ID],0),4),0)</f>
        <v>0</v>
      </c>
      <c r="BU52" s="9">
        <f xml:space="preserve"> IF(CABLES[[#This Row],[SEG9]] &gt;0,INDEX(SEGMENTS[], MATCH(CABLES[[#Headers],[SEG9]],SEGMENTS[SEG_ID],0),4),0)</f>
        <v>0</v>
      </c>
      <c r="BV52" s="9">
        <f xml:space="preserve"> IF(CABLES[[#This Row],[SEG10]] &gt;0,INDEX(SEGMENTS[], MATCH(CABLES[[#Headers],[SEG10]],SEGMENTS[SEG_ID],0),4),0)</f>
        <v>0</v>
      </c>
      <c r="BW52" s="9">
        <f xml:space="preserve"> IF(CABLES[[#This Row],[SEG11]] &gt;0,INDEX(SEGMENTS[], MATCH(CABLES[[#Headers],[SEG11]],SEGMENTS[SEG_ID],0),4),0)</f>
        <v>0</v>
      </c>
      <c r="BX52" s="9">
        <f>IF(CABLES[[#This Row],[SEG12]] &gt;0, INDEX(SEGMENTS[], MATCH(CABLES[[#Headers],[SEG12]],SEGMENTS[SEG_ID],0),4),0)</f>
        <v>0</v>
      </c>
      <c r="BY52" s="9">
        <f xml:space="preserve"> IF(CABLES[[#This Row],[SEG13]] &gt;0,INDEX(SEGMENTS[], MATCH(CABLES[[#Headers],[SEG13]],SEGMENTS[SEG_ID],0),4),0)</f>
        <v>0</v>
      </c>
      <c r="BZ52" s="9">
        <f xml:space="preserve"> IF(CABLES[[#This Row],[SEG14]] &gt;0,INDEX(SEGMENTS[], MATCH(CABLES[[#Headers],[SEG14]],SEGMENTS[SEG_ID],0),4),0)</f>
        <v>0</v>
      </c>
      <c r="CA52" s="9">
        <f xml:space="preserve"> IF(CABLES[[#This Row],[SEG15]] &gt;0,INDEX(SEGMENTS[], MATCH(CABLES[[#Headers],[SEG15]],SEGMENTS[SEG_ID],0),4),0)</f>
        <v>0</v>
      </c>
      <c r="CB52" s="9">
        <f xml:space="preserve"> IF(CABLES[[#This Row],[SEG16]] &gt;0,INDEX(SEGMENTS[], MATCH(CABLES[[#Headers],[SEG16]],SEGMENTS[SEG_ID],0),4),0)</f>
        <v>0</v>
      </c>
      <c r="CC52" s="9">
        <f xml:space="preserve"> IF(CABLES[[#This Row],[SEG17]] &gt;0,INDEX(SEGMENTS[], MATCH(CABLES[[#Headers],[SEG17]],SEGMENTS[SEG_ID],0),4),0)</f>
        <v>0</v>
      </c>
      <c r="CD52" s="9">
        <f xml:space="preserve"> IF(CABLES[[#This Row],[SEG18]] &gt;0,INDEX(SEGMENTS[], MATCH(CABLES[[#Headers],[SEG18]],SEGMENTS[SEG_ID],0),4),0)</f>
        <v>0</v>
      </c>
      <c r="CE52" s="9">
        <f>IF(CABLES[[#This Row],[SEG19]] &gt;0, INDEX(SEGMENTS[], MATCH(CABLES[[#Headers],[SEG19]],SEGMENTS[SEG_ID],0),4),0)</f>
        <v>0</v>
      </c>
      <c r="CF52" s="9">
        <f>IF(CABLES[[#This Row],[SEG20]] &gt;0, INDEX(SEGMENTS[], MATCH(CABLES[[#Headers],[SEG20]],SEGMENTS[SEG_ID],0),4),0)</f>
        <v>0</v>
      </c>
      <c r="CG52" s="9">
        <f xml:space="preserve"> IF(CABLES[[#This Row],[SEG21]] &gt;0,INDEX(SEGMENTS[], MATCH(CABLES[[#Headers],[SEG21]],SEGMENTS[SEG_ID],0),4),0)</f>
        <v>0</v>
      </c>
      <c r="CH52" s="9">
        <f xml:space="preserve"> IF(CABLES[[#This Row],[SEG22]] &gt;0,INDEX(SEGMENTS[], MATCH(CABLES[[#Headers],[SEG22]],SEGMENTS[SEG_ID],0),4),0)</f>
        <v>0</v>
      </c>
      <c r="CI52" s="9">
        <f>IF(CABLES[[#This Row],[SEG23]] &gt;0, INDEX(SEGMENTS[], MATCH(CABLES[[#Headers],[SEG23]],SEGMENTS[SEG_ID],0),4),0)</f>
        <v>0</v>
      </c>
      <c r="CJ52" s="9">
        <f xml:space="preserve"> IF(CABLES[[#This Row],[SEG24]] &gt;0,INDEX(SEGMENTS[], MATCH(CABLES[[#Headers],[SEG24]],SEGMENTS[SEG_ID],0),4),0)</f>
        <v>0</v>
      </c>
      <c r="CK52" s="9">
        <f>IF(CABLES[[#This Row],[SEG25]] &gt;0, INDEX(SEGMENTS[], MATCH(CABLES[[#Headers],[SEG25]],SEGMENTS[SEG_ID],0),4),0)</f>
        <v>0</v>
      </c>
      <c r="CL52" s="9">
        <f>IF(CABLES[[#This Row],[SEG26]] &gt;0, INDEX(SEGMENTS[], MATCH(CABLES[[#Headers],[SEG26]],SEGMENTS[SEG_ID],0),4),0)</f>
        <v>0</v>
      </c>
      <c r="CM52" s="9">
        <f xml:space="preserve"> IF(CABLES[[#This Row],[SEG27]] &gt;0,INDEX(SEGMENTS[], MATCH(CABLES[[#Headers],[SEG27]],SEGMENTS[SEG_ID],0),4),0)</f>
        <v>0</v>
      </c>
      <c r="CN52" s="9">
        <f xml:space="preserve"> IF(CABLES[[#This Row],[SEG28]] &gt;0,INDEX(SEGMENTS[], MATCH(CABLES[[#Headers],[SEG28]],SEGMENTS[SEG_ID],0),4),0)</f>
        <v>0</v>
      </c>
      <c r="CO52" s="9">
        <f xml:space="preserve"> IF(CABLES[[#This Row],[SEG29]] &gt;0,INDEX(SEGMENTS[], MATCH(CABLES[[#Headers],[SEG29]],SEGMENTS[SEG_ID],0),4),0)</f>
        <v>0</v>
      </c>
      <c r="CP52" s="9">
        <f xml:space="preserve"> IF(CABLES[[#This Row],[SEG30]] &gt;0,INDEX(SEGMENTS[], MATCH(CABLES[[#Headers],[SEG30]],SEGMENTS[SEG_ID],0),4),0)</f>
        <v>6</v>
      </c>
      <c r="CQ52" s="9">
        <f>IF(CABLES[[#This Row],[SEG31]] &gt;0, INDEX(SEGMENTS[], MATCH(CABLES[[#Headers],[SEG31]],SEGMENTS[SEG_ID],0),4),0)</f>
        <v>3</v>
      </c>
      <c r="CR52" s="9">
        <f xml:space="preserve"> IF(CABLES[[#This Row],[SEG32]] &gt;0,INDEX(SEGMENTS[], MATCH(CABLES[[#Headers],[SEG32]],SEGMENTS[SEG_ID],0),4),0)</f>
        <v>0</v>
      </c>
      <c r="CS52" s="9">
        <f xml:space="preserve"> IF(CABLES[[#This Row],[SEG33]] &gt;0,INDEX(SEGMENTS[], MATCH(CABLES[[#Headers],[SEG33]],SEGMENTS[SEG_ID],0),4),0)</f>
        <v>0</v>
      </c>
      <c r="CT52" s="9">
        <f>IF(CABLES[[#This Row],[SEG34]] &gt;0, INDEX(SEGMENTS[], MATCH(CABLES[[#Headers],[SEG34]],SEGMENTS[SEG_ID],0),4),0)</f>
        <v>0</v>
      </c>
      <c r="CU52" s="9">
        <f xml:space="preserve"> IF(CABLES[[#This Row],[SEG35]] &gt;0,INDEX(SEGMENTS[], MATCH(CABLES[[#Headers],[SEG35]],SEGMENTS[SEG_ID],0),4),0)</f>
        <v>0</v>
      </c>
      <c r="CV52" s="9">
        <f xml:space="preserve"> IF(CABLES[[#This Row],[SEG36]] &gt;0,INDEX(SEGMENTS[], MATCH(CABLES[[#Headers],[SEG36]],SEGMENTS[SEG_ID],0),4),0)</f>
        <v>0</v>
      </c>
      <c r="CW52" s="9">
        <f xml:space="preserve"> IF(CABLES[[#This Row],[SEG37]] &gt;0,INDEX(SEGMENTS[], MATCH(CABLES[[#Headers],[SEG37]],SEGMENTS[SEG_ID],0),4),0)</f>
        <v>0</v>
      </c>
      <c r="CX52" s="9">
        <f xml:space="preserve"> IF(CABLES[[#This Row],[SEG38]] &gt;0,INDEX(SEGMENTS[], MATCH(CABLES[[#Headers],[SEG38]],SEGMENTS[SEG_ID],0),4),0)</f>
        <v>0</v>
      </c>
      <c r="CY52" s="9">
        <f xml:space="preserve"> IF(CABLES[[#This Row],[SEG39]] &gt;0,INDEX(SEGMENTS[], MATCH(CABLES[[#Headers],[SEG39]],SEGMENTS[SEG_ID],0),4),0)</f>
        <v>8</v>
      </c>
      <c r="CZ52" s="9">
        <f xml:space="preserve"> IF(CABLES[[#This Row],[SEG40]] &gt;0,INDEX(SEGMENTS[], MATCH(CABLES[[#Headers],[SEG40]],SEGMENTS[SEG_ID],0),4),0)</f>
        <v>11</v>
      </c>
      <c r="DA52" s="9">
        <f xml:space="preserve"> IF(CABLES[[#This Row],[SEG41]] &gt;0,INDEX(SEGMENTS[], MATCH(CABLES[[#Headers],[SEG41]],SEGMENTS[SEG_ID],0),4),0)</f>
        <v>0</v>
      </c>
      <c r="DB52" s="9">
        <f xml:space="preserve"> IF(CABLES[[#This Row],[SEG42]] &gt;0,INDEX(SEGMENTS[], MATCH(CABLES[[#Headers],[SEG42]],SEGMENTS[SEG_ID],0),4),0)</f>
        <v>0</v>
      </c>
      <c r="DC52" s="9">
        <f xml:space="preserve"> IF(CABLES[[#This Row],[SEG43]] &gt;0,INDEX(SEGMENTS[], MATCH(CABLES[[#Headers],[SEG43]],SEGMENTS[SEG_ID],0),4),0)</f>
        <v>0</v>
      </c>
      <c r="DD52" s="9">
        <f xml:space="preserve"> IF(CABLES[[#This Row],[SEG44]] &gt;0,INDEX(SEGMENTS[], MATCH(CABLES[[#Headers],[SEG44]],SEGMENTS[SEG_ID],0),4),0)</f>
        <v>0</v>
      </c>
      <c r="DE52" s="9">
        <f xml:space="preserve"> IF(CABLES[[#This Row],[SEG45]] &gt;0,INDEX(SEGMENTS[], MATCH(CABLES[[#Headers],[SEG45]],SEGMENTS[SEG_ID],0),4),0)</f>
        <v>0</v>
      </c>
      <c r="DF52" s="9">
        <f xml:space="preserve"> IF(CABLES[[#This Row],[SEG46]] &gt;0,INDEX(SEGMENTS[], MATCH(CABLES[[#Headers],[SEG46]],SEGMENTS[SEG_ID],0),4),0)</f>
        <v>0</v>
      </c>
      <c r="DG52" s="9">
        <f xml:space="preserve"> IF(CABLES[[#This Row],[SEG47]] &gt;0,INDEX(SEGMENTS[], MATCH(CABLES[[#Headers],[SEG47]],SEGMENTS[SEG_ID],0),4),0)</f>
        <v>0</v>
      </c>
      <c r="DH52" s="9">
        <f xml:space="preserve"> IF(CABLES[[#This Row],[SEG48]] &gt;0,INDEX(SEGMENTS[], MATCH(CABLES[[#Headers],[SEG48]],SEGMENTS[SEG_ID],0),4),0)</f>
        <v>0</v>
      </c>
      <c r="DI52" s="9">
        <f xml:space="preserve"> IF(CABLES[[#This Row],[SEG49]] &gt;0,INDEX(SEGMENTS[], MATCH(CABLES[[#Headers],[SEG49]],SEGMENTS[SEG_ID],0),4),0)</f>
        <v>0</v>
      </c>
      <c r="DJ52" s="9">
        <f xml:space="preserve"> IF(CABLES[[#This Row],[SEG50]] &gt;0,INDEX(SEGMENTS[], MATCH(CABLES[[#Headers],[SEG50]],SEGMENTS[SEG_ID],0),4),0)</f>
        <v>0</v>
      </c>
      <c r="DK52" s="9">
        <f xml:space="preserve"> IF(CABLES[[#This Row],[SEG51]] &gt;0,INDEX(SEGMENTS[], MATCH(CABLES[[#Headers],[SEG51]],SEGMENTS[SEG_ID],0),4),0)</f>
        <v>0</v>
      </c>
      <c r="DL52" s="9">
        <f xml:space="preserve"> IF(CABLES[[#This Row],[SEG52]] &gt;0,INDEX(SEGMENTS[], MATCH(CABLES[[#Headers],[SEG52]],SEGMENTS[SEG_ID],0),4),0)</f>
        <v>0</v>
      </c>
      <c r="DM52" s="9">
        <f xml:space="preserve"> IF(CABLES[[#This Row],[SEG53]] &gt;0,INDEX(SEGMENTS[], MATCH(CABLES[[#Headers],[SEG53]],SEGMENTS[SEG_ID],0),4),0)</f>
        <v>0</v>
      </c>
      <c r="DN52" s="9">
        <f xml:space="preserve"> IF(CABLES[[#This Row],[SEG54]] &gt;0,INDEX(SEGMENTS[], MATCH(CABLES[[#Headers],[SEG54]],SEGMENTS[SEG_ID],0),4),0)</f>
        <v>0</v>
      </c>
      <c r="DO52" s="9">
        <f xml:space="preserve"> IF(CABLES[[#This Row],[SEG55]] &gt;0,INDEX(SEGMENTS[], MATCH(CABLES[[#Headers],[SEG55]],SEGMENTS[SEG_ID],0),4),0)</f>
        <v>0</v>
      </c>
      <c r="DP52" s="9">
        <f xml:space="preserve"> IF(CABLES[[#This Row],[SEG56]] &gt;0,INDEX(SEGMENTS[], MATCH(CABLES[[#Headers],[SEG56]],SEGMENTS[SEG_ID],0),4),0)</f>
        <v>0</v>
      </c>
      <c r="DQ52" s="9">
        <f xml:space="preserve"> IF(CABLES[[#This Row],[SEG57]] &gt;0,INDEX(SEGMENTS[], MATCH(CABLES[[#Headers],[SEG57]],SEGMENTS[SEG_ID],0),4),0)</f>
        <v>0</v>
      </c>
      <c r="DR52" s="9">
        <f xml:space="preserve"> IF(CABLES[[#This Row],[SEG58]] &gt;0,INDEX(SEGMENTS[], MATCH(CABLES[[#Headers],[SEG58]],SEGMENTS[SEG_ID],0),4),0)</f>
        <v>0</v>
      </c>
      <c r="DS52" s="9">
        <f xml:space="preserve"> IF(CABLES[[#This Row],[SEG59]] &gt;0,INDEX(SEGMENTS[], MATCH(CABLES[[#Headers],[SEG59]],SEGMENTS[SEG_ID],0),4),0)</f>
        <v>0</v>
      </c>
      <c r="DT52" s="9">
        <f xml:space="preserve"> IF(CABLES[[#This Row],[SEG60]] &gt;0,INDEX(SEGMENTS[], MATCH(CABLES[[#Headers],[SEG60]],SEGMENTS[SEG_ID],0),4),0)</f>
        <v>0</v>
      </c>
      <c r="DU52" s="10">
        <f>SUM(CABLES[[#This Row],[SEGL1]:[SEGL60]])</f>
        <v>28</v>
      </c>
      <c r="DV52" s="10">
        <v>5</v>
      </c>
      <c r="DW52" s="10">
        <v>1.2</v>
      </c>
      <c r="DX52" s="10">
        <f xml:space="preserve"> IF(CABLES[[#This Row],[SEGL_TOTAL]]&gt;0, (CABLES[[#This Row],[SEGL_TOTAL]] + CABLES[[#This Row],[FITOFF]]) *CABLES[[#This Row],[XCAPACITY]],0)</f>
        <v>39.6</v>
      </c>
      <c r="DY52" s="10">
        <f>IF(CABLES[[#This Row],[SEG1]]&gt;0,CABLES[[#This Row],[CABLE_DIAMETER]],0)</f>
        <v>0</v>
      </c>
      <c r="DZ52" s="10">
        <f>IF(CABLES[[#This Row],[SEG2]]&gt;0,CABLES[[#This Row],[CABLE_DIAMETER]],0)</f>
        <v>0</v>
      </c>
      <c r="EA52" s="10">
        <f>IF(CABLES[[#This Row],[SEG3]]&gt;0,CABLES[[#This Row],[CABLE_DIAMETER]],0)</f>
        <v>0</v>
      </c>
      <c r="EB52" s="10">
        <f>IF(CABLES[[#This Row],[SEG4]]&gt;0,CABLES[[#This Row],[CABLE_DIAMETER]],0)</f>
        <v>0</v>
      </c>
      <c r="EC52" s="10">
        <f>IF(CABLES[[#This Row],[SEG5]]&gt;0,CABLES[[#This Row],[CABLE_DIAMETER]],0)</f>
        <v>0</v>
      </c>
      <c r="ED52" s="10">
        <f>IF(CABLES[[#This Row],[SEG6]]&gt;0,CABLES[[#This Row],[CABLE_DIAMETER]],0)</f>
        <v>0</v>
      </c>
      <c r="EE52" s="10">
        <f>IF(CABLES[[#This Row],[SEG7]]&gt;0,CABLES[[#This Row],[CABLE_DIAMETER]],0)</f>
        <v>0</v>
      </c>
      <c r="EF52" s="10">
        <f>IF(CABLES[[#This Row],[SEG9]]&gt;0,CABLES[[#This Row],[CABLE_DIAMETER]],0)</f>
        <v>0</v>
      </c>
      <c r="EG52" s="10">
        <f>IF(CABLES[[#This Row],[SEG9]]&gt;0,CABLES[[#This Row],[CABLE_DIAMETER]],0)</f>
        <v>0</v>
      </c>
      <c r="EH52" s="10">
        <f>IF(CABLES[[#This Row],[SEG10]]&gt;0,CABLES[[#This Row],[CABLE_DIAMETER]],0)</f>
        <v>0</v>
      </c>
      <c r="EI52" s="10">
        <f>IF(CABLES[[#This Row],[SEG11]]&gt;0,CABLES[[#This Row],[CABLE_DIAMETER]],0)</f>
        <v>0</v>
      </c>
      <c r="EJ52" s="10">
        <f>IF(CABLES[[#This Row],[SEG12]]&gt;0,CABLES[[#This Row],[CABLE_DIAMETER]],0)</f>
        <v>0</v>
      </c>
      <c r="EK52" s="10">
        <f>IF(CABLES[[#This Row],[SEG13]]&gt;0,CABLES[[#This Row],[CABLE_DIAMETER]],0)</f>
        <v>0</v>
      </c>
      <c r="EL52" s="10">
        <f>IF(CABLES[[#This Row],[SEG14]]&gt;0,CABLES[[#This Row],[CABLE_DIAMETER]],0)</f>
        <v>0</v>
      </c>
      <c r="EM52" s="10">
        <f>IF(CABLES[[#This Row],[SEG15]]&gt;0,CABLES[[#This Row],[CABLE_DIAMETER]],0)</f>
        <v>0</v>
      </c>
      <c r="EN52" s="10">
        <f>IF(CABLES[[#This Row],[SEG16]]&gt;0,CABLES[[#This Row],[CABLE_DIAMETER]],0)</f>
        <v>0</v>
      </c>
      <c r="EO52" s="10">
        <f>IF(CABLES[[#This Row],[SEG17]]&gt;0,CABLES[[#This Row],[CABLE_DIAMETER]],0)</f>
        <v>0</v>
      </c>
      <c r="EP52" s="10">
        <f>IF(CABLES[[#This Row],[SEG18]]&gt;0,CABLES[[#This Row],[CABLE_DIAMETER]],0)</f>
        <v>0</v>
      </c>
      <c r="EQ52" s="10">
        <f>IF(CABLES[[#This Row],[SEG19]]&gt;0,CABLES[[#This Row],[CABLE_DIAMETER]],0)</f>
        <v>0</v>
      </c>
      <c r="ER52" s="10">
        <f>IF(CABLES[[#This Row],[SEG20]]&gt;0,CABLES[[#This Row],[CABLE_DIAMETER]],0)</f>
        <v>0</v>
      </c>
      <c r="ES52" s="10">
        <f>IF(CABLES[[#This Row],[SEG21]]&gt;0,CABLES[[#This Row],[CABLE_DIAMETER]],0)</f>
        <v>0</v>
      </c>
      <c r="ET52" s="10">
        <f>IF(CABLES[[#This Row],[SEG22]]&gt;0,CABLES[[#This Row],[CABLE_DIAMETER]],0)</f>
        <v>0</v>
      </c>
      <c r="EU52" s="10">
        <f>IF(CABLES[[#This Row],[SEG23]]&gt;0,CABLES[[#This Row],[CABLE_DIAMETER]],0)</f>
        <v>0</v>
      </c>
      <c r="EV52" s="10">
        <f>IF(CABLES[[#This Row],[SEG24]]&gt;0,CABLES[[#This Row],[CABLE_DIAMETER]],0)</f>
        <v>0</v>
      </c>
      <c r="EW52" s="10">
        <f>IF(CABLES[[#This Row],[SEG25]]&gt;0,CABLES[[#This Row],[CABLE_DIAMETER]],0)</f>
        <v>0</v>
      </c>
      <c r="EX52" s="10">
        <f>IF(CABLES[[#This Row],[SEG26]]&gt;0,CABLES[[#This Row],[CABLE_DIAMETER]],0)</f>
        <v>0</v>
      </c>
      <c r="EY52" s="10">
        <f>IF(CABLES[[#This Row],[SEG27]]&gt;0,CABLES[[#This Row],[CABLE_DIAMETER]],0)</f>
        <v>0</v>
      </c>
      <c r="EZ52" s="10">
        <f>IF(CABLES[[#This Row],[SEG28]]&gt;0,CABLES[[#This Row],[CABLE_DIAMETER]],0)</f>
        <v>0</v>
      </c>
      <c r="FA52" s="10">
        <f>IF(CABLES[[#This Row],[SEG29]]&gt;0,CABLES[[#This Row],[CABLE_DIAMETER]],0)</f>
        <v>0</v>
      </c>
      <c r="FB52" s="10">
        <f>IF(CABLES[[#This Row],[SEG30]]&gt;0,CABLES[[#This Row],[CABLE_DIAMETER]],0)</f>
        <v>12</v>
      </c>
      <c r="FC52" s="10">
        <f>IF(CABLES[[#This Row],[SEG31]]&gt;0,CABLES[[#This Row],[CABLE_DIAMETER]],0)</f>
        <v>12</v>
      </c>
      <c r="FD52" s="10">
        <f>IF(CABLES[[#This Row],[SEG32]]&gt;0,CABLES[[#This Row],[CABLE_DIAMETER]],0)</f>
        <v>0</v>
      </c>
      <c r="FE52" s="10">
        <f>IF(CABLES[[#This Row],[SEG33]]&gt;0,CABLES[[#This Row],[CABLE_DIAMETER]],0)</f>
        <v>0</v>
      </c>
      <c r="FF52" s="10">
        <f>IF(CABLES[[#This Row],[SEG34]]&gt;0,CABLES[[#This Row],[CABLE_DIAMETER]],0)</f>
        <v>0</v>
      </c>
      <c r="FG52" s="10">
        <f>IF(CABLES[[#This Row],[SEG35]]&gt;0,CABLES[[#This Row],[CABLE_DIAMETER]],0)</f>
        <v>0</v>
      </c>
      <c r="FH52" s="10">
        <f>IF(CABLES[[#This Row],[SEG36]]&gt;0,CABLES[[#This Row],[CABLE_DIAMETER]],0)</f>
        <v>0</v>
      </c>
      <c r="FI52" s="10">
        <f>IF(CABLES[[#This Row],[SEG37]]&gt;0,CABLES[[#This Row],[CABLE_DIAMETER]],0)</f>
        <v>0</v>
      </c>
      <c r="FJ52" s="10">
        <f>IF(CABLES[[#This Row],[SEG38]]&gt;0,CABLES[[#This Row],[CABLE_DIAMETER]],0)</f>
        <v>0</v>
      </c>
      <c r="FK52" s="10">
        <f>IF(CABLES[[#This Row],[SEG39]]&gt;0,CABLES[[#This Row],[CABLE_DIAMETER]],0)</f>
        <v>12</v>
      </c>
      <c r="FL52" s="10">
        <f>IF(CABLES[[#This Row],[SEG40]]&gt;0,CABLES[[#This Row],[CABLE_DIAMETER]],0)</f>
        <v>12</v>
      </c>
      <c r="FM52" s="10">
        <f>IF(CABLES[[#This Row],[SEG41]]&gt;0,CABLES[[#This Row],[CABLE_DIAMETER]],0)</f>
        <v>0</v>
      </c>
      <c r="FN52" s="10">
        <f>IF(CABLES[[#This Row],[SEG42]]&gt;0,CABLES[[#This Row],[CABLE_DIAMETER]],0)</f>
        <v>0</v>
      </c>
      <c r="FO52" s="10">
        <f>IF(CABLES[[#This Row],[SEG43]]&gt;0,CABLES[[#This Row],[CABLE_DIAMETER]],0)</f>
        <v>0</v>
      </c>
      <c r="FP52" s="10">
        <f>IF(CABLES[[#This Row],[SEG44]]&gt;0,CABLES[[#This Row],[CABLE_DIAMETER]],0)</f>
        <v>0</v>
      </c>
      <c r="FQ52" s="10">
        <f>IF(CABLES[[#This Row],[SEG45]]&gt;0,CABLES[[#This Row],[CABLE_DIAMETER]],0)</f>
        <v>0</v>
      </c>
      <c r="FR52" s="10">
        <f>IF(CABLES[[#This Row],[SEG46]]&gt;0,CABLES[[#This Row],[CABLE_DIAMETER]],0)</f>
        <v>0</v>
      </c>
      <c r="FS52" s="10">
        <f>IF(CABLES[[#This Row],[SEG47]]&gt;0,CABLES[[#This Row],[CABLE_DIAMETER]],0)</f>
        <v>0</v>
      </c>
      <c r="FT52" s="10">
        <f>IF(CABLES[[#This Row],[SEG48]]&gt;0,CABLES[[#This Row],[CABLE_DIAMETER]],0)</f>
        <v>0</v>
      </c>
      <c r="FU52" s="10">
        <f>IF(CABLES[[#This Row],[SEG49]]&gt;0,CABLES[[#This Row],[CABLE_DIAMETER]],0)</f>
        <v>0</v>
      </c>
      <c r="FV52" s="10">
        <f>IF(CABLES[[#This Row],[SEG50]]&gt;0,CABLES[[#This Row],[CABLE_DIAMETER]],0)</f>
        <v>0</v>
      </c>
      <c r="FW52" s="10">
        <f>IF(CABLES[[#This Row],[SEG51]]&gt;0,CABLES[[#This Row],[CABLE_DIAMETER]],0)</f>
        <v>0</v>
      </c>
      <c r="FX52" s="10">
        <f>IF(CABLES[[#This Row],[SEG52]]&gt;0,CABLES[[#This Row],[CABLE_DIAMETER]],0)</f>
        <v>0</v>
      </c>
      <c r="FY52" s="10">
        <f>IF(CABLES[[#This Row],[SEG53]]&gt;0,CABLES[[#This Row],[CABLE_DIAMETER]],0)</f>
        <v>0</v>
      </c>
      <c r="FZ52" s="10">
        <f>IF(CABLES[[#This Row],[SEG54]]&gt;0,CABLES[[#This Row],[CABLE_DIAMETER]],0)</f>
        <v>0</v>
      </c>
      <c r="GA52" s="10">
        <f>IF(CABLES[[#This Row],[SEG55]]&gt;0,CABLES[[#This Row],[CABLE_DIAMETER]],0)</f>
        <v>0</v>
      </c>
      <c r="GB52" s="10">
        <f>IF(CABLES[[#This Row],[SEG56]]&gt;0,CABLES[[#This Row],[CABLE_DIAMETER]],0)</f>
        <v>0</v>
      </c>
      <c r="GC52" s="10">
        <f>IF(CABLES[[#This Row],[SEG57]]&gt;0,CABLES[[#This Row],[CABLE_DIAMETER]],0)</f>
        <v>0</v>
      </c>
      <c r="GD52" s="10">
        <f>IF(CABLES[[#This Row],[SEG58]]&gt;0,CABLES[[#This Row],[CABLE_DIAMETER]],0)</f>
        <v>0</v>
      </c>
      <c r="GE52" s="10">
        <f>IF(CABLES[[#This Row],[SEG59]]&gt;0,CABLES[[#This Row],[CABLE_DIAMETER]],0)</f>
        <v>0</v>
      </c>
      <c r="GF52" s="10">
        <f>IF(CABLES[[#This Row],[SEG60]]&gt;0,CABLES[[#This Row],[CABLE_DIAMETER]],0)</f>
        <v>0</v>
      </c>
      <c r="GG52" s="10">
        <f>IF(CABLES[[#This Row],[SEG1]]&gt;0,CABLES[[#This Row],[CABLE_MASS]],0)</f>
        <v>0</v>
      </c>
      <c r="GH52" s="10">
        <f>IF(CABLES[[#This Row],[SEG2]]&gt;0,CABLES[[#This Row],[CABLE_MASS]],0)</f>
        <v>0</v>
      </c>
      <c r="GI52" s="10">
        <f>IF(CABLES[[#This Row],[SEG3]]&gt;0,CABLES[[#This Row],[CABLE_MASS]],0)</f>
        <v>0</v>
      </c>
      <c r="GJ52" s="10">
        <f>IF(CABLES[[#This Row],[SEG4]]&gt;0,CABLES[[#This Row],[CABLE_MASS]],0)</f>
        <v>0</v>
      </c>
      <c r="GK52" s="10">
        <f>IF(CABLES[[#This Row],[SEG5]]&gt;0,CABLES[[#This Row],[CABLE_MASS]],0)</f>
        <v>0</v>
      </c>
      <c r="GL52" s="10">
        <f>IF(CABLES[[#This Row],[SEG6]]&gt;0,CABLES[[#This Row],[CABLE_MASS]],0)</f>
        <v>0</v>
      </c>
      <c r="GM52" s="10">
        <f>IF(CABLES[[#This Row],[SEG7]]&gt;0,CABLES[[#This Row],[CABLE_MASS]],0)</f>
        <v>0</v>
      </c>
      <c r="GN52" s="10">
        <f>IF(CABLES[[#This Row],[SEG8]]&gt;0,CABLES[[#This Row],[CABLE_MASS]],0)</f>
        <v>0</v>
      </c>
      <c r="GO52" s="10">
        <f>IF(CABLES[[#This Row],[SEG9]]&gt;0,CABLES[[#This Row],[CABLE_MASS]],0)</f>
        <v>0</v>
      </c>
      <c r="GP52" s="10">
        <f>IF(CABLES[[#This Row],[SEG10]]&gt;0,CABLES[[#This Row],[CABLE_MASS]],0)</f>
        <v>0</v>
      </c>
      <c r="GQ52" s="10">
        <f>IF(CABLES[[#This Row],[SEG11]]&gt;0,CABLES[[#This Row],[CABLE_MASS]],0)</f>
        <v>0</v>
      </c>
      <c r="GR52" s="10">
        <f>IF(CABLES[[#This Row],[SEG12]]&gt;0,CABLES[[#This Row],[CABLE_MASS]],0)</f>
        <v>0</v>
      </c>
      <c r="GS52" s="10">
        <f>IF(CABLES[[#This Row],[SEG13]]&gt;0,CABLES[[#This Row],[CABLE_MASS]],0)</f>
        <v>0</v>
      </c>
      <c r="GT52" s="10">
        <f>IF(CABLES[[#This Row],[SEG14]]&gt;0,CABLES[[#This Row],[CABLE_MASS]],0)</f>
        <v>0</v>
      </c>
      <c r="GU52" s="10">
        <f>IF(CABLES[[#This Row],[SEG15]]&gt;0,CABLES[[#This Row],[CABLE_MASS]],0)</f>
        <v>0</v>
      </c>
      <c r="GV52" s="10">
        <f>IF(CABLES[[#This Row],[SEG16]]&gt;0,CABLES[[#This Row],[CABLE_MASS]],0)</f>
        <v>0</v>
      </c>
      <c r="GW52" s="10">
        <f>IF(CABLES[[#This Row],[SEG17]]&gt;0,CABLES[[#This Row],[CABLE_MASS]],0)</f>
        <v>0</v>
      </c>
      <c r="GX52" s="10">
        <f>IF(CABLES[[#This Row],[SEG18]]&gt;0,CABLES[[#This Row],[CABLE_MASS]],0)</f>
        <v>0</v>
      </c>
      <c r="GY52" s="10">
        <f>IF(CABLES[[#This Row],[SEG19]]&gt;0,CABLES[[#This Row],[CABLE_MASS]],0)</f>
        <v>0</v>
      </c>
      <c r="GZ52" s="10">
        <f>IF(CABLES[[#This Row],[SEG20]]&gt;0,CABLES[[#This Row],[CABLE_MASS]],0)</f>
        <v>0</v>
      </c>
      <c r="HA52" s="10">
        <f>IF(CABLES[[#This Row],[SEG21]]&gt;0,CABLES[[#This Row],[CABLE_MASS]],0)</f>
        <v>0</v>
      </c>
      <c r="HB52" s="10">
        <f>IF(CABLES[[#This Row],[SEG22]]&gt;0,CABLES[[#This Row],[CABLE_MASS]],0)</f>
        <v>0</v>
      </c>
      <c r="HC52" s="10">
        <f>IF(CABLES[[#This Row],[SEG23]]&gt;0,CABLES[[#This Row],[CABLE_MASS]],0)</f>
        <v>0</v>
      </c>
      <c r="HD52" s="10">
        <f>IF(CABLES[[#This Row],[SEG24]]&gt;0,CABLES[[#This Row],[CABLE_MASS]],0)</f>
        <v>0</v>
      </c>
      <c r="HE52" s="10">
        <f>IF(CABLES[[#This Row],[SEG25]]&gt;0,CABLES[[#This Row],[CABLE_MASS]],0)</f>
        <v>0</v>
      </c>
      <c r="HF52" s="10">
        <f>IF(CABLES[[#This Row],[SEG26]]&gt;0,CABLES[[#This Row],[CABLE_MASS]],0)</f>
        <v>0</v>
      </c>
      <c r="HG52" s="10">
        <f>IF(CABLES[[#This Row],[SEG27]]&gt;0,CABLES[[#This Row],[CABLE_MASS]],0)</f>
        <v>0</v>
      </c>
      <c r="HH52" s="10">
        <f>IF(CABLES[[#This Row],[SEG28]]&gt;0,CABLES[[#This Row],[CABLE_MASS]],0)</f>
        <v>0</v>
      </c>
      <c r="HI52" s="10">
        <f>IF(CABLES[[#This Row],[SEG29]]&gt;0,CABLES[[#This Row],[CABLE_MASS]],0)</f>
        <v>0</v>
      </c>
      <c r="HJ52" s="10">
        <f>IF(CABLES[[#This Row],[SEG30]]&gt;0,CABLES[[#This Row],[CABLE_MASS]],0)</f>
        <v>0.21</v>
      </c>
      <c r="HK52" s="10">
        <f>IF(CABLES[[#This Row],[SEG31]]&gt;0,CABLES[[#This Row],[CABLE_MASS]],0)</f>
        <v>0.21</v>
      </c>
      <c r="HL52" s="10">
        <f>IF(CABLES[[#This Row],[SEG32]]&gt;0,CABLES[[#This Row],[CABLE_MASS]],0)</f>
        <v>0</v>
      </c>
      <c r="HM52" s="10">
        <f>IF(CABLES[[#This Row],[SEG33]]&gt;0,CABLES[[#This Row],[CABLE_MASS]],0)</f>
        <v>0</v>
      </c>
      <c r="HN52" s="10">
        <f>IF(CABLES[[#This Row],[SEG34]]&gt;0,CABLES[[#This Row],[CABLE_MASS]],0)</f>
        <v>0</v>
      </c>
      <c r="HO52" s="10">
        <f>IF(CABLES[[#This Row],[SEG35]]&gt;0,CABLES[[#This Row],[CABLE_MASS]],0)</f>
        <v>0</v>
      </c>
      <c r="HP52" s="10">
        <f>IF(CABLES[[#This Row],[SEG36]]&gt;0,CABLES[[#This Row],[CABLE_MASS]],0)</f>
        <v>0</v>
      </c>
      <c r="HQ52" s="10">
        <f>IF(CABLES[[#This Row],[SEG37]]&gt;0,CABLES[[#This Row],[CABLE_MASS]],0)</f>
        <v>0</v>
      </c>
      <c r="HR52" s="10">
        <f>IF(CABLES[[#This Row],[SEG38]]&gt;0,CABLES[[#This Row],[CABLE_MASS]],0)</f>
        <v>0</v>
      </c>
      <c r="HS52" s="10">
        <f>IF(CABLES[[#This Row],[SEG39]]&gt;0,CABLES[[#This Row],[CABLE_MASS]],0)</f>
        <v>0.21</v>
      </c>
      <c r="HT52" s="10">
        <f>IF(CABLES[[#This Row],[SEG40]]&gt;0,CABLES[[#This Row],[CABLE_MASS]],0)</f>
        <v>0.21</v>
      </c>
      <c r="HU52" s="10">
        <f>IF(CABLES[[#This Row],[SEG41]]&gt;0,CABLES[[#This Row],[CABLE_MASS]],0)</f>
        <v>0</v>
      </c>
      <c r="HV52" s="10">
        <f>IF(CABLES[[#This Row],[SEG42]]&gt;0,CABLES[[#This Row],[CABLE_MASS]],0)</f>
        <v>0</v>
      </c>
      <c r="HW52" s="10">
        <f>IF(CABLES[[#This Row],[SEG43]]&gt;0,CABLES[[#This Row],[CABLE_MASS]],0)</f>
        <v>0</v>
      </c>
      <c r="HX52" s="10">
        <f>IF(CABLES[[#This Row],[SEG44]]&gt;0,CABLES[[#This Row],[CABLE_MASS]],0)</f>
        <v>0</v>
      </c>
      <c r="HY52" s="10">
        <f>IF(CABLES[[#This Row],[SEG45]]&gt;0,CABLES[[#This Row],[CABLE_MASS]],0)</f>
        <v>0</v>
      </c>
      <c r="HZ52" s="10">
        <f>IF(CABLES[[#This Row],[SEG46]]&gt;0,CABLES[[#This Row],[CABLE_MASS]],0)</f>
        <v>0</v>
      </c>
      <c r="IA52" s="10">
        <f>IF(CABLES[[#This Row],[SEG47]]&gt;0,CABLES[[#This Row],[CABLE_MASS]],0)</f>
        <v>0</v>
      </c>
      <c r="IB52" s="10">
        <f>IF(CABLES[[#This Row],[SEG48]]&gt;0,CABLES[[#This Row],[CABLE_MASS]],0)</f>
        <v>0</v>
      </c>
      <c r="IC52" s="10">
        <f>IF(CABLES[[#This Row],[SEG49]]&gt;0,CABLES[[#This Row],[CABLE_MASS]],0)</f>
        <v>0</v>
      </c>
      <c r="ID52" s="10">
        <f>IF(CABLES[[#This Row],[SEG50]]&gt;0,CABLES[[#This Row],[CABLE_MASS]],0)</f>
        <v>0</v>
      </c>
      <c r="IE52" s="10">
        <f>IF(CABLES[[#This Row],[SEG51]]&gt;0,CABLES[[#This Row],[CABLE_MASS]],0)</f>
        <v>0</v>
      </c>
      <c r="IF52" s="10">
        <f>IF(CABLES[[#This Row],[SEG52]]&gt;0,CABLES[[#This Row],[CABLE_MASS]],0)</f>
        <v>0</v>
      </c>
      <c r="IG52" s="10">
        <f>IF(CABLES[[#This Row],[SEG53]]&gt;0,CABLES[[#This Row],[CABLE_MASS]],0)</f>
        <v>0</v>
      </c>
      <c r="IH52" s="10">
        <f>IF(CABLES[[#This Row],[SEG54]]&gt;0,CABLES[[#This Row],[CABLE_MASS]],0)</f>
        <v>0</v>
      </c>
      <c r="II52" s="10">
        <f>IF(CABLES[[#This Row],[SEG55]]&gt;0,CABLES[[#This Row],[CABLE_MASS]],0)</f>
        <v>0</v>
      </c>
      <c r="IJ52" s="10">
        <f>IF(CABLES[[#This Row],[SEG56]]&gt;0,CABLES[[#This Row],[CABLE_MASS]],0)</f>
        <v>0</v>
      </c>
      <c r="IK52" s="10">
        <f>IF(CABLES[[#This Row],[SEG57]]&gt;0,CABLES[[#This Row],[CABLE_MASS]],0)</f>
        <v>0</v>
      </c>
      <c r="IL52" s="10">
        <f>IF(CABLES[[#This Row],[SEG58]]&gt;0,CABLES[[#This Row],[CABLE_MASS]],0)</f>
        <v>0</v>
      </c>
      <c r="IM52" s="10">
        <f>IF(CABLES[[#This Row],[SEG59]]&gt;0,CABLES[[#This Row],[CABLE_MASS]],0)</f>
        <v>0</v>
      </c>
      <c r="IN52" s="10">
        <f>IF(CABLES[[#This Row],[SEG60]]&gt;0,CABLES[[#This Row],[CABLE_MASS]],0)</f>
        <v>0</v>
      </c>
      <c r="IO52" s="10">
        <f xml:space="preserve">  (CABLES[[#This Row],[LOAD_KW]]/(SQRT(3)*SYSTEM_VOLTAGE*POWER_FACTOR))*1000</f>
        <v>1.7641258225238565</v>
      </c>
      <c r="IP52" s="10">
        <v>45</v>
      </c>
      <c r="IQ52" s="10">
        <f xml:space="preserve"> INDEX(AS3000_AMBIENTDERATE[], MATCH(CABLES[[#This Row],[AMBIENT]],AS3000_AMBIENTDERATE[AMBIENT],0), 2)</f>
        <v>0.94</v>
      </c>
      <c r="IR52" s="10">
        <f xml:space="preserve"> ROUNDUP( CABLES[[#This Row],[CALCULATED_AMPS]]/CABLES[[#This Row],[AMBIENT_DERATING]],1)</f>
        <v>1.9000000000000001</v>
      </c>
      <c r="IS52" s="10" t="s">
        <v>531</v>
      </c>
      <c r="IT5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2" s="10">
        <f t="shared" si="1"/>
        <v>28.000000000000004</v>
      </c>
      <c r="IV52" s="10">
        <f>(1000*CABLES[[#This Row],[MAX_VDROP]])/(CABLES[[#This Row],[ESTIMATED_CABLE_LENGTH]]*CABLES[[#This Row],[AMP_RATING]])</f>
        <v>372.1424774056353</v>
      </c>
      <c r="IW52" s="10">
        <f xml:space="preserve"> INDEX(AS3000_VDROP[], MATCH(CABLES[[#This Row],[VC_CALC]],AS3000_VDROP[Vc],1),1)</f>
        <v>2.5</v>
      </c>
      <c r="IX52" s="10">
        <f>MAX(CABLES[[#This Row],[CABLESIZE_METHOD1]],CABLES[[#This Row],[CABLESIZE_METHOD2]])</f>
        <v>2.5</v>
      </c>
      <c r="IY52" s="10"/>
      <c r="IZ52" s="10">
        <f>IF(LEN(CABLES[[#This Row],[OVERRIDE_CABLESIZE]])&gt;0,CABLES[[#This Row],[OVERRIDE_CABLESIZE]],CABLES[[#This Row],[INITIAL_CABLESIZE]])</f>
        <v>2.5</v>
      </c>
      <c r="JA52" s="10">
        <f>INDEX(PROTECTIVE_DEVICE[DEVICE], MATCH(CABLES[[#This Row],[CALCULATED_AMPS]],PROTECTIVE_DEVICE[DEVICE],-1),1)</f>
        <v>6</v>
      </c>
      <c r="JB52" s="10"/>
      <c r="JC52" s="10">
        <f>IF(LEN(CABLES[[#This Row],[OVERRIDE_PDEVICE]])&gt;0, CABLES[[#This Row],[OVERRIDE_PDEVICE]],CABLES[[#This Row],[RECOMMEND_PDEVICE]])</f>
        <v>6</v>
      </c>
      <c r="JD52" s="10" t="s">
        <v>450</v>
      </c>
      <c r="JE52" s="10">
        <f xml:space="preserve"> CABLES[[#This Row],[SELECTED_PDEVICE]] * INDEX(DEVICE_CURVE[], MATCH(CABLES[[#This Row],[PDEVICE_CURVE]], DEVICE_CURVE[DEVICE_CURVE],0),2)</f>
        <v>39</v>
      </c>
      <c r="JF52" s="10" t="s">
        <v>458</v>
      </c>
      <c r="JG52" s="10">
        <f xml:space="preserve"> INDEX(CONDUCTOR_MATERIAL[], MATCH(CABLES[[#This Row],[CONDUCTOR_MATERIAL]],CONDUCTOR_MATERIAL[CONDUCTOR_MATERIAL],0),2)</f>
        <v>2.2499999999999999E-2</v>
      </c>
      <c r="JH52" s="10">
        <f>CABLES[[#This Row],[SELECTED_CABLESIZE]]</f>
        <v>2.5</v>
      </c>
      <c r="JI52" s="10">
        <f xml:space="preserve"> INDEX( EARTH_CONDUCTOR_SIZE[], MATCH(CABLES[[#This Row],[SPH]],EARTH_CONDUCTOR_SIZE[MM^2],-1), 2)</f>
        <v>2.5</v>
      </c>
      <c r="JJ52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52" s="10" t="str">
        <f>IF(CABLES[[#This Row],[LMAX]]&gt;CABLES[[#This Row],[ESTIMATED_CABLE_LENGTH]], "PASS", "ERROR")</f>
        <v>PASS</v>
      </c>
      <c r="JL5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2" s="6">
        <f xml:space="preserve"> ROUNDUP( CABLES[[#This Row],[CALCULATED_AMPS]],1)</f>
        <v>1.8</v>
      </c>
      <c r="JO52" s="6">
        <f>CABLES[[#This Row],[SELECTED_CABLESIZE]]</f>
        <v>2.5</v>
      </c>
      <c r="JP52" s="10">
        <f>CABLES[[#This Row],[ESTIMATED_CABLE_LENGTH]]</f>
        <v>39.6</v>
      </c>
      <c r="JQ52" s="6">
        <f>CABLES[[#This Row],[SELECTED_PDEVICE]]</f>
        <v>6</v>
      </c>
    </row>
    <row r="53" spans="1:277" x14ac:dyDescent="0.35">
      <c r="A53" s="5" t="s">
        <v>52</v>
      </c>
      <c r="B53" s="5" t="s">
        <v>500</v>
      </c>
      <c r="C53" s="10" t="s">
        <v>261</v>
      </c>
      <c r="D53" s="9">
        <v>5.5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1</v>
      </c>
      <c r="AI53" s="9">
        <v>1</v>
      </c>
      <c r="AJ53" s="9">
        <v>1</v>
      </c>
      <c r="AK53" s="9">
        <v>0</v>
      </c>
      <c r="AL53" s="9">
        <v>1</v>
      </c>
      <c r="AM53" s="9">
        <v>0</v>
      </c>
      <c r="AN53" s="9">
        <v>0</v>
      </c>
      <c r="AO53" s="9">
        <v>1</v>
      </c>
      <c r="AP53" s="9">
        <v>1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f xml:space="preserve"> IF(CABLES[[#This Row],[SEG1]] &gt;0, INDEX(SEGMENTS[], MATCH(CABLES[[#Headers],[SEG1]],SEGMENTS[SEG_ID],0),4),0)</f>
        <v>0</v>
      </c>
      <c r="BN53" s="9">
        <f xml:space="preserve"> IF(CABLES[[#This Row],[SEG2]] &gt;0, INDEX(SEGMENTS[], MATCH(CABLES[[#Headers],[SEG2]],SEGMENTS[SEG_ID],0),4),0)</f>
        <v>0</v>
      </c>
      <c r="BO53" s="9">
        <f xml:space="preserve"> IF(CABLES[[#This Row],[SEG3]] &gt;0, INDEX(SEGMENTS[], MATCH(CABLES[[#Headers],[SEG3]],SEGMENTS[SEG_ID],0),4),0)</f>
        <v>0</v>
      </c>
      <c r="BP53" s="9">
        <f xml:space="preserve"> IF(CABLES[[#This Row],[SEG4]] &gt;0, INDEX(SEGMENTS[], MATCH(CABLES[[#Headers],[SEG4]],SEGMENTS[SEG_ID],0),4),0)</f>
        <v>0</v>
      </c>
      <c r="BQ53" s="9">
        <f xml:space="preserve"> IF(CABLES[[#This Row],[SEG5]] &gt;0,INDEX(SEGMENTS[], MATCH(CABLES[[#Headers],[SEG5]],SEGMENTS[SEG_ID],0),4),0)</f>
        <v>0</v>
      </c>
      <c r="BR53" s="9">
        <f xml:space="preserve"> IF(CABLES[[#This Row],[SEG6]] &gt;0,INDEX(SEGMENTS[], MATCH(CABLES[[#Headers],[SEG6]],SEGMENTS[SEG_ID],0),4),0)</f>
        <v>0</v>
      </c>
      <c r="BS53" s="9">
        <f xml:space="preserve"> IF(CABLES[[#This Row],[SEG7]] &gt;0,INDEX(SEGMENTS[], MATCH(CABLES[[#Headers],[SEG7]],SEGMENTS[SEG_ID],0),4),0)</f>
        <v>0</v>
      </c>
      <c r="BT53" s="9">
        <f xml:space="preserve"> IF(CABLES[[#This Row],[SEG8]] &gt;0,INDEX(SEGMENTS[], MATCH(CABLES[[#Headers],[SEG8]],SEGMENTS[SEG_ID],0),4),0)</f>
        <v>0</v>
      </c>
      <c r="BU53" s="9">
        <f xml:space="preserve"> IF(CABLES[[#This Row],[SEG9]] &gt;0,INDEX(SEGMENTS[], MATCH(CABLES[[#Headers],[SEG9]],SEGMENTS[SEG_ID],0),4),0)</f>
        <v>0</v>
      </c>
      <c r="BV53" s="9">
        <f xml:space="preserve"> IF(CABLES[[#This Row],[SEG10]] &gt;0,INDEX(SEGMENTS[], MATCH(CABLES[[#Headers],[SEG10]],SEGMENTS[SEG_ID],0),4),0)</f>
        <v>0</v>
      </c>
      <c r="BW53" s="9">
        <f xml:space="preserve"> IF(CABLES[[#This Row],[SEG11]] &gt;0,INDEX(SEGMENTS[], MATCH(CABLES[[#Headers],[SEG11]],SEGMENTS[SEG_ID],0),4),0)</f>
        <v>0</v>
      </c>
      <c r="BX53" s="9">
        <f>IF(CABLES[[#This Row],[SEG12]] &gt;0, INDEX(SEGMENTS[], MATCH(CABLES[[#Headers],[SEG12]],SEGMENTS[SEG_ID],0),4),0)</f>
        <v>0</v>
      </c>
      <c r="BY53" s="9">
        <f xml:space="preserve"> IF(CABLES[[#This Row],[SEG13]] &gt;0,INDEX(SEGMENTS[], MATCH(CABLES[[#Headers],[SEG13]],SEGMENTS[SEG_ID],0),4),0)</f>
        <v>0</v>
      </c>
      <c r="BZ53" s="9">
        <f xml:space="preserve"> IF(CABLES[[#This Row],[SEG14]] &gt;0,INDEX(SEGMENTS[], MATCH(CABLES[[#Headers],[SEG14]],SEGMENTS[SEG_ID],0),4),0)</f>
        <v>0</v>
      </c>
      <c r="CA53" s="9">
        <f xml:space="preserve"> IF(CABLES[[#This Row],[SEG15]] &gt;0,INDEX(SEGMENTS[], MATCH(CABLES[[#Headers],[SEG15]],SEGMENTS[SEG_ID],0),4),0)</f>
        <v>0</v>
      </c>
      <c r="CB53" s="9">
        <f xml:space="preserve"> IF(CABLES[[#This Row],[SEG16]] &gt;0,INDEX(SEGMENTS[], MATCH(CABLES[[#Headers],[SEG16]],SEGMENTS[SEG_ID],0),4),0)</f>
        <v>0</v>
      </c>
      <c r="CC53" s="9">
        <f xml:space="preserve"> IF(CABLES[[#This Row],[SEG17]] &gt;0,INDEX(SEGMENTS[], MATCH(CABLES[[#Headers],[SEG17]],SEGMENTS[SEG_ID],0),4),0)</f>
        <v>0</v>
      </c>
      <c r="CD53" s="9">
        <f xml:space="preserve"> IF(CABLES[[#This Row],[SEG18]] &gt;0,INDEX(SEGMENTS[], MATCH(CABLES[[#Headers],[SEG18]],SEGMENTS[SEG_ID],0),4),0)</f>
        <v>0</v>
      </c>
      <c r="CE53" s="9">
        <f>IF(CABLES[[#This Row],[SEG19]] &gt;0, INDEX(SEGMENTS[], MATCH(CABLES[[#Headers],[SEG19]],SEGMENTS[SEG_ID],0),4),0)</f>
        <v>0</v>
      </c>
      <c r="CF53" s="9">
        <f>IF(CABLES[[#This Row],[SEG20]] &gt;0, INDEX(SEGMENTS[], MATCH(CABLES[[#Headers],[SEG20]],SEGMENTS[SEG_ID],0),4),0)</f>
        <v>0</v>
      </c>
      <c r="CG53" s="9">
        <f xml:space="preserve"> IF(CABLES[[#This Row],[SEG21]] &gt;0,INDEX(SEGMENTS[], MATCH(CABLES[[#Headers],[SEG21]],SEGMENTS[SEG_ID],0),4),0)</f>
        <v>0</v>
      </c>
      <c r="CH53" s="9">
        <f xml:space="preserve"> IF(CABLES[[#This Row],[SEG22]] &gt;0,INDEX(SEGMENTS[], MATCH(CABLES[[#Headers],[SEG22]],SEGMENTS[SEG_ID],0),4),0)</f>
        <v>0</v>
      </c>
      <c r="CI53" s="9">
        <f>IF(CABLES[[#This Row],[SEG23]] &gt;0, INDEX(SEGMENTS[], MATCH(CABLES[[#Headers],[SEG23]],SEGMENTS[SEG_ID],0),4),0)</f>
        <v>0</v>
      </c>
      <c r="CJ53" s="9">
        <f xml:space="preserve"> IF(CABLES[[#This Row],[SEG24]] &gt;0,INDEX(SEGMENTS[], MATCH(CABLES[[#Headers],[SEG24]],SEGMENTS[SEG_ID],0),4),0)</f>
        <v>0</v>
      </c>
      <c r="CK53" s="9">
        <f>IF(CABLES[[#This Row],[SEG25]] &gt;0, INDEX(SEGMENTS[], MATCH(CABLES[[#Headers],[SEG25]],SEGMENTS[SEG_ID],0),4),0)</f>
        <v>0</v>
      </c>
      <c r="CL53" s="9">
        <f>IF(CABLES[[#This Row],[SEG26]] &gt;0, INDEX(SEGMENTS[], MATCH(CABLES[[#Headers],[SEG26]],SEGMENTS[SEG_ID],0),4),0)</f>
        <v>0</v>
      </c>
      <c r="CM53" s="9">
        <f xml:space="preserve"> IF(CABLES[[#This Row],[SEG27]] &gt;0,INDEX(SEGMENTS[], MATCH(CABLES[[#Headers],[SEG27]],SEGMENTS[SEG_ID],0),4),0)</f>
        <v>0</v>
      </c>
      <c r="CN53" s="9">
        <f xml:space="preserve"> IF(CABLES[[#This Row],[SEG28]] &gt;0,INDEX(SEGMENTS[], MATCH(CABLES[[#Headers],[SEG28]],SEGMENTS[SEG_ID],0),4),0)</f>
        <v>0</v>
      </c>
      <c r="CO53" s="9">
        <f xml:space="preserve"> IF(CABLES[[#This Row],[SEG29]] &gt;0,INDEX(SEGMENTS[], MATCH(CABLES[[#Headers],[SEG29]],SEGMENTS[SEG_ID],0),4),0)</f>
        <v>0</v>
      </c>
      <c r="CP53" s="9">
        <f xml:space="preserve"> IF(CABLES[[#This Row],[SEG30]] &gt;0,INDEX(SEGMENTS[], MATCH(CABLES[[#Headers],[SEG30]],SEGMENTS[SEG_ID],0),4),0)</f>
        <v>6</v>
      </c>
      <c r="CQ53" s="9">
        <f>IF(CABLES[[#This Row],[SEG31]] &gt;0, INDEX(SEGMENTS[], MATCH(CABLES[[#Headers],[SEG31]],SEGMENTS[SEG_ID],0),4),0)</f>
        <v>3</v>
      </c>
      <c r="CR53" s="9">
        <f xml:space="preserve"> IF(CABLES[[#This Row],[SEG32]] &gt;0,INDEX(SEGMENTS[], MATCH(CABLES[[#Headers],[SEG32]],SEGMENTS[SEG_ID],0),4),0)</f>
        <v>5</v>
      </c>
      <c r="CS53" s="9">
        <f xml:space="preserve"> IF(CABLES[[#This Row],[SEG33]] &gt;0,INDEX(SEGMENTS[], MATCH(CABLES[[#Headers],[SEG33]],SEGMENTS[SEG_ID],0),4),0)</f>
        <v>0</v>
      </c>
      <c r="CT53" s="9">
        <f>IF(CABLES[[#This Row],[SEG34]] &gt;0, INDEX(SEGMENTS[], MATCH(CABLES[[#Headers],[SEG34]],SEGMENTS[SEG_ID],0),4),0)</f>
        <v>7</v>
      </c>
      <c r="CU53" s="9">
        <f xml:space="preserve"> IF(CABLES[[#This Row],[SEG35]] &gt;0,INDEX(SEGMENTS[], MATCH(CABLES[[#Headers],[SEG35]],SEGMENTS[SEG_ID],0),4),0)</f>
        <v>0</v>
      </c>
      <c r="CV53" s="9">
        <f xml:space="preserve"> IF(CABLES[[#This Row],[SEG36]] &gt;0,INDEX(SEGMENTS[], MATCH(CABLES[[#Headers],[SEG36]],SEGMENTS[SEG_ID],0),4),0)</f>
        <v>0</v>
      </c>
      <c r="CW53" s="9">
        <f xml:space="preserve"> IF(CABLES[[#This Row],[SEG37]] &gt;0,INDEX(SEGMENTS[], MATCH(CABLES[[#Headers],[SEG37]],SEGMENTS[SEG_ID],0),4),0)</f>
        <v>5</v>
      </c>
      <c r="CX53" s="9">
        <f xml:space="preserve"> IF(CABLES[[#This Row],[SEG38]] &gt;0,INDEX(SEGMENTS[], MATCH(CABLES[[#Headers],[SEG38]],SEGMENTS[SEG_ID],0),4),0)</f>
        <v>15</v>
      </c>
      <c r="CY53" s="9">
        <f xml:space="preserve"> IF(CABLES[[#This Row],[SEG39]] &gt;0,INDEX(SEGMENTS[], MATCH(CABLES[[#Headers],[SEG39]],SEGMENTS[SEG_ID],0),4),0)</f>
        <v>0</v>
      </c>
      <c r="CZ53" s="9">
        <f xml:space="preserve"> IF(CABLES[[#This Row],[SEG40]] &gt;0,INDEX(SEGMENTS[], MATCH(CABLES[[#Headers],[SEG40]],SEGMENTS[SEG_ID],0),4),0)</f>
        <v>0</v>
      </c>
      <c r="DA53" s="9">
        <f xml:space="preserve"> IF(CABLES[[#This Row],[SEG41]] &gt;0,INDEX(SEGMENTS[], MATCH(CABLES[[#Headers],[SEG41]],SEGMENTS[SEG_ID],0),4),0)</f>
        <v>0</v>
      </c>
      <c r="DB53" s="9">
        <f xml:space="preserve"> IF(CABLES[[#This Row],[SEG42]] &gt;0,INDEX(SEGMENTS[], MATCH(CABLES[[#Headers],[SEG42]],SEGMENTS[SEG_ID],0),4),0)</f>
        <v>0</v>
      </c>
      <c r="DC53" s="9">
        <f xml:space="preserve"> IF(CABLES[[#This Row],[SEG43]] &gt;0,INDEX(SEGMENTS[], MATCH(CABLES[[#Headers],[SEG43]],SEGMENTS[SEG_ID],0),4),0)</f>
        <v>0</v>
      </c>
      <c r="DD53" s="9">
        <f xml:space="preserve"> IF(CABLES[[#This Row],[SEG44]] &gt;0,INDEX(SEGMENTS[], MATCH(CABLES[[#Headers],[SEG44]],SEGMENTS[SEG_ID],0),4),0)</f>
        <v>0</v>
      </c>
      <c r="DE53" s="9">
        <f xml:space="preserve"> IF(CABLES[[#This Row],[SEG45]] &gt;0,INDEX(SEGMENTS[], MATCH(CABLES[[#Headers],[SEG45]],SEGMENTS[SEG_ID],0),4),0)</f>
        <v>0</v>
      </c>
      <c r="DF53" s="9">
        <f xml:space="preserve"> IF(CABLES[[#This Row],[SEG46]] &gt;0,INDEX(SEGMENTS[], MATCH(CABLES[[#Headers],[SEG46]],SEGMENTS[SEG_ID],0),4),0)</f>
        <v>0</v>
      </c>
      <c r="DG53" s="9">
        <f xml:space="preserve"> IF(CABLES[[#This Row],[SEG47]] &gt;0,INDEX(SEGMENTS[], MATCH(CABLES[[#Headers],[SEG47]],SEGMENTS[SEG_ID],0),4),0)</f>
        <v>0</v>
      </c>
      <c r="DH53" s="9">
        <f xml:space="preserve"> IF(CABLES[[#This Row],[SEG48]] &gt;0,INDEX(SEGMENTS[], MATCH(CABLES[[#Headers],[SEG48]],SEGMENTS[SEG_ID],0),4),0)</f>
        <v>0</v>
      </c>
      <c r="DI53" s="9">
        <f xml:space="preserve"> IF(CABLES[[#This Row],[SEG49]] &gt;0,INDEX(SEGMENTS[], MATCH(CABLES[[#Headers],[SEG49]],SEGMENTS[SEG_ID],0),4),0)</f>
        <v>0</v>
      </c>
      <c r="DJ53" s="9">
        <f xml:space="preserve"> IF(CABLES[[#This Row],[SEG50]] &gt;0,INDEX(SEGMENTS[], MATCH(CABLES[[#Headers],[SEG50]],SEGMENTS[SEG_ID],0),4),0)</f>
        <v>0</v>
      </c>
      <c r="DK53" s="9">
        <f xml:space="preserve"> IF(CABLES[[#This Row],[SEG51]] &gt;0,INDEX(SEGMENTS[], MATCH(CABLES[[#Headers],[SEG51]],SEGMENTS[SEG_ID],0),4),0)</f>
        <v>0</v>
      </c>
      <c r="DL53" s="9">
        <f xml:space="preserve"> IF(CABLES[[#This Row],[SEG52]] &gt;0,INDEX(SEGMENTS[], MATCH(CABLES[[#Headers],[SEG52]],SEGMENTS[SEG_ID],0),4),0)</f>
        <v>0</v>
      </c>
      <c r="DM53" s="9">
        <f xml:space="preserve"> IF(CABLES[[#This Row],[SEG53]] &gt;0,INDEX(SEGMENTS[], MATCH(CABLES[[#Headers],[SEG53]],SEGMENTS[SEG_ID],0),4),0)</f>
        <v>0</v>
      </c>
      <c r="DN53" s="9">
        <f xml:space="preserve"> IF(CABLES[[#This Row],[SEG54]] &gt;0,INDEX(SEGMENTS[], MATCH(CABLES[[#Headers],[SEG54]],SEGMENTS[SEG_ID],0),4),0)</f>
        <v>0</v>
      </c>
      <c r="DO53" s="9">
        <f xml:space="preserve"> IF(CABLES[[#This Row],[SEG55]] &gt;0,INDEX(SEGMENTS[], MATCH(CABLES[[#Headers],[SEG55]],SEGMENTS[SEG_ID],0),4),0)</f>
        <v>0</v>
      </c>
      <c r="DP53" s="9">
        <f xml:space="preserve"> IF(CABLES[[#This Row],[SEG56]] &gt;0,INDEX(SEGMENTS[], MATCH(CABLES[[#Headers],[SEG56]],SEGMENTS[SEG_ID],0),4),0)</f>
        <v>0</v>
      </c>
      <c r="DQ53" s="9">
        <f xml:space="preserve"> IF(CABLES[[#This Row],[SEG57]] &gt;0,INDEX(SEGMENTS[], MATCH(CABLES[[#Headers],[SEG57]],SEGMENTS[SEG_ID],0),4),0)</f>
        <v>0</v>
      </c>
      <c r="DR53" s="9">
        <f xml:space="preserve"> IF(CABLES[[#This Row],[SEG58]] &gt;0,INDEX(SEGMENTS[], MATCH(CABLES[[#Headers],[SEG58]],SEGMENTS[SEG_ID],0),4),0)</f>
        <v>0</v>
      </c>
      <c r="DS53" s="9">
        <f xml:space="preserve"> IF(CABLES[[#This Row],[SEG59]] &gt;0,INDEX(SEGMENTS[], MATCH(CABLES[[#Headers],[SEG59]],SEGMENTS[SEG_ID],0),4),0)</f>
        <v>0</v>
      </c>
      <c r="DT53" s="9">
        <f xml:space="preserve"> IF(CABLES[[#This Row],[SEG60]] &gt;0,INDEX(SEGMENTS[], MATCH(CABLES[[#Headers],[SEG60]],SEGMENTS[SEG_ID],0),4),0)</f>
        <v>0</v>
      </c>
      <c r="DU53" s="10">
        <f>SUM(CABLES[[#This Row],[SEGL1]:[SEGL60]])</f>
        <v>41</v>
      </c>
      <c r="DV53" s="10">
        <v>5</v>
      </c>
      <c r="DW53" s="10">
        <v>1.2</v>
      </c>
      <c r="DX53" s="10">
        <f xml:space="preserve"> IF(CABLES[[#This Row],[SEGL_TOTAL]]&gt;0, (CABLES[[#This Row],[SEGL_TOTAL]] + CABLES[[#This Row],[FITOFF]]) *CABLES[[#This Row],[XCAPACITY]],0)</f>
        <v>55.199999999999996</v>
      </c>
      <c r="DY53" s="10">
        <f>IF(CABLES[[#This Row],[SEG1]]&gt;0,CABLES[[#This Row],[CABLE_DIAMETER]],0)</f>
        <v>0</v>
      </c>
      <c r="DZ53" s="10">
        <f>IF(CABLES[[#This Row],[SEG2]]&gt;0,CABLES[[#This Row],[CABLE_DIAMETER]],0)</f>
        <v>0</v>
      </c>
      <c r="EA53" s="10">
        <f>IF(CABLES[[#This Row],[SEG3]]&gt;0,CABLES[[#This Row],[CABLE_DIAMETER]],0)</f>
        <v>0</v>
      </c>
      <c r="EB53" s="10">
        <f>IF(CABLES[[#This Row],[SEG4]]&gt;0,CABLES[[#This Row],[CABLE_DIAMETER]],0)</f>
        <v>0</v>
      </c>
      <c r="EC53" s="10">
        <f>IF(CABLES[[#This Row],[SEG5]]&gt;0,CABLES[[#This Row],[CABLE_DIAMETER]],0)</f>
        <v>0</v>
      </c>
      <c r="ED53" s="10">
        <f>IF(CABLES[[#This Row],[SEG6]]&gt;0,CABLES[[#This Row],[CABLE_DIAMETER]],0)</f>
        <v>0</v>
      </c>
      <c r="EE53" s="10">
        <f>IF(CABLES[[#This Row],[SEG7]]&gt;0,CABLES[[#This Row],[CABLE_DIAMETER]],0)</f>
        <v>0</v>
      </c>
      <c r="EF53" s="10">
        <f>IF(CABLES[[#This Row],[SEG9]]&gt;0,CABLES[[#This Row],[CABLE_DIAMETER]],0)</f>
        <v>0</v>
      </c>
      <c r="EG53" s="10">
        <f>IF(CABLES[[#This Row],[SEG9]]&gt;0,CABLES[[#This Row],[CABLE_DIAMETER]],0)</f>
        <v>0</v>
      </c>
      <c r="EH53" s="10">
        <f>IF(CABLES[[#This Row],[SEG10]]&gt;0,CABLES[[#This Row],[CABLE_DIAMETER]],0)</f>
        <v>0</v>
      </c>
      <c r="EI53" s="10">
        <f>IF(CABLES[[#This Row],[SEG11]]&gt;0,CABLES[[#This Row],[CABLE_DIAMETER]],0)</f>
        <v>0</v>
      </c>
      <c r="EJ53" s="10">
        <f>IF(CABLES[[#This Row],[SEG12]]&gt;0,CABLES[[#This Row],[CABLE_DIAMETER]],0)</f>
        <v>0</v>
      </c>
      <c r="EK53" s="10">
        <f>IF(CABLES[[#This Row],[SEG13]]&gt;0,CABLES[[#This Row],[CABLE_DIAMETER]],0)</f>
        <v>0</v>
      </c>
      <c r="EL53" s="10">
        <f>IF(CABLES[[#This Row],[SEG14]]&gt;0,CABLES[[#This Row],[CABLE_DIAMETER]],0)</f>
        <v>0</v>
      </c>
      <c r="EM53" s="10">
        <f>IF(CABLES[[#This Row],[SEG15]]&gt;0,CABLES[[#This Row],[CABLE_DIAMETER]],0)</f>
        <v>0</v>
      </c>
      <c r="EN53" s="10">
        <f>IF(CABLES[[#This Row],[SEG16]]&gt;0,CABLES[[#This Row],[CABLE_DIAMETER]],0)</f>
        <v>0</v>
      </c>
      <c r="EO53" s="10">
        <f>IF(CABLES[[#This Row],[SEG17]]&gt;0,CABLES[[#This Row],[CABLE_DIAMETER]],0)</f>
        <v>0</v>
      </c>
      <c r="EP53" s="10">
        <f>IF(CABLES[[#This Row],[SEG18]]&gt;0,CABLES[[#This Row],[CABLE_DIAMETER]],0)</f>
        <v>0</v>
      </c>
      <c r="EQ53" s="10">
        <f>IF(CABLES[[#This Row],[SEG19]]&gt;0,CABLES[[#This Row],[CABLE_DIAMETER]],0)</f>
        <v>0</v>
      </c>
      <c r="ER53" s="10">
        <f>IF(CABLES[[#This Row],[SEG20]]&gt;0,CABLES[[#This Row],[CABLE_DIAMETER]],0)</f>
        <v>0</v>
      </c>
      <c r="ES53" s="10">
        <f>IF(CABLES[[#This Row],[SEG21]]&gt;0,CABLES[[#This Row],[CABLE_DIAMETER]],0)</f>
        <v>0</v>
      </c>
      <c r="ET53" s="10">
        <f>IF(CABLES[[#This Row],[SEG22]]&gt;0,CABLES[[#This Row],[CABLE_DIAMETER]],0)</f>
        <v>0</v>
      </c>
      <c r="EU53" s="10">
        <f>IF(CABLES[[#This Row],[SEG23]]&gt;0,CABLES[[#This Row],[CABLE_DIAMETER]],0)</f>
        <v>0</v>
      </c>
      <c r="EV53" s="10">
        <f>IF(CABLES[[#This Row],[SEG24]]&gt;0,CABLES[[#This Row],[CABLE_DIAMETER]],0)</f>
        <v>0</v>
      </c>
      <c r="EW53" s="10">
        <f>IF(CABLES[[#This Row],[SEG25]]&gt;0,CABLES[[#This Row],[CABLE_DIAMETER]],0)</f>
        <v>0</v>
      </c>
      <c r="EX53" s="10">
        <f>IF(CABLES[[#This Row],[SEG26]]&gt;0,CABLES[[#This Row],[CABLE_DIAMETER]],0)</f>
        <v>0</v>
      </c>
      <c r="EY53" s="10">
        <f>IF(CABLES[[#This Row],[SEG27]]&gt;0,CABLES[[#This Row],[CABLE_DIAMETER]],0)</f>
        <v>0</v>
      </c>
      <c r="EZ53" s="10">
        <f>IF(CABLES[[#This Row],[SEG28]]&gt;0,CABLES[[#This Row],[CABLE_DIAMETER]],0)</f>
        <v>0</v>
      </c>
      <c r="FA53" s="10">
        <f>IF(CABLES[[#This Row],[SEG29]]&gt;0,CABLES[[#This Row],[CABLE_DIAMETER]],0)</f>
        <v>0</v>
      </c>
      <c r="FB53" s="10">
        <f>IF(CABLES[[#This Row],[SEG30]]&gt;0,CABLES[[#This Row],[CABLE_DIAMETER]],0)</f>
        <v>14.5</v>
      </c>
      <c r="FC53" s="10">
        <f>IF(CABLES[[#This Row],[SEG31]]&gt;0,CABLES[[#This Row],[CABLE_DIAMETER]],0)</f>
        <v>14.5</v>
      </c>
      <c r="FD53" s="10">
        <f>IF(CABLES[[#This Row],[SEG32]]&gt;0,CABLES[[#This Row],[CABLE_DIAMETER]],0)</f>
        <v>14.5</v>
      </c>
      <c r="FE53" s="10">
        <f>IF(CABLES[[#This Row],[SEG33]]&gt;0,CABLES[[#This Row],[CABLE_DIAMETER]],0)</f>
        <v>0</v>
      </c>
      <c r="FF53" s="10">
        <f>IF(CABLES[[#This Row],[SEG34]]&gt;0,CABLES[[#This Row],[CABLE_DIAMETER]],0)</f>
        <v>14.5</v>
      </c>
      <c r="FG53" s="10">
        <f>IF(CABLES[[#This Row],[SEG35]]&gt;0,CABLES[[#This Row],[CABLE_DIAMETER]],0)</f>
        <v>0</v>
      </c>
      <c r="FH53" s="10">
        <f>IF(CABLES[[#This Row],[SEG36]]&gt;0,CABLES[[#This Row],[CABLE_DIAMETER]],0)</f>
        <v>0</v>
      </c>
      <c r="FI53" s="10">
        <f>IF(CABLES[[#This Row],[SEG37]]&gt;0,CABLES[[#This Row],[CABLE_DIAMETER]],0)</f>
        <v>14.5</v>
      </c>
      <c r="FJ53" s="10">
        <f>IF(CABLES[[#This Row],[SEG38]]&gt;0,CABLES[[#This Row],[CABLE_DIAMETER]],0)</f>
        <v>14.5</v>
      </c>
      <c r="FK53" s="10">
        <f>IF(CABLES[[#This Row],[SEG39]]&gt;0,CABLES[[#This Row],[CABLE_DIAMETER]],0)</f>
        <v>0</v>
      </c>
      <c r="FL53" s="10">
        <f>IF(CABLES[[#This Row],[SEG40]]&gt;0,CABLES[[#This Row],[CABLE_DIAMETER]],0)</f>
        <v>0</v>
      </c>
      <c r="FM53" s="10">
        <f>IF(CABLES[[#This Row],[SEG41]]&gt;0,CABLES[[#This Row],[CABLE_DIAMETER]],0)</f>
        <v>0</v>
      </c>
      <c r="FN53" s="10">
        <f>IF(CABLES[[#This Row],[SEG42]]&gt;0,CABLES[[#This Row],[CABLE_DIAMETER]],0)</f>
        <v>0</v>
      </c>
      <c r="FO53" s="10">
        <f>IF(CABLES[[#This Row],[SEG43]]&gt;0,CABLES[[#This Row],[CABLE_DIAMETER]],0)</f>
        <v>0</v>
      </c>
      <c r="FP53" s="10">
        <f>IF(CABLES[[#This Row],[SEG44]]&gt;0,CABLES[[#This Row],[CABLE_DIAMETER]],0)</f>
        <v>0</v>
      </c>
      <c r="FQ53" s="10">
        <f>IF(CABLES[[#This Row],[SEG45]]&gt;0,CABLES[[#This Row],[CABLE_DIAMETER]],0)</f>
        <v>0</v>
      </c>
      <c r="FR53" s="10">
        <f>IF(CABLES[[#This Row],[SEG46]]&gt;0,CABLES[[#This Row],[CABLE_DIAMETER]],0)</f>
        <v>0</v>
      </c>
      <c r="FS53" s="10">
        <f>IF(CABLES[[#This Row],[SEG47]]&gt;0,CABLES[[#This Row],[CABLE_DIAMETER]],0)</f>
        <v>0</v>
      </c>
      <c r="FT53" s="10">
        <f>IF(CABLES[[#This Row],[SEG48]]&gt;0,CABLES[[#This Row],[CABLE_DIAMETER]],0)</f>
        <v>0</v>
      </c>
      <c r="FU53" s="10">
        <f>IF(CABLES[[#This Row],[SEG49]]&gt;0,CABLES[[#This Row],[CABLE_DIAMETER]],0)</f>
        <v>0</v>
      </c>
      <c r="FV53" s="10">
        <f>IF(CABLES[[#This Row],[SEG50]]&gt;0,CABLES[[#This Row],[CABLE_DIAMETER]],0)</f>
        <v>0</v>
      </c>
      <c r="FW53" s="10">
        <f>IF(CABLES[[#This Row],[SEG51]]&gt;0,CABLES[[#This Row],[CABLE_DIAMETER]],0)</f>
        <v>0</v>
      </c>
      <c r="FX53" s="10">
        <f>IF(CABLES[[#This Row],[SEG52]]&gt;0,CABLES[[#This Row],[CABLE_DIAMETER]],0)</f>
        <v>0</v>
      </c>
      <c r="FY53" s="10">
        <f>IF(CABLES[[#This Row],[SEG53]]&gt;0,CABLES[[#This Row],[CABLE_DIAMETER]],0)</f>
        <v>0</v>
      </c>
      <c r="FZ53" s="10">
        <f>IF(CABLES[[#This Row],[SEG54]]&gt;0,CABLES[[#This Row],[CABLE_DIAMETER]],0)</f>
        <v>0</v>
      </c>
      <c r="GA53" s="10">
        <f>IF(CABLES[[#This Row],[SEG55]]&gt;0,CABLES[[#This Row],[CABLE_DIAMETER]],0)</f>
        <v>0</v>
      </c>
      <c r="GB53" s="10">
        <f>IF(CABLES[[#This Row],[SEG56]]&gt;0,CABLES[[#This Row],[CABLE_DIAMETER]],0)</f>
        <v>0</v>
      </c>
      <c r="GC53" s="10">
        <f>IF(CABLES[[#This Row],[SEG57]]&gt;0,CABLES[[#This Row],[CABLE_DIAMETER]],0)</f>
        <v>0</v>
      </c>
      <c r="GD53" s="10">
        <f>IF(CABLES[[#This Row],[SEG58]]&gt;0,CABLES[[#This Row],[CABLE_DIAMETER]],0)</f>
        <v>0</v>
      </c>
      <c r="GE53" s="10">
        <f>IF(CABLES[[#This Row],[SEG59]]&gt;0,CABLES[[#This Row],[CABLE_DIAMETER]],0)</f>
        <v>0</v>
      </c>
      <c r="GF53" s="10">
        <f>IF(CABLES[[#This Row],[SEG60]]&gt;0,CABLES[[#This Row],[CABLE_DIAMETER]],0)</f>
        <v>0</v>
      </c>
      <c r="GG53" s="10">
        <f>IF(CABLES[[#This Row],[SEG1]]&gt;0,CABLES[[#This Row],[CABLE_MASS]],0)</f>
        <v>0</v>
      </c>
      <c r="GH53" s="10">
        <f>IF(CABLES[[#This Row],[SEG2]]&gt;0,CABLES[[#This Row],[CABLE_MASS]],0)</f>
        <v>0</v>
      </c>
      <c r="GI53" s="10">
        <f>IF(CABLES[[#This Row],[SEG3]]&gt;0,CABLES[[#This Row],[CABLE_MASS]],0)</f>
        <v>0</v>
      </c>
      <c r="GJ53" s="10">
        <f>IF(CABLES[[#This Row],[SEG4]]&gt;0,CABLES[[#This Row],[CABLE_MASS]],0)</f>
        <v>0</v>
      </c>
      <c r="GK53" s="10">
        <f>IF(CABLES[[#This Row],[SEG5]]&gt;0,CABLES[[#This Row],[CABLE_MASS]],0)</f>
        <v>0</v>
      </c>
      <c r="GL53" s="10">
        <f>IF(CABLES[[#This Row],[SEG6]]&gt;0,CABLES[[#This Row],[CABLE_MASS]],0)</f>
        <v>0</v>
      </c>
      <c r="GM53" s="10">
        <f>IF(CABLES[[#This Row],[SEG7]]&gt;0,CABLES[[#This Row],[CABLE_MASS]],0)</f>
        <v>0</v>
      </c>
      <c r="GN53" s="10">
        <f>IF(CABLES[[#This Row],[SEG8]]&gt;0,CABLES[[#This Row],[CABLE_MASS]],0)</f>
        <v>0</v>
      </c>
      <c r="GO53" s="10">
        <f>IF(CABLES[[#This Row],[SEG9]]&gt;0,CABLES[[#This Row],[CABLE_MASS]],0)</f>
        <v>0</v>
      </c>
      <c r="GP53" s="10">
        <f>IF(CABLES[[#This Row],[SEG10]]&gt;0,CABLES[[#This Row],[CABLE_MASS]],0)</f>
        <v>0</v>
      </c>
      <c r="GQ53" s="10">
        <f>IF(CABLES[[#This Row],[SEG11]]&gt;0,CABLES[[#This Row],[CABLE_MASS]],0)</f>
        <v>0</v>
      </c>
      <c r="GR53" s="10">
        <f>IF(CABLES[[#This Row],[SEG12]]&gt;0,CABLES[[#This Row],[CABLE_MASS]],0)</f>
        <v>0</v>
      </c>
      <c r="GS53" s="10">
        <f>IF(CABLES[[#This Row],[SEG13]]&gt;0,CABLES[[#This Row],[CABLE_MASS]],0)</f>
        <v>0</v>
      </c>
      <c r="GT53" s="10">
        <f>IF(CABLES[[#This Row],[SEG14]]&gt;0,CABLES[[#This Row],[CABLE_MASS]],0)</f>
        <v>0</v>
      </c>
      <c r="GU53" s="10">
        <f>IF(CABLES[[#This Row],[SEG15]]&gt;0,CABLES[[#This Row],[CABLE_MASS]],0)</f>
        <v>0</v>
      </c>
      <c r="GV53" s="10">
        <f>IF(CABLES[[#This Row],[SEG16]]&gt;0,CABLES[[#This Row],[CABLE_MASS]],0)</f>
        <v>0</v>
      </c>
      <c r="GW53" s="10">
        <f>IF(CABLES[[#This Row],[SEG17]]&gt;0,CABLES[[#This Row],[CABLE_MASS]],0)</f>
        <v>0</v>
      </c>
      <c r="GX53" s="10">
        <f>IF(CABLES[[#This Row],[SEG18]]&gt;0,CABLES[[#This Row],[CABLE_MASS]],0)</f>
        <v>0</v>
      </c>
      <c r="GY53" s="10">
        <f>IF(CABLES[[#This Row],[SEG19]]&gt;0,CABLES[[#This Row],[CABLE_MASS]],0)</f>
        <v>0</v>
      </c>
      <c r="GZ53" s="10">
        <f>IF(CABLES[[#This Row],[SEG20]]&gt;0,CABLES[[#This Row],[CABLE_MASS]],0)</f>
        <v>0</v>
      </c>
      <c r="HA53" s="10">
        <f>IF(CABLES[[#This Row],[SEG21]]&gt;0,CABLES[[#This Row],[CABLE_MASS]],0)</f>
        <v>0</v>
      </c>
      <c r="HB53" s="10">
        <f>IF(CABLES[[#This Row],[SEG22]]&gt;0,CABLES[[#This Row],[CABLE_MASS]],0)</f>
        <v>0</v>
      </c>
      <c r="HC53" s="10">
        <f>IF(CABLES[[#This Row],[SEG23]]&gt;0,CABLES[[#This Row],[CABLE_MASS]],0)</f>
        <v>0</v>
      </c>
      <c r="HD53" s="10">
        <f>IF(CABLES[[#This Row],[SEG24]]&gt;0,CABLES[[#This Row],[CABLE_MASS]],0)</f>
        <v>0</v>
      </c>
      <c r="HE53" s="10">
        <f>IF(CABLES[[#This Row],[SEG25]]&gt;0,CABLES[[#This Row],[CABLE_MASS]],0)</f>
        <v>0</v>
      </c>
      <c r="HF53" s="10">
        <f>IF(CABLES[[#This Row],[SEG26]]&gt;0,CABLES[[#This Row],[CABLE_MASS]],0)</f>
        <v>0</v>
      </c>
      <c r="HG53" s="10">
        <f>IF(CABLES[[#This Row],[SEG27]]&gt;0,CABLES[[#This Row],[CABLE_MASS]],0)</f>
        <v>0</v>
      </c>
      <c r="HH53" s="10">
        <f>IF(CABLES[[#This Row],[SEG28]]&gt;0,CABLES[[#This Row],[CABLE_MASS]],0)</f>
        <v>0</v>
      </c>
      <c r="HI53" s="10">
        <f>IF(CABLES[[#This Row],[SEG29]]&gt;0,CABLES[[#This Row],[CABLE_MASS]],0)</f>
        <v>0</v>
      </c>
      <c r="HJ53" s="10">
        <f>IF(CABLES[[#This Row],[SEG30]]&gt;0,CABLES[[#This Row],[CABLE_MASS]],0)</f>
        <v>0.33</v>
      </c>
      <c r="HK53" s="10">
        <f>IF(CABLES[[#This Row],[SEG31]]&gt;0,CABLES[[#This Row],[CABLE_MASS]],0)</f>
        <v>0.33</v>
      </c>
      <c r="HL53" s="10">
        <f>IF(CABLES[[#This Row],[SEG32]]&gt;0,CABLES[[#This Row],[CABLE_MASS]],0)</f>
        <v>0.33</v>
      </c>
      <c r="HM53" s="10">
        <f>IF(CABLES[[#This Row],[SEG33]]&gt;0,CABLES[[#This Row],[CABLE_MASS]],0)</f>
        <v>0</v>
      </c>
      <c r="HN53" s="10">
        <f>IF(CABLES[[#This Row],[SEG34]]&gt;0,CABLES[[#This Row],[CABLE_MASS]],0)</f>
        <v>0.33</v>
      </c>
      <c r="HO53" s="10">
        <f>IF(CABLES[[#This Row],[SEG35]]&gt;0,CABLES[[#This Row],[CABLE_MASS]],0)</f>
        <v>0</v>
      </c>
      <c r="HP53" s="10">
        <f>IF(CABLES[[#This Row],[SEG36]]&gt;0,CABLES[[#This Row],[CABLE_MASS]],0)</f>
        <v>0</v>
      </c>
      <c r="HQ53" s="10">
        <f>IF(CABLES[[#This Row],[SEG37]]&gt;0,CABLES[[#This Row],[CABLE_MASS]],0)</f>
        <v>0.33</v>
      </c>
      <c r="HR53" s="10">
        <f>IF(CABLES[[#This Row],[SEG38]]&gt;0,CABLES[[#This Row],[CABLE_MASS]],0)</f>
        <v>0.33</v>
      </c>
      <c r="HS53" s="10">
        <f>IF(CABLES[[#This Row],[SEG39]]&gt;0,CABLES[[#This Row],[CABLE_MASS]],0)</f>
        <v>0</v>
      </c>
      <c r="HT53" s="10">
        <f>IF(CABLES[[#This Row],[SEG40]]&gt;0,CABLES[[#This Row],[CABLE_MASS]],0)</f>
        <v>0</v>
      </c>
      <c r="HU53" s="10">
        <f>IF(CABLES[[#This Row],[SEG41]]&gt;0,CABLES[[#This Row],[CABLE_MASS]],0)</f>
        <v>0</v>
      </c>
      <c r="HV53" s="10">
        <f>IF(CABLES[[#This Row],[SEG42]]&gt;0,CABLES[[#This Row],[CABLE_MASS]],0)</f>
        <v>0</v>
      </c>
      <c r="HW53" s="10">
        <f>IF(CABLES[[#This Row],[SEG43]]&gt;0,CABLES[[#This Row],[CABLE_MASS]],0)</f>
        <v>0</v>
      </c>
      <c r="HX53" s="10">
        <f>IF(CABLES[[#This Row],[SEG44]]&gt;0,CABLES[[#This Row],[CABLE_MASS]],0)</f>
        <v>0</v>
      </c>
      <c r="HY53" s="10">
        <f>IF(CABLES[[#This Row],[SEG45]]&gt;0,CABLES[[#This Row],[CABLE_MASS]],0)</f>
        <v>0</v>
      </c>
      <c r="HZ53" s="10">
        <f>IF(CABLES[[#This Row],[SEG46]]&gt;0,CABLES[[#This Row],[CABLE_MASS]],0)</f>
        <v>0</v>
      </c>
      <c r="IA53" s="10">
        <f>IF(CABLES[[#This Row],[SEG47]]&gt;0,CABLES[[#This Row],[CABLE_MASS]],0)</f>
        <v>0</v>
      </c>
      <c r="IB53" s="10">
        <f>IF(CABLES[[#This Row],[SEG48]]&gt;0,CABLES[[#This Row],[CABLE_MASS]],0)</f>
        <v>0</v>
      </c>
      <c r="IC53" s="10">
        <f>IF(CABLES[[#This Row],[SEG49]]&gt;0,CABLES[[#This Row],[CABLE_MASS]],0)</f>
        <v>0</v>
      </c>
      <c r="ID53" s="10">
        <f>IF(CABLES[[#This Row],[SEG50]]&gt;0,CABLES[[#This Row],[CABLE_MASS]],0)</f>
        <v>0</v>
      </c>
      <c r="IE53" s="10">
        <f>IF(CABLES[[#This Row],[SEG51]]&gt;0,CABLES[[#This Row],[CABLE_MASS]],0)</f>
        <v>0</v>
      </c>
      <c r="IF53" s="10">
        <f>IF(CABLES[[#This Row],[SEG52]]&gt;0,CABLES[[#This Row],[CABLE_MASS]],0)</f>
        <v>0</v>
      </c>
      <c r="IG53" s="10">
        <f>IF(CABLES[[#This Row],[SEG53]]&gt;0,CABLES[[#This Row],[CABLE_MASS]],0)</f>
        <v>0</v>
      </c>
      <c r="IH53" s="10">
        <f>IF(CABLES[[#This Row],[SEG54]]&gt;0,CABLES[[#This Row],[CABLE_MASS]],0)</f>
        <v>0</v>
      </c>
      <c r="II53" s="10">
        <f>IF(CABLES[[#This Row],[SEG55]]&gt;0,CABLES[[#This Row],[CABLE_MASS]],0)</f>
        <v>0</v>
      </c>
      <c r="IJ53" s="10">
        <f>IF(CABLES[[#This Row],[SEG56]]&gt;0,CABLES[[#This Row],[CABLE_MASS]],0)</f>
        <v>0</v>
      </c>
      <c r="IK53" s="10">
        <f>IF(CABLES[[#This Row],[SEG57]]&gt;0,CABLES[[#This Row],[CABLE_MASS]],0)</f>
        <v>0</v>
      </c>
      <c r="IL53" s="10">
        <f>IF(CABLES[[#This Row],[SEG58]]&gt;0,CABLES[[#This Row],[CABLE_MASS]],0)</f>
        <v>0</v>
      </c>
      <c r="IM53" s="10">
        <f>IF(CABLES[[#This Row],[SEG59]]&gt;0,CABLES[[#This Row],[CABLE_MASS]],0)</f>
        <v>0</v>
      </c>
      <c r="IN53" s="10">
        <f>IF(CABLES[[#This Row],[SEG60]]&gt;0,CABLES[[#This Row],[CABLE_MASS]],0)</f>
        <v>0</v>
      </c>
      <c r="IO53" s="10">
        <f xml:space="preserve">  (CABLES[[#This Row],[LOAD_KW]]/(SQRT(3)*SYSTEM_VOLTAGE*POWER_FACTOR))*1000</f>
        <v>8.8206291126192813</v>
      </c>
      <c r="IP53" s="10">
        <v>45</v>
      </c>
      <c r="IQ53" s="10">
        <f xml:space="preserve"> INDEX(AS3000_AMBIENTDERATE[], MATCH(CABLES[[#This Row],[AMBIENT]],AS3000_AMBIENTDERATE[AMBIENT],0), 2)</f>
        <v>0.94</v>
      </c>
      <c r="IR53" s="10">
        <f xml:space="preserve"> ROUNDUP( CABLES[[#This Row],[CALCULATED_AMPS]]/CABLES[[#This Row],[AMBIENT_DERATING]],1)</f>
        <v>9.4</v>
      </c>
      <c r="IS53" s="10" t="s">
        <v>531</v>
      </c>
      <c r="IT5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3" s="10">
        <f t="shared" si="1"/>
        <v>28.000000000000004</v>
      </c>
      <c r="IV53" s="10">
        <f>(1000*CABLES[[#This Row],[MAX_VDROP]])/(CABLES[[#This Row],[ESTIMATED_CABLE_LENGTH]]*CABLES[[#This Row],[AMP_RATING]])</f>
        <v>53.962380511871729</v>
      </c>
      <c r="IW53" s="10">
        <f xml:space="preserve"> INDEX(AS3000_VDROP[], MATCH(CABLES[[#This Row],[VC_CALC]],AS3000_VDROP[Vc],1),1)</f>
        <v>2.5</v>
      </c>
      <c r="IX53" s="10">
        <f>MAX(CABLES[[#This Row],[CABLESIZE_METHOD1]],CABLES[[#This Row],[CABLESIZE_METHOD2]])</f>
        <v>2.5</v>
      </c>
      <c r="IY53" s="10"/>
      <c r="IZ53" s="10">
        <f>IF(LEN(CABLES[[#This Row],[OVERRIDE_CABLESIZE]])&gt;0,CABLES[[#This Row],[OVERRIDE_CABLESIZE]],CABLES[[#This Row],[INITIAL_CABLESIZE]])</f>
        <v>2.5</v>
      </c>
      <c r="JA53" s="10">
        <f>INDEX(PROTECTIVE_DEVICE[DEVICE], MATCH(CABLES[[#This Row],[CALCULATED_AMPS]],PROTECTIVE_DEVICE[DEVICE],-1),1)</f>
        <v>10</v>
      </c>
      <c r="JB53" s="10"/>
      <c r="JC53" s="10">
        <f>IF(LEN(CABLES[[#This Row],[OVERRIDE_PDEVICE]])&gt;0, CABLES[[#This Row],[OVERRIDE_PDEVICE]],CABLES[[#This Row],[RECOMMEND_PDEVICE]])</f>
        <v>10</v>
      </c>
      <c r="JD53" s="10" t="s">
        <v>450</v>
      </c>
      <c r="JE53" s="10">
        <f xml:space="preserve"> CABLES[[#This Row],[SELECTED_PDEVICE]] * INDEX(DEVICE_CURVE[], MATCH(CABLES[[#This Row],[PDEVICE_CURVE]], DEVICE_CURVE[DEVICE_CURVE],0),2)</f>
        <v>65</v>
      </c>
      <c r="JF53" s="10" t="s">
        <v>458</v>
      </c>
      <c r="JG53" s="10">
        <f xml:space="preserve"> INDEX(CONDUCTOR_MATERIAL[], MATCH(CABLES[[#This Row],[CONDUCTOR_MATERIAL]],CONDUCTOR_MATERIAL[CONDUCTOR_MATERIAL],0),2)</f>
        <v>2.2499999999999999E-2</v>
      </c>
      <c r="JH53" s="10">
        <f>CABLES[[#This Row],[SELECTED_CABLESIZE]]</f>
        <v>2.5</v>
      </c>
      <c r="JI53" s="10">
        <f xml:space="preserve"> INDEX( EARTH_CONDUCTOR_SIZE[], MATCH(CABLES[[#This Row],[SPH]],EARTH_CONDUCTOR_SIZE[MM^2],-1), 2)</f>
        <v>2.5</v>
      </c>
      <c r="JJ53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53" s="10" t="str">
        <f>IF(CABLES[[#This Row],[LMAX]]&gt;CABLES[[#This Row],[ESTIMATED_CABLE_LENGTH]], "PASS", "ERROR")</f>
        <v>PASS</v>
      </c>
      <c r="JL5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5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53" s="6">
        <f xml:space="preserve"> ROUNDUP( CABLES[[#This Row],[CALCULATED_AMPS]],1)</f>
        <v>8.9</v>
      </c>
      <c r="JO53" s="6">
        <f>CABLES[[#This Row],[SELECTED_CABLESIZE]]</f>
        <v>2.5</v>
      </c>
      <c r="JP53" s="10">
        <f>CABLES[[#This Row],[ESTIMATED_CABLE_LENGTH]]</f>
        <v>55.199999999999996</v>
      </c>
      <c r="JQ53" s="6">
        <f>CABLES[[#This Row],[SELECTED_PDEVICE]]</f>
        <v>10</v>
      </c>
    </row>
    <row r="54" spans="1:277" x14ac:dyDescent="0.35">
      <c r="A54" s="5" t="s">
        <v>53</v>
      </c>
      <c r="B54" s="5" t="s">
        <v>501</v>
      </c>
      <c r="C54" s="10" t="s">
        <v>261</v>
      </c>
      <c r="D54" s="9">
        <v>5.5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1</v>
      </c>
      <c r="AI54" s="9">
        <v>1</v>
      </c>
      <c r="AJ54" s="9">
        <v>1</v>
      </c>
      <c r="AK54" s="9">
        <v>0</v>
      </c>
      <c r="AL54" s="9">
        <v>1</v>
      </c>
      <c r="AM54" s="9">
        <v>0</v>
      </c>
      <c r="AN54" s="9">
        <v>0</v>
      </c>
      <c r="AO54" s="9">
        <v>1</v>
      </c>
      <c r="AP54" s="9">
        <v>1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f xml:space="preserve"> IF(CABLES[[#This Row],[SEG1]] &gt;0, INDEX(SEGMENTS[], MATCH(CABLES[[#Headers],[SEG1]],SEGMENTS[SEG_ID],0),4),0)</f>
        <v>0</v>
      </c>
      <c r="BN54" s="9">
        <f xml:space="preserve"> IF(CABLES[[#This Row],[SEG2]] &gt;0, INDEX(SEGMENTS[], MATCH(CABLES[[#Headers],[SEG2]],SEGMENTS[SEG_ID],0),4),0)</f>
        <v>0</v>
      </c>
      <c r="BO54" s="9">
        <f xml:space="preserve"> IF(CABLES[[#This Row],[SEG3]] &gt;0, INDEX(SEGMENTS[], MATCH(CABLES[[#Headers],[SEG3]],SEGMENTS[SEG_ID],0),4),0)</f>
        <v>0</v>
      </c>
      <c r="BP54" s="9">
        <f xml:space="preserve"> IF(CABLES[[#This Row],[SEG4]] &gt;0, INDEX(SEGMENTS[], MATCH(CABLES[[#Headers],[SEG4]],SEGMENTS[SEG_ID],0),4),0)</f>
        <v>0</v>
      </c>
      <c r="BQ54" s="9">
        <f xml:space="preserve"> IF(CABLES[[#This Row],[SEG5]] &gt;0,INDEX(SEGMENTS[], MATCH(CABLES[[#Headers],[SEG5]],SEGMENTS[SEG_ID],0),4),0)</f>
        <v>0</v>
      </c>
      <c r="BR54" s="9">
        <f xml:space="preserve"> IF(CABLES[[#This Row],[SEG6]] &gt;0,INDEX(SEGMENTS[], MATCH(CABLES[[#Headers],[SEG6]],SEGMENTS[SEG_ID],0),4),0)</f>
        <v>0</v>
      </c>
      <c r="BS54" s="9">
        <f xml:space="preserve"> IF(CABLES[[#This Row],[SEG7]] &gt;0,INDEX(SEGMENTS[], MATCH(CABLES[[#Headers],[SEG7]],SEGMENTS[SEG_ID],0),4),0)</f>
        <v>0</v>
      </c>
      <c r="BT54" s="9">
        <f xml:space="preserve"> IF(CABLES[[#This Row],[SEG8]] &gt;0,INDEX(SEGMENTS[], MATCH(CABLES[[#Headers],[SEG8]],SEGMENTS[SEG_ID],0),4),0)</f>
        <v>0</v>
      </c>
      <c r="BU54" s="9">
        <f xml:space="preserve"> IF(CABLES[[#This Row],[SEG9]] &gt;0,INDEX(SEGMENTS[], MATCH(CABLES[[#Headers],[SEG9]],SEGMENTS[SEG_ID],0),4),0)</f>
        <v>0</v>
      </c>
      <c r="BV54" s="9">
        <f xml:space="preserve"> IF(CABLES[[#This Row],[SEG10]] &gt;0,INDEX(SEGMENTS[], MATCH(CABLES[[#Headers],[SEG10]],SEGMENTS[SEG_ID],0),4),0)</f>
        <v>0</v>
      </c>
      <c r="BW54" s="9">
        <f xml:space="preserve"> IF(CABLES[[#This Row],[SEG11]] &gt;0,INDEX(SEGMENTS[], MATCH(CABLES[[#Headers],[SEG11]],SEGMENTS[SEG_ID],0),4),0)</f>
        <v>0</v>
      </c>
      <c r="BX54" s="9">
        <f>IF(CABLES[[#This Row],[SEG12]] &gt;0, INDEX(SEGMENTS[], MATCH(CABLES[[#Headers],[SEG12]],SEGMENTS[SEG_ID],0),4),0)</f>
        <v>0</v>
      </c>
      <c r="BY54" s="9">
        <f xml:space="preserve"> IF(CABLES[[#This Row],[SEG13]] &gt;0,INDEX(SEGMENTS[], MATCH(CABLES[[#Headers],[SEG13]],SEGMENTS[SEG_ID],0),4),0)</f>
        <v>0</v>
      </c>
      <c r="BZ54" s="9">
        <f xml:space="preserve"> IF(CABLES[[#This Row],[SEG14]] &gt;0,INDEX(SEGMENTS[], MATCH(CABLES[[#Headers],[SEG14]],SEGMENTS[SEG_ID],0),4),0)</f>
        <v>0</v>
      </c>
      <c r="CA54" s="9">
        <f xml:space="preserve"> IF(CABLES[[#This Row],[SEG15]] &gt;0,INDEX(SEGMENTS[], MATCH(CABLES[[#Headers],[SEG15]],SEGMENTS[SEG_ID],0),4),0)</f>
        <v>0</v>
      </c>
      <c r="CB54" s="9">
        <f xml:space="preserve"> IF(CABLES[[#This Row],[SEG16]] &gt;0,INDEX(SEGMENTS[], MATCH(CABLES[[#Headers],[SEG16]],SEGMENTS[SEG_ID],0),4),0)</f>
        <v>0</v>
      </c>
      <c r="CC54" s="9">
        <f xml:space="preserve"> IF(CABLES[[#This Row],[SEG17]] &gt;0,INDEX(SEGMENTS[], MATCH(CABLES[[#Headers],[SEG17]],SEGMENTS[SEG_ID],0),4),0)</f>
        <v>0</v>
      </c>
      <c r="CD54" s="9">
        <f xml:space="preserve"> IF(CABLES[[#This Row],[SEG18]] &gt;0,INDEX(SEGMENTS[], MATCH(CABLES[[#Headers],[SEG18]],SEGMENTS[SEG_ID],0),4),0)</f>
        <v>0</v>
      </c>
      <c r="CE54" s="9">
        <f>IF(CABLES[[#This Row],[SEG19]] &gt;0, INDEX(SEGMENTS[], MATCH(CABLES[[#Headers],[SEG19]],SEGMENTS[SEG_ID],0),4),0)</f>
        <v>0</v>
      </c>
      <c r="CF54" s="9">
        <f>IF(CABLES[[#This Row],[SEG20]] &gt;0, INDEX(SEGMENTS[], MATCH(CABLES[[#Headers],[SEG20]],SEGMENTS[SEG_ID],0),4),0)</f>
        <v>0</v>
      </c>
      <c r="CG54" s="9">
        <f xml:space="preserve"> IF(CABLES[[#This Row],[SEG21]] &gt;0,INDEX(SEGMENTS[], MATCH(CABLES[[#Headers],[SEG21]],SEGMENTS[SEG_ID],0),4),0)</f>
        <v>0</v>
      </c>
      <c r="CH54" s="9">
        <f xml:space="preserve"> IF(CABLES[[#This Row],[SEG22]] &gt;0,INDEX(SEGMENTS[], MATCH(CABLES[[#Headers],[SEG22]],SEGMENTS[SEG_ID],0),4),0)</f>
        <v>0</v>
      </c>
      <c r="CI54" s="9">
        <f>IF(CABLES[[#This Row],[SEG23]] &gt;0, INDEX(SEGMENTS[], MATCH(CABLES[[#Headers],[SEG23]],SEGMENTS[SEG_ID],0),4),0)</f>
        <v>0</v>
      </c>
      <c r="CJ54" s="9">
        <f xml:space="preserve"> IF(CABLES[[#This Row],[SEG24]] &gt;0,INDEX(SEGMENTS[], MATCH(CABLES[[#Headers],[SEG24]],SEGMENTS[SEG_ID],0),4),0)</f>
        <v>0</v>
      </c>
      <c r="CK54" s="9">
        <f>IF(CABLES[[#This Row],[SEG25]] &gt;0, INDEX(SEGMENTS[], MATCH(CABLES[[#Headers],[SEG25]],SEGMENTS[SEG_ID],0),4),0)</f>
        <v>0</v>
      </c>
      <c r="CL54" s="9">
        <f>IF(CABLES[[#This Row],[SEG26]] &gt;0, INDEX(SEGMENTS[], MATCH(CABLES[[#Headers],[SEG26]],SEGMENTS[SEG_ID],0),4),0)</f>
        <v>0</v>
      </c>
      <c r="CM54" s="9">
        <f xml:space="preserve"> IF(CABLES[[#This Row],[SEG27]] &gt;0,INDEX(SEGMENTS[], MATCH(CABLES[[#Headers],[SEG27]],SEGMENTS[SEG_ID],0),4),0)</f>
        <v>0</v>
      </c>
      <c r="CN54" s="9">
        <f xml:space="preserve"> IF(CABLES[[#This Row],[SEG28]] &gt;0,INDEX(SEGMENTS[], MATCH(CABLES[[#Headers],[SEG28]],SEGMENTS[SEG_ID],0),4),0)</f>
        <v>0</v>
      </c>
      <c r="CO54" s="9">
        <f xml:space="preserve"> IF(CABLES[[#This Row],[SEG29]] &gt;0,INDEX(SEGMENTS[], MATCH(CABLES[[#Headers],[SEG29]],SEGMENTS[SEG_ID],0),4),0)</f>
        <v>0</v>
      </c>
      <c r="CP54" s="9">
        <f xml:space="preserve"> IF(CABLES[[#This Row],[SEG30]] &gt;0,INDEX(SEGMENTS[], MATCH(CABLES[[#Headers],[SEG30]],SEGMENTS[SEG_ID],0),4),0)</f>
        <v>6</v>
      </c>
      <c r="CQ54" s="9">
        <f>IF(CABLES[[#This Row],[SEG31]] &gt;0, INDEX(SEGMENTS[], MATCH(CABLES[[#Headers],[SEG31]],SEGMENTS[SEG_ID],0),4),0)</f>
        <v>3</v>
      </c>
      <c r="CR54" s="9">
        <f xml:space="preserve"> IF(CABLES[[#This Row],[SEG32]] &gt;0,INDEX(SEGMENTS[], MATCH(CABLES[[#Headers],[SEG32]],SEGMENTS[SEG_ID],0),4),0)</f>
        <v>5</v>
      </c>
      <c r="CS54" s="9">
        <f xml:space="preserve"> IF(CABLES[[#This Row],[SEG33]] &gt;0,INDEX(SEGMENTS[], MATCH(CABLES[[#Headers],[SEG33]],SEGMENTS[SEG_ID],0),4),0)</f>
        <v>0</v>
      </c>
      <c r="CT54" s="9">
        <f>IF(CABLES[[#This Row],[SEG34]] &gt;0, INDEX(SEGMENTS[], MATCH(CABLES[[#Headers],[SEG34]],SEGMENTS[SEG_ID],0),4),0)</f>
        <v>7</v>
      </c>
      <c r="CU54" s="9">
        <f xml:space="preserve"> IF(CABLES[[#This Row],[SEG35]] &gt;0,INDEX(SEGMENTS[], MATCH(CABLES[[#Headers],[SEG35]],SEGMENTS[SEG_ID],0),4),0)</f>
        <v>0</v>
      </c>
      <c r="CV54" s="9">
        <f xml:space="preserve"> IF(CABLES[[#This Row],[SEG36]] &gt;0,INDEX(SEGMENTS[], MATCH(CABLES[[#Headers],[SEG36]],SEGMENTS[SEG_ID],0),4),0)</f>
        <v>0</v>
      </c>
      <c r="CW54" s="9">
        <f xml:space="preserve"> IF(CABLES[[#This Row],[SEG37]] &gt;0,INDEX(SEGMENTS[], MATCH(CABLES[[#Headers],[SEG37]],SEGMENTS[SEG_ID],0),4),0)</f>
        <v>5</v>
      </c>
      <c r="CX54" s="9">
        <f xml:space="preserve"> IF(CABLES[[#This Row],[SEG38]] &gt;0,INDEX(SEGMENTS[], MATCH(CABLES[[#Headers],[SEG38]],SEGMENTS[SEG_ID],0),4),0)</f>
        <v>15</v>
      </c>
      <c r="CY54" s="9">
        <f xml:space="preserve"> IF(CABLES[[#This Row],[SEG39]] &gt;0,INDEX(SEGMENTS[], MATCH(CABLES[[#Headers],[SEG39]],SEGMENTS[SEG_ID],0),4),0)</f>
        <v>0</v>
      </c>
      <c r="CZ54" s="9">
        <f xml:space="preserve"> IF(CABLES[[#This Row],[SEG40]] &gt;0,INDEX(SEGMENTS[], MATCH(CABLES[[#Headers],[SEG40]],SEGMENTS[SEG_ID],0),4),0)</f>
        <v>0</v>
      </c>
      <c r="DA54" s="9">
        <f xml:space="preserve"> IF(CABLES[[#This Row],[SEG41]] &gt;0,INDEX(SEGMENTS[], MATCH(CABLES[[#Headers],[SEG41]],SEGMENTS[SEG_ID],0),4),0)</f>
        <v>0</v>
      </c>
      <c r="DB54" s="9">
        <f xml:space="preserve"> IF(CABLES[[#This Row],[SEG42]] &gt;0,INDEX(SEGMENTS[], MATCH(CABLES[[#Headers],[SEG42]],SEGMENTS[SEG_ID],0),4),0)</f>
        <v>0</v>
      </c>
      <c r="DC54" s="9">
        <f xml:space="preserve"> IF(CABLES[[#This Row],[SEG43]] &gt;0,INDEX(SEGMENTS[], MATCH(CABLES[[#Headers],[SEG43]],SEGMENTS[SEG_ID],0),4),0)</f>
        <v>0</v>
      </c>
      <c r="DD54" s="9">
        <f xml:space="preserve"> IF(CABLES[[#This Row],[SEG44]] &gt;0,INDEX(SEGMENTS[], MATCH(CABLES[[#Headers],[SEG44]],SEGMENTS[SEG_ID],0),4),0)</f>
        <v>0</v>
      </c>
      <c r="DE54" s="9">
        <f xml:space="preserve"> IF(CABLES[[#This Row],[SEG45]] &gt;0,INDEX(SEGMENTS[], MATCH(CABLES[[#Headers],[SEG45]],SEGMENTS[SEG_ID],0),4),0)</f>
        <v>0</v>
      </c>
      <c r="DF54" s="9">
        <f xml:space="preserve"> IF(CABLES[[#This Row],[SEG46]] &gt;0,INDEX(SEGMENTS[], MATCH(CABLES[[#Headers],[SEG46]],SEGMENTS[SEG_ID],0),4),0)</f>
        <v>0</v>
      </c>
      <c r="DG54" s="9">
        <f xml:space="preserve"> IF(CABLES[[#This Row],[SEG47]] &gt;0,INDEX(SEGMENTS[], MATCH(CABLES[[#Headers],[SEG47]],SEGMENTS[SEG_ID],0),4),0)</f>
        <v>0</v>
      </c>
      <c r="DH54" s="9">
        <f xml:space="preserve"> IF(CABLES[[#This Row],[SEG48]] &gt;0,INDEX(SEGMENTS[], MATCH(CABLES[[#Headers],[SEG48]],SEGMENTS[SEG_ID],0),4),0)</f>
        <v>0</v>
      </c>
      <c r="DI54" s="9">
        <f xml:space="preserve"> IF(CABLES[[#This Row],[SEG49]] &gt;0,INDEX(SEGMENTS[], MATCH(CABLES[[#Headers],[SEG49]],SEGMENTS[SEG_ID],0),4),0)</f>
        <v>0</v>
      </c>
      <c r="DJ54" s="9">
        <f xml:space="preserve"> IF(CABLES[[#This Row],[SEG50]] &gt;0,INDEX(SEGMENTS[], MATCH(CABLES[[#Headers],[SEG50]],SEGMENTS[SEG_ID],0),4),0)</f>
        <v>0</v>
      </c>
      <c r="DK54" s="9">
        <f xml:space="preserve"> IF(CABLES[[#This Row],[SEG51]] &gt;0,INDEX(SEGMENTS[], MATCH(CABLES[[#Headers],[SEG51]],SEGMENTS[SEG_ID],0),4),0)</f>
        <v>0</v>
      </c>
      <c r="DL54" s="9">
        <f xml:space="preserve"> IF(CABLES[[#This Row],[SEG52]] &gt;0,INDEX(SEGMENTS[], MATCH(CABLES[[#Headers],[SEG52]],SEGMENTS[SEG_ID],0),4),0)</f>
        <v>0</v>
      </c>
      <c r="DM54" s="9">
        <f xml:space="preserve"> IF(CABLES[[#This Row],[SEG53]] &gt;0,INDEX(SEGMENTS[], MATCH(CABLES[[#Headers],[SEG53]],SEGMENTS[SEG_ID],0),4),0)</f>
        <v>0</v>
      </c>
      <c r="DN54" s="9">
        <f xml:space="preserve"> IF(CABLES[[#This Row],[SEG54]] &gt;0,INDEX(SEGMENTS[], MATCH(CABLES[[#Headers],[SEG54]],SEGMENTS[SEG_ID],0),4),0)</f>
        <v>0</v>
      </c>
      <c r="DO54" s="9">
        <f xml:space="preserve"> IF(CABLES[[#This Row],[SEG55]] &gt;0,INDEX(SEGMENTS[], MATCH(CABLES[[#Headers],[SEG55]],SEGMENTS[SEG_ID],0),4),0)</f>
        <v>0</v>
      </c>
      <c r="DP54" s="9">
        <f xml:space="preserve"> IF(CABLES[[#This Row],[SEG56]] &gt;0,INDEX(SEGMENTS[], MATCH(CABLES[[#Headers],[SEG56]],SEGMENTS[SEG_ID],0),4),0)</f>
        <v>0</v>
      </c>
      <c r="DQ54" s="9">
        <f xml:space="preserve"> IF(CABLES[[#This Row],[SEG57]] &gt;0,INDEX(SEGMENTS[], MATCH(CABLES[[#Headers],[SEG57]],SEGMENTS[SEG_ID],0),4),0)</f>
        <v>0</v>
      </c>
      <c r="DR54" s="9">
        <f xml:space="preserve"> IF(CABLES[[#This Row],[SEG58]] &gt;0,INDEX(SEGMENTS[], MATCH(CABLES[[#Headers],[SEG58]],SEGMENTS[SEG_ID],0),4),0)</f>
        <v>0</v>
      </c>
      <c r="DS54" s="9">
        <f xml:space="preserve"> IF(CABLES[[#This Row],[SEG59]] &gt;0,INDEX(SEGMENTS[], MATCH(CABLES[[#Headers],[SEG59]],SEGMENTS[SEG_ID],0),4),0)</f>
        <v>0</v>
      </c>
      <c r="DT54" s="9">
        <f xml:space="preserve"> IF(CABLES[[#This Row],[SEG60]] &gt;0,INDEX(SEGMENTS[], MATCH(CABLES[[#Headers],[SEG60]],SEGMENTS[SEG_ID],0),4),0)</f>
        <v>0</v>
      </c>
      <c r="DU54" s="10">
        <f>SUM(CABLES[[#This Row],[SEGL1]:[SEGL60]])</f>
        <v>41</v>
      </c>
      <c r="DV54" s="10">
        <v>5</v>
      </c>
      <c r="DW54" s="10">
        <v>1.2</v>
      </c>
      <c r="DX54" s="10">
        <f xml:space="preserve"> IF(CABLES[[#This Row],[SEGL_TOTAL]]&gt;0, (CABLES[[#This Row],[SEGL_TOTAL]] + CABLES[[#This Row],[FITOFF]]) *CABLES[[#This Row],[XCAPACITY]],0)</f>
        <v>55.199999999999996</v>
      </c>
      <c r="DY54" s="10">
        <f>IF(CABLES[[#This Row],[SEG1]]&gt;0,CABLES[[#This Row],[CABLE_DIAMETER]],0)</f>
        <v>0</v>
      </c>
      <c r="DZ54" s="10">
        <f>IF(CABLES[[#This Row],[SEG2]]&gt;0,CABLES[[#This Row],[CABLE_DIAMETER]],0)</f>
        <v>0</v>
      </c>
      <c r="EA54" s="10">
        <f>IF(CABLES[[#This Row],[SEG3]]&gt;0,CABLES[[#This Row],[CABLE_DIAMETER]],0)</f>
        <v>0</v>
      </c>
      <c r="EB54" s="10">
        <f>IF(CABLES[[#This Row],[SEG4]]&gt;0,CABLES[[#This Row],[CABLE_DIAMETER]],0)</f>
        <v>0</v>
      </c>
      <c r="EC54" s="10">
        <f>IF(CABLES[[#This Row],[SEG5]]&gt;0,CABLES[[#This Row],[CABLE_DIAMETER]],0)</f>
        <v>0</v>
      </c>
      <c r="ED54" s="10">
        <f>IF(CABLES[[#This Row],[SEG6]]&gt;0,CABLES[[#This Row],[CABLE_DIAMETER]],0)</f>
        <v>0</v>
      </c>
      <c r="EE54" s="10">
        <f>IF(CABLES[[#This Row],[SEG7]]&gt;0,CABLES[[#This Row],[CABLE_DIAMETER]],0)</f>
        <v>0</v>
      </c>
      <c r="EF54" s="10">
        <f>IF(CABLES[[#This Row],[SEG9]]&gt;0,CABLES[[#This Row],[CABLE_DIAMETER]],0)</f>
        <v>0</v>
      </c>
      <c r="EG54" s="10">
        <f>IF(CABLES[[#This Row],[SEG9]]&gt;0,CABLES[[#This Row],[CABLE_DIAMETER]],0)</f>
        <v>0</v>
      </c>
      <c r="EH54" s="10">
        <f>IF(CABLES[[#This Row],[SEG10]]&gt;0,CABLES[[#This Row],[CABLE_DIAMETER]],0)</f>
        <v>0</v>
      </c>
      <c r="EI54" s="10">
        <f>IF(CABLES[[#This Row],[SEG11]]&gt;0,CABLES[[#This Row],[CABLE_DIAMETER]],0)</f>
        <v>0</v>
      </c>
      <c r="EJ54" s="10">
        <f>IF(CABLES[[#This Row],[SEG12]]&gt;0,CABLES[[#This Row],[CABLE_DIAMETER]],0)</f>
        <v>0</v>
      </c>
      <c r="EK54" s="10">
        <f>IF(CABLES[[#This Row],[SEG13]]&gt;0,CABLES[[#This Row],[CABLE_DIAMETER]],0)</f>
        <v>0</v>
      </c>
      <c r="EL54" s="10">
        <f>IF(CABLES[[#This Row],[SEG14]]&gt;0,CABLES[[#This Row],[CABLE_DIAMETER]],0)</f>
        <v>0</v>
      </c>
      <c r="EM54" s="10">
        <f>IF(CABLES[[#This Row],[SEG15]]&gt;0,CABLES[[#This Row],[CABLE_DIAMETER]],0)</f>
        <v>0</v>
      </c>
      <c r="EN54" s="10">
        <f>IF(CABLES[[#This Row],[SEG16]]&gt;0,CABLES[[#This Row],[CABLE_DIAMETER]],0)</f>
        <v>0</v>
      </c>
      <c r="EO54" s="10">
        <f>IF(CABLES[[#This Row],[SEG17]]&gt;0,CABLES[[#This Row],[CABLE_DIAMETER]],0)</f>
        <v>0</v>
      </c>
      <c r="EP54" s="10">
        <f>IF(CABLES[[#This Row],[SEG18]]&gt;0,CABLES[[#This Row],[CABLE_DIAMETER]],0)</f>
        <v>0</v>
      </c>
      <c r="EQ54" s="10">
        <f>IF(CABLES[[#This Row],[SEG19]]&gt;0,CABLES[[#This Row],[CABLE_DIAMETER]],0)</f>
        <v>0</v>
      </c>
      <c r="ER54" s="10">
        <f>IF(CABLES[[#This Row],[SEG20]]&gt;0,CABLES[[#This Row],[CABLE_DIAMETER]],0)</f>
        <v>0</v>
      </c>
      <c r="ES54" s="10">
        <f>IF(CABLES[[#This Row],[SEG21]]&gt;0,CABLES[[#This Row],[CABLE_DIAMETER]],0)</f>
        <v>0</v>
      </c>
      <c r="ET54" s="10">
        <f>IF(CABLES[[#This Row],[SEG22]]&gt;0,CABLES[[#This Row],[CABLE_DIAMETER]],0)</f>
        <v>0</v>
      </c>
      <c r="EU54" s="10">
        <f>IF(CABLES[[#This Row],[SEG23]]&gt;0,CABLES[[#This Row],[CABLE_DIAMETER]],0)</f>
        <v>0</v>
      </c>
      <c r="EV54" s="10">
        <f>IF(CABLES[[#This Row],[SEG24]]&gt;0,CABLES[[#This Row],[CABLE_DIAMETER]],0)</f>
        <v>0</v>
      </c>
      <c r="EW54" s="10">
        <f>IF(CABLES[[#This Row],[SEG25]]&gt;0,CABLES[[#This Row],[CABLE_DIAMETER]],0)</f>
        <v>0</v>
      </c>
      <c r="EX54" s="10">
        <f>IF(CABLES[[#This Row],[SEG26]]&gt;0,CABLES[[#This Row],[CABLE_DIAMETER]],0)</f>
        <v>0</v>
      </c>
      <c r="EY54" s="10">
        <f>IF(CABLES[[#This Row],[SEG27]]&gt;0,CABLES[[#This Row],[CABLE_DIAMETER]],0)</f>
        <v>0</v>
      </c>
      <c r="EZ54" s="10">
        <f>IF(CABLES[[#This Row],[SEG28]]&gt;0,CABLES[[#This Row],[CABLE_DIAMETER]],0)</f>
        <v>0</v>
      </c>
      <c r="FA54" s="10">
        <f>IF(CABLES[[#This Row],[SEG29]]&gt;0,CABLES[[#This Row],[CABLE_DIAMETER]],0)</f>
        <v>0</v>
      </c>
      <c r="FB54" s="10">
        <f>IF(CABLES[[#This Row],[SEG30]]&gt;0,CABLES[[#This Row],[CABLE_DIAMETER]],0)</f>
        <v>14.5</v>
      </c>
      <c r="FC54" s="10">
        <f>IF(CABLES[[#This Row],[SEG31]]&gt;0,CABLES[[#This Row],[CABLE_DIAMETER]],0)</f>
        <v>14.5</v>
      </c>
      <c r="FD54" s="10">
        <f>IF(CABLES[[#This Row],[SEG32]]&gt;0,CABLES[[#This Row],[CABLE_DIAMETER]],0)</f>
        <v>14.5</v>
      </c>
      <c r="FE54" s="10">
        <f>IF(CABLES[[#This Row],[SEG33]]&gt;0,CABLES[[#This Row],[CABLE_DIAMETER]],0)</f>
        <v>0</v>
      </c>
      <c r="FF54" s="10">
        <f>IF(CABLES[[#This Row],[SEG34]]&gt;0,CABLES[[#This Row],[CABLE_DIAMETER]],0)</f>
        <v>14.5</v>
      </c>
      <c r="FG54" s="10">
        <f>IF(CABLES[[#This Row],[SEG35]]&gt;0,CABLES[[#This Row],[CABLE_DIAMETER]],0)</f>
        <v>0</v>
      </c>
      <c r="FH54" s="10">
        <f>IF(CABLES[[#This Row],[SEG36]]&gt;0,CABLES[[#This Row],[CABLE_DIAMETER]],0)</f>
        <v>0</v>
      </c>
      <c r="FI54" s="10">
        <f>IF(CABLES[[#This Row],[SEG37]]&gt;0,CABLES[[#This Row],[CABLE_DIAMETER]],0)</f>
        <v>14.5</v>
      </c>
      <c r="FJ54" s="10">
        <f>IF(CABLES[[#This Row],[SEG38]]&gt;0,CABLES[[#This Row],[CABLE_DIAMETER]],0)</f>
        <v>14.5</v>
      </c>
      <c r="FK54" s="10">
        <f>IF(CABLES[[#This Row],[SEG39]]&gt;0,CABLES[[#This Row],[CABLE_DIAMETER]],0)</f>
        <v>0</v>
      </c>
      <c r="FL54" s="10">
        <f>IF(CABLES[[#This Row],[SEG40]]&gt;0,CABLES[[#This Row],[CABLE_DIAMETER]],0)</f>
        <v>0</v>
      </c>
      <c r="FM54" s="10">
        <f>IF(CABLES[[#This Row],[SEG41]]&gt;0,CABLES[[#This Row],[CABLE_DIAMETER]],0)</f>
        <v>0</v>
      </c>
      <c r="FN54" s="10">
        <f>IF(CABLES[[#This Row],[SEG42]]&gt;0,CABLES[[#This Row],[CABLE_DIAMETER]],0)</f>
        <v>0</v>
      </c>
      <c r="FO54" s="10">
        <f>IF(CABLES[[#This Row],[SEG43]]&gt;0,CABLES[[#This Row],[CABLE_DIAMETER]],0)</f>
        <v>0</v>
      </c>
      <c r="FP54" s="10">
        <f>IF(CABLES[[#This Row],[SEG44]]&gt;0,CABLES[[#This Row],[CABLE_DIAMETER]],0)</f>
        <v>0</v>
      </c>
      <c r="FQ54" s="10">
        <f>IF(CABLES[[#This Row],[SEG45]]&gt;0,CABLES[[#This Row],[CABLE_DIAMETER]],0)</f>
        <v>0</v>
      </c>
      <c r="FR54" s="10">
        <f>IF(CABLES[[#This Row],[SEG46]]&gt;0,CABLES[[#This Row],[CABLE_DIAMETER]],0)</f>
        <v>0</v>
      </c>
      <c r="FS54" s="10">
        <f>IF(CABLES[[#This Row],[SEG47]]&gt;0,CABLES[[#This Row],[CABLE_DIAMETER]],0)</f>
        <v>0</v>
      </c>
      <c r="FT54" s="10">
        <f>IF(CABLES[[#This Row],[SEG48]]&gt;0,CABLES[[#This Row],[CABLE_DIAMETER]],0)</f>
        <v>0</v>
      </c>
      <c r="FU54" s="10">
        <f>IF(CABLES[[#This Row],[SEG49]]&gt;0,CABLES[[#This Row],[CABLE_DIAMETER]],0)</f>
        <v>0</v>
      </c>
      <c r="FV54" s="10">
        <f>IF(CABLES[[#This Row],[SEG50]]&gt;0,CABLES[[#This Row],[CABLE_DIAMETER]],0)</f>
        <v>0</v>
      </c>
      <c r="FW54" s="10">
        <f>IF(CABLES[[#This Row],[SEG51]]&gt;0,CABLES[[#This Row],[CABLE_DIAMETER]],0)</f>
        <v>0</v>
      </c>
      <c r="FX54" s="10">
        <f>IF(CABLES[[#This Row],[SEG52]]&gt;0,CABLES[[#This Row],[CABLE_DIAMETER]],0)</f>
        <v>0</v>
      </c>
      <c r="FY54" s="10">
        <f>IF(CABLES[[#This Row],[SEG53]]&gt;0,CABLES[[#This Row],[CABLE_DIAMETER]],0)</f>
        <v>0</v>
      </c>
      <c r="FZ54" s="10">
        <f>IF(CABLES[[#This Row],[SEG54]]&gt;0,CABLES[[#This Row],[CABLE_DIAMETER]],0)</f>
        <v>0</v>
      </c>
      <c r="GA54" s="10">
        <f>IF(CABLES[[#This Row],[SEG55]]&gt;0,CABLES[[#This Row],[CABLE_DIAMETER]],0)</f>
        <v>0</v>
      </c>
      <c r="GB54" s="10">
        <f>IF(CABLES[[#This Row],[SEG56]]&gt;0,CABLES[[#This Row],[CABLE_DIAMETER]],0)</f>
        <v>0</v>
      </c>
      <c r="GC54" s="10">
        <f>IF(CABLES[[#This Row],[SEG57]]&gt;0,CABLES[[#This Row],[CABLE_DIAMETER]],0)</f>
        <v>0</v>
      </c>
      <c r="GD54" s="10">
        <f>IF(CABLES[[#This Row],[SEG58]]&gt;0,CABLES[[#This Row],[CABLE_DIAMETER]],0)</f>
        <v>0</v>
      </c>
      <c r="GE54" s="10">
        <f>IF(CABLES[[#This Row],[SEG59]]&gt;0,CABLES[[#This Row],[CABLE_DIAMETER]],0)</f>
        <v>0</v>
      </c>
      <c r="GF54" s="10">
        <f>IF(CABLES[[#This Row],[SEG60]]&gt;0,CABLES[[#This Row],[CABLE_DIAMETER]],0)</f>
        <v>0</v>
      </c>
      <c r="GG54" s="10">
        <f>IF(CABLES[[#This Row],[SEG1]]&gt;0,CABLES[[#This Row],[CABLE_MASS]],0)</f>
        <v>0</v>
      </c>
      <c r="GH54" s="10">
        <f>IF(CABLES[[#This Row],[SEG2]]&gt;0,CABLES[[#This Row],[CABLE_MASS]],0)</f>
        <v>0</v>
      </c>
      <c r="GI54" s="10">
        <f>IF(CABLES[[#This Row],[SEG3]]&gt;0,CABLES[[#This Row],[CABLE_MASS]],0)</f>
        <v>0</v>
      </c>
      <c r="GJ54" s="10">
        <f>IF(CABLES[[#This Row],[SEG4]]&gt;0,CABLES[[#This Row],[CABLE_MASS]],0)</f>
        <v>0</v>
      </c>
      <c r="GK54" s="10">
        <f>IF(CABLES[[#This Row],[SEG5]]&gt;0,CABLES[[#This Row],[CABLE_MASS]],0)</f>
        <v>0</v>
      </c>
      <c r="GL54" s="10">
        <f>IF(CABLES[[#This Row],[SEG6]]&gt;0,CABLES[[#This Row],[CABLE_MASS]],0)</f>
        <v>0</v>
      </c>
      <c r="GM54" s="10">
        <f>IF(CABLES[[#This Row],[SEG7]]&gt;0,CABLES[[#This Row],[CABLE_MASS]],0)</f>
        <v>0</v>
      </c>
      <c r="GN54" s="10">
        <f>IF(CABLES[[#This Row],[SEG8]]&gt;0,CABLES[[#This Row],[CABLE_MASS]],0)</f>
        <v>0</v>
      </c>
      <c r="GO54" s="10">
        <f>IF(CABLES[[#This Row],[SEG9]]&gt;0,CABLES[[#This Row],[CABLE_MASS]],0)</f>
        <v>0</v>
      </c>
      <c r="GP54" s="10">
        <f>IF(CABLES[[#This Row],[SEG10]]&gt;0,CABLES[[#This Row],[CABLE_MASS]],0)</f>
        <v>0</v>
      </c>
      <c r="GQ54" s="10">
        <f>IF(CABLES[[#This Row],[SEG11]]&gt;0,CABLES[[#This Row],[CABLE_MASS]],0)</f>
        <v>0</v>
      </c>
      <c r="GR54" s="10">
        <f>IF(CABLES[[#This Row],[SEG12]]&gt;0,CABLES[[#This Row],[CABLE_MASS]],0)</f>
        <v>0</v>
      </c>
      <c r="GS54" s="10">
        <f>IF(CABLES[[#This Row],[SEG13]]&gt;0,CABLES[[#This Row],[CABLE_MASS]],0)</f>
        <v>0</v>
      </c>
      <c r="GT54" s="10">
        <f>IF(CABLES[[#This Row],[SEG14]]&gt;0,CABLES[[#This Row],[CABLE_MASS]],0)</f>
        <v>0</v>
      </c>
      <c r="GU54" s="10">
        <f>IF(CABLES[[#This Row],[SEG15]]&gt;0,CABLES[[#This Row],[CABLE_MASS]],0)</f>
        <v>0</v>
      </c>
      <c r="GV54" s="10">
        <f>IF(CABLES[[#This Row],[SEG16]]&gt;0,CABLES[[#This Row],[CABLE_MASS]],0)</f>
        <v>0</v>
      </c>
      <c r="GW54" s="10">
        <f>IF(CABLES[[#This Row],[SEG17]]&gt;0,CABLES[[#This Row],[CABLE_MASS]],0)</f>
        <v>0</v>
      </c>
      <c r="GX54" s="10">
        <f>IF(CABLES[[#This Row],[SEG18]]&gt;0,CABLES[[#This Row],[CABLE_MASS]],0)</f>
        <v>0</v>
      </c>
      <c r="GY54" s="10">
        <f>IF(CABLES[[#This Row],[SEG19]]&gt;0,CABLES[[#This Row],[CABLE_MASS]],0)</f>
        <v>0</v>
      </c>
      <c r="GZ54" s="10">
        <f>IF(CABLES[[#This Row],[SEG20]]&gt;0,CABLES[[#This Row],[CABLE_MASS]],0)</f>
        <v>0</v>
      </c>
      <c r="HA54" s="10">
        <f>IF(CABLES[[#This Row],[SEG21]]&gt;0,CABLES[[#This Row],[CABLE_MASS]],0)</f>
        <v>0</v>
      </c>
      <c r="HB54" s="10">
        <f>IF(CABLES[[#This Row],[SEG22]]&gt;0,CABLES[[#This Row],[CABLE_MASS]],0)</f>
        <v>0</v>
      </c>
      <c r="HC54" s="10">
        <f>IF(CABLES[[#This Row],[SEG23]]&gt;0,CABLES[[#This Row],[CABLE_MASS]],0)</f>
        <v>0</v>
      </c>
      <c r="HD54" s="10">
        <f>IF(CABLES[[#This Row],[SEG24]]&gt;0,CABLES[[#This Row],[CABLE_MASS]],0)</f>
        <v>0</v>
      </c>
      <c r="HE54" s="10">
        <f>IF(CABLES[[#This Row],[SEG25]]&gt;0,CABLES[[#This Row],[CABLE_MASS]],0)</f>
        <v>0</v>
      </c>
      <c r="HF54" s="10">
        <f>IF(CABLES[[#This Row],[SEG26]]&gt;0,CABLES[[#This Row],[CABLE_MASS]],0)</f>
        <v>0</v>
      </c>
      <c r="HG54" s="10">
        <f>IF(CABLES[[#This Row],[SEG27]]&gt;0,CABLES[[#This Row],[CABLE_MASS]],0)</f>
        <v>0</v>
      </c>
      <c r="HH54" s="10">
        <f>IF(CABLES[[#This Row],[SEG28]]&gt;0,CABLES[[#This Row],[CABLE_MASS]],0)</f>
        <v>0</v>
      </c>
      <c r="HI54" s="10">
        <f>IF(CABLES[[#This Row],[SEG29]]&gt;0,CABLES[[#This Row],[CABLE_MASS]],0)</f>
        <v>0</v>
      </c>
      <c r="HJ54" s="10">
        <f>IF(CABLES[[#This Row],[SEG30]]&gt;0,CABLES[[#This Row],[CABLE_MASS]],0)</f>
        <v>0.33</v>
      </c>
      <c r="HK54" s="10">
        <f>IF(CABLES[[#This Row],[SEG31]]&gt;0,CABLES[[#This Row],[CABLE_MASS]],0)</f>
        <v>0.33</v>
      </c>
      <c r="HL54" s="10">
        <f>IF(CABLES[[#This Row],[SEG32]]&gt;0,CABLES[[#This Row],[CABLE_MASS]],0)</f>
        <v>0.33</v>
      </c>
      <c r="HM54" s="10">
        <f>IF(CABLES[[#This Row],[SEG33]]&gt;0,CABLES[[#This Row],[CABLE_MASS]],0)</f>
        <v>0</v>
      </c>
      <c r="HN54" s="10">
        <f>IF(CABLES[[#This Row],[SEG34]]&gt;0,CABLES[[#This Row],[CABLE_MASS]],0)</f>
        <v>0.33</v>
      </c>
      <c r="HO54" s="10">
        <f>IF(CABLES[[#This Row],[SEG35]]&gt;0,CABLES[[#This Row],[CABLE_MASS]],0)</f>
        <v>0</v>
      </c>
      <c r="HP54" s="10">
        <f>IF(CABLES[[#This Row],[SEG36]]&gt;0,CABLES[[#This Row],[CABLE_MASS]],0)</f>
        <v>0</v>
      </c>
      <c r="HQ54" s="10">
        <f>IF(CABLES[[#This Row],[SEG37]]&gt;0,CABLES[[#This Row],[CABLE_MASS]],0)</f>
        <v>0.33</v>
      </c>
      <c r="HR54" s="10">
        <f>IF(CABLES[[#This Row],[SEG38]]&gt;0,CABLES[[#This Row],[CABLE_MASS]],0)</f>
        <v>0.33</v>
      </c>
      <c r="HS54" s="10">
        <f>IF(CABLES[[#This Row],[SEG39]]&gt;0,CABLES[[#This Row],[CABLE_MASS]],0)</f>
        <v>0</v>
      </c>
      <c r="HT54" s="10">
        <f>IF(CABLES[[#This Row],[SEG40]]&gt;0,CABLES[[#This Row],[CABLE_MASS]],0)</f>
        <v>0</v>
      </c>
      <c r="HU54" s="10">
        <f>IF(CABLES[[#This Row],[SEG41]]&gt;0,CABLES[[#This Row],[CABLE_MASS]],0)</f>
        <v>0</v>
      </c>
      <c r="HV54" s="10">
        <f>IF(CABLES[[#This Row],[SEG42]]&gt;0,CABLES[[#This Row],[CABLE_MASS]],0)</f>
        <v>0</v>
      </c>
      <c r="HW54" s="10">
        <f>IF(CABLES[[#This Row],[SEG43]]&gt;0,CABLES[[#This Row],[CABLE_MASS]],0)</f>
        <v>0</v>
      </c>
      <c r="HX54" s="10">
        <f>IF(CABLES[[#This Row],[SEG44]]&gt;0,CABLES[[#This Row],[CABLE_MASS]],0)</f>
        <v>0</v>
      </c>
      <c r="HY54" s="10">
        <f>IF(CABLES[[#This Row],[SEG45]]&gt;0,CABLES[[#This Row],[CABLE_MASS]],0)</f>
        <v>0</v>
      </c>
      <c r="HZ54" s="10">
        <f>IF(CABLES[[#This Row],[SEG46]]&gt;0,CABLES[[#This Row],[CABLE_MASS]],0)</f>
        <v>0</v>
      </c>
      <c r="IA54" s="10">
        <f>IF(CABLES[[#This Row],[SEG47]]&gt;0,CABLES[[#This Row],[CABLE_MASS]],0)</f>
        <v>0</v>
      </c>
      <c r="IB54" s="10">
        <f>IF(CABLES[[#This Row],[SEG48]]&gt;0,CABLES[[#This Row],[CABLE_MASS]],0)</f>
        <v>0</v>
      </c>
      <c r="IC54" s="10">
        <f>IF(CABLES[[#This Row],[SEG49]]&gt;0,CABLES[[#This Row],[CABLE_MASS]],0)</f>
        <v>0</v>
      </c>
      <c r="ID54" s="10">
        <f>IF(CABLES[[#This Row],[SEG50]]&gt;0,CABLES[[#This Row],[CABLE_MASS]],0)</f>
        <v>0</v>
      </c>
      <c r="IE54" s="10">
        <f>IF(CABLES[[#This Row],[SEG51]]&gt;0,CABLES[[#This Row],[CABLE_MASS]],0)</f>
        <v>0</v>
      </c>
      <c r="IF54" s="10">
        <f>IF(CABLES[[#This Row],[SEG52]]&gt;0,CABLES[[#This Row],[CABLE_MASS]],0)</f>
        <v>0</v>
      </c>
      <c r="IG54" s="10">
        <f>IF(CABLES[[#This Row],[SEG53]]&gt;0,CABLES[[#This Row],[CABLE_MASS]],0)</f>
        <v>0</v>
      </c>
      <c r="IH54" s="10">
        <f>IF(CABLES[[#This Row],[SEG54]]&gt;0,CABLES[[#This Row],[CABLE_MASS]],0)</f>
        <v>0</v>
      </c>
      <c r="II54" s="10">
        <f>IF(CABLES[[#This Row],[SEG55]]&gt;0,CABLES[[#This Row],[CABLE_MASS]],0)</f>
        <v>0</v>
      </c>
      <c r="IJ54" s="10">
        <f>IF(CABLES[[#This Row],[SEG56]]&gt;0,CABLES[[#This Row],[CABLE_MASS]],0)</f>
        <v>0</v>
      </c>
      <c r="IK54" s="10">
        <f>IF(CABLES[[#This Row],[SEG57]]&gt;0,CABLES[[#This Row],[CABLE_MASS]],0)</f>
        <v>0</v>
      </c>
      <c r="IL54" s="10">
        <f>IF(CABLES[[#This Row],[SEG58]]&gt;0,CABLES[[#This Row],[CABLE_MASS]],0)</f>
        <v>0</v>
      </c>
      <c r="IM54" s="10">
        <f>IF(CABLES[[#This Row],[SEG59]]&gt;0,CABLES[[#This Row],[CABLE_MASS]],0)</f>
        <v>0</v>
      </c>
      <c r="IN54" s="10">
        <f>IF(CABLES[[#This Row],[SEG60]]&gt;0,CABLES[[#This Row],[CABLE_MASS]],0)</f>
        <v>0</v>
      </c>
      <c r="IO54" s="10">
        <f xml:space="preserve">  (CABLES[[#This Row],[LOAD_KW]]/(SQRT(3)*SYSTEM_VOLTAGE*POWER_FACTOR))*1000</f>
        <v>8.8206291126192813</v>
      </c>
      <c r="IP54" s="10">
        <v>45</v>
      </c>
      <c r="IQ54" s="10">
        <f xml:space="preserve"> INDEX(AS3000_AMBIENTDERATE[], MATCH(CABLES[[#This Row],[AMBIENT]],AS3000_AMBIENTDERATE[AMBIENT],0), 2)</f>
        <v>0.94</v>
      </c>
      <c r="IR54" s="10">
        <f xml:space="preserve"> ROUNDUP( CABLES[[#This Row],[CALCULATED_AMPS]]/CABLES[[#This Row],[AMBIENT_DERATING]],1)</f>
        <v>9.4</v>
      </c>
      <c r="IS54" s="10" t="s">
        <v>531</v>
      </c>
      <c r="IT5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4" s="10">
        <f t="shared" si="1"/>
        <v>28.000000000000004</v>
      </c>
      <c r="IV54" s="10">
        <f>(1000*CABLES[[#This Row],[MAX_VDROP]])/(CABLES[[#This Row],[ESTIMATED_CABLE_LENGTH]]*CABLES[[#This Row],[AMP_RATING]])</f>
        <v>53.962380511871729</v>
      </c>
      <c r="IW54" s="10">
        <f xml:space="preserve"> INDEX(AS3000_VDROP[], MATCH(CABLES[[#This Row],[VC_CALC]],AS3000_VDROP[Vc],1),1)</f>
        <v>2.5</v>
      </c>
      <c r="IX54" s="10">
        <f>MAX(CABLES[[#This Row],[CABLESIZE_METHOD1]],CABLES[[#This Row],[CABLESIZE_METHOD2]])</f>
        <v>2.5</v>
      </c>
      <c r="IY54" s="10"/>
      <c r="IZ54" s="10">
        <f>IF(LEN(CABLES[[#This Row],[OVERRIDE_CABLESIZE]])&gt;0,CABLES[[#This Row],[OVERRIDE_CABLESIZE]],CABLES[[#This Row],[INITIAL_CABLESIZE]])</f>
        <v>2.5</v>
      </c>
      <c r="JA54" s="10">
        <f>INDEX(PROTECTIVE_DEVICE[DEVICE], MATCH(CABLES[[#This Row],[CALCULATED_AMPS]],PROTECTIVE_DEVICE[DEVICE],-1),1)</f>
        <v>10</v>
      </c>
      <c r="JB54" s="10"/>
      <c r="JC54" s="10">
        <f>IF(LEN(CABLES[[#This Row],[OVERRIDE_PDEVICE]])&gt;0, CABLES[[#This Row],[OVERRIDE_PDEVICE]],CABLES[[#This Row],[RECOMMEND_PDEVICE]])</f>
        <v>10</v>
      </c>
      <c r="JD54" s="10" t="s">
        <v>450</v>
      </c>
      <c r="JE54" s="10">
        <f xml:space="preserve"> CABLES[[#This Row],[SELECTED_PDEVICE]] * INDEX(DEVICE_CURVE[], MATCH(CABLES[[#This Row],[PDEVICE_CURVE]], DEVICE_CURVE[DEVICE_CURVE],0),2)</f>
        <v>65</v>
      </c>
      <c r="JF54" s="10" t="s">
        <v>458</v>
      </c>
      <c r="JG54" s="10">
        <f xml:space="preserve"> INDEX(CONDUCTOR_MATERIAL[], MATCH(CABLES[[#This Row],[CONDUCTOR_MATERIAL]],CONDUCTOR_MATERIAL[CONDUCTOR_MATERIAL],0),2)</f>
        <v>2.2499999999999999E-2</v>
      </c>
      <c r="JH54" s="10">
        <f>CABLES[[#This Row],[SELECTED_CABLESIZE]]</f>
        <v>2.5</v>
      </c>
      <c r="JI54" s="10">
        <f xml:space="preserve"> INDEX( EARTH_CONDUCTOR_SIZE[], MATCH(CABLES[[#This Row],[SPH]],EARTH_CONDUCTOR_SIZE[MM^2],-1), 2)</f>
        <v>2.5</v>
      </c>
      <c r="JJ54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54" s="10" t="str">
        <f>IF(CABLES[[#This Row],[LMAX]]&gt;CABLES[[#This Row],[ESTIMATED_CABLE_LENGTH]], "PASS", "ERROR")</f>
        <v>PASS</v>
      </c>
      <c r="JL5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5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54" s="6">
        <f xml:space="preserve"> ROUNDUP( CABLES[[#This Row],[CALCULATED_AMPS]],1)</f>
        <v>8.9</v>
      </c>
      <c r="JO54" s="6">
        <f>CABLES[[#This Row],[SELECTED_CABLESIZE]]</f>
        <v>2.5</v>
      </c>
      <c r="JP54" s="10">
        <f>CABLES[[#This Row],[ESTIMATED_CABLE_LENGTH]]</f>
        <v>55.199999999999996</v>
      </c>
      <c r="JQ54" s="6">
        <f>CABLES[[#This Row],[SELECTED_PDEVICE]]</f>
        <v>10</v>
      </c>
    </row>
    <row r="55" spans="1:277" x14ac:dyDescent="0.35">
      <c r="A55" s="5" t="s">
        <v>54</v>
      </c>
      <c r="B55" s="5" t="s">
        <v>502</v>
      </c>
      <c r="C55" s="10" t="s">
        <v>261</v>
      </c>
      <c r="D55" s="9">
        <v>4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1</v>
      </c>
      <c r="AI55" s="9">
        <v>1</v>
      </c>
      <c r="AJ55" s="9">
        <v>1</v>
      </c>
      <c r="AK55" s="9">
        <v>0</v>
      </c>
      <c r="AL55" s="9">
        <v>1</v>
      </c>
      <c r="AM55" s="9">
        <v>0</v>
      </c>
      <c r="AN55" s="9">
        <v>0</v>
      </c>
      <c r="AO55" s="9">
        <v>1</v>
      </c>
      <c r="AP55" s="9">
        <v>1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f xml:space="preserve"> IF(CABLES[[#This Row],[SEG1]] &gt;0, INDEX(SEGMENTS[], MATCH(CABLES[[#Headers],[SEG1]],SEGMENTS[SEG_ID],0),4),0)</f>
        <v>0</v>
      </c>
      <c r="BN55" s="9">
        <f xml:space="preserve"> IF(CABLES[[#This Row],[SEG2]] &gt;0, INDEX(SEGMENTS[], MATCH(CABLES[[#Headers],[SEG2]],SEGMENTS[SEG_ID],0),4),0)</f>
        <v>0</v>
      </c>
      <c r="BO55" s="9">
        <f xml:space="preserve"> IF(CABLES[[#This Row],[SEG3]] &gt;0, INDEX(SEGMENTS[], MATCH(CABLES[[#Headers],[SEG3]],SEGMENTS[SEG_ID],0),4),0)</f>
        <v>0</v>
      </c>
      <c r="BP55" s="9">
        <f xml:space="preserve"> IF(CABLES[[#This Row],[SEG4]] &gt;0, INDEX(SEGMENTS[], MATCH(CABLES[[#Headers],[SEG4]],SEGMENTS[SEG_ID],0),4),0)</f>
        <v>0</v>
      </c>
      <c r="BQ55" s="9">
        <f xml:space="preserve"> IF(CABLES[[#This Row],[SEG5]] &gt;0,INDEX(SEGMENTS[], MATCH(CABLES[[#Headers],[SEG5]],SEGMENTS[SEG_ID],0),4),0)</f>
        <v>0</v>
      </c>
      <c r="BR55" s="9">
        <f xml:space="preserve"> IF(CABLES[[#This Row],[SEG6]] &gt;0,INDEX(SEGMENTS[], MATCH(CABLES[[#Headers],[SEG6]],SEGMENTS[SEG_ID],0),4),0)</f>
        <v>0</v>
      </c>
      <c r="BS55" s="9">
        <f xml:space="preserve"> IF(CABLES[[#This Row],[SEG7]] &gt;0,INDEX(SEGMENTS[], MATCH(CABLES[[#Headers],[SEG7]],SEGMENTS[SEG_ID],0),4),0)</f>
        <v>0</v>
      </c>
      <c r="BT55" s="9">
        <f xml:space="preserve"> IF(CABLES[[#This Row],[SEG8]] &gt;0,INDEX(SEGMENTS[], MATCH(CABLES[[#Headers],[SEG8]],SEGMENTS[SEG_ID],0),4),0)</f>
        <v>0</v>
      </c>
      <c r="BU55" s="9">
        <f xml:space="preserve"> IF(CABLES[[#This Row],[SEG9]] &gt;0,INDEX(SEGMENTS[], MATCH(CABLES[[#Headers],[SEG9]],SEGMENTS[SEG_ID],0),4),0)</f>
        <v>0</v>
      </c>
      <c r="BV55" s="9">
        <f xml:space="preserve"> IF(CABLES[[#This Row],[SEG10]] &gt;0,INDEX(SEGMENTS[], MATCH(CABLES[[#Headers],[SEG10]],SEGMENTS[SEG_ID],0),4),0)</f>
        <v>0</v>
      </c>
      <c r="BW55" s="9">
        <f xml:space="preserve"> IF(CABLES[[#This Row],[SEG11]] &gt;0,INDEX(SEGMENTS[], MATCH(CABLES[[#Headers],[SEG11]],SEGMENTS[SEG_ID],0),4),0)</f>
        <v>0</v>
      </c>
      <c r="BX55" s="9">
        <f>IF(CABLES[[#This Row],[SEG12]] &gt;0, INDEX(SEGMENTS[], MATCH(CABLES[[#Headers],[SEG12]],SEGMENTS[SEG_ID],0),4),0)</f>
        <v>0</v>
      </c>
      <c r="BY55" s="9">
        <f xml:space="preserve"> IF(CABLES[[#This Row],[SEG13]] &gt;0,INDEX(SEGMENTS[], MATCH(CABLES[[#Headers],[SEG13]],SEGMENTS[SEG_ID],0),4),0)</f>
        <v>0</v>
      </c>
      <c r="BZ55" s="9">
        <f xml:space="preserve"> IF(CABLES[[#This Row],[SEG14]] &gt;0,INDEX(SEGMENTS[], MATCH(CABLES[[#Headers],[SEG14]],SEGMENTS[SEG_ID],0),4),0)</f>
        <v>0</v>
      </c>
      <c r="CA55" s="9">
        <f xml:space="preserve"> IF(CABLES[[#This Row],[SEG15]] &gt;0,INDEX(SEGMENTS[], MATCH(CABLES[[#Headers],[SEG15]],SEGMENTS[SEG_ID],0),4),0)</f>
        <v>0</v>
      </c>
      <c r="CB55" s="9">
        <f xml:space="preserve"> IF(CABLES[[#This Row],[SEG16]] &gt;0,INDEX(SEGMENTS[], MATCH(CABLES[[#Headers],[SEG16]],SEGMENTS[SEG_ID],0),4),0)</f>
        <v>0</v>
      </c>
      <c r="CC55" s="9">
        <f xml:space="preserve"> IF(CABLES[[#This Row],[SEG17]] &gt;0,INDEX(SEGMENTS[], MATCH(CABLES[[#Headers],[SEG17]],SEGMENTS[SEG_ID],0),4),0)</f>
        <v>0</v>
      </c>
      <c r="CD55" s="9">
        <f xml:space="preserve"> IF(CABLES[[#This Row],[SEG18]] &gt;0,INDEX(SEGMENTS[], MATCH(CABLES[[#Headers],[SEG18]],SEGMENTS[SEG_ID],0),4),0)</f>
        <v>0</v>
      </c>
      <c r="CE55" s="9">
        <f>IF(CABLES[[#This Row],[SEG19]] &gt;0, INDEX(SEGMENTS[], MATCH(CABLES[[#Headers],[SEG19]],SEGMENTS[SEG_ID],0),4),0)</f>
        <v>0</v>
      </c>
      <c r="CF55" s="9">
        <f>IF(CABLES[[#This Row],[SEG20]] &gt;0, INDEX(SEGMENTS[], MATCH(CABLES[[#Headers],[SEG20]],SEGMENTS[SEG_ID],0),4),0)</f>
        <v>0</v>
      </c>
      <c r="CG55" s="9">
        <f xml:space="preserve"> IF(CABLES[[#This Row],[SEG21]] &gt;0,INDEX(SEGMENTS[], MATCH(CABLES[[#Headers],[SEG21]],SEGMENTS[SEG_ID],0),4),0)</f>
        <v>0</v>
      </c>
      <c r="CH55" s="9">
        <f xml:space="preserve"> IF(CABLES[[#This Row],[SEG22]] &gt;0,INDEX(SEGMENTS[], MATCH(CABLES[[#Headers],[SEG22]],SEGMENTS[SEG_ID],0),4),0)</f>
        <v>0</v>
      </c>
      <c r="CI55" s="9">
        <f>IF(CABLES[[#This Row],[SEG23]] &gt;0, INDEX(SEGMENTS[], MATCH(CABLES[[#Headers],[SEG23]],SEGMENTS[SEG_ID],0),4),0)</f>
        <v>0</v>
      </c>
      <c r="CJ55" s="9">
        <f xml:space="preserve"> IF(CABLES[[#This Row],[SEG24]] &gt;0,INDEX(SEGMENTS[], MATCH(CABLES[[#Headers],[SEG24]],SEGMENTS[SEG_ID],0),4),0)</f>
        <v>0</v>
      </c>
      <c r="CK55" s="9">
        <f>IF(CABLES[[#This Row],[SEG25]] &gt;0, INDEX(SEGMENTS[], MATCH(CABLES[[#Headers],[SEG25]],SEGMENTS[SEG_ID],0),4),0)</f>
        <v>0</v>
      </c>
      <c r="CL55" s="9">
        <f>IF(CABLES[[#This Row],[SEG26]] &gt;0, INDEX(SEGMENTS[], MATCH(CABLES[[#Headers],[SEG26]],SEGMENTS[SEG_ID],0),4),0)</f>
        <v>0</v>
      </c>
      <c r="CM55" s="9">
        <f xml:space="preserve"> IF(CABLES[[#This Row],[SEG27]] &gt;0,INDEX(SEGMENTS[], MATCH(CABLES[[#Headers],[SEG27]],SEGMENTS[SEG_ID],0),4),0)</f>
        <v>0</v>
      </c>
      <c r="CN55" s="9">
        <f xml:space="preserve"> IF(CABLES[[#This Row],[SEG28]] &gt;0,INDEX(SEGMENTS[], MATCH(CABLES[[#Headers],[SEG28]],SEGMENTS[SEG_ID],0),4),0)</f>
        <v>0</v>
      </c>
      <c r="CO55" s="9">
        <f xml:space="preserve"> IF(CABLES[[#This Row],[SEG29]] &gt;0,INDEX(SEGMENTS[], MATCH(CABLES[[#Headers],[SEG29]],SEGMENTS[SEG_ID],0),4),0)</f>
        <v>0</v>
      </c>
      <c r="CP55" s="9">
        <f xml:space="preserve"> IF(CABLES[[#This Row],[SEG30]] &gt;0,INDEX(SEGMENTS[], MATCH(CABLES[[#Headers],[SEG30]],SEGMENTS[SEG_ID],0),4),0)</f>
        <v>6</v>
      </c>
      <c r="CQ55" s="9">
        <f>IF(CABLES[[#This Row],[SEG31]] &gt;0, INDEX(SEGMENTS[], MATCH(CABLES[[#Headers],[SEG31]],SEGMENTS[SEG_ID],0),4),0)</f>
        <v>3</v>
      </c>
      <c r="CR55" s="9">
        <f xml:space="preserve"> IF(CABLES[[#This Row],[SEG32]] &gt;0,INDEX(SEGMENTS[], MATCH(CABLES[[#Headers],[SEG32]],SEGMENTS[SEG_ID],0),4),0)</f>
        <v>5</v>
      </c>
      <c r="CS55" s="9">
        <f xml:space="preserve"> IF(CABLES[[#This Row],[SEG33]] &gt;0,INDEX(SEGMENTS[], MATCH(CABLES[[#Headers],[SEG33]],SEGMENTS[SEG_ID],0),4),0)</f>
        <v>0</v>
      </c>
      <c r="CT55" s="9">
        <f>IF(CABLES[[#This Row],[SEG34]] &gt;0, INDEX(SEGMENTS[], MATCH(CABLES[[#Headers],[SEG34]],SEGMENTS[SEG_ID],0),4),0)</f>
        <v>7</v>
      </c>
      <c r="CU55" s="9">
        <f xml:space="preserve"> IF(CABLES[[#This Row],[SEG35]] &gt;0,INDEX(SEGMENTS[], MATCH(CABLES[[#Headers],[SEG35]],SEGMENTS[SEG_ID],0),4),0)</f>
        <v>0</v>
      </c>
      <c r="CV55" s="9">
        <f xml:space="preserve"> IF(CABLES[[#This Row],[SEG36]] &gt;0,INDEX(SEGMENTS[], MATCH(CABLES[[#Headers],[SEG36]],SEGMENTS[SEG_ID],0),4),0)</f>
        <v>0</v>
      </c>
      <c r="CW55" s="9">
        <f xml:space="preserve"> IF(CABLES[[#This Row],[SEG37]] &gt;0,INDEX(SEGMENTS[], MATCH(CABLES[[#Headers],[SEG37]],SEGMENTS[SEG_ID],0),4),0)</f>
        <v>5</v>
      </c>
      <c r="CX55" s="9">
        <f xml:space="preserve"> IF(CABLES[[#This Row],[SEG38]] &gt;0,INDEX(SEGMENTS[], MATCH(CABLES[[#Headers],[SEG38]],SEGMENTS[SEG_ID],0),4),0)</f>
        <v>15</v>
      </c>
      <c r="CY55" s="9">
        <f xml:space="preserve"> IF(CABLES[[#This Row],[SEG39]] &gt;0,INDEX(SEGMENTS[], MATCH(CABLES[[#Headers],[SEG39]],SEGMENTS[SEG_ID],0),4),0)</f>
        <v>0</v>
      </c>
      <c r="CZ55" s="9">
        <f xml:space="preserve"> IF(CABLES[[#This Row],[SEG40]] &gt;0,INDEX(SEGMENTS[], MATCH(CABLES[[#Headers],[SEG40]],SEGMENTS[SEG_ID],0),4),0)</f>
        <v>0</v>
      </c>
      <c r="DA55" s="9">
        <f xml:space="preserve"> IF(CABLES[[#This Row],[SEG41]] &gt;0,INDEX(SEGMENTS[], MATCH(CABLES[[#Headers],[SEG41]],SEGMENTS[SEG_ID],0),4),0)</f>
        <v>0</v>
      </c>
      <c r="DB55" s="9">
        <f xml:space="preserve"> IF(CABLES[[#This Row],[SEG42]] &gt;0,INDEX(SEGMENTS[], MATCH(CABLES[[#Headers],[SEG42]],SEGMENTS[SEG_ID],0),4),0)</f>
        <v>0</v>
      </c>
      <c r="DC55" s="9">
        <f xml:space="preserve"> IF(CABLES[[#This Row],[SEG43]] &gt;0,INDEX(SEGMENTS[], MATCH(CABLES[[#Headers],[SEG43]],SEGMENTS[SEG_ID],0),4),0)</f>
        <v>0</v>
      </c>
      <c r="DD55" s="9">
        <f xml:space="preserve"> IF(CABLES[[#This Row],[SEG44]] &gt;0,INDEX(SEGMENTS[], MATCH(CABLES[[#Headers],[SEG44]],SEGMENTS[SEG_ID],0),4),0)</f>
        <v>0</v>
      </c>
      <c r="DE55" s="9">
        <f xml:space="preserve"> IF(CABLES[[#This Row],[SEG45]] &gt;0,INDEX(SEGMENTS[], MATCH(CABLES[[#Headers],[SEG45]],SEGMENTS[SEG_ID],0),4),0)</f>
        <v>0</v>
      </c>
      <c r="DF55" s="9">
        <f xml:space="preserve"> IF(CABLES[[#This Row],[SEG46]] &gt;0,INDEX(SEGMENTS[], MATCH(CABLES[[#Headers],[SEG46]],SEGMENTS[SEG_ID],0),4),0)</f>
        <v>0</v>
      </c>
      <c r="DG55" s="9">
        <f xml:space="preserve"> IF(CABLES[[#This Row],[SEG47]] &gt;0,INDEX(SEGMENTS[], MATCH(CABLES[[#Headers],[SEG47]],SEGMENTS[SEG_ID],0),4),0)</f>
        <v>0</v>
      </c>
      <c r="DH55" s="9">
        <f xml:space="preserve"> IF(CABLES[[#This Row],[SEG48]] &gt;0,INDEX(SEGMENTS[], MATCH(CABLES[[#Headers],[SEG48]],SEGMENTS[SEG_ID],0),4),0)</f>
        <v>0</v>
      </c>
      <c r="DI55" s="9">
        <f xml:space="preserve"> IF(CABLES[[#This Row],[SEG49]] &gt;0,INDEX(SEGMENTS[], MATCH(CABLES[[#Headers],[SEG49]],SEGMENTS[SEG_ID],0),4),0)</f>
        <v>0</v>
      </c>
      <c r="DJ55" s="9">
        <f xml:space="preserve"> IF(CABLES[[#This Row],[SEG50]] &gt;0,INDEX(SEGMENTS[], MATCH(CABLES[[#Headers],[SEG50]],SEGMENTS[SEG_ID],0),4),0)</f>
        <v>0</v>
      </c>
      <c r="DK55" s="9">
        <f xml:space="preserve"> IF(CABLES[[#This Row],[SEG51]] &gt;0,INDEX(SEGMENTS[], MATCH(CABLES[[#Headers],[SEG51]],SEGMENTS[SEG_ID],0),4),0)</f>
        <v>0</v>
      </c>
      <c r="DL55" s="9">
        <f xml:space="preserve"> IF(CABLES[[#This Row],[SEG52]] &gt;0,INDEX(SEGMENTS[], MATCH(CABLES[[#Headers],[SEG52]],SEGMENTS[SEG_ID],0),4),0)</f>
        <v>0</v>
      </c>
      <c r="DM55" s="9">
        <f xml:space="preserve"> IF(CABLES[[#This Row],[SEG53]] &gt;0,INDEX(SEGMENTS[], MATCH(CABLES[[#Headers],[SEG53]],SEGMENTS[SEG_ID],0),4),0)</f>
        <v>0</v>
      </c>
      <c r="DN55" s="9">
        <f xml:space="preserve"> IF(CABLES[[#This Row],[SEG54]] &gt;0,INDEX(SEGMENTS[], MATCH(CABLES[[#Headers],[SEG54]],SEGMENTS[SEG_ID],0),4),0)</f>
        <v>0</v>
      </c>
      <c r="DO55" s="9">
        <f xml:space="preserve"> IF(CABLES[[#This Row],[SEG55]] &gt;0,INDEX(SEGMENTS[], MATCH(CABLES[[#Headers],[SEG55]],SEGMENTS[SEG_ID],0),4),0)</f>
        <v>0</v>
      </c>
      <c r="DP55" s="9">
        <f xml:space="preserve"> IF(CABLES[[#This Row],[SEG56]] &gt;0,INDEX(SEGMENTS[], MATCH(CABLES[[#Headers],[SEG56]],SEGMENTS[SEG_ID],0),4),0)</f>
        <v>0</v>
      </c>
      <c r="DQ55" s="9">
        <f xml:space="preserve"> IF(CABLES[[#This Row],[SEG57]] &gt;0,INDEX(SEGMENTS[], MATCH(CABLES[[#Headers],[SEG57]],SEGMENTS[SEG_ID],0),4),0)</f>
        <v>0</v>
      </c>
      <c r="DR55" s="9">
        <f xml:space="preserve"> IF(CABLES[[#This Row],[SEG58]] &gt;0,INDEX(SEGMENTS[], MATCH(CABLES[[#Headers],[SEG58]],SEGMENTS[SEG_ID],0),4),0)</f>
        <v>0</v>
      </c>
      <c r="DS55" s="9">
        <f xml:space="preserve"> IF(CABLES[[#This Row],[SEG59]] &gt;0,INDEX(SEGMENTS[], MATCH(CABLES[[#Headers],[SEG59]],SEGMENTS[SEG_ID],0),4),0)</f>
        <v>0</v>
      </c>
      <c r="DT55" s="9">
        <f xml:space="preserve"> IF(CABLES[[#This Row],[SEG60]] &gt;0,INDEX(SEGMENTS[], MATCH(CABLES[[#Headers],[SEG60]],SEGMENTS[SEG_ID],0),4),0)</f>
        <v>0</v>
      </c>
      <c r="DU55" s="10">
        <f>SUM(CABLES[[#This Row],[SEGL1]:[SEGL60]])</f>
        <v>41</v>
      </c>
      <c r="DV55" s="10">
        <v>5</v>
      </c>
      <c r="DW55" s="10">
        <v>1.2</v>
      </c>
      <c r="DX55" s="10">
        <f xml:space="preserve"> IF(CABLES[[#This Row],[SEGL_TOTAL]]&gt;0, (CABLES[[#This Row],[SEGL_TOTAL]] + CABLES[[#This Row],[FITOFF]]) *CABLES[[#This Row],[XCAPACITY]],0)</f>
        <v>55.199999999999996</v>
      </c>
      <c r="DY55" s="10">
        <f>IF(CABLES[[#This Row],[SEG1]]&gt;0,CABLES[[#This Row],[CABLE_DIAMETER]],0)</f>
        <v>0</v>
      </c>
      <c r="DZ55" s="10">
        <f>IF(CABLES[[#This Row],[SEG2]]&gt;0,CABLES[[#This Row],[CABLE_DIAMETER]],0)</f>
        <v>0</v>
      </c>
      <c r="EA55" s="10">
        <f>IF(CABLES[[#This Row],[SEG3]]&gt;0,CABLES[[#This Row],[CABLE_DIAMETER]],0)</f>
        <v>0</v>
      </c>
      <c r="EB55" s="10">
        <f>IF(CABLES[[#This Row],[SEG4]]&gt;0,CABLES[[#This Row],[CABLE_DIAMETER]],0)</f>
        <v>0</v>
      </c>
      <c r="EC55" s="10">
        <f>IF(CABLES[[#This Row],[SEG5]]&gt;0,CABLES[[#This Row],[CABLE_DIAMETER]],0)</f>
        <v>0</v>
      </c>
      <c r="ED55" s="10">
        <f>IF(CABLES[[#This Row],[SEG6]]&gt;0,CABLES[[#This Row],[CABLE_DIAMETER]],0)</f>
        <v>0</v>
      </c>
      <c r="EE55" s="10">
        <f>IF(CABLES[[#This Row],[SEG7]]&gt;0,CABLES[[#This Row],[CABLE_DIAMETER]],0)</f>
        <v>0</v>
      </c>
      <c r="EF55" s="10">
        <f>IF(CABLES[[#This Row],[SEG9]]&gt;0,CABLES[[#This Row],[CABLE_DIAMETER]],0)</f>
        <v>0</v>
      </c>
      <c r="EG55" s="10">
        <f>IF(CABLES[[#This Row],[SEG9]]&gt;0,CABLES[[#This Row],[CABLE_DIAMETER]],0)</f>
        <v>0</v>
      </c>
      <c r="EH55" s="10">
        <f>IF(CABLES[[#This Row],[SEG10]]&gt;0,CABLES[[#This Row],[CABLE_DIAMETER]],0)</f>
        <v>0</v>
      </c>
      <c r="EI55" s="10">
        <f>IF(CABLES[[#This Row],[SEG11]]&gt;0,CABLES[[#This Row],[CABLE_DIAMETER]],0)</f>
        <v>0</v>
      </c>
      <c r="EJ55" s="10">
        <f>IF(CABLES[[#This Row],[SEG12]]&gt;0,CABLES[[#This Row],[CABLE_DIAMETER]],0)</f>
        <v>0</v>
      </c>
      <c r="EK55" s="10">
        <f>IF(CABLES[[#This Row],[SEG13]]&gt;0,CABLES[[#This Row],[CABLE_DIAMETER]],0)</f>
        <v>0</v>
      </c>
      <c r="EL55" s="10">
        <f>IF(CABLES[[#This Row],[SEG14]]&gt;0,CABLES[[#This Row],[CABLE_DIAMETER]],0)</f>
        <v>0</v>
      </c>
      <c r="EM55" s="10">
        <f>IF(CABLES[[#This Row],[SEG15]]&gt;0,CABLES[[#This Row],[CABLE_DIAMETER]],0)</f>
        <v>0</v>
      </c>
      <c r="EN55" s="10">
        <f>IF(CABLES[[#This Row],[SEG16]]&gt;0,CABLES[[#This Row],[CABLE_DIAMETER]],0)</f>
        <v>0</v>
      </c>
      <c r="EO55" s="10">
        <f>IF(CABLES[[#This Row],[SEG17]]&gt;0,CABLES[[#This Row],[CABLE_DIAMETER]],0)</f>
        <v>0</v>
      </c>
      <c r="EP55" s="10">
        <f>IF(CABLES[[#This Row],[SEG18]]&gt;0,CABLES[[#This Row],[CABLE_DIAMETER]],0)</f>
        <v>0</v>
      </c>
      <c r="EQ55" s="10">
        <f>IF(CABLES[[#This Row],[SEG19]]&gt;0,CABLES[[#This Row],[CABLE_DIAMETER]],0)</f>
        <v>0</v>
      </c>
      <c r="ER55" s="10">
        <f>IF(CABLES[[#This Row],[SEG20]]&gt;0,CABLES[[#This Row],[CABLE_DIAMETER]],0)</f>
        <v>0</v>
      </c>
      <c r="ES55" s="10">
        <f>IF(CABLES[[#This Row],[SEG21]]&gt;0,CABLES[[#This Row],[CABLE_DIAMETER]],0)</f>
        <v>0</v>
      </c>
      <c r="ET55" s="10">
        <f>IF(CABLES[[#This Row],[SEG22]]&gt;0,CABLES[[#This Row],[CABLE_DIAMETER]],0)</f>
        <v>0</v>
      </c>
      <c r="EU55" s="10">
        <f>IF(CABLES[[#This Row],[SEG23]]&gt;0,CABLES[[#This Row],[CABLE_DIAMETER]],0)</f>
        <v>0</v>
      </c>
      <c r="EV55" s="10">
        <f>IF(CABLES[[#This Row],[SEG24]]&gt;0,CABLES[[#This Row],[CABLE_DIAMETER]],0)</f>
        <v>0</v>
      </c>
      <c r="EW55" s="10">
        <f>IF(CABLES[[#This Row],[SEG25]]&gt;0,CABLES[[#This Row],[CABLE_DIAMETER]],0)</f>
        <v>0</v>
      </c>
      <c r="EX55" s="10">
        <f>IF(CABLES[[#This Row],[SEG26]]&gt;0,CABLES[[#This Row],[CABLE_DIAMETER]],0)</f>
        <v>0</v>
      </c>
      <c r="EY55" s="10">
        <f>IF(CABLES[[#This Row],[SEG27]]&gt;0,CABLES[[#This Row],[CABLE_DIAMETER]],0)</f>
        <v>0</v>
      </c>
      <c r="EZ55" s="10">
        <f>IF(CABLES[[#This Row],[SEG28]]&gt;0,CABLES[[#This Row],[CABLE_DIAMETER]],0)</f>
        <v>0</v>
      </c>
      <c r="FA55" s="10">
        <f>IF(CABLES[[#This Row],[SEG29]]&gt;0,CABLES[[#This Row],[CABLE_DIAMETER]],0)</f>
        <v>0</v>
      </c>
      <c r="FB55" s="10">
        <f>IF(CABLES[[#This Row],[SEG30]]&gt;0,CABLES[[#This Row],[CABLE_DIAMETER]],0)</f>
        <v>14.5</v>
      </c>
      <c r="FC55" s="10">
        <f>IF(CABLES[[#This Row],[SEG31]]&gt;0,CABLES[[#This Row],[CABLE_DIAMETER]],0)</f>
        <v>14.5</v>
      </c>
      <c r="FD55" s="10">
        <f>IF(CABLES[[#This Row],[SEG32]]&gt;0,CABLES[[#This Row],[CABLE_DIAMETER]],0)</f>
        <v>14.5</v>
      </c>
      <c r="FE55" s="10">
        <f>IF(CABLES[[#This Row],[SEG33]]&gt;0,CABLES[[#This Row],[CABLE_DIAMETER]],0)</f>
        <v>0</v>
      </c>
      <c r="FF55" s="10">
        <f>IF(CABLES[[#This Row],[SEG34]]&gt;0,CABLES[[#This Row],[CABLE_DIAMETER]],0)</f>
        <v>14.5</v>
      </c>
      <c r="FG55" s="10">
        <f>IF(CABLES[[#This Row],[SEG35]]&gt;0,CABLES[[#This Row],[CABLE_DIAMETER]],0)</f>
        <v>0</v>
      </c>
      <c r="FH55" s="10">
        <f>IF(CABLES[[#This Row],[SEG36]]&gt;0,CABLES[[#This Row],[CABLE_DIAMETER]],0)</f>
        <v>0</v>
      </c>
      <c r="FI55" s="10">
        <f>IF(CABLES[[#This Row],[SEG37]]&gt;0,CABLES[[#This Row],[CABLE_DIAMETER]],0)</f>
        <v>14.5</v>
      </c>
      <c r="FJ55" s="10">
        <f>IF(CABLES[[#This Row],[SEG38]]&gt;0,CABLES[[#This Row],[CABLE_DIAMETER]],0)</f>
        <v>14.5</v>
      </c>
      <c r="FK55" s="10">
        <f>IF(CABLES[[#This Row],[SEG39]]&gt;0,CABLES[[#This Row],[CABLE_DIAMETER]],0)</f>
        <v>0</v>
      </c>
      <c r="FL55" s="10">
        <f>IF(CABLES[[#This Row],[SEG40]]&gt;0,CABLES[[#This Row],[CABLE_DIAMETER]],0)</f>
        <v>0</v>
      </c>
      <c r="FM55" s="10">
        <f>IF(CABLES[[#This Row],[SEG41]]&gt;0,CABLES[[#This Row],[CABLE_DIAMETER]],0)</f>
        <v>0</v>
      </c>
      <c r="FN55" s="10">
        <f>IF(CABLES[[#This Row],[SEG42]]&gt;0,CABLES[[#This Row],[CABLE_DIAMETER]],0)</f>
        <v>0</v>
      </c>
      <c r="FO55" s="10">
        <f>IF(CABLES[[#This Row],[SEG43]]&gt;0,CABLES[[#This Row],[CABLE_DIAMETER]],0)</f>
        <v>0</v>
      </c>
      <c r="FP55" s="10">
        <f>IF(CABLES[[#This Row],[SEG44]]&gt;0,CABLES[[#This Row],[CABLE_DIAMETER]],0)</f>
        <v>0</v>
      </c>
      <c r="FQ55" s="10">
        <f>IF(CABLES[[#This Row],[SEG45]]&gt;0,CABLES[[#This Row],[CABLE_DIAMETER]],0)</f>
        <v>0</v>
      </c>
      <c r="FR55" s="10">
        <f>IF(CABLES[[#This Row],[SEG46]]&gt;0,CABLES[[#This Row],[CABLE_DIAMETER]],0)</f>
        <v>0</v>
      </c>
      <c r="FS55" s="10">
        <f>IF(CABLES[[#This Row],[SEG47]]&gt;0,CABLES[[#This Row],[CABLE_DIAMETER]],0)</f>
        <v>0</v>
      </c>
      <c r="FT55" s="10">
        <f>IF(CABLES[[#This Row],[SEG48]]&gt;0,CABLES[[#This Row],[CABLE_DIAMETER]],0)</f>
        <v>0</v>
      </c>
      <c r="FU55" s="10">
        <f>IF(CABLES[[#This Row],[SEG49]]&gt;0,CABLES[[#This Row],[CABLE_DIAMETER]],0)</f>
        <v>0</v>
      </c>
      <c r="FV55" s="10">
        <f>IF(CABLES[[#This Row],[SEG50]]&gt;0,CABLES[[#This Row],[CABLE_DIAMETER]],0)</f>
        <v>0</v>
      </c>
      <c r="FW55" s="10">
        <f>IF(CABLES[[#This Row],[SEG51]]&gt;0,CABLES[[#This Row],[CABLE_DIAMETER]],0)</f>
        <v>0</v>
      </c>
      <c r="FX55" s="10">
        <f>IF(CABLES[[#This Row],[SEG52]]&gt;0,CABLES[[#This Row],[CABLE_DIAMETER]],0)</f>
        <v>0</v>
      </c>
      <c r="FY55" s="10">
        <f>IF(CABLES[[#This Row],[SEG53]]&gt;0,CABLES[[#This Row],[CABLE_DIAMETER]],0)</f>
        <v>0</v>
      </c>
      <c r="FZ55" s="10">
        <f>IF(CABLES[[#This Row],[SEG54]]&gt;0,CABLES[[#This Row],[CABLE_DIAMETER]],0)</f>
        <v>0</v>
      </c>
      <c r="GA55" s="10">
        <f>IF(CABLES[[#This Row],[SEG55]]&gt;0,CABLES[[#This Row],[CABLE_DIAMETER]],0)</f>
        <v>0</v>
      </c>
      <c r="GB55" s="10">
        <f>IF(CABLES[[#This Row],[SEG56]]&gt;0,CABLES[[#This Row],[CABLE_DIAMETER]],0)</f>
        <v>0</v>
      </c>
      <c r="GC55" s="10">
        <f>IF(CABLES[[#This Row],[SEG57]]&gt;0,CABLES[[#This Row],[CABLE_DIAMETER]],0)</f>
        <v>0</v>
      </c>
      <c r="GD55" s="10">
        <f>IF(CABLES[[#This Row],[SEG58]]&gt;0,CABLES[[#This Row],[CABLE_DIAMETER]],0)</f>
        <v>0</v>
      </c>
      <c r="GE55" s="10">
        <f>IF(CABLES[[#This Row],[SEG59]]&gt;0,CABLES[[#This Row],[CABLE_DIAMETER]],0)</f>
        <v>0</v>
      </c>
      <c r="GF55" s="10">
        <f>IF(CABLES[[#This Row],[SEG60]]&gt;0,CABLES[[#This Row],[CABLE_DIAMETER]],0)</f>
        <v>0</v>
      </c>
      <c r="GG55" s="10">
        <f>IF(CABLES[[#This Row],[SEG1]]&gt;0,CABLES[[#This Row],[CABLE_MASS]],0)</f>
        <v>0</v>
      </c>
      <c r="GH55" s="10">
        <f>IF(CABLES[[#This Row],[SEG2]]&gt;0,CABLES[[#This Row],[CABLE_MASS]],0)</f>
        <v>0</v>
      </c>
      <c r="GI55" s="10">
        <f>IF(CABLES[[#This Row],[SEG3]]&gt;0,CABLES[[#This Row],[CABLE_MASS]],0)</f>
        <v>0</v>
      </c>
      <c r="GJ55" s="10">
        <f>IF(CABLES[[#This Row],[SEG4]]&gt;0,CABLES[[#This Row],[CABLE_MASS]],0)</f>
        <v>0</v>
      </c>
      <c r="GK55" s="10">
        <f>IF(CABLES[[#This Row],[SEG5]]&gt;0,CABLES[[#This Row],[CABLE_MASS]],0)</f>
        <v>0</v>
      </c>
      <c r="GL55" s="10">
        <f>IF(CABLES[[#This Row],[SEG6]]&gt;0,CABLES[[#This Row],[CABLE_MASS]],0)</f>
        <v>0</v>
      </c>
      <c r="GM55" s="10">
        <f>IF(CABLES[[#This Row],[SEG7]]&gt;0,CABLES[[#This Row],[CABLE_MASS]],0)</f>
        <v>0</v>
      </c>
      <c r="GN55" s="10">
        <f>IF(CABLES[[#This Row],[SEG8]]&gt;0,CABLES[[#This Row],[CABLE_MASS]],0)</f>
        <v>0</v>
      </c>
      <c r="GO55" s="10">
        <f>IF(CABLES[[#This Row],[SEG9]]&gt;0,CABLES[[#This Row],[CABLE_MASS]],0)</f>
        <v>0</v>
      </c>
      <c r="GP55" s="10">
        <f>IF(CABLES[[#This Row],[SEG10]]&gt;0,CABLES[[#This Row],[CABLE_MASS]],0)</f>
        <v>0</v>
      </c>
      <c r="GQ55" s="10">
        <f>IF(CABLES[[#This Row],[SEG11]]&gt;0,CABLES[[#This Row],[CABLE_MASS]],0)</f>
        <v>0</v>
      </c>
      <c r="GR55" s="10">
        <f>IF(CABLES[[#This Row],[SEG12]]&gt;0,CABLES[[#This Row],[CABLE_MASS]],0)</f>
        <v>0</v>
      </c>
      <c r="GS55" s="10">
        <f>IF(CABLES[[#This Row],[SEG13]]&gt;0,CABLES[[#This Row],[CABLE_MASS]],0)</f>
        <v>0</v>
      </c>
      <c r="GT55" s="10">
        <f>IF(CABLES[[#This Row],[SEG14]]&gt;0,CABLES[[#This Row],[CABLE_MASS]],0)</f>
        <v>0</v>
      </c>
      <c r="GU55" s="10">
        <f>IF(CABLES[[#This Row],[SEG15]]&gt;0,CABLES[[#This Row],[CABLE_MASS]],0)</f>
        <v>0</v>
      </c>
      <c r="GV55" s="10">
        <f>IF(CABLES[[#This Row],[SEG16]]&gt;0,CABLES[[#This Row],[CABLE_MASS]],0)</f>
        <v>0</v>
      </c>
      <c r="GW55" s="10">
        <f>IF(CABLES[[#This Row],[SEG17]]&gt;0,CABLES[[#This Row],[CABLE_MASS]],0)</f>
        <v>0</v>
      </c>
      <c r="GX55" s="10">
        <f>IF(CABLES[[#This Row],[SEG18]]&gt;0,CABLES[[#This Row],[CABLE_MASS]],0)</f>
        <v>0</v>
      </c>
      <c r="GY55" s="10">
        <f>IF(CABLES[[#This Row],[SEG19]]&gt;0,CABLES[[#This Row],[CABLE_MASS]],0)</f>
        <v>0</v>
      </c>
      <c r="GZ55" s="10">
        <f>IF(CABLES[[#This Row],[SEG20]]&gt;0,CABLES[[#This Row],[CABLE_MASS]],0)</f>
        <v>0</v>
      </c>
      <c r="HA55" s="10">
        <f>IF(CABLES[[#This Row],[SEG21]]&gt;0,CABLES[[#This Row],[CABLE_MASS]],0)</f>
        <v>0</v>
      </c>
      <c r="HB55" s="10">
        <f>IF(CABLES[[#This Row],[SEG22]]&gt;0,CABLES[[#This Row],[CABLE_MASS]],0)</f>
        <v>0</v>
      </c>
      <c r="HC55" s="10">
        <f>IF(CABLES[[#This Row],[SEG23]]&gt;0,CABLES[[#This Row],[CABLE_MASS]],0)</f>
        <v>0</v>
      </c>
      <c r="HD55" s="10">
        <f>IF(CABLES[[#This Row],[SEG24]]&gt;0,CABLES[[#This Row],[CABLE_MASS]],0)</f>
        <v>0</v>
      </c>
      <c r="HE55" s="10">
        <f>IF(CABLES[[#This Row],[SEG25]]&gt;0,CABLES[[#This Row],[CABLE_MASS]],0)</f>
        <v>0</v>
      </c>
      <c r="HF55" s="10">
        <f>IF(CABLES[[#This Row],[SEG26]]&gt;0,CABLES[[#This Row],[CABLE_MASS]],0)</f>
        <v>0</v>
      </c>
      <c r="HG55" s="10">
        <f>IF(CABLES[[#This Row],[SEG27]]&gt;0,CABLES[[#This Row],[CABLE_MASS]],0)</f>
        <v>0</v>
      </c>
      <c r="HH55" s="10">
        <f>IF(CABLES[[#This Row],[SEG28]]&gt;0,CABLES[[#This Row],[CABLE_MASS]],0)</f>
        <v>0</v>
      </c>
      <c r="HI55" s="10">
        <f>IF(CABLES[[#This Row],[SEG29]]&gt;0,CABLES[[#This Row],[CABLE_MASS]],0)</f>
        <v>0</v>
      </c>
      <c r="HJ55" s="10">
        <f>IF(CABLES[[#This Row],[SEG30]]&gt;0,CABLES[[#This Row],[CABLE_MASS]],0)</f>
        <v>0.33</v>
      </c>
      <c r="HK55" s="10">
        <f>IF(CABLES[[#This Row],[SEG31]]&gt;0,CABLES[[#This Row],[CABLE_MASS]],0)</f>
        <v>0.33</v>
      </c>
      <c r="HL55" s="10">
        <f>IF(CABLES[[#This Row],[SEG32]]&gt;0,CABLES[[#This Row],[CABLE_MASS]],0)</f>
        <v>0.33</v>
      </c>
      <c r="HM55" s="10">
        <f>IF(CABLES[[#This Row],[SEG33]]&gt;0,CABLES[[#This Row],[CABLE_MASS]],0)</f>
        <v>0</v>
      </c>
      <c r="HN55" s="10">
        <f>IF(CABLES[[#This Row],[SEG34]]&gt;0,CABLES[[#This Row],[CABLE_MASS]],0)</f>
        <v>0.33</v>
      </c>
      <c r="HO55" s="10">
        <f>IF(CABLES[[#This Row],[SEG35]]&gt;0,CABLES[[#This Row],[CABLE_MASS]],0)</f>
        <v>0</v>
      </c>
      <c r="HP55" s="10">
        <f>IF(CABLES[[#This Row],[SEG36]]&gt;0,CABLES[[#This Row],[CABLE_MASS]],0)</f>
        <v>0</v>
      </c>
      <c r="HQ55" s="10">
        <f>IF(CABLES[[#This Row],[SEG37]]&gt;0,CABLES[[#This Row],[CABLE_MASS]],0)</f>
        <v>0.33</v>
      </c>
      <c r="HR55" s="10">
        <f>IF(CABLES[[#This Row],[SEG38]]&gt;0,CABLES[[#This Row],[CABLE_MASS]],0)</f>
        <v>0.33</v>
      </c>
      <c r="HS55" s="10">
        <f>IF(CABLES[[#This Row],[SEG39]]&gt;0,CABLES[[#This Row],[CABLE_MASS]],0)</f>
        <v>0</v>
      </c>
      <c r="HT55" s="10">
        <f>IF(CABLES[[#This Row],[SEG40]]&gt;0,CABLES[[#This Row],[CABLE_MASS]],0)</f>
        <v>0</v>
      </c>
      <c r="HU55" s="10">
        <f>IF(CABLES[[#This Row],[SEG41]]&gt;0,CABLES[[#This Row],[CABLE_MASS]],0)</f>
        <v>0</v>
      </c>
      <c r="HV55" s="10">
        <f>IF(CABLES[[#This Row],[SEG42]]&gt;0,CABLES[[#This Row],[CABLE_MASS]],0)</f>
        <v>0</v>
      </c>
      <c r="HW55" s="10">
        <f>IF(CABLES[[#This Row],[SEG43]]&gt;0,CABLES[[#This Row],[CABLE_MASS]],0)</f>
        <v>0</v>
      </c>
      <c r="HX55" s="10">
        <f>IF(CABLES[[#This Row],[SEG44]]&gt;0,CABLES[[#This Row],[CABLE_MASS]],0)</f>
        <v>0</v>
      </c>
      <c r="HY55" s="10">
        <f>IF(CABLES[[#This Row],[SEG45]]&gt;0,CABLES[[#This Row],[CABLE_MASS]],0)</f>
        <v>0</v>
      </c>
      <c r="HZ55" s="10">
        <f>IF(CABLES[[#This Row],[SEG46]]&gt;0,CABLES[[#This Row],[CABLE_MASS]],0)</f>
        <v>0</v>
      </c>
      <c r="IA55" s="10">
        <f>IF(CABLES[[#This Row],[SEG47]]&gt;0,CABLES[[#This Row],[CABLE_MASS]],0)</f>
        <v>0</v>
      </c>
      <c r="IB55" s="10">
        <f>IF(CABLES[[#This Row],[SEG48]]&gt;0,CABLES[[#This Row],[CABLE_MASS]],0)</f>
        <v>0</v>
      </c>
      <c r="IC55" s="10">
        <f>IF(CABLES[[#This Row],[SEG49]]&gt;0,CABLES[[#This Row],[CABLE_MASS]],0)</f>
        <v>0</v>
      </c>
      <c r="ID55" s="10">
        <f>IF(CABLES[[#This Row],[SEG50]]&gt;0,CABLES[[#This Row],[CABLE_MASS]],0)</f>
        <v>0</v>
      </c>
      <c r="IE55" s="10">
        <f>IF(CABLES[[#This Row],[SEG51]]&gt;0,CABLES[[#This Row],[CABLE_MASS]],0)</f>
        <v>0</v>
      </c>
      <c r="IF55" s="10">
        <f>IF(CABLES[[#This Row],[SEG52]]&gt;0,CABLES[[#This Row],[CABLE_MASS]],0)</f>
        <v>0</v>
      </c>
      <c r="IG55" s="10">
        <f>IF(CABLES[[#This Row],[SEG53]]&gt;0,CABLES[[#This Row],[CABLE_MASS]],0)</f>
        <v>0</v>
      </c>
      <c r="IH55" s="10">
        <f>IF(CABLES[[#This Row],[SEG54]]&gt;0,CABLES[[#This Row],[CABLE_MASS]],0)</f>
        <v>0</v>
      </c>
      <c r="II55" s="10">
        <f>IF(CABLES[[#This Row],[SEG55]]&gt;0,CABLES[[#This Row],[CABLE_MASS]],0)</f>
        <v>0</v>
      </c>
      <c r="IJ55" s="10">
        <f>IF(CABLES[[#This Row],[SEG56]]&gt;0,CABLES[[#This Row],[CABLE_MASS]],0)</f>
        <v>0</v>
      </c>
      <c r="IK55" s="10">
        <f>IF(CABLES[[#This Row],[SEG57]]&gt;0,CABLES[[#This Row],[CABLE_MASS]],0)</f>
        <v>0</v>
      </c>
      <c r="IL55" s="10">
        <f>IF(CABLES[[#This Row],[SEG58]]&gt;0,CABLES[[#This Row],[CABLE_MASS]],0)</f>
        <v>0</v>
      </c>
      <c r="IM55" s="10">
        <f>IF(CABLES[[#This Row],[SEG59]]&gt;0,CABLES[[#This Row],[CABLE_MASS]],0)</f>
        <v>0</v>
      </c>
      <c r="IN55" s="10">
        <f>IF(CABLES[[#This Row],[SEG60]]&gt;0,CABLES[[#This Row],[CABLE_MASS]],0)</f>
        <v>0</v>
      </c>
      <c r="IO55" s="10">
        <f xml:space="preserve">  (CABLES[[#This Row],[LOAD_KW]]/(SQRT(3)*SYSTEM_VOLTAGE*POWER_FACTOR))*1000</f>
        <v>6.4150029909958413</v>
      </c>
      <c r="IP55" s="10">
        <v>45</v>
      </c>
      <c r="IQ55" s="10">
        <f xml:space="preserve"> INDEX(AS3000_AMBIENTDERATE[], MATCH(CABLES[[#This Row],[AMBIENT]],AS3000_AMBIENTDERATE[AMBIENT],0), 2)</f>
        <v>0.94</v>
      </c>
      <c r="IR55" s="10">
        <f xml:space="preserve"> ROUNDUP( CABLES[[#This Row],[CALCULATED_AMPS]]/CABLES[[#This Row],[AMBIENT_DERATING]],1)</f>
        <v>6.8999999999999995</v>
      </c>
      <c r="IS55" s="10" t="s">
        <v>531</v>
      </c>
      <c r="IT5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5" s="10">
        <f t="shared" si="1"/>
        <v>28.000000000000004</v>
      </c>
      <c r="IV55" s="10">
        <f>(1000*CABLES[[#This Row],[MAX_VDROP]])/(CABLES[[#This Row],[ESTIMATED_CABLE_LENGTH]]*CABLES[[#This Row],[AMP_RATING]])</f>
        <v>73.513967653854252</v>
      </c>
      <c r="IW55" s="10">
        <f xml:space="preserve"> INDEX(AS3000_VDROP[], MATCH(CABLES[[#This Row],[VC_CALC]],AS3000_VDROP[Vc],1),1)</f>
        <v>2.5</v>
      </c>
      <c r="IX55" s="10">
        <f>MAX(CABLES[[#This Row],[CABLESIZE_METHOD1]],CABLES[[#This Row],[CABLESIZE_METHOD2]])</f>
        <v>2.5</v>
      </c>
      <c r="IY55" s="10"/>
      <c r="IZ55" s="10">
        <f>IF(LEN(CABLES[[#This Row],[OVERRIDE_CABLESIZE]])&gt;0,CABLES[[#This Row],[OVERRIDE_CABLESIZE]],CABLES[[#This Row],[INITIAL_CABLESIZE]])</f>
        <v>2.5</v>
      </c>
      <c r="JA55" s="10">
        <f>INDEX(PROTECTIVE_DEVICE[DEVICE], MATCH(CABLES[[#This Row],[CALCULATED_AMPS]],PROTECTIVE_DEVICE[DEVICE],-1),1)</f>
        <v>10</v>
      </c>
      <c r="JB55" s="10"/>
      <c r="JC55" s="10">
        <f>IF(LEN(CABLES[[#This Row],[OVERRIDE_PDEVICE]])&gt;0, CABLES[[#This Row],[OVERRIDE_PDEVICE]],CABLES[[#This Row],[RECOMMEND_PDEVICE]])</f>
        <v>10</v>
      </c>
      <c r="JD55" s="10" t="s">
        <v>450</v>
      </c>
      <c r="JE55" s="10">
        <f xml:space="preserve"> CABLES[[#This Row],[SELECTED_PDEVICE]] * INDEX(DEVICE_CURVE[], MATCH(CABLES[[#This Row],[PDEVICE_CURVE]], DEVICE_CURVE[DEVICE_CURVE],0),2)</f>
        <v>65</v>
      </c>
      <c r="JF55" s="10" t="s">
        <v>458</v>
      </c>
      <c r="JG55" s="10">
        <f xml:space="preserve"> INDEX(CONDUCTOR_MATERIAL[], MATCH(CABLES[[#This Row],[CONDUCTOR_MATERIAL]],CONDUCTOR_MATERIAL[CONDUCTOR_MATERIAL],0),2)</f>
        <v>2.2499999999999999E-2</v>
      </c>
      <c r="JH55" s="10">
        <f>CABLES[[#This Row],[SELECTED_CABLESIZE]]</f>
        <v>2.5</v>
      </c>
      <c r="JI55" s="10">
        <f xml:space="preserve"> INDEX( EARTH_CONDUCTOR_SIZE[], MATCH(CABLES[[#This Row],[SPH]],EARTH_CONDUCTOR_SIZE[MM^2],-1), 2)</f>
        <v>2.5</v>
      </c>
      <c r="JJ55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55" s="10" t="str">
        <f>IF(CABLES[[#This Row],[LMAX]]&gt;CABLES[[#This Row],[ESTIMATED_CABLE_LENGTH]], "PASS", "ERROR")</f>
        <v>PASS</v>
      </c>
      <c r="JL5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5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55" s="6">
        <f xml:space="preserve"> ROUNDUP( CABLES[[#This Row],[CALCULATED_AMPS]],1)</f>
        <v>6.5</v>
      </c>
      <c r="JO55" s="6">
        <f>CABLES[[#This Row],[SELECTED_CABLESIZE]]</f>
        <v>2.5</v>
      </c>
      <c r="JP55" s="10">
        <f>CABLES[[#This Row],[ESTIMATED_CABLE_LENGTH]]</f>
        <v>55.199999999999996</v>
      </c>
      <c r="JQ55" s="6">
        <f>CABLES[[#This Row],[SELECTED_PDEVICE]]</f>
        <v>10</v>
      </c>
    </row>
    <row r="56" spans="1:277" x14ac:dyDescent="0.35">
      <c r="A56" s="5" t="s">
        <v>55</v>
      </c>
      <c r="B56" s="5" t="s">
        <v>503</v>
      </c>
      <c r="C56" s="10" t="s">
        <v>261</v>
      </c>
      <c r="D56" s="9">
        <v>5.5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1</v>
      </c>
      <c r="AI56" s="9">
        <v>1</v>
      </c>
      <c r="AJ56" s="9">
        <v>1</v>
      </c>
      <c r="AK56" s="9">
        <v>0</v>
      </c>
      <c r="AL56" s="9">
        <v>1</v>
      </c>
      <c r="AM56" s="9">
        <v>0</v>
      </c>
      <c r="AN56" s="9">
        <v>0</v>
      </c>
      <c r="AO56" s="9">
        <v>1</v>
      </c>
      <c r="AP56" s="9">
        <v>1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f xml:space="preserve"> IF(CABLES[[#This Row],[SEG1]] &gt;0, INDEX(SEGMENTS[], MATCH(CABLES[[#Headers],[SEG1]],SEGMENTS[SEG_ID],0),4),0)</f>
        <v>0</v>
      </c>
      <c r="BN56" s="9">
        <f xml:space="preserve"> IF(CABLES[[#This Row],[SEG2]] &gt;0, INDEX(SEGMENTS[], MATCH(CABLES[[#Headers],[SEG2]],SEGMENTS[SEG_ID],0),4),0)</f>
        <v>0</v>
      </c>
      <c r="BO56" s="9">
        <f xml:space="preserve"> IF(CABLES[[#This Row],[SEG3]] &gt;0, INDEX(SEGMENTS[], MATCH(CABLES[[#Headers],[SEG3]],SEGMENTS[SEG_ID],0),4),0)</f>
        <v>0</v>
      </c>
      <c r="BP56" s="9">
        <f xml:space="preserve"> IF(CABLES[[#This Row],[SEG4]] &gt;0, INDEX(SEGMENTS[], MATCH(CABLES[[#Headers],[SEG4]],SEGMENTS[SEG_ID],0),4),0)</f>
        <v>0</v>
      </c>
      <c r="BQ56" s="9">
        <f xml:space="preserve"> IF(CABLES[[#This Row],[SEG5]] &gt;0,INDEX(SEGMENTS[], MATCH(CABLES[[#Headers],[SEG5]],SEGMENTS[SEG_ID],0),4),0)</f>
        <v>0</v>
      </c>
      <c r="BR56" s="9">
        <f xml:space="preserve"> IF(CABLES[[#This Row],[SEG6]] &gt;0,INDEX(SEGMENTS[], MATCH(CABLES[[#Headers],[SEG6]],SEGMENTS[SEG_ID],0),4),0)</f>
        <v>0</v>
      </c>
      <c r="BS56" s="9">
        <f xml:space="preserve"> IF(CABLES[[#This Row],[SEG7]] &gt;0,INDEX(SEGMENTS[], MATCH(CABLES[[#Headers],[SEG7]],SEGMENTS[SEG_ID],0),4),0)</f>
        <v>0</v>
      </c>
      <c r="BT56" s="9">
        <f xml:space="preserve"> IF(CABLES[[#This Row],[SEG8]] &gt;0,INDEX(SEGMENTS[], MATCH(CABLES[[#Headers],[SEG8]],SEGMENTS[SEG_ID],0),4),0)</f>
        <v>0</v>
      </c>
      <c r="BU56" s="9">
        <f xml:space="preserve"> IF(CABLES[[#This Row],[SEG9]] &gt;0,INDEX(SEGMENTS[], MATCH(CABLES[[#Headers],[SEG9]],SEGMENTS[SEG_ID],0),4),0)</f>
        <v>0</v>
      </c>
      <c r="BV56" s="9">
        <f xml:space="preserve"> IF(CABLES[[#This Row],[SEG10]] &gt;0,INDEX(SEGMENTS[], MATCH(CABLES[[#Headers],[SEG10]],SEGMENTS[SEG_ID],0),4),0)</f>
        <v>0</v>
      </c>
      <c r="BW56" s="9">
        <f xml:space="preserve"> IF(CABLES[[#This Row],[SEG11]] &gt;0,INDEX(SEGMENTS[], MATCH(CABLES[[#Headers],[SEG11]],SEGMENTS[SEG_ID],0),4),0)</f>
        <v>0</v>
      </c>
      <c r="BX56" s="9">
        <f>IF(CABLES[[#This Row],[SEG12]] &gt;0, INDEX(SEGMENTS[], MATCH(CABLES[[#Headers],[SEG12]],SEGMENTS[SEG_ID],0),4),0)</f>
        <v>0</v>
      </c>
      <c r="BY56" s="9">
        <f xml:space="preserve"> IF(CABLES[[#This Row],[SEG13]] &gt;0,INDEX(SEGMENTS[], MATCH(CABLES[[#Headers],[SEG13]],SEGMENTS[SEG_ID],0),4),0)</f>
        <v>0</v>
      </c>
      <c r="BZ56" s="9">
        <f xml:space="preserve"> IF(CABLES[[#This Row],[SEG14]] &gt;0,INDEX(SEGMENTS[], MATCH(CABLES[[#Headers],[SEG14]],SEGMENTS[SEG_ID],0),4),0)</f>
        <v>0</v>
      </c>
      <c r="CA56" s="9">
        <f xml:space="preserve"> IF(CABLES[[#This Row],[SEG15]] &gt;0,INDEX(SEGMENTS[], MATCH(CABLES[[#Headers],[SEG15]],SEGMENTS[SEG_ID],0),4),0)</f>
        <v>0</v>
      </c>
      <c r="CB56" s="9">
        <f xml:space="preserve"> IF(CABLES[[#This Row],[SEG16]] &gt;0,INDEX(SEGMENTS[], MATCH(CABLES[[#Headers],[SEG16]],SEGMENTS[SEG_ID],0),4),0)</f>
        <v>0</v>
      </c>
      <c r="CC56" s="9">
        <f xml:space="preserve"> IF(CABLES[[#This Row],[SEG17]] &gt;0,INDEX(SEGMENTS[], MATCH(CABLES[[#Headers],[SEG17]],SEGMENTS[SEG_ID],0),4),0)</f>
        <v>0</v>
      </c>
      <c r="CD56" s="9">
        <f xml:space="preserve"> IF(CABLES[[#This Row],[SEG18]] &gt;0,INDEX(SEGMENTS[], MATCH(CABLES[[#Headers],[SEG18]],SEGMENTS[SEG_ID],0),4),0)</f>
        <v>0</v>
      </c>
      <c r="CE56" s="9">
        <f>IF(CABLES[[#This Row],[SEG19]] &gt;0, INDEX(SEGMENTS[], MATCH(CABLES[[#Headers],[SEG19]],SEGMENTS[SEG_ID],0),4),0)</f>
        <v>0</v>
      </c>
      <c r="CF56" s="9">
        <f>IF(CABLES[[#This Row],[SEG20]] &gt;0, INDEX(SEGMENTS[], MATCH(CABLES[[#Headers],[SEG20]],SEGMENTS[SEG_ID],0),4),0)</f>
        <v>0</v>
      </c>
      <c r="CG56" s="9">
        <f xml:space="preserve"> IF(CABLES[[#This Row],[SEG21]] &gt;0,INDEX(SEGMENTS[], MATCH(CABLES[[#Headers],[SEG21]],SEGMENTS[SEG_ID],0),4),0)</f>
        <v>0</v>
      </c>
      <c r="CH56" s="9">
        <f xml:space="preserve"> IF(CABLES[[#This Row],[SEG22]] &gt;0,INDEX(SEGMENTS[], MATCH(CABLES[[#Headers],[SEG22]],SEGMENTS[SEG_ID],0),4),0)</f>
        <v>0</v>
      </c>
      <c r="CI56" s="9">
        <f>IF(CABLES[[#This Row],[SEG23]] &gt;0, INDEX(SEGMENTS[], MATCH(CABLES[[#Headers],[SEG23]],SEGMENTS[SEG_ID],0),4),0)</f>
        <v>0</v>
      </c>
      <c r="CJ56" s="9">
        <f xml:space="preserve"> IF(CABLES[[#This Row],[SEG24]] &gt;0,INDEX(SEGMENTS[], MATCH(CABLES[[#Headers],[SEG24]],SEGMENTS[SEG_ID],0),4),0)</f>
        <v>0</v>
      </c>
      <c r="CK56" s="9">
        <f>IF(CABLES[[#This Row],[SEG25]] &gt;0, INDEX(SEGMENTS[], MATCH(CABLES[[#Headers],[SEG25]],SEGMENTS[SEG_ID],0),4),0)</f>
        <v>0</v>
      </c>
      <c r="CL56" s="9">
        <f>IF(CABLES[[#This Row],[SEG26]] &gt;0, INDEX(SEGMENTS[], MATCH(CABLES[[#Headers],[SEG26]],SEGMENTS[SEG_ID],0),4),0)</f>
        <v>0</v>
      </c>
      <c r="CM56" s="9">
        <f xml:space="preserve"> IF(CABLES[[#This Row],[SEG27]] &gt;0,INDEX(SEGMENTS[], MATCH(CABLES[[#Headers],[SEG27]],SEGMENTS[SEG_ID],0),4),0)</f>
        <v>0</v>
      </c>
      <c r="CN56" s="9">
        <f xml:space="preserve"> IF(CABLES[[#This Row],[SEG28]] &gt;0,INDEX(SEGMENTS[], MATCH(CABLES[[#Headers],[SEG28]],SEGMENTS[SEG_ID],0),4),0)</f>
        <v>0</v>
      </c>
      <c r="CO56" s="9">
        <f xml:space="preserve"> IF(CABLES[[#This Row],[SEG29]] &gt;0,INDEX(SEGMENTS[], MATCH(CABLES[[#Headers],[SEG29]],SEGMENTS[SEG_ID],0),4),0)</f>
        <v>0</v>
      </c>
      <c r="CP56" s="9">
        <f xml:space="preserve"> IF(CABLES[[#This Row],[SEG30]] &gt;0,INDEX(SEGMENTS[], MATCH(CABLES[[#Headers],[SEG30]],SEGMENTS[SEG_ID],0),4),0)</f>
        <v>6</v>
      </c>
      <c r="CQ56" s="9">
        <f>IF(CABLES[[#This Row],[SEG31]] &gt;0, INDEX(SEGMENTS[], MATCH(CABLES[[#Headers],[SEG31]],SEGMENTS[SEG_ID],0),4),0)</f>
        <v>3</v>
      </c>
      <c r="CR56" s="9">
        <f xml:space="preserve"> IF(CABLES[[#This Row],[SEG32]] &gt;0,INDEX(SEGMENTS[], MATCH(CABLES[[#Headers],[SEG32]],SEGMENTS[SEG_ID],0),4),0)</f>
        <v>5</v>
      </c>
      <c r="CS56" s="9">
        <f xml:space="preserve"> IF(CABLES[[#This Row],[SEG33]] &gt;0,INDEX(SEGMENTS[], MATCH(CABLES[[#Headers],[SEG33]],SEGMENTS[SEG_ID],0),4),0)</f>
        <v>0</v>
      </c>
      <c r="CT56" s="9">
        <f>IF(CABLES[[#This Row],[SEG34]] &gt;0, INDEX(SEGMENTS[], MATCH(CABLES[[#Headers],[SEG34]],SEGMENTS[SEG_ID],0),4),0)</f>
        <v>7</v>
      </c>
      <c r="CU56" s="9">
        <f xml:space="preserve"> IF(CABLES[[#This Row],[SEG35]] &gt;0,INDEX(SEGMENTS[], MATCH(CABLES[[#Headers],[SEG35]],SEGMENTS[SEG_ID],0),4),0)</f>
        <v>0</v>
      </c>
      <c r="CV56" s="9">
        <f xml:space="preserve"> IF(CABLES[[#This Row],[SEG36]] &gt;0,INDEX(SEGMENTS[], MATCH(CABLES[[#Headers],[SEG36]],SEGMENTS[SEG_ID],0),4),0)</f>
        <v>0</v>
      </c>
      <c r="CW56" s="9">
        <f xml:space="preserve"> IF(CABLES[[#This Row],[SEG37]] &gt;0,INDEX(SEGMENTS[], MATCH(CABLES[[#Headers],[SEG37]],SEGMENTS[SEG_ID],0),4),0)</f>
        <v>5</v>
      </c>
      <c r="CX56" s="9">
        <f xml:space="preserve"> IF(CABLES[[#This Row],[SEG38]] &gt;0,INDEX(SEGMENTS[], MATCH(CABLES[[#Headers],[SEG38]],SEGMENTS[SEG_ID],0),4),0)</f>
        <v>15</v>
      </c>
      <c r="CY56" s="9">
        <f xml:space="preserve"> IF(CABLES[[#This Row],[SEG39]] &gt;0,INDEX(SEGMENTS[], MATCH(CABLES[[#Headers],[SEG39]],SEGMENTS[SEG_ID],0),4),0)</f>
        <v>0</v>
      </c>
      <c r="CZ56" s="9">
        <f xml:space="preserve"> IF(CABLES[[#This Row],[SEG40]] &gt;0,INDEX(SEGMENTS[], MATCH(CABLES[[#Headers],[SEG40]],SEGMENTS[SEG_ID],0),4),0)</f>
        <v>0</v>
      </c>
      <c r="DA56" s="9">
        <f xml:space="preserve"> IF(CABLES[[#This Row],[SEG41]] &gt;0,INDEX(SEGMENTS[], MATCH(CABLES[[#Headers],[SEG41]],SEGMENTS[SEG_ID],0),4),0)</f>
        <v>0</v>
      </c>
      <c r="DB56" s="9">
        <f xml:space="preserve"> IF(CABLES[[#This Row],[SEG42]] &gt;0,INDEX(SEGMENTS[], MATCH(CABLES[[#Headers],[SEG42]],SEGMENTS[SEG_ID],0),4),0)</f>
        <v>0</v>
      </c>
      <c r="DC56" s="9">
        <f xml:space="preserve"> IF(CABLES[[#This Row],[SEG43]] &gt;0,INDEX(SEGMENTS[], MATCH(CABLES[[#Headers],[SEG43]],SEGMENTS[SEG_ID],0),4),0)</f>
        <v>0</v>
      </c>
      <c r="DD56" s="9">
        <f xml:space="preserve"> IF(CABLES[[#This Row],[SEG44]] &gt;0,INDEX(SEGMENTS[], MATCH(CABLES[[#Headers],[SEG44]],SEGMENTS[SEG_ID],0),4),0)</f>
        <v>0</v>
      </c>
      <c r="DE56" s="9">
        <f xml:space="preserve"> IF(CABLES[[#This Row],[SEG45]] &gt;0,INDEX(SEGMENTS[], MATCH(CABLES[[#Headers],[SEG45]],SEGMENTS[SEG_ID],0),4),0)</f>
        <v>0</v>
      </c>
      <c r="DF56" s="9">
        <f xml:space="preserve"> IF(CABLES[[#This Row],[SEG46]] &gt;0,INDEX(SEGMENTS[], MATCH(CABLES[[#Headers],[SEG46]],SEGMENTS[SEG_ID],0),4),0)</f>
        <v>0</v>
      </c>
      <c r="DG56" s="9">
        <f xml:space="preserve"> IF(CABLES[[#This Row],[SEG47]] &gt;0,INDEX(SEGMENTS[], MATCH(CABLES[[#Headers],[SEG47]],SEGMENTS[SEG_ID],0),4),0)</f>
        <v>0</v>
      </c>
      <c r="DH56" s="9">
        <f xml:space="preserve"> IF(CABLES[[#This Row],[SEG48]] &gt;0,INDEX(SEGMENTS[], MATCH(CABLES[[#Headers],[SEG48]],SEGMENTS[SEG_ID],0),4),0)</f>
        <v>0</v>
      </c>
      <c r="DI56" s="9">
        <f xml:space="preserve"> IF(CABLES[[#This Row],[SEG49]] &gt;0,INDEX(SEGMENTS[], MATCH(CABLES[[#Headers],[SEG49]],SEGMENTS[SEG_ID],0),4),0)</f>
        <v>0</v>
      </c>
      <c r="DJ56" s="9">
        <f xml:space="preserve"> IF(CABLES[[#This Row],[SEG50]] &gt;0,INDEX(SEGMENTS[], MATCH(CABLES[[#Headers],[SEG50]],SEGMENTS[SEG_ID],0),4),0)</f>
        <v>0</v>
      </c>
      <c r="DK56" s="9">
        <f xml:space="preserve"> IF(CABLES[[#This Row],[SEG51]] &gt;0,INDEX(SEGMENTS[], MATCH(CABLES[[#Headers],[SEG51]],SEGMENTS[SEG_ID],0),4),0)</f>
        <v>0</v>
      </c>
      <c r="DL56" s="9">
        <f xml:space="preserve"> IF(CABLES[[#This Row],[SEG52]] &gt;0,INDEX(SEGMENTS[], MATCH(CABLES[[#Headers],[SEG52]],SEGMENTS[SEG_ID],0),4),0)</f>
        <v>0</v>
      </c>
      <c r="DM56" s="9">
        <f xml:space="preserve"> IF(CABLES[[#This Row],[SEG53]] &gt;0,INDEX(SEGMENTS[], MATCH(CABLES[[#Headers],[SEG53]],SEGMENTS[SEG_ID],0),4),0)</f>
        <v>0</v>
      </c>
      <c r="DN56" s="9">
        <f xml:space="preserve"> IF(CABLES[[#This Row],[SEG54]] &gt;0,INDEX(SEGMENTS[], MATCH(CABLES[[#Headers],[SEG54]],SEGMENTS[SEG_ID],0),4),0)</f>
        <v>0</v>
      </c>
      <c r="DO56" s="9">
        <f xml:space="preserve"> IF(CABLES[[#This Row],[SEG55]] &gt;0,INDEX(SEGMENTS[], MATCH(CABLES[[#Headers],[SEG55]],SEGMENTS[SEG_ID],0),4),0)</f>
        <v>0</v>
      </c>
      <c r="DP56" s="9">
        <f xml:space="preserve"> IF(CABLES[[#This Row],[SEG56]] &gt;0,INDEX(SEGMENTS[], MATCH(CABLES[[#Headers],[SEG56]],SEGMENTS[SEG_ID],0),4),0)</f>
        <v>0</v>
      </c>
      <c r="DQ56" s="9">
        <f xml:space="preserve"> IF(CABLES[[#This Row],[SEG57]] &gt;0,INDEX(SEGMENTS[], MATCH(CABLES[[#Headers],[SEG57]],SEGMENTS[SEG_ID],0),4),0)</f>
        <v>0</v>
      </c>
      <c r="DR56" s="9">
        <f xml:space="preserve"> IF(CABLES[[#This Row],[SEG58]] &gt;0,INDEX(SEGMENTS[], MATCH(CABLES[[#Headers],[SEG58]],SEGMENTS[SEG_ID],0),4),0)</f>
        <v>0</v>
      </c>
      <c r="DS56" s="9">
        <f xml:space="preserve"> IF(CABLES[[#This Row],[SEG59]] &gt;0,INDEX(SEGMENTS[], MATCH(CABLES[[#Headers],[SEG59]],SEGMENTS[SEG_ID],0),4),0)</f>
        <v>0</v>
      </c>
      <c r="DT56" s="9">
        <f xml:space="preserve"> IF(CABLES[[#This Row],[SEG60]] &gt;0,INDEX(SEGMENTS[], MATCH(CABLES[[#Headers],[SEG60]],SEGMENTS[SEG_ID],0),4),0)</f>
        <v>0</v>
      </c>
      <c r="DU56" s="10">
        <f>SUM(CABLES[[#This Row],[SEGL1]:[SEGL60]])</f>
        <v>41</v>
      </c>
      <c r="DV56" s="10">
        <v>5</v>
      </c>
      <c r="DW56" s="10">
        <v>1.2</v>
      </c>
      <c r="DX56" s="10">
        <f xml:space="preserve"> IF(CABLES[[#This Row],[SEGL_TOTAL]]&gt;0, (CABLES[[#This Row],[SEGL_TOTAL]] + CABLES[[#This Row],[FITOFF]]) *CABLES[[#This Row],[XCAPACITY]],0)</f>
        <v>55.199999999999996</v>
      </c>
      <c r="DY56" s="10">
        <f>IF(CABLES[[#This Row],[SEG1]]&gt;0,CABLES[[#This Row],[CABLE_DIAMETER]],0)</f>
        <v>0</v>
      </c>
      <c r="DZ56" s="10">
        <f>IF(CABLES[[#This Row],[SEG2]]&gt;0,CABLES[[#This Row],[CABLE_DIAMETER]],0)</f>
        <v>0</v>
      </c>
      <c r="EA56" s="10">
        <f>IF(CABLES[[#This Row],[SEG3]]&gt;0,CABLES[[#This Row],[CABLE_DIAMETER]],0)</f>
        <v>0</v>
      </c>
      <c r="EB56" s="10">
        <f>IF(CABLES[[#This Row],[SEG4]]&gt;0,CABLES[[#This Row],[CABLE_DIAMETER]],0)</f>
        <v>0</v>
      </c>
      <c r="EC56" s="10">
        <f>IF(CABLES[[#This Row],[SEG5]]&gt;0,CABLES[[#This Row],[CABLE_DIAMETER]],0)</f>
        <v>0</v>
      </c>
      <c r="ED56" s="10">
        <f>IF(CABLES[[#This Row],[SEG6]]&gt;0,CABLES[[#This Row],[CABLE_DIAMETER]],0)</f>
        <v>0</v>
      </c>
      <c r="EE56" s="10">
        <f>IF(CABLES[[#This Row],[SEG7]]&gt;0,CABLES[[#This Row],[CABLE_DIAMETER]],0)</f>
        <v>0</v>
      </c>
      <c r="EF56" s="10">
        <f>IF(CABLES[[#This Row],[SEG9]]&gt;0,CABLES[[#This Row],[CABLE_DIAMETER]],0)</f>
        <v>0</v>
      </c>
      <c r="EG56" s="10">
        <f>IF(CABLES[[#This Row],[SEG9]]&gt;0,CABLES[[#This Row],[CABLE_DIAMETER]],0)</f>
        <v>0</v>
      </c>
      <c r="EH56" s="10">
        <f>IF(CABLES[[#This Row],[SEG10]]&gt;0,CABLES[[#This Row],[CABLE_DIAMETER]],0)</f>
        <v>0</v>
      </c>
      <c r="EI56" s="10">
        <f>IF(CABLES[[#This Row],[SEG11]]&gt;0,CABLES[[#This Row],[CABLE_DIAMETER]],0)</f>
        <v>0</v>
      </c>
      <c r="EJ56" s="10">
        <f>IF(CABLES[[#This Row],[SEG12]]&gt;0,CABLES[[#This Row],[CABLE_DIAMETER]],0)</f>
        <v>0</v>
      </c>
      <c r="EK56" s="10">
        <f>IF(CABLES[[#This Row],[SEG13]]&gt;0,CABLES[[#This Row],[CABLE_DIAMETER]],0)</f>
        <v>0</v>
      </c>
      <c r="EL56" s="10">
        <f>IF(CABLES[[#This Row],[SEG14]]&gt;0,CABLES[[#This Row],[CABLE_DIAMETER]],0)</f>
        <v>0</v>
      </c>
      <c r="EM56" s="10">
        <f>IF(CABLES[[#This Row],[SEG15]]&gt;0,CABLES[[#This Row],[CABLE_DIAMETER]],0)</f>
        <v>0</v>
      </c>
      <c r="EN56" s="10">
        <f>IF(CABLES[[#This Row],[SEG16]]&gt;0,CABLES[[#This Row],[CABLE_DIAMETER]],0)</f>
        <v>0</v>
      </c>
      <c r="EO56" s="10">
        <f>IF(CABLES[[#This Row],[SEG17]]&gt;0,CABLES[[#This Row],[CABLE_DIAMETER]],0)</f>
        <v>0</v>
      </c>
      <c r="EP56" s="10">
        <f>IF(CABLES[[#This Row],[SEG18]]&gt;0,CABLES[[#This Row],[CABLE_DIAMETER]],0)</f>
        <v>0</v>
      </c>
      <c r="EQ56" s="10">
        <f>IF(CABLES[[#This Row],[SEG19]]&gt;0,CABLES[[#This Row],[CABLE_DIAMETER]],0)</f>
        <v>0</v>
      </c>
      <c r="ER56" s="10">
        <f>IF(CABLES[[#This Row],[SEG20]]&gt;0,CABLES[[#This Row],[CABLE_DIAMETER]],0)</f>
        <v>0</v>
      </c>
      <c r="ES56" s="10">
        <f>IF(CABLES[[#This Row],[SEG21]]&gt;0,CABLES[[#This Row],[CABLE_DIAMETER]],0)</f>
        <v>0</v>
      </c>
      <c r="ET56" s="10">
        <f>IF(CABLES[[#This Row],[SEG22]]&gt;0,CABLES[[#This Row],[CABLE_DIAMETER]],0)</f>
        <v>0</v>
      </c>
      <c r="EU56" s="10">
        <f>IF(CABLES[[#This Row],[SEG23]]&gt;0,CABLES[[#This Row],[CABLE_DIAMETER]],0)</f>
        <v>0</v>
      </c>
      <c r="EV56" s="10">
        <f>IF(CABLES[[#This Row],[SEG24]]&gt;0,CABLES[[#This Row],[CABLE_DIAMETER]],0)</f>
        <v>0</v>
      </c>
      <c r="EW56" s="10">
        <f>IF(CABLES[[#This Row],[SEG25]]&gt;0,CABLES[[#This Row],[CABLE_DIAMETER]],0)</f>
        <v>0</v>
      </c>
      <c r="EX56" s="10">
        <f>IF(CABLES[[#This Row],[SEG26]]&gt;0,CABLES[[#This Row],[CABLE_DIAMETER]],0)</f>
        <v>0</v>
      </c>
      <c r="EY56" s="10">
        <f>IF(CABLES[[#This Row],[SEG27]]&gt;0,CABLES[[#This Row],[CABLE_DIAMETER]],0)</f>
        <v>0</v>
      </c>
      <c r="EZ56" s="10">
        <f>IF(CABLES[[#This Row],[SEG28]]&gt;0,CABLES[[#This Row],[CABLE_DIAMETER]],0)</f>
        <v>0</v>
      </c>
      <c r="FA56" s="10">
        <f>IF(CABLES[[#This Row],[SEG29]]&gt;0,CABLES[[#This Row],[CABLE_DIAMETER]],0)</f>
        <v>0</v>
      </c>
      <c r="FB56" s="10">
        <f>IF(CABLES[[#This Row],[SEG30]]&gt;0,CABLES[[#This Row],[CABLE_DIAMETER]],0)</f>
        <v>14.5</v>
      </c>
      <c r="FC56" s="10">
        <f>IF(CABLES[[#This Row],[SEG31]]&gt;0,CABLES[[#This Row],[CABLE_DIAMETER]],0)</f>
        <v>14.5</v>
      </c>
      <c r="FD56" s="10">
        <f>IF(CABLES[[#This Row],[SEG32]]&gt;0,CABLES[[#This Row],[CABLE_DIAMETER]],0)</f>
        <v>14.5</v>
      </c>
      <c r="FE56" s="10">
        <f>IF(CABLES[[#This Row],[SEG33]]&gt;0,CABLES[[#This Row],[CABLE_DIAMETER]],0)</f>
        <v>0</v>
      </c>
      <c r="FF56" s="10">
        <f>IF(CABLES[[#This Row],[SEG34]]&gt;0,CABLES[[#This Row],[CABLE_DIAMETER]],0)</f>
        <v>14.5</v>
      </c>
      <c r="FG56" s="10">
        <f>IF(CABLES[[#This Row],[SEG35]]&gt;0,CABLES[[#This Row],[CABLE_DIAMETER]],0)</f>
        <v>0</v>
      </c>
      <c r="FH56" s="10">
        <f>IF(CABLES[[#This Row],[SEG36]]&gt;0,CABLES[[#This Row],[CABLE_DIAMETER]],0)</f>
        <v>0</v>
      </c>
      <c r="FI56" s="10">
        <f>IF(CABLES[[#This Row],[SEG37]]&gt;0,CABLES[[#This Row],[CABLE_DIAMETER]],0)</f>
        <v>14.5</v>
      </c>
      <c r="FJ56" s="10">
        <f>IF(CABLES[[#This Row],[SEG38]]&gt;0,CABLES[[#This Row],[CABLE_DIAMETER]],0)</f>
        <v>14.5</v>
      </c>
      <c r="FK56" s="10">
        <f>IF(CABLES[[#This Row],[SEG39]]&gt;0,CABLES[[#This Row],[CABLE_DIAMETER]],0)</f>
        <v>0</v>
      </c>
      <c r="FL56" s="10">
        <f>IF(CABLES[[#This Row],[SEG40]]&gt;0,CABLES[[#This Row],[CABLE_DIAMETER]],0)</f>
        <v>0</v>
      </c>
      <c r="FM56" s="10">
        <f>IF(CABLES[[#This Row],[SEG41]]&gt;0,CABLES[[#This Row],[CABLE_DIAMETER]],0)</f>
        <v>0</v>
      </c>
      <c r="FN56" s="10">
        <f>IF(CABLES[[#This Row],[SEG42]]&gt;0,CABLES[[#This Row],[CABLE_DIAMETER]],0)</f>
        <v>0</v>
      </c>
      <c r="FO56" s="10">
        <f>IF(CABLES[[#This Row],[SEG43]]&gt;0,CABLES[[#This Row],[CABLE_DIAMETER]],0)</f>
        <v>0</v>
      </c>
      <c r="FP56" s="10">
        <f>IF(CABLES[[#This Row],[SEG44]]&gt;0,CABLES[[#This Row],[CABLE_DIAMETER]],0)</f>
        <v>0</v>
      </c>
      <c r="FQ56" s="10">
        <f>IF(CABLES[[#This Row],[SEG45]]&gt;0,CABLES[[#This Row],[CABLE_DIAMETER]],0)</f>
        <v>0</v>
      </c>
      <c r="FR56" s="10">
        <f>IF(CABLES[[#This Row],[SEG46]]&gt;0,CABLES[[#This Row],[CABLE_DIAMETER]],0)</f>
        <v>0</v>
      </c>
      <c r="FS56" s="10">
        <f>IF(CABLES[[#This Row],[SEG47]]&gt;0,CABLES[[#This Row],[CABLE_DIAMETER]],0)</f>
        <v>0</v>
      </c>
      <c r="FT56" s="10">
        <f>IF(CABLES[[#This Row],[SEG48]]&gt;0,CABLES[[#This Row],[CABLE_DIAMETER]],0)</f>
        <v>0</v>
      </c>
      <c r="FU56" s="10">
        <f>IF(CABLES[[#This Row],[SEG49]]&gt;0,CABLES[[#This Row],[CABLE_DIAMETER]],0)</f>
        <v>0</v>
      </c>
      <c r="FV56" s="10">
        <f>IF(CABLES[[#This Row],[SEG50]]&gt;0,CABLES[[#This Row],[CABLE_DIAMETER]],0)</f>
        <v>0</v>
      </c>
      <c r="FW56" s="10">
        <f>IF(CABLES[[#This Row],[SEG51]]&gt;0,CABLES[[#This Row],[CABLE_DIAMETER]],0)</f>
        <v>0</v>
      </c>
      <c r="FX56" s="10">
        <f>IF(CABLES[[#This Row],[SEG52]]&gt;0,CABLES[[#This Row],[CABLE_DIAMETER]],0)</f>
        <v>0</v>
      </c>
      <c r="FY56" s="10">
        <f>IF(CABLES[[#This Row],[SEG53]]&gt;0,CABLES[[#This Row],[CABLE_DIAMETER]],0)</f>
        <v>0</v>
      </c>
      <c r="FZ56" s="10">
        <f>IF(CABLES[[#This Row],[SEG54]]&gt;0,CABLES[[#This Row],[CABLE_DIAMETER]],0)</f>
        <v>0</v>
      </c>
      <c r="GA56" s="10">
        <f>IF(CABLES[[#This Row],[SEG55]]&gt;0,CABLES[[#This Row],[CABLE_DIAMETER]],0)</f>
        <v>0</v>
      </c>
      <c r="GB56" s="10">
        <f>IF(CABLES[[#This Row],[SEG56]]&gt;0,CABLES[[#This Row],[CABLE_DIAMETER]],0)</f>
        <v>0</v>
      </c>
      <c r="GC56" s="10">
        <f>IF(CABLES[[#This Row],[SEG57]]&gt;0,CABLES[[#This Row],[CABLE_DIAMETER]],0)</f>
        <v>0</v>
      </c>
      <c r="GD56" s="10">
        <f>IF(CABLES[[#This Row],[SEG58]]&gt;0,CABLES[[#This Row],[CABLE_DIAMETER]],0)</f>
        <v>0</v>
      </c>
      <c r="GE56" s="10">
        <f>IF(CABLES[[#This Row],[SEG59]]&gt;0,CABLES[[#This Row],[CABLE_DIAMETER]],0)</f>
        <v>0</v>
      </c>
      <c r="GF56" s="10">
        <f>IF(CABLES[[#This Row],[SEG60]]&gt;0,CABLES[[#This Row],[CABLE_DIAMETER]],0)</f>
        <v>0</v>
      </c>
      <c r="GG56" s="10">
        <f>IF(CABLES[[#This Row],[SEG1]]&gt;0,CABLES[[#This Row],[CABLE_MASS]],0)</f>
        <v>0</v>
      </c>
      <c r="GH56" s="10">
        <f>IF(CABLES[[#This Row],[SEG2]]&gt;0,CABLES[[#This Row],[CABLE_MASS]],0)</f>
        <v>0</v>
      </c>
      <c r="GI56" s="10">
        <f>IF(CABLES[[#This Row],[SEG3]]&gt;0,CABLES[[#This Row],[CABLE_MASS]],0)</f>
        <v>0</v>
      </c>
      <c r="GJ56" s="10">
        <f>IF(CABLES[[#This Row],[SEG4]]&gt;0,CABLES[[#This Row],[CABLE_MASS]],0)</f>
        <v>0</v>
      </c>
      <c r="GK56" s="10">
        <f>IF(CABLES[[#This Row],[SEG5]]&gt;0,CABLES[[#This Row],[CABLE_MASS]],0)</f>
        <v>0</v>
      </c>
      <c r="GL56" s="10">
        <f>IF(CABLES[[#This Row],[SEG6]]&gt;0,CABLES[[#This Row],[CABLE_MASS]],0)</f>
        <v>0</v>
      </c>
      <c r="GM56" s="10">
        <f>IF(CABLES[[#This Row],[SEG7]]&gt;0,CABLES[[#This Row],[CABLE_MASS]],0)</f>
        <v>0</v>
      </c>
      <c r="GN56" s="10">
        <f>IF(CABLES[[#This Row],[SEG8]]&gt;0,CABLES[[#This Row],[CABLE_MASS]],0)</f>
        <v>0</v>
      </c>
      <c r="GO56" s="10">
        <f>IF(CABLES[[#This Row],[SEG9]]&gt;0,CABLES[[#This Row],[CABLE_MASS]],0)</f>
        <v>0</v>
      </c>
      <c r="GP56" s="10">
        <f>IF(CABLES[[#This Row],[SEG10]]&gt;0,CABLES[[#This Row],[CABLE_MASS]],0)</f>
        <v>0</v>
      </c>
      <c r="GQ56" s="10">
        <f>IF(CABLES[[#This Row],[SEG11]]&gt;0,CABLES[[#This Row],[CABLE_MASS]],0)</f>
        <v>0</v>
      </c>
      <c r="GR56" s="10">
        <f>IF(CABLES[[#This Row],[SEG12]]&gt;0,CABLES[[#This Row],[CABLE_MASS]],0)</f>
        <v>0</v>
      </c>
      <c r="GS56" s="10">
        <f>IF(CABLES[[#This Row],[SEG13]]&gt;0,CABLES[[#This Row],[CABLE_MASS]],0)</f>
        <v>0</v>
      </c>
      <c r="GT56" s="10">
        <f>IF(CABLES[[#This Row],[SEG14]]&gt;0,CABLES[[#This Row],[CABLE_MASS]],0)</f>
        <v>0</v>
      </c>
      <c r="GU56" s="10">
        <f>IF(CABLES[[#This Row],[SEG15]]&gt;0,CABLES[[#This Row],[CABLE_MASS]],0)</f>
        <v>0</v>
      </c>
      <c r="GV56" s="10">
        <f>IF(CABLES[[#This Row],[SEG16]]&gt;0,CABLES[[#This Row],[CABLE_MASS]],0)</f>
        <v>0</v>
      </c>
      <c r="GW56" s="10">
        <f>IF(CABLES[[#This Row],[SEG17]]&gt;0,CABLES[[#This Row],[CABLE_MASS]],0)</f>
        <v>0</v>
      </c>
      <c r="GX56" s="10">
        <f>IF(CABLES[[#This Row],[SEG18]]&gt;0,CABLES[[#This Row],[CABLE_MASS]],0)</f>
        <v>0</v>
      </c>
      <c r="GY56" s="10">
        <f>IF(CABLES[[#This Row],[SEG19]]&gt;0,CABLES[[#This Row],[CABLE_MASS]],0)</f>
        <v>0</v>
      </c>
      <c r="GZ56" s="10">
        <f>IF(CABLES[[#This Row],[SEG20]]&gt;0,CABLES[[#This Row],[CABLE_MASS]],0)</f>
        <v>0</v>
      </c>
      <c r="HA56" s="10">
        <f>IF(CABLES[[#This Row],[SEG21]]&gt;0,CABLES[[#This Row],[CABLE_MASS]],0)</f>
        <v>0</v>
      </c>
      <c r="HB56" s="10">
        <f>IF(CABLES[[#This Row],[SEG22]]&gt;0,CABLES[[#This Row],[CABLE_MASS]],0)</f>
        <v>0</v>
      </c>
      <c r="HC56" s="10">
        <f>IF(CABLES[[#This Row],[SEG23]]&gt;0,CABLES[[#This Row],[CABLE_MASS]],0)</f>
        <v>0</v>
      </c>
      <c r="HD56" s="10">
        <f>IF(CABLES[[#This Row],[SEG24]]&gt;0,CABLES[[#This Row],[CABLE_MASS]],0)</f>
        <v>0</v>
      </c>
      <c r="HE56" s="10">
        <f>IF(CABLES[[#This Row],[SEG25]]&gt;0,CABLES[[#This Row],[CABLE_MASS]],0)</f>
        <v>0</v>
      </c>
      <c r="HF56" s="10">
        <f>IF(CABLES[[#This Row],[SEG26]]&gt;0,CABLES[[#This Row],[CABLE_MASS]],0)</f>
        <v>0</v>
      </c>
      <c r="HG56" s="10">
        <f>IF(CABLES[[#This Row],[SEG27]]&gt;0,CABLES[[#This Row],[CABLE_MASS]],0)</f>
        <v>0</v>
      </c>
      <c r="HH56" s="10">
        <f>IF(CABLES[[#This Row],[SEG28]]&gt;0,CABLES[[#This Row],[CABLE_MASS]],0)</f>
        <v>0</v>
      </c>
      <c r="HI56" s="10">
        <f>IF(CABLES[[#This Row],[SEG29]]&gt;0,CABLES[[#This Row],[CABLE_MASS]],0)</f>
        <v>0</v>
      </c>
      <c r="HJ56" s="10">
        <f>IF(CABLES[[#This Row],[SEG30]]&gt;0,CABLES[[#This Row],[CABLE_MASS]],0)</f>
        <v>0.33</v>
      </c>
      <c r="HK56" s="10">
        <f>IF(CABLES[[#This Row],[SEG31]]&gt;0,CABLES[[#This Row],[CABLE_MASS]],0)</f>
        <v>0.33</v>
      </c>
      <c r="HL56" s="10">
        <f>IF(CABLES[[#This Row],[SEG32]]&gt;0,CABLES[[#This Row],[CABLE_MASS]],0)</f>
        <v>0.33</v>
      </c>
      <c r="HM56" s="10">
        <f>IF(CABLES[[#This Row],[SEG33]]&gt;0,CABLES[[#This Row],[CABLE_MASS]],0)</f>
        <v>0</v>
      </c>
      <c r="HN56" s="10">
        <f>IF(CABLES[[#This Row],[SEG34]]&gt;0,CABLES[[#This Row],[CABLE_MASS]],0)</f>
        <v>0.33</v>
      </c>
      <c r="HO56" s="10">
        <f>IF(CABLES[[#This Row],[SEG35]]&gt;0,CABLES[[#This Row],[CABLE_MASS]],0)</f>
        <v>0</v>
      </c>
      <c r="HP56" s="10">
        <f>IF(CABLES[[#This Row],[SEG36]]&gt;0,CABLES[[#This Row],[CABLE_MASS]],0)</f>
        <v>0</v>
      </c>
      <c r="HQ56" s="10">
        <f>IF(CABLES[[#This Row],[SEG37]]&gt;0,CABLES[[#This Row],[CABLE_MASS]],0)</f>
        <v>0.33</v>
      </c>
      <c r="HR56" s="10">
        <f>IF(CABLES[[#This Row],[SEG38]]&gt;0,CABLES[[#This Row],[CABLE_MASS]],0)</f>
        <v>0.33</v>
      </c>
      <c r="HS56" s="10">
        <f>IF(CABLES[[#This Row],[SEG39]]&gt;0,CABLES[[#This Row],[CABLE_MASS]],0)</f>
        <v>0</v>
      </c>
      <c r="HT56" s="10">
        <f>IF(CABLES[[#This Row],[SEG40]]&gt;0,CABLES[[#This Row],[CABLE_MASS]],0)</f>
        <v>0</v>
      </c>
      <c r="HU56" s="10">
        <f>IF(CABLES[[#This Row],[SEG41]]&gt;0,CABLES[[#This Row],[CABLE_MASS]],0)</f>
        <v>0</v>
      </c>
      <c r="HV56" s="10">
        <f>IF(CABLES[[#This Row],[SEG42]]&gt;0,CABLES[[#This Row],[CABLE_MASS]],0)</f>
        <v>0</v>
      </c>
      <c r="HW56" s="10">
        <f>IF(CABLES[[#This Row],[SEG43]]&gt;0,CABLES[[#This Row],[CABLE_MASS]],0)</f>
        <v>0</v>
      </c>
      <c r="HX56" s="10">
        <f>IF(CABLES[[#This Row],[SEG44]]&gt;0,CABLES[[#This Row],[CABLE_MASS]],0)</f>
        <v>0</v>
      </c>
      <c r="HY56" s="10">
        <f>IF(CABLES[[#This Row],[SEG45]]&gt;0,CABLES[[#This Row],[CABLE_MASS]],0)</f>
        <v>0</v>
      </c>
      <c r="HZ56" s="10">
        <f>IF(CABLES[[#This Row],[SEG46]]&gt;0,CABLES[[#This Row],[CABLE_MASS]],0)</f>
        <v>0</v>
      </c>
      <c r="IA56" s="10">
        <f>IF(CABLES[[#This Row],[SEG47]]&gt;0,CABLES[[#This Row],[CABLE_MASS]],0)</f>
        <v>0</v>
      </c>
      <c r="IB56" s="10">
        <f>IF(CABLES[[#This Row],[SEG48]]&gt;0,CABLES[[#This Row],[CABLE_MASS]],0)</f>
        <v>0</v>
      </c>
      <c r="IC56" s="10">
        <f>IF(CABLES[[#This Row],[SEG49]]&gt;0,CABLES[[#This Row],[CABLE_MASS]],0)</f>
        <v>0</v>
      </c>
      <c r="ID56" s="10">
        <f>IF(CABLES[[#This Row],[SEG50]]&gt;0,CABLES[[#This Row],[CABLE_MASS]],0)</f>
        <v>0</v>
      </c>
      <c r="IE56" s="10">
        <f>IF(CABLES[[#This Row],[SEG51]]&gt;0,CABLES[[#This Row],[CABLE_MASS]],0)</f>
        <v>0</v>
      </c>
      <c r="IF56" s="10">
        <f>IF(CABLES[[#This Row],[SEG52]]&gt;0,CABLES[[#This Row],[CABLE_MASS]],0)</f>
        <v>0</v>
      </c>
      <c r="IG56" s="10">
        <f>IF(CABLES[[#This Row],[SEG53]]&gt;0,CABLES[[#This Row],[CABLE_MASS]],0)</f>
        <v>0</v>
      </c>
      <c r="IH56" s="10">
        <f>IF(CABLES[[#This Row],[SEG54]]&gt;0,CABLES[[#This Row],[CABLE_MASS]],0)</f>
        <v>0</v>
      </c>
      <c r="II56" s="10">
        <f>IF(CABLES[[#This Row],[SEG55]]&gt;0,CABLES[[#This Row],[CABLE_MASS]],0)</f>
        <v>0</v>
      </c>
      <c r="IJ56" s="10">
        <f>IF(CABLES[[#This Row],[SEG56]]&gt;0,CABLES[[#This Row],[CABLE_MASS]],0)</f>
        <v>0</v>
      </c>
      <c r="IK56" s="10">
        <f>IF(CABLES[[#This Row],[SEG57]]&gt;0,CABLES[[#This Row],[CABLE_MASS]],0)</f>
        <v>0</v>
      </c>
      <c r="IL56" s="10">
        <f>IF(CABLES[[#This Row],[SEG58]]&gt;0,CABLES[[#This Row],[CABLE_MASS]],0)</f>
        <v>0</v>
      </c>
      <c r="IM56" s="10">
        <f>IF(CABLES[[#This Row],[SEG59]]&gt;0,CABLES[[#This Row],[CABLE_MASS]],0)</f>
        <v>0</v>
      </c>
      <c r="IN56" s="10">
        <f>IF(CABLES[[#This Row],[SEG60]]&gt;0,CABLES[[#This Row],[CABLE_MASS]],0)</f>
        <v>0</v>
      </c>
      <c r="IO56" s="10">
        <f xml:space="preserve">  (CABLES[[#This Row],[LOAD_KW]]/(SQRT(3)*SYSTEM_VOLTAGE*POWER_FACTOR))*1000</f>
        <v>8.8206291126192813</v>
      </c>
      <c r="IP56" s="10">
        <v>45</v>
      </c>
      <c r="IQ56" s="10">
        <f xml:space="preserve"> INDEX(AS3000_AMBIENTDERATE[], MATCH(CABLES[[#This Row],[AMBIENT]],AS3000_AMBIENTDERATE[AMBIENT],0), 2)</f>
        <v>0.94</v>
      </c>
      <c r="IR56" s="10">
        <f xml:space="preserve"> ROUNDUP( CABLES[[#This Row],[CALCULATED_AMPS]]/CABLES[[#This Row],[AMBIENT_DERATING]],1)</f>
        <v>9.4</v>
      </c>
      <c r="IS56" s="10" t="s">
        <v>531</v>
      </c>
      <c r="IT5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6" s="10">
        <f t="shared" si="1"/>
        <v>28.000000000000004</v>
      </c>
      <c r="IV56" s="10">
        <f>(1000*CABLES[[#This Row],[MAX_VDROP]])/(CABLES[[#This Row],[ESTIMATED_CABLE_LENGTH]]*CABLES[[#This Row],[AMP_RATING]])</f>
        <v>53.962380511871729</v>
      </c>
      <c r="IW56" s="10">
        <f xml:space="preserve"> INDEX(AS3000_VDROP[], MATCH(CABLES[[#This Row],[VC_CALC]],AS3000_VDROP[Vc],1),1)</f>
        <v>2.5</v>
      </c>
      <c r="IX56" s="10">
        <f>MAX(CABLES[[#This Row],[CABLESIZE_METHOD1]],CABLES[[#This Row],[CABLESIZE_METHOD2]])</f>
        <v>2.5</v>
      </c>
      <c r="IY56" s="10"/>
      <c r="IZ56" s="10">
        <f>IF(LEN(CABLES[[#This Row],[OVERRIDE_CABLESIZE]])&gt;0,CABLES[[#This Row],[OVERRIDE_CABLESIZE]],CABLES[[#This Row],[INITIAL_CABLESIZE]])</f>
        <v>2.5</v>
      </c>
      <c r="JA56" s="10">
        <f>INDEX(PROTECTIVE_DEVICE[DEVICE], MATCH(CABLES[[#This Row],[CALCULATED_AMPS]],PROTECTIVE_DEVICE[DEVICE],-1),1)</f>
        <v>10</v>
      </c>
      <c r="JB56" s="10"/>
      <c r="JC56" s="10">
        <f>IF(LEN(CABLES[[#This Row],[OVERRIDE_PDEVICE]])&gt;0, CABLES[[#This Row],[OVERRIDE_PDEVICE]],CABLES[[#This Row],[RECOMMEND_PDEVICE]])</f>
        <v>10</v>
      </c>
      <c r="JD56" s="10" t="s">
        <v>450</v>
      </c>
      <c r="JE56" s="10">
        <f xml:space="preserve"> CABLES[[#This Row],[SELECTED_PDEVICE]] * INDEX(DEVICE_CURVE[], MATCH(CABLES[[#This Row],[PDEVICE_CURVE]], DEVICE_CURVE[DEVICE_CURVE],0),2)</f>
        <v>65</v>
      </c>
      <c r="JF56" s="10" t="s">
        <v>458</v>
      </c>
      <c r="JG56" s="10">
        <f xml:space="preserve"> INDEX(CONDUCTOR_MATERIAL[], MATCH(CABLES[[#This Row],[CONDUCTOR_MATERIAL]],CONDUCTOR_MATERIAL[CONDUCTOR_MATERIAL],0),2)</f>
        <v>2.2499999999999999E-2</v>
      </c>
      <c r="JH56" s="10">
        <f>CABLES[[#This Row],[SELECTED_CABLESIZE]]</f>
        <v>2.5</v>
      </c>
      <c r="JI56" s="10">
        <f xml:space="preserve"> INDEX( EARTH_CONDUCTOR_SIZE[], MATCH(CABLES[[#This Row],[SPH]],EARTH_CONDUCTOR_SIZE[MM^2],-1), 2)</f>
        <v>2.5</v>
      </c>
      <c r="JJ56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56" s="10" t="str">
        <f>IF(CABLES[[#This Row],[LMAX]]&gt;CABLES[[#This Row],[ESTIMATED_CABLE_LENGTH]], "PASS", "ERROR")</f>
        <v>PASS</v>
      </c>
      <c r="JL5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5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56" s="6">
        <f xml:space="preserve"> ROUNDUP( CABLES[[#This Row],[CALCULATED_AMPS]],1)</f>
        <v>8.9</v>
      </c>
      <c r="JO56" s="6">
        <f>CABLES[[#This Row],[SELECTED_CABLESIZE]]</f>
        <v>2.5</v>
      </c>
      <c r="JP56" s="10">
        <f>CABLES[[#This Row],[ESTIMATED_CABLE_LENGTH]]</f>
        <v>55.199999999999996</v>
      </c>
      <c r="JQ56" s="6">
        <f>CABLES[[#This Row],[SELECTED_PDEVICE]]</f>
        <v>10</v>
      </c>
    </row>
    <row r="57" spans="1:277" x14ac:dyDescent="0.35">
      <c r="A57" s="5" t="s">
        <v>56</v>
      </c>
      <c r="B57" s="5" t="s">
        <v>108</v>
      </c>
      <c r="C57" s="10" t="s">
        <v>262</v>
      </c>
      <c r="D57" s="9">
        <v>7.5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1</v>
      </c>
      <c r="AI57" s="9">
        <v>1</v>
      </c>
      <c r="AJ57" s="9">
        <v>1</v>
      </c>
      <c r="AK57" s="9">
        <v>0</v>
      </c>
      <c r="AL57" s="9">
        <v>1</v>
      </c>
      <c r="AM57" s="9">
        <v>0</v>
      </c>
      <c r="AN57" s="9">
        <v>0</v>
      </c>
      <c r="AO57" s="9">
        <v>1</v>
      </c>
      <c r="AP57" s="9">
        <v>1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f xml:space="preserve"> IF(CABLES[[#This Row],[SEG1]] &gt;0, INDEX(SEGMENTS[], MATCH(CABLES[[#Headers],[SEG1]],SEGMENTS[SEG_ID],0),4),0)</f>
        <v>0</v>
      </c>
      <c r="BN57" s="9">
        <f xml:space="preserve"> IF(CABLES[[#This Row],[SEG2]] &gt;0, INDEX(SEGMENTS[], MATCH(CABLES[[#Headers],[SEG2]],SEGMENTS[SEG_ID],0),4),0)</f>
        <v>0</v>
      </c>
      <c r="BO57" s="9">
        <f xml:space="preserve"> IF(CABLES[[#This Row],[SEG3]] &gt;0, INDEX(SEGMENTS[], MATCH(CABLES[[#Headers],[SEG3]],SEGMENTS[SEG_ID],0),4),0)</f>
        <v>0</v>
      </c>
      <c r="BP57" s="9">
        <f xml:space="preserve"> IF(CABLES[[#This Row],[SEG4]] &gt;0, INDEX(SEGMENTS[], MATCH(CABLES[[#Headers],[SEG4]],SEGMENTS[SEG_ID],0),4),0)</f>
        <v>0</v>
      </c>
      <c r="BQ57" s="9">
        <f xml:space="preserve"> IF(CABLES[[#This Row],[SEG5]] &gt;0,INDEX(SEGMENTS[], MATCH(CABLES[[#Headers],[SEG5]],SEGMENTS[SEG_ID],0),4),0)</f>
        <v>0</v>
      </c>
      <c r="BR57" s="9">
        <f xml:space="preserve"> IF(CABLES[[#This Row],[SEG6]] &gt;0,INDEX(SEGMENTS[], MATCH(CABLES[[#Headers],[SEG6]],SEGMENTS[SEG_ID],0),4),0)</f>
        <v>0</v>
      </c>
      <c r="BS57" s="9">
        <f xml:space="preserve"> IF(CABLES[[#This Row],[SEG7]] &gt;0,INDEX(SEGMENTS[], MATCH(CABLES[[#Headers],[SEG7]],SEGMENTS[SEG_ID],0),4),0)</f>
        <v>0</v>
      </c>
      <c r="BT57" s="9">
        <f xml:space="preserve"> IF(CABLES[[#This Row],[SEG8]] &gt;0,INDEX(SEGMENTS[], MATCH(CABLES[[#Headers],[SEG8]],SEGMENTS[SEG_ID],0),4),0)</f>
        <v>0</v>
      </c>
      <c r="BU57" s="9">
        <f xml:space="preserve"> IF(CABLES[[#This Row],[SEG9]] &gt;0,INDEX(SEGMENTS[], MATCH(CABLES[[#Headers],[SEG9]],SEGMENTS[SEG_ID],0),4),0)</f>
        <v>0</v>
      </c>
      <c r="BV57" s="9">
        <f xml:space="preserve"> IF(CABLES[[#This Row],[SEG10]] &gt;0,INDEX(SEGMENTS[], MATCH(CABLES[[#Headers],[SEG10]],SEGMENTS[SEG_ID],0),4),0)</f>
        <v>0</v>
      </c>
      <c r="BW57" s="9">
        <f xml:space="preserve"> IF(CABLES[[#This Row],[SEG11]] &gt;0,INDEX(SEGMENTS[], MATCH(CABLES[[#Headers],[SEG11]],SEGMENTS[SEG_ID],0),4),0)</f>
        <v>0</v>
      </c>
      <c r="BX57" s="9">
        <f>IF(CABLES[[#This Row],[SEG12]] &gt;0, INDEX(SEGMENTS[], MATCH(CABLES[[#Headers],[SEG12]],SEGMENTS[SEG_ID],0),4),0)</f>
        <v>0</v>
      </c>
      <c r="BY57" s="9">
        <f xml:space="preserve"> IF(CABLES[[#This Row],[SEG13]] &gt;0,INDEX(SEGMENTS[], MATCH(CABLES[[#Headers],[SEG13]],SEGMENTS[SEG_ID],0),4),0)</f>
        <v>0</v>
      </c>
      <c r="BZ57" s="9">
        <f xml:space="preserve"> IF(CABLES[[#This Row],[SEG14]] &gt;0,INDEX(SEGMENTS[], MATCH(CABLES[[#Headers],[SEG14]],SEGMENTS[SEG_ID],0),4),0)</f>
        <v>0</v>
      </c>
      <c r="CA57" s="9">
        <f xml:space="preserve"> IF(CABLES[[#This Row],[SEG15]] &gt;0,INDEX(SEGMENTS[], MATCH(CABLES[[#Headers],[SEG15]],SEGMENTS[SEG_ID],0),4),0)</f>
        <v>0</v>
      </c>
      <c r="CB57" s="9">
        <f xml:space="preserve"> IF(CABLES[[#This Row],[SEG16]] &gt;0,INDEX(SEGMENTS[], MATCH(CABLES[[#Headers],[SEG16]],SEGMENTS[SEG_ID],0),4),0)</f>
        <v>0</v>
      </c>
      <c r="CC57" s="9">
        <f xml:space="preserve"> IF(CABLES[[#This Row],[SEG17]] &gt;0,INDEX(SEGMENTS[], MATCH(CABLES[[#Headers],[SEG17]],SEGMENTS[SEG_ID],0),4),0)</f>
        <v>0</v>
      </c>
      <c r="CD57" s="9">
        <f xml:space="preserve"> IF(CABLES[[#This Row],[SEG18]] &gt;0,INDEX(SEGMENTS[], MATCH(CABLES[[#Headers],[SEG18]],SEGMENTS[SEG_ID],0),4),0)</f>
        <v>0</v>
      </c>
      <c r="CE57" s="9">
        <f>IF(CABLES[[#This Row],[SEG19]] &gt;0, INDEX(SEGMENTS[], MATCH(CABLES[[#Headers],[SEG19]],SEGMENTS[SEG_ID],0),4),0)</f>
        <v>0</v>
      </c>
      <c r="CF57" s="9">
        <f>IF(CABLES[[#This Row],[SEG20]] &gt;0, INDEX(SEGMENTS[], MATCH(CABLES[[#Headers],[SEG20]],SEGMENTS[SEG_ID],0),4),0)</f>
        <v>0</v>
      </c>
      <c r="CG57" s="9">
        <f xml:space="preserve"> IF(CABLES[[#This Row],[SEG21]] &gt;0,INDEX(SEGMENTS[], MATCH(CABLES[[#Headers],[SEG21]],SEGMENTS[SEG_ID],0),4),0)</f>
        <v>0</v>
      </c>
      <c r="CH57" s="9">
        <f xml:space="preserve"> IF(CABLES[[#This Row],[SEG22]] &gt;0,INDEX(SEGMENTS[], MATCH(CABLES[[#Headers],[SEG22]],SEGMENTS[SEG_ID],0),4),0)</f>
        <v>0</v>
      </c>
      <c r="CI57" s="9">
        <f>IF(CABLES[[#This Row],[SEG23]] &gt;0, INDEX(SEGMENTS[], MATCH(CABLES[[#Headers],[SEG23]],SEGMENTS[SEG_ID],0),4),0)</f>
        <v>0</v>
      </c>
      <c r="CJ57" s="9">
        <f xml:space="preserve"> IF(CABLES[[#This Row],[SEG24]] &gt;0,INDEX(SEGMENTS[], MATCH(CABLES[[#Headers],[SEG24]],SEGMENTS[SEG_ID],0),4),0)</f>
        <v>0</v>
      </c>
      <c r="CK57" s="9">
        <f>IF(CABLES[[#This Row],[SEG25]] &gt;0, INDEX(SEGMENTS[], MATCH(CABLES[[#Headers],[SEG25]],SEGMENTS[SEG_ID],0),4),0)</f>
        <v>0</v>
      </c>
      <c r="CL57" s="9">
        <f>IF(CABLES[[#This Row],[SEG26]] &gt;0, INDEX(SEGMENTS[], MATCH(CABLES[[#Headers],[SEG26]],SEGMENTS[SEG_ID],0),4),0)</f>
        <v>0</v>
      </c>
      <c r="CM57" s="9">
        <f xml:space="preserve"> IF(CABLES[[#This Row],[SEG27]] &gt;0,INDEX(SEGMENTS[], MATCH(CABLES[[#Headers],[SEG27]],SEGMENTS[SEG_ID],0),4),0)</f>
        <v>0</v>
      </c>
      <c r="CN57" s="9">
        <f xml:space="preserve"> IF(CABLES[[#This Row],[SEG28]] &gt;0,INDEX(SEGMENTS[], MATCH(CABLES[[#Headers],[SEG28]],SEGMENTS[SEG_ID],0),4),0)</f>
        <v>0</v>
      </c>
      <c r="CO57" s="9">
        <f xml:space="preserve"> IF(CABLES[[#This Row],[SEG29]] &gt;0,INDEX(SEGMENTS[], MATCH(CABLES[[#Headers],[SEG29]],SEGMENTS[SEG_ID],0),4),0)</f>
        <v>0</v>
      </c>
      <c r="CP57" s="9">
        <f xml:space="preserve"> IF(CABLES[[#This Row],[SEG30]] &gt;0,INDEX(SEGMENTS[], MATCH(CABLES[[#Headers],[SEG30]],SEGMENTS[SEG_ID],0),4),0)</f>
        <v>6</v>
      </c>
      <c r="CQ57" s="9">
        <f>IF(CABLES[[#This Row],[SEG31]] &gt;0, INDEX(SEGMENTS[], MATCH(CABLES[[#Headers],[SEG31]],SEGMENTS[SEG_ID],0),4),0)</f>
        <v>3</v>
      </c>
      <c r="CR57" s="9">
        <f xml:space="preserve"> IF(CABLES[[#This Row],[SEG32]] &gt;0,INDEX(SEGMENTS[], MATCH(CABLES[[#Headers],[SEG32]],SEGMENTS[SEG_ID],0),4),0)</f>
        <v>5</v>
      </c>
      <c r="CS57" s="9">
        <f xml:space="preserve"> IF(CABLES[[#This Row],[SEG33]] &gt;0,INDEX(SEGMENTS[], MATCH(CABLES[[#Headers],[SEG33]],SEGMENTS[SEG_ID],0),4),0)</f>
        <v>0</v>
      </c>
      <c r="CT57" s="9">
        <f>IF(CABLES[[#This Row],[SEG34]] &gt;0, INDEX(SEGMENTS[], MATCH(CABLES[[#Headers],[SEG34]],SEGMENTS[SEG_ID],0),4),0)</f>
        <v>7</v>
      </c>
      <c r="CU57" s="9">
        <f xml:space="preserve"> IF(CABLES[[#This Row],[SEG35]] &gt;0,INDEX(SEGMENTS[], MATCH(CABLES[[#Headers],[SEG35]],SEGMENTS[SEG_ID],0),4),0)</f>
        <v>0</v>
      </c>
      <c r="CV57" s="9">
        <f xml:space="preserve"> IF(CABLES[[#This Row],[SEG36]] &gt;0,INDEX(SEGMENTS[], MATCH(CABLES[[#Headers],[SEG36]],SEGMENTS[SEG_ID],0),4),0)</f>
        <v>0</v>
      </c>
      <c r="CW57" s="9">
        <f xml:space="preserve"> IF(CABLES[[#This Row],[SEG37]] &gt;0,INDEX(SEGMENTS[], MATCH(CABLES[[#Headers],[SEG37]],SEGMENTS[SEG_ID],0),4),0)</f>
        <v>5</v>
      </c>
      <c r="CX57" s="9">
        <f xml:space="preserve"> IF(CABLES[[#This Row],[SEG38]] &gt;0,INDEX(SEGMENTS[], MATCH(CABLES[[#Headers],[SEG38]],SEGMENTS[SEG_ID],0),4),0)</f>
        <v>15</v>
      </c>
      <c r="CY57" s="9">
        <f xml:space="preserve"> IF(CABLES[[#This Row],[SEG39]] &gt;0,INDEX(SEGMENTS[], MATCH(CABLES[[#Headers],[SEG39]],SEGMENTS[SEG_ID],0),4),0)</f>
        <v>0</v>
      </c>
      <c r="CZ57" s="9">
        <f xml:space="preserve"> IF(CABLES[[#This Row],[SEG40]] &gt;0,INDEX(SEGMENTS[], MATCH(CABLES[[#Headers],[SEG40]],SEGMENTS[SEG_ID],0),4),0)</f>
        <v>0</v>
      </c>
      <c r="DA57" s="9">
        <f xml:space="preserve"> IF(CABLES[[#This Row],[SEG41]] &gt;0,INDEX(SEGMENTS[], MATCH(CABLES[[#Headers],[SEG41]],SEGMENTS[SEG_ID],0),4),0)</f>
        <v>0</v>
      </c>
      <c r="DB57" s="9">
        <f xml:space="preserve"> IF(CABLES[[#This Row],[SEG42]] &gt;0,INDEX(SEGMENTS[], MATCH(CABLES[[#Headers],[SEG42]],SEGMENTS[SEG_ID],0),4),0)</f>
        <v>0</v>
      </c>
      <c r="DC57" s="9">
        <f xml:space="preserve"> IF(CABLES[[#This Row],[SEG43]] &gt;0,INDEX(SEGMENTS[], MATCH(CABLES[[#Headers],[SEG43]],SEGMENTS[SEG_ID],0),4),0)</f>
        <v>0</v>
      </c>
      <c r="DD57" s="9">
        <f xml:space="preserve"> IF(CABLES[[#This Row],[SEG44]] &gt;0,INDEX(SEGMENTS[], MATCH(CABLES[[#Headers],[SEG44]],SEGMENTS[SEG_ID],0),4),0)</f>
        <v>0</v>
      </c>
      <c r="DE57" s="9">
        <f xml:space="preserve"> IF(CABLES[[#This Row],[SEG45]] &gt;0,INDEX(SEGMENTS[], MATCH(CABLES[[#Headers],[SEG45]],SEGMENTS[SEG_ID],0),4),0)</f>
        <v>0</v>
      </c>
      <c r="DF57" s="9">
        <f xml:space="preserve"> IF(CABLES[[#This Row],[SEG46]] &gt;0,INDEX(SEGMENTS[], MATCH(CABLES[[#Headers],[SEG46]],SEGMENTS[SEG_ID],0),4),0)</f>
        <v>0</v>
      </c>
      <c r="DG57" s="9">
        <f xml:space="preserve"> IF(CABLES[[#This Row],[SEG47]] &gt;0,INDEX(SEGMENTS[], MATCH(CABLES[[#Headers],[SEG47]],SEGMENTS[SEG_ID],0),4),0)</f>
        <v>0</v>
      </c>
      <c r="DH57" s="9">
        <f xml:space="preserve"> IF(CABLES[[#This Row],[SEG48]] &gt;0,INDEX(SEGMENTS[], MATCH(CABLES[[#Headers],[SEG48]],SEGMENTS[SEG_ID],0),4),0)</f>
        <v>0</v>
      </c>
      <c r="DI57" s="9">
        <f xml:space="preserve"> IF(CABLES[[#This Row],[SEG49]] &gt;0,INDEX(SEGMENTS[], MATCH(CABLES[[#Headers],[SEG49]],SEGMENTS[SEG_ID],0),4),0)</f>
        <v>0</v>
      </c>
      <c r="DJ57" s="9">
        <f xml:space="preserve"> IF(CABLES[[#This Row],[SEG50]] &gt;0,INDEX(SEGMENTS[], MATCH(CABLES[[#Headers],[SEG50]],SEGMENTS[SEG_ID],0),4),0)</f>
        <v>0</v>
      </c>
      <c r="DK57" s="9">
        <f xml:space="preserve"> IF(CABLES[[#This Row],[SEG51]] &gt;0,INDEX(SEGMENTS[], MATCH(CABLES[[#Headers],[SEG51]],SEGMENTS[SEG_ID],0),4),0)</f>
        <v>0</v>
      </c>
      <c r="DL57" s="9">
        <f xml:space="preserve"> IF(CABLES[[#This Row],[SEG52]] &gt;0,INDEX(SEGMENTS[], MATCH(CABLES[[#Headers],[SEG52]],SEGMENTS[SEG_ID],0),4),0)</f>
        <v>0</v>
      </c>
      <c r="DM57" s="9">
        <f xml:space="preserve"> IF(CABLES[[#This Row],[SEG53]] &gt;0,INDEX(SEGMENTS[], MATCH(CABLES[[#Headers],[SEG53]],SEGMENTS[SEG_ID],0),4),0)</f>
        <v>0</v>
      </c>
      <c r="DN57" s="9">
        <f xml:space="preserve"> IF(CABLES[[#This Row],[SEG54]] &gt;0,INDEX(SEGMENTS[], MATCH(CABLES[[#Headers],[SEG54]],SEGMENTS[SEG_ID],0),4),0)</f>
        <v>0</v>
      </c>
      <c r="DO57" s="9">
        <f xml:space="preserve"> IF(CABLES[[#This Row],[SEG55]] &gt;0,INDEX(SEGMENTS[], MATCH(CABLES[[#Headers],[SEG55]],SEGMENTS[SEG_ID],0),4),0)</f>
        <v>0</v>
      </c>
      <c r="DP57" s="9">
        <f xml:space="preserve"> IF(CABLES[[#This Row],[SEG56]] &gt;0,INDEX(SEGMENTS[], MATCH(CABLES[[#Headers],[SEG56]],SEGMENTS[SEG_ID],0),4),0)</f>
        <v>0</v>
      </c>
      <c r="DQ57" s="9">
        <f xml:space="preserve"> IF(CABLES[[#This Row],[SEG57]] &gt;0,INDEX(SEGMENTS[], MATCH(CABLES[[#Headers],[SEG57]],SEGMENTS[SEG_ID],0),4),0)</f>
        <v>0</v>
      </c>
      <c r="DR57" s="9">
        <f xml:space="preserve"> IF(CABLES[[#This Row],[SEG58]] &gt;0,INDEX(SEGMENTS[], MATCH(CABLES[[#Headers],[SEG58]],SEGMENTS[SEG_ID],0),4),0)</f>
        <v>0</v>
      </c>
      <c r="DS57" s="9">
        <f xml:space="preserve"> IF(CABLES[[#This Row],[SEG59]] &gt;0,INDEX(SEGMENTS[], MATCH(CABLES[[#Headers],[SEG59]],SEGMENTS[SEG_ID],0),4),0)</f>
        <v>0</v>
      </c>
      <c r="DT57" s="9">
        <f xml:space="preserve"> IF(CABLES[[#This Row],[SEG60]] &gt;0,INDEX(SEGMENTS[], MATCH(CABLES[[#Headers],[SEG60]],SEGMENTS[SEG_ID],0),4),0)</f>
        <v>0</v>
      </c>
      <c r="DU57" s="10">
        <f>SUM(CABLES[[#This Row],[SEGL1]:[SEGL60]])</f>
        <v>41</v>
      </c>
      <c r="DV57" s="10">
        <v>5</v>
      </c>
      <c r="DW57" s="10">
        <v>1.2</v>
      </c>
      <c r="DX57" s="10">
        <f xml:space="preserve"> IF(CABLES[[#This Row],[SEGL_TOTAL]]&gt;0, (CABLES[[#This Row],[SEGL_TOTAL]] + CABLES[[#This Row],[FITOFF]]) *CABLES[[#This Row],[XCAPACITY]],0)</f>
        <v>55.199999999999996</v>
      </c>
      <c r="DY57" s="10">
        <f>IF(CABLES[[#This Row],[SEG1]]&gt;0,CABLES[[#This Row],[CABLE_DIAMETER]],0)</f>
        <v>0</v>
      </c>
      <c r="DZ57" s="10">
        <f>IF(CABLES[[#This Row],[SEG2]]&gt;0,CABLES[[#This Row],[CABLE_DIAMETER]],0)</f>
        <v>0</v>
      </c>
      <c r="EA57" s="10">
        <f>IF(CABLES[[#This Row],[SEG3]]&gt;0,CABLES[[#This Row],[CABLE_DIAMETER]],0)</f>
        <v>0</v>
      </c>
      <c r="EB57" s="10">
        <f>IF(CABLES[[#This Row],[SEG4]]&gt;0,CABLES[[#This Row],[CABLE_DIAMETER]],0)</f>
        <v>0</v>
      </c>
      <c r="EC57" s="10">
        <f>IF(CABLES[[#This Row],[SEG5]]&gt;0,CABLES[[#This Row],[CABLE_DIAMETER]],0)</f>
        <v>0</v>
      </c>
      <c r="ED57" s="10">
        <f>IF(CABLES[[#This Row],[SEG6]]&gt;0,CABLES[[#This Row],[CABLE_DIAMETER]],0)</f>
        <v>0</v>
      </c>
      <c r="EE57" s="10">
        <f>IF(CABLES[[#This Row],[SEG7]]&gt;0,CABLES[[#This Row],[CABLE_DIAMETER]],0)</f>
        <v>0</v>
      </c>
      <c r="EF57" s="10">
        <f>IF(CABLES[[#This Row],[SEG9]]&gt;0,CABLES[[#This Row],[CABLE_DIAMETER]],0)</f>
        <v>0</v>
      </c>
      <c r="EG57" s="10">
        <f>IF(CABLES[[#This Row],[SEG9]]&gt;0,CABLES[[#This Row],[CABLE_DIAMETER]],0)</f>
        <v>0</v>
      </c>
      <c r="EH57" s="10">
        <f>IF(CABLES[[#This Row],[SEG10]]&gt;0,CABLES[[#This Row],[CABLE_DIAMETER]],0)</f>
        <v>0</v>
      </c>
      <c r="EI57" s="10">
        <f>IF(CABLES[[#This Row],[SEG11]]&gt;0,CABLES[[#This Row],[CABLE_DIAMETER]],0)</f>
        <v>0</v>
      </c>
      <c r="EJ57" s="10">
        <f>IF(CABLES[[#This Row],[SEG12]]&gt;0,CABLES[[#This Row],[CABLE_DIAMETER]],0)</f>
        <v>0</v>
      </c>
      <c r="EK57" s="10">
        <f>IF(CABLES[[#This Row],[SEG13]]&gt;0,CABLES[[#This Row],[CABLE_DIAMETER]],0)</f>
        <v>0</v>
      </c>
      <c r="EL57" s="10">
        <f>IF(CABLES[[#This Row],[SEG14]]&gt;0,CABLES[[#This Row],[CABLE_DIAMETER]],0)</f>
        <v>0</v>
      </c>
      <c r="EM57" s="10">
        <f>IF(CABLES[[#This Row],[SEG15]]&gt;0,CABLES[[#This Row],[CABLE_DIAMETER]],0)</f>
        <v>0</v>
      </c>
      <c r="EN57" s="10">
        <f>IF(CABLES[[#This Row],[SEG16]]&gt;0,CABLES[[#This Row],[CABLE_DIAMETER]],0)</f>
        <v>0</v>
      </c>
      <c r="EO57" s="10">
        <f>IF(CABLES[[#This Row],[SEG17]]&gt;0,CABLES[[#This Row],[CABLE_DIAMETER]],0)</f>
        <v>0</v>
      </c>
      <c r="EP57" s="10">
        <f>IF(CABLES[[#This Row],[SEG18]]&gt;0,CABLES[[#This Row],[CABLE_DIAMETER]],0)</f>
        <v>0</v>
      </c>
      <c r="EQ57" s="10">
        <f>IF(CABLES[[#This Row],[SEG19]]&gt;0,CABLES[[#This Row],[CABLE_DIAMETER]],0)</f>
        <v>0</v>
      </c>
      <c r="ER57" s="10">
        <f>IF(CABLES[[#This Row],[SEG20]]&gt;0,CABLES[[#This Row],[CABLE_DIAMETER]],0)</f>
        <v>0</v>
      </c>
      <c r="ES57" s="10">
        <f>IF(CABLES[[#This Row],[SEG21]]&gt;0,CABLES[[#This Row],[CABLE_DIAMETER]],0)</f>
        <v>0</v>
      </c>
      <c r="ET57" s="10">
        <f>IF(CABLES[[#This Row],[SEG22]]&gt;0,CABLES[[#This Row],[CABLE_DIAMETER]],0)</f>
        <v>0</v>
      </c>
      <c r="EU57" s="10">
        <f>IF(CABLES[[#This Row],[SEG23]]&gt;0,CABLES[[#This Row],[CABLE_DIAMETER]],0)</f>
        <v>0</v>
      </c>
      <c r="EV57" s="10">
        <f>IF(CABLES[[#This Row],[SEG24]]&gt;0,CABLES[[#This Row],[CABLE_DIAMETER]],0)</f>
        <v>0</v>
      </c>
      <c r="EW57" s="10">
        <f>IF(CABLES[[#This Row],[SEG25]]&gt;0,CABLES[[#This Row],[CABLE_DIAMETER]],0)</f>
        <v>0</v>
      </c>
      <c r="EX57" s="10">
        <f>IF(CABLES[[#This Row],[SEG26]]&gt;0,CABLES[[#This Row],[CABLE_DIAMETER]],0)</f>
        <v>0</v>
      </c>
      <c r="EY57" s="10">
        <f>IF(CABLES[[#This Row],[SEG27]]&gt;0,CABLES[[#This Row],[CABLE_DIAMETER]],0)</f>
        <v>0</v>
      </c>
      <c r="EZ57" s="10">
        <f>IF(CABLES[[#This Row],[SEG28]]&gt;0,CABLES[[#This Row],[CABLE_DIAMETER]],0)</f>
        <v>0</v>
      </c>
      <c r="FA57" s="10">
        <f>IF(CABLES[[#This Row],[SEG29]]&gt;0,CABLES[[#This Row],[CABLE_DIAMETER]],0)</f>
        <v>0</v>
      </c>
      <c r="FB57" s="10">
        <f>IF(CABLES[[#This Row],[SEG30]]&gt;0,CABLES[[#This Row],[CABLE_DIAMETER]],0)</f>
        <v>12</v>
      </c>
      <c r="FC57" s="10">
        <f>IF(CABLES[[#This Row],[SEG31]]&gt;0,CABLES[[#This Row],[CABLE_DIAMETER]],0)</f>
        <v>12</v>
      </c>
      <c r="FD57" s="10">
        <f>IF(CABLES[[#This Row],[SEG32]]&gt;0,CABLES[[#This Row],[CABLE_DIAMETER]],0)</f>
        <v>12</v>
      </c>
      <c r="FE57" s="10">
        <f>IF(CABLES[[#This Row],[SEG33]]&gt;0,CABLES[[#This Row],[CABLE_DIAMETER]],0)</f>
        <v>0</v>
      </c>
      <c r="FF57" s="10">
        <f>IF(CABLES[[#This Row],[SEG34]]&gt;0,CABLES[[#This Row],[CABLE_DIAMETER]],0)</f>
        <v>12</v>
      </c>
      <c r="FG57" s="10">
        <f>IF(CABLES[[#This Row],[SEG35]]&gt;0,CABLES[[#This Row],[CABLE_DIAMETER]],0)</f>
        <v>0</v>
      </c>
      <c r="FH57" s="10">
        <f>IF(CABLES[[#This Row],[SEG36]]&gt;0,CABLES[[#This Row],[CABLE_DIAMETER]],0)</f>
        <v>0</v>
      </c>
      <c r="FI57" s="10">
        <f>IF(CABLES[[#This Row],[SEG37]]&gt;0,CABLES[[#This Row],[CABLE_DIAMETER]],0)</f>
        <v>12</v>
      </c>
      <c r="FJ57" s="10">
        <f>IF(CABLES[[#This Row],[SEG38]]&gt;0,CABLES[[#This Row],[CABLE_DIAMETER]],0)</f>
        <v>12</v>
      </c>
      <c r="FK57" s="10">
        <f>IF(CABLES[[#This Row],[SEG39]]&gt;0,CABLES[[#This Row],[CABLE_DIAMETER]],0)</f>
        <v>0</v>
      </c>
      <c r="FL57" s="10">
        <f>IF(CABLES[[#This Row],[SEG40]]&gt;0,CABLES[[#This Row],[CABLE_DIAMETER]],0)</f>
        <v>0</v>
      </c>
      <c r="FM57" s="10">
        <f>IF(CABLES[[#This Row],[SEG41]]&gt;0,CABLES[[#This Row],[CABLE_DIAMETER]],0)</f>
        <v>0</v>
      </c>
      <c r="FN57" s="10">
        <f>IF(CABLES[[#This Row],[SEG42]]&gt;0,CABLES[[#This Row],[CABLE_DIAMETER]],0)</f>
        <v>0</v>
      </c>
      <c r="FO57" s="10">
        <f>IF(CABLES[[#This Row],[SEG43]]&gt;0,CABLES[[#This Row],[CABLE_DIAMETER]],0)</f>
        <v>0</v>
      </c>
      <c r="FP57" s="10">
        <f>IF(CABLES[[#This Row],[SEG44]]&gt;0,CABLES[[#This Row],[CABLE_DIAMETER]],0)</f>
        <v>0</v>
      </c>
      <c r="FQ57" s="10">
        <f>IF(CABLES[[#This Row],[SEG45]]&gt;0,CABLES[[#This Row],[CABLE_DIAMETER]],0)</f>
        <v>0</v>
      </c>
      <c r="FR57" s="10">
        <f>IF(CABLES[[#This Row],[SEG46]]&gt;0,CABLES[[#This Row],[CABLE_DIAMETER]],0)</f>
        <v>0</v>
      </c>
      <c r="FS57" s="10">
        <f>IF(CABLES[[#This Row],[SEG47]]&gt;0,CABLES[[#This Row],[CABLE_DIAMETER]],0)</f>
        <v>0</v>
      </c>
      <c r="FT57" s="10">
        <f>IF(CABLES[[#This Row],[SEG48]]&gt;0,CABLES[[#This Row],[CABLE_DIAMETER]],0)</f>
        <v>0</v>
      </c>
      <c r="FU57" s="10">
        <f>IF(CABLES[[#This Row],[SEG49]]&gt;0,CABLES[[#This Row],[CABLE_DIAMETER]],0)</f>
        <v>0</v>
      </c>
      <c r="FV57" s="10">
        <f>IF(CABLES[[#This Row],[SEG50]]&gt;0,CABLES[[#This Row],[CABLE_DIAMETER]],0)</f>
        <v>0</v>
      </c>
      <c r="FW57" s="10">
        <f>IF(CABLES[[#This Row],[SEG51]]&gt;0,CABLES[[#This Row],[CABLE_DIAMETER]],0)</f>
        <v>0</v>
      </c>
      <c r="FX57" s="10">
        <f>IF(CABLES[[#This Row],[SEG52]]&gt;0,CABLES[[#This Row],[CABLE_DIAMETER]],0)</f>
        <v>0</v>
      </c>
      <c r="FY57" s="10">
        <f>IF(CABLES[[#This Row],[SEG53]]&gt;0,CABLES[[#This Row],[CABLE_DIAMETER]],0)</f>
        <v>0</v>
      </c>
      <c r="FZ57" s="10">
        <f>IF(CABLES[[#This Row],[SEG54]]&gt;0,CABLES[[#This Row],[CABLE_DIAMETER]],0)</f>
        <v>0</v>
      </c>
      <c r="GA57" s="10">
        <f>IF(CABLES[[#This Row],[SEG55]]&gt;0,CABLES[[#This Row],[CABLE_DIAMETER]],0)</f>
        <v>0</v>
      </c>
      <c r="GB57" s="10">
        <f>IF(CABLES[[#This Row],[SEG56]]&gt;0,CABLES[[#This Row],[CABLE_DIAMETER]],0)</f>
        <v>0</v>
      </c>
      <c r="GC57" s="10">
        <f>IF(CABLES[[#This Row],[SEG57]]&gt;0,CABLES[[#This Row],[CABLE_DIAMETER]],0)</f>
        <v>0</v>
      </c>
      <c r="GD57" s="10">
        <f>IF(CABLES[[#This Row],[SEG58]]&gt;0,CABLES[[#This Row],[CABLE_DIAMETER]],0)</f>
        <v>0</v>
      </c>
      <c r="GE57" s="10">
        <f>IF(CABLES[[#This Row],[SEG59]]&gt;0,CABLES[[#This Row],[CABLE_DIAMETER]],0)</f>
        <v>0</v>
      </c>
      <c r="GF57" s="10">
        <f>IF(CABLES[[#This Row],[SEG60]]&gt;0,CABLES[[#This Row],[CABLE_DIAMETER]],0)</f>
        <v>0</v>
      </c>
      <c r="GG57" s="10">
        <f>IF(CABLES[[#This Row],[SEG1]]&gt;0,CABLES[[#This Row],[CABLE_MASS]],0)</f>
        <v>0</v>
      </c>
      <c r="GH57" s="10">
        <f>IF(CABLES[[#This Row],[SEG2]]&gt;0,CABLES[[#This Row],[CABLE_MASS]],0)</f>
        <v>0</v>
      </c>
      <c r="GI57" s="10">
        <f>IF(CABLES[[#This Row],[SEG3]]&gt;0,CABLES[[#This Row],[CABLE_MASS]],0)</f>
        <v>0</v>
      </c>
      <c r="GJ57" s="10">
        <f>IF(CABLES[[#This Row],[SEG4]]&gt;0,CABLES[[#This Row],[CABLE_MASS]],0)</f>
        <v>0</v>
      </c>
      <c r="GK57" s="10">
        <f>IF(CABLES[[#This Row],[SEG5]]&gt;0,CABLES[[#This Row],[CABLE_MASS]],0)</f>
        <v>0</v>
      </c>
      <c r="GL57" s="10">
        <f>IF(CABLES[[#This Row],[SEG6]]&gt;0,CABLES[[#This Row],[CABLE_MASS]],0)</f>
        <v>0</v>
      </c>
      <c r="GM57" s="10">
        <f>IF(CABLES[[#This Row],[SEG7]]&gt;0,CABLES[[#This Row],[CABLE_MASS]],0)</f>
        <v>0</v>
      </c>
      <c r="GN57" s="10">
        <f>IF(CABLES[[#This Row],[SEG8]]&gt;0,CABLES[[#This Row],[CABLE_MASS]],0)</f>
        <v>0</v>
      </c>
      <c r="GO57" s="10">
        <f>IF(CABLES[[#This Row],[SEG9]]&gt;0,CABLES[[#This Row],[CABLE_MASS]],0)</f>
        <v>0</v>
      </c>
      <c r="GP57" s="10">
        <f>IF(CABLES[[#This Row],[SEG10]]&gt;0,CABLES[[#This Row],[CABLE_MASS]],0)</f>
        <v>0</v>
      </c>
      <c r="GQ57" s="10">
        <f>IF(CABLES[[#This Row],[SEG11]]&gt;0,CABLES[[#This Row],[CABLE_MASS]],0)</f>
        <v>0</v>
      </c>
      <c r="GR57" s="10">
        <f>IF(CABLES[[#This Row],[SEG12]]&gt;0,CABLES[[#This Row],[CABLE_MASS]],0)</f>
        <v>0</v>
      </c>
      <c r="GS57" s="10">
        <f>IF(CABLES[[#This Row],[SEG13]]&gt;0,CABLES[[#This Row],[CABLE_MASS]],0)</f>
        <v>0</v>
      </c>
      <c r="GT57" s="10">
        <f>IF(CABLES[[#This Row],[SEG14]]&gt;0,CABLES[[#This Row],[CABLE_MASS]],0)</f>
        <v>0</v>
      </c>
      <c r="GU57" s="10">
        <f>IF(CABLES[[#This Row],[SEG15]]&gt;0,CABLES[[#This Row],[CABLE_MASS]],0)</f>
        <v>0</v>
      </c>
      <c r="GV57" s="10">
        <f>IF(CABLES[[#This Row],[SEG16]]&gt;0,CABLES[[#This Row],[CABLE_MASS]],0)</f>
        <v>0</v>
      </c>
      <c r="GW57" s="10">
        <f>IF(CABLES[[#This Row],[SEG17]]&gt;0,CABLES[[#This Row],[CABLE_MASS]],0)</f>
        <v>0</v>
      </c>
      <c r="GX57" s="10">
        <f>IF(CABLES[[#This Row],[SEG18]]&gt;0,CABLES[[#This Row],[CABLE_MASS]],0)</f>
        <v>0</v>
      </c>
      <c r="GY57" s="10">
        <f>IF(CABLES[[#This Row],[SEG19]]&gt;0,CABLES[[#This Row],[CABLE_MASS]],0)</f>
        <v>0</v>
      </c>
      <c r="GZ57" s="10">
        <f>IF(CABLES[[#This Row],[SEG20]]&gt;0,CABLES[[#This Row],[CABLE_MASS]],0)</f>
        <v>0</v>
      </c>
      <c r="HA57" s="10">
        <f>IF(CABLES[[#This Row],[SEG21]]&gt;0,CABLES[[#This Row],[CABLE_MASS]],0)</f>
        <v>0</v>
      </c>
      <c r="HB57" s="10">
        <f>IF(CABLES[[#This Row],[SEG22]]&gt;0,CABLES[[#This Row],[CABLE_MASS]],0)</f>
        <v>0</v>
      </c>
      <c r="HC57" s="10">
        <f>IF(CABLES[[#This Row],[SEG23]]&gt;0,CABLES[[#This Row],[CABLE_MASS]],0)</f>
        <v>0</v>
      </c>
      <c r="HD57" s="10">
        <f>IF(CABLES[[#This Row],[SEG24]]&gt;0,CABLES[[#This Row],[CABLE_MASS]],0)</f>
        <v>0</v>
      </c>
      <c r="HE57" s="10">
        <f>IF(CABLES[[#This Row],[SEG25]]&gt;0,CABLES[[#This Row],[CABLE_MASS]],0)</f>
        <v>0</v>
      </c>
      <c r="HF57" s="10">
        <f>IF(CABLES[[#This Row],[SEG26]]&gt;0,CABLES[[#This Row],[CABLE_MASS]],0)</f>
        <v>0</v>
      </c>
      <c r="HG57" s="10">
        <f>IF(CABLES[[#This Row],[SEG27]]&gt;0,CABLES[[#This Row],[CABLE_MASS]],0)</f>
        <v>0</v>
      </c>
      <c r="HH57" s="10">
        <f>IF(CABLES[[#This Row],[SEG28]]&gt;0,CABLES[[#This Row],[CABLE_MASS]],0)</f>
        <v>0</v>
      </c>
      <c r="HI57" s="10">
        <f>IF(CABLES[[#This Row],[SEG29]]&gt;0,CABLES[[#This Row],[CABLE_MASS]],0)</f>
        <v>0</v>
      </c>
      <c r="HJ57" s="10">
        <f>IF(CABLES[[#This Row],[SEG30]]&gt;0,CABLES[[#This Row],[CABLE_MASS]],0)</f>
        <v>0.21</v>
      </c>
      <c r="HK57" s="10">
        <f>IF(CABLES[[#This Row],[SEG31]]&gt;0,CABLES[[#This Row],[CABLE_MASS]],0)</f>
        <v>0.21</v>
      </c>
      <c r="HL57" s="10">
        <f>IF(CABLES[[#This Row],[SEG32]]&gt;0,CABLES[[#This Row],[CABLE_MASS]],0)</f>
        <v>0.21</v>
      </c>
      <c r="HM57" s="10">
        <f>IF(CABLES[[#This Row],[SEG33]]&gt;0,CABLES[[#This Row],[CABLE_MASS]],0)</f>
        <v>0</v>
      </c>
      <c r="HN57" s="10">
        <f>IF(CABLES[[#This Row],[SEG34]]&gt;0,CABLES[[#This Row],[CABLE_MASS]],0)</f>
        <v>0.21</v>
      </c>
      <c r="HO57" s="10">
        <f>IF(CABLES[[#This Row],[SEG35]]&gt;0,CABLES[[#This Row],[CABLE_MASS]],0)</f>
        <v>0</v>
      </c>
      <c r="HP57" s="10">
        <f>IF(CABLES[[#This Row],[SEG36]]&gt;0,CABLES[[#This Row],[CABLE_MASS]],0)</f>
        <v>0</v>
      </c>
      <c r="HQ57" s="10">
        <f>IF(CABLES[[#This Row],[SEG37]]&gt;0,CABLES[[#This Row],[CABLE_MASS]],0)</f>
        <v>0.21</v>
      </c>
      <c r="HR57" s="10">
        <f>IF(CABLES[[#This Row],[SEG38]]&gt;0,CABLES[[#This Row],[CABLE_MASS]],0)</f>
        <v>0.21</v>
      </c>
      <c r="HS57" s="10">
        <f>IF(CABLES[[#This Row],[SEG39]]&gt;0,CABLES[[#This Row],[CABLE_MASS]],0)</f>
        <v>0</v>
      </c>
      <c r="HT57" s="10">
        <f>IF(CABLES[[#This Row],[SEG40]]&gt;0,CABLES[[#This Row],[CABLE_MASS]],0)</f>
        <v>0</v>
      </c>
      <c r="HU57" s="10">
        <f>IF(CABLES[[#This Row],[SEG41]]&gt;0,CABLES[[#This Row],[CABLE_MASS]],0)</f>
        <v>0</v>
      </c>
      <c r="HV57" s="10">
        <f>IF(CABLES[[#This Row],[SEG42]]&gt;0,CABLES[[#This Row],[CABLE_MASS]],0)</f>
        <v>0</v>
      </c>
      <c r="HW57" s="10">
        <f>IF(CABLES[[#This Row],[SEG43]]&gt;0,CABLES[[#This Row],[CABLE_MASS]],0)</f>
        <v>0</v>
      </c>
      <c r="HX57" s="10">
        <f>IF(CABLES[[#This Row],[SEG44]]&gt;0,CABLES[[#This Row],[CABLE_MASS]],0)</f>
        <v>0</v>
      </c>
      <c r="HY57" s="10">
        <f>IF(CABLES[[#This Row],[SEG45]]&gt;0,CABLES[[#This Row],[CABLE_MASS]],0)</f>
        <v>0</v>
      </c>
      <c r="HZ57" s="10">
        <f>IF(CABLES[[#This Row],[SEG46]]&gt;0,CABLES[[#This Row],[CABLE_MASS]],0)</f>
        <v>0</v>
      </c>
      <c r="IA57" s="10">
        <f>IF(CABLES[[#This Row],[SEG47]]&gt;0,CABLES[[#This Row],[CABLE_MASS]],0)</f>
        <v>0</v>
      </c>
      <c r="IB57" s="10">
        <f>IF(CABLES[[#This Row],[SEG48]]&gt;0,CABLES[[#This Row],[CABLE_MASS]],0)</f>
        <v>0</v>
      </c>
      <c r="IC57" s="10">
        <f>IF(CABLES[[#This Row],[SEG49]]&gt;0,CABLES[[#This Row],[CABLE_MASS]],0)</f>
        <v>0</v>
      </c>
      <c r="ID57" s="10">
        <f>IF(CABLES[[#This Row],[SEG50]]&gt;0,CABLES[[#This Row],[CABLE_MASS]],0)</f>
        <v>0</v>
      </c>
      <c r="IE57" s="10">
        <f>IF(CABLES[[#This Row],[SEG51]]&gt;0,CABLES[[#This Row],[CABLE_MASS]],0)</f>
        <v>0</v>
      </c>
      <c r="IF57" s="10">
        <f>IF(CABLES[[#This Row],[SEG52]]&gt;0,CABLES[[#This Row],[CABLE_MASS]],0)</f>
        <v>0</v>
      </c>
      <c r="IG57" s="10">
        <f>IF(CABLES[[#This Row],[SEG53]]&gt;0,CABLES[[#This Row],[CABLE_MASS]],0)</f>
        <v>0</v>
      </c>
      <c r="IH57" s="10">
        <f>IF(CABLES[[#This Row],[SEG54]]&gt;0,CABLES[[#This Row],[CABLE_MASS]],0)</f>
        <v>0</v>
      </c>
      <c r="II57" s="10">
        <f>IF(CABLES[[#This Row],[SEG55]]&gt;0,CABLES[[#This Row],[CABLE_MASS]],0)</f>
        <v>0</v>
      </c>
      <c r="IJ57" s="10">
        <f>IF(CABLES[[#This Row],[SEG56]]&gt;0,CABLES[[#This Row],[CABLE_MASS]],0)</f>
        <v>0</v>
      </c>
      <c r="IK57" s="10">
        <f>IF(CABLES[[#This Row],[SEG57]]&gt;0,CABLES[[#This Row],[CABLE_MASS]],0)</f>
        <v>0</v>
      </c>
      <c r="IL57" s="10">
        <f>IF(CABLES[[#This Row],[SEG58]]&gt;0,CABLES[[#This Row],[CABLE_MASS]],0)</f>
        <v>0</v>
      </c>
      <c r="IM57" s="10">
        <f>IF(CABLES[[#This Row],[SEG59]]&gt;0,CABLES[[#This Row],[CABLE_MASS]],0)</f>
        <v>0</v>
      </c>
      <c r="IN57" s="10">
        <f>IF(CABLES[[#This Row],[SEG60]]&gt;0,CABLES[[#This Row],[CABLE_MASS]],0)</f>
        <v>0</v>
      </c>
      <c r="IO57" s="10">
        <f xml:space="preserve">  (CABLES[[#This Row],[LOAD_KW]]/(SQRT(3)*SYSTEM_VOLTAGE*POWER_FACTOR))*1000</f>
        <v>12.028130608117204</v>
      </c>
      <c r="IP57" s="10">
        <v>45</v>
      </c>
      <c r="IQ57" s="10">
        <f xml:space="preserve"> INDEX(AS3000_AMBIENTDERATE[], MATCH(CABLES[[#This Row],[AMBIENT]],AS3000_AMBIENTDERATE[AMBIENT],0), 2)</f>
        <v>0.94</v>
      </c>
      <c r="IR57" s="10">
        <f xml:space="preserve"> ROUNDUP( CABLES[[#This Row],[CALCULATED_AMPS]]/CABLES[[#This Row],[AMBIENT_DERATING]],1)</f>
        <v>12.799999999999999</v>
      </c>
      <c r="IS57" s="10" t="s">
        <v>531</v>
      </c>
      <c r="IT5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57" s="10">
        <f t="shared" si="1"/>
        <v>28.000000000000004</v>
      </c>
      <c r="IV57" s="10">
        <f>(1000*CABLES[[#This Row],[MAX_VDROP]])/(CABLES[[#This Row],[ESTIMATED_CABLE_LENGTH]]*CABLES[[#This Row],[AMP_RATING]])</f>
        <v>39.628623188405811</v>
      </c>
      <c r="IW57" s="10">
        <f xml:space="preserve"> INDEX(AS3000_VDROP[], MATCH(CABLES[[#This Row],[VC_CALC]],AS3000_VDROP[Vc],1),1)</f>
        <v>2.5</v>
      </c>
      <c r="IX57" s="10">
        <f>MAX(CABLES[[#This Row],[CABLESIZE_METHOD1]],CABLES[[#This Row],[CABLESIZE_METHOD2]])</f>
        <v>2.5</v>
      </c>
      <c r="IY57" s="10"/>
      <c r="IZ57" s="10">
        <f>IF(LEN(CABLES[[#This Row],[OVERRIDE_CABLESIZE]])&gt;0,CABLES[[#This Row],[OVERRIDE_CABLESIZE]],CABLES[[#This Row],[INITIAL_CABLESIZE]])</f>
        <v>2.5</v>
      </c>
      <c r="JA57" s="10">
        <f>INDEX(PROTECTIVE_DEVICE[DEVICE], MATCH(CABLES[[#This Row],[CALCULATED_AMPS]],PROTECTIVE_DEVICE[DEVICE],-1),1)</f>
        <v>16</v>
      </c>
      <c r="JB57" s="10"/>
      <c r="JC57" s="10">
        <f>IF(LEN(CABLES[[#This Row],[OVERRIDE_PDEVICE]])&gt;0, CABLES[[#This Row],[OVERRIDE_PDEVICE]],CABLES[[#This Row],[RECOMMEND_PDEVICE]])</f>
        <v>16</v>
      </c>
      <c r="JD57" s="10" t="s">
        <v>450</v>
      </c>
      <c r="JE57" s="10">
        <f xml:space="preserve"> CABLES[[#This Row],[SELECTED_PDEVICE]] * INDEX(DEVICE_CURVE[], MATCH(CABLES[[#This Row],[PDEVICE_CURVE]], DEVICE_CURVE[DEVICE_CURVE],0),2)</f>
        <v>104</v>
      </c>
      <c r="JF57" s="10" t="s">
        <v>458</v>
      </c>
      <c r="JG57" s="10">
        <f xml:space="preserve"> INDEX(CONDUCTOR_MATERIAL[], MATCH(CABLES[[#This Row],[CONDUCTOR_MATERIAL]],CONDUCTOR_MATERIAL[CONDUCTOR_MATERIAL],0),2)</f>
        <v>2.2499999999999999E-2</v>
      </c>
      <c r="JH57" s="10">
        <f>CABLES[[#This Row],[SELECTED_CABLESIZE]]</f>
        <v>2.5</v>
      </c>
      <c r="JI57" s="10">
        <f xml:space="preserve"> INDEX( EARTH_CONDUCTOR_SIZE[], MATCH(CABLES[[#This Row],[SPH]],EARTH_CONDUCTOR_SIZE[MM^2],-1), 2)</f>
        <v>2.5</v>
      </c>
      <c r="JJ57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57" s="10" t="str">
        <f>IF(CABLES[[#This Row],[LMAX]]&gt;CABLES[[#This Row],[ESTIMATED_CABLE_LENGTH]], "PASS", "ERROR")</f>
        <v>PASS</v>
      </c>
      <c r="JL5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7" s="6">
        <f xml:space="preserve"> ROUNDUP( CABLES[[#This Row],[CALCULATED_AMPS]],1)</f>
        <v>12.1</v>
      </c>
      <c r="JO57" s="6">
        <f>CABLES[[#This Row],[SELECTED_CABLESIZE]]</f>
        <v>2.5</v>
      </c>
      <c r="JP57" s="10">
        <f>CABLES[[#This Row],[ESTIMATED_CABLE_LENGTH]]</f>
        <v>55.199999999999996</v>
      </c>
      <c r="JQ57" s="6">
        <f>CABLES[[#This Row],[SELECTED_PDEVICE]]</f>
        <v>16</v>
      </c>
    </row>
    <row r="58" spans="1:277" x14ac:dyDescent="0.35">
      <c r="A58" s="5" t="s">
        <v>57</v>
      </c>
      <c r="B58" s="5" t="s">
        <v>109</v>
      </c>
      <c r="C58" s="10" t="s">
        <v>262</v>
      </c>
      <c r="D58" s="9">
        <v>0.55000000000000004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1</v>
      </c>
      <c r="AI58" s="9">
        <v>1</v>
      </c>
      <c r="AJ58" s="9">
        <v>1</v>
      </c>
      <c r="AK58" s="9">
        <v>0</v>
      </c>
      <c r="AL58" s="9">
        <v>1</v>
      </c>
      <c r="AM58" s="9">
        <v>0</v>
      </c>
      <c r="AN58" s="9">
        <v>0</v>
      </c>
      <c r="AO58" s="9">
        <v>1</v>
      </c>
      <c r="AP58" s="9">
        <v>1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f xml:space="preserve"> IF(CABLES[[#This Row],[SEG1]] &gt;0, INDEX(SEGMENTS[], MATCH(CABLES[[#Headers],[SEG1]],SEGMENTS[SEG_ID],0),4),0)</f>
        <v>0</v>
      </c>
      <c r="BN58" s="9">
        <f xml:space="preserve"> IF(CABLES[[#This Row],[SEG2]] &gt;0, INDEX(SEGMENTS[], MATCH(CABLES[[#Headers],[SEG2]],SEGMENTS[SEG_ID],0),4),0)</f>
        <v>0</v>
      </c>
      <c r="BO58" s="9">
        <f xml:space="preserve"> IF(CABLES[[#This Row],[SEG3]] &gt;0, INDEX(SEGMENTS[], MATCH(CABLES[[#Headers],[SEG3]],SEGMENTS[SEG_ID],0),4),0)</f>
        <v>0</v>
      </c>
      <c r="BP58" s="9">
        <f xml:space="preserve"> IF(CABLES[[#This Row],[SEG4]] &gt;0, INDEX(SEGMENTS[], MATCH(CABLES[[#Headers],[SEG4]],SEGMENTS[SEG_ID],0),4),0)</f>
        <v>0</v>
      </c>
      <c r="BQ58" s="9">
        <f xml:space="preserve"> IF(CABLES[[#This Row],[SEG5]] &gt;0,INDEX(SEGMENTS[], MATCH(CABLES[[#Headers],[SEG5]],SEGMENTS[SEG_ID],0),4),0)</f>
        <v>0</v>
      </c>
      <c r="BR58" s="9">
        <f xml:space="preserve"> IF(CABLES[[#This Row],[SEG6]] &gt;0,INDEX(SEGMENTS[], MATCH(CABLES[[#Headers],[SEG6]],SEGMENTS[SEG_ID],0),4),0)</f>
        <v>0</v>
      </c>
      <c r="BS58" s="9">
        <f xml:space="preserve"> IF(CABLES[[#This Row],[SEG7]] &gt;0,INDEX(SEGMENTS[], MATCH(CABLES[[#Headers],[SEG7]],SEGMENTS[SEG_ID],0),4),0)</f>
        <v>0</v>
      </c>
      <c r="BT58" s="9">
        <f xml:space="preserve"> IF(CABLES[[#This Row],[SEG8]] &gt;0,INDEX(SEGMENTS[], MATCH(CABLES[[#Headers],[SEG8]],SEGMENTS[SEG_ID],0),4),0)</f>
        <v>0</v>
      </c>
      <c r="BU58" s="9">
        <f xml:space="preserve"> IF(CABLES[[#This Row],[SEG9]] &gt;0,INDEX(SEGMENTS[], MATCH(CABLES[[#Headers],[SEG9]],SEGMENTS[SEG_ID],0),4),0)</f>
        <v>0</v>
      </c>
      <c r="BV58" s="9">
        <f xml:space="preserve"> IF(CABLES[[#This Row],[SEG10]] &gt;0,INDEX(SEGMENTS[], MATCH(CABLES[[#Headers],[SEG10]],SEGMENTS[SEG_ID],0),4),0)</f>
        <v>0</v>
      </c>
      <c r="BW58" s="9">
        <f xml:space="preserve"> IF(CABLES[[#This Row],[SEG11]] &gt;0,INDEX(SEGMENTS[], MATCH(CABLES[[#Headers],[SEG11]],SEGMENTS[SEG_ID],0),4),0)</f>
        <v>0</v>
      </c>
      <c r="BX58" s="9">
        <f>IF(CABLES[[#This Row],[SEG12]] &gt;0, INDEX(SEGMENTS[], MATCH(CABLES[[#Headers],[SEG12]],SEGMENTS[SEG_ID],0),4),0)</f>
        <v>0</v>
      </c>
      <c r="BY58" s="9">
        <f xml:space="preserve"> IF(CABLES[[#This Row],[SEG13]] &gt;0,INDEX(SEGMENTS[], MATCH(CABLES[[#Headers],[SEG13]],SEGMENTS[SEG_ID],0),4),0)</f>
        <v>0</v>
      </c>
      <c r="BZ58" s="9">
        <f xml:space="preserve"> IF(CABLES[[#This Row],[SEG14]] &gt;0,INDEX(SEGMENTS[], MATCH(CABLES[[#Headers],[SEG14]],SEGMENTS[SEG_ID],0),4),0)</f>
        <v>0</v>
      </c>
      <c r="CA58" s="9">
        <f xml:space="preserve"> IF(CABLES[[#This Row],[SEG15]] &gt;0,INDEX(SEGMENTS[], MATCH(CABLES[[#Headers],[SEG15]],SEGMENTS[SEG_ID],0),4),0)</f>
        <v>0</v>
      </c>
      <c r="CB58" s="9">
        <f xml:space="preserve"> IF(CABLES[[#This Row],[SEG16]] &gt;0,INDEX(SEGMENTS[], MATCH(CABLES[[#Headers],[SEG16]],SEGMENTS[SEG_ID],0),4),0)</f>
        <v>0</v>
      </c>
      <c r="CC58" s="9">
        <f xml:space="preserve"> IF(CABLES[[#This Row],[SEG17]] &gt;0,INDEX(SEGMENTS[], MATCH(CABLES[[#Headers],[SEG17]],SEGMENTS[SEG_ID],0),4),0)</f>
        <v>0</v>
      </c>
      <c r="CD58" s="9">
        <f xml:space="preserve"> IF(CABLES[[#This Row],[SEG18]] &gt;0,INDEX(SEGMENTS[], MATCH(CABLES[[#Headers],[SEG18]],SEGMENTS[SEG_ID],0),4),0)</f>
        <v>0</v>
      </c>
      <c r="CE58" s="9">
        <f>IF(CABLES[[#This Row],[SEG19]] &gt;0, INDEX(SEGMENTS[], MATCH(CABLES[[#Headers],[SEG19]],SEGMENTS[SEG_ID],0),4),0)</f>
        <v>0</v>
      </c>
      <c r="CF58" s="9">
        <f>IF(CABLES[[#This Row],[SEG20]] &gt;0, INDEX(SEGMENTS[], MATCH(CABLES[[#Headers],[SEG20]],SEGMENTS[SEG_ID],0),4),0)</f>
        <v>0</v>
      </c>
      <c r="CG58" s="9">
        <f xml:space="preserve"> IF(CABLES[[#This Row],[SEG21]] &gt;0,INDEX(SEGMENTS[], MATCH(CABLES[[#Headers],[SEG21]],SEGMENTS[SEG_ID],0),4),0)</f>
        <v>0</v>
      </c>
      <c r="CH58" s="9">
        <f xml:space="preserve"> IF(CABLES[[#This Row],[SEG22]] &gt;0,INDEX(SEGMENTS[], MATCH(CABLES[[#Headers],[SEG22]],SEGMENTS[SEG_ID],0),4),0)</f>
        <v>0</v>
      </c>
      <c r="CI58" s="9">
        <f>IF(CABLES[[#This Row],[SEG23]] &gt;0, INDEX(SEGMENTS[], MATCH(CABLES[[#Headers],[SEG23]],SEGMENTS[SEG_ID],0),4),0)</f>
        <v>0</v>
      </c>
      <c r="CJ58" s="9">
        <f xml:space="preserve"> IF(CABLES[[#This Row],[SEG24]] &gt;0,INDEX(SEGMENTS[], MATCH(CABLES[[#Headers],[SEG24]],SEGMENTS[SEG_ID],0),4),0)</f>
        <v>0</v>
      </c>
      <c r="CK58" s="9">
        <f>IF(CABLES[[#This Row],[SEG25]] &gt;0, INDEX(SEGMENTS[], MATCH(CABLES[[#Headers],[SEG25]],SEGMENTS[SEG_ID],0),4),0)</f>
        <v>0</v>
      </c>
      <c r="CL58" s="9">
        <f>IF(CABLES[[#This Row],[SEG26]] &gt;0, INDEX(SEGMENTS[], MATCH(CABLES[[#Headers],[SEG26]],SEGMENTS[SEG_ID],0),4),0)</f>
        <v>0</v>
      </c>
      <c r="CM58" s="9">
        <f xml:space="preserve"> IF(CABLES[[#This Row],[SEG27]] &gt;0,INDEX(SEGMENTS[], MATCH(CABLES[[#Headers],[SEG27]],SEGMENTS[SEG_ID],0),4),0)</f>
        <v>0</v>
      </c>
      <c r="CN58" s="9">
        <f xml:space="preserve"> IF(CABLES[[#This Row],[SEG28]] &gt;0,INDEX(SEGMENTS[], MATCH(CABLES[[#Headers],[SEG28]],SEGMENTS[SEG_ID],0),4),0)</f>
        <v>0</v>
      </c>
      <c r="CO58" s="9">
        <f xml:space="preserve"> IF(CABLES[[#This Row],[SEG29]] &gt;0,INDEX(SEGMENTS[], MATCH(CABLES[[#Headers],[SEG29]],SEGMENTS[SEG_ID],0),4),0)</f>
        <v>0</v>
      </c>
      <c r="CP58" s="9">
        <f xml:space="preserve"> IF(CABLES[[#This Row],[SEG30]] &gt;0,INDEX(SEGMENTS[], MATCH(CABLES[[#Headers],[SEG30]],SEGMENTS[SEG_ID],0),4),0)</f>
        <v>6</v>
      </c>
      <c r="CQ58" s="9">
        <f>IF(CABLES[[#This Row],[SEG31]] &gt;0, INDEX(SEGMENTS[], MATCH(CABLES[[#Headers],[SEG31]],SEGMENTS[SEG_ID],0),4),0)</f>
        <v>3</v>
      </c>
      <c r="CR58" s="9">
        <f xml:space="preserve"> IF(CABLES[[#This Row],[SEG32]] &gt;0,INDEX(SEGMENTS[], MATCH(CABLES[[#Headers],[SEG32]],SEGMENTS[SEG_ID],0),4),0)</f>
        <v>5</v>
      </c>
      <c r="CS58" s="9">
        <f xml:space="preserve"> IF(CABLES[[#This Row],[SEG33]] &gt;0,INDEX(SEGMENTS[], MATCH(CABLES[[#Headers],[SEG33]],SEGMENTS[SEG_ID],0),4),0)</f>
        <v>0</v>
      </c>
      <c r="CT58" s="9">
        <f>IF(CABLES[[#This Row],[SEG34]] &gt;0, INDEX(SEGMENTS[], MATCH(CABLES[[#Headers],[SEG34]],SEGMENTS[SEG_ID],0),4),0)</f>
        <v>7</v>
      </c>
      <c r="CU58" s="9">
        <f xml:space="preserve"> IF(CABLES[[#This Row],[SEG35]] &gt;0,INDEX(SEGMENTS[], MATCH(CABLES[[#Headers],[SEG35]],SEGMENTS[SEG_ID],0),4),0)</f>
        <v>0</v>
      </c>
      <c r="CV58" s="9">
        <f xml:space="preserve"> IF(CABLES[[#This Row],[SEG36]] &gt;0,INDEX(SEGMENTS[], MATCH(CABLES[[#Headers],[SEG36]],SEGMENTS[SEG_ID],0),4),0)</f>
        <v>0</v>
      </c>
      <c r="CW58" s="9">
        <f xml:space="preserve"> IF(CABLES[[#This Row],[SEG37]] &gt;0,INDEX(SEGMENTS[], MATCH(CABLES[[#Headers],[SEG37]],SEGMENTS[SEG_ID],0),4),0)</f>
        <v>5</v>
      </c>
      <c r="CX58" s="9">
        <f xml:space="preserve"> IF(CABLES[[#This Row],[SEG38]] &gt;0,INDEX(SEGMENTS[], MATCH(CABLES[[#Headers],[SEG38]],SEGMENTS[SEG_ID],0),4),0)</f>
        <v>15</v>
      </c>
      <c r="CY58" s="9">
        <f xml:space="preserve"> IF(CABLES[[#This Row],[SEG39]] &gt;0,INDEX(SEGMENTS[], MATCH(CABLES[[#Headers],[SEG39]],SEGMENTS[SEG_ID],0),4),0)</f>
        <v>0</v>
      </c>
      <c r="CZ58" s="9">
        <f xml:space="preserve"> IF(CABLES[[#This Row],[SEG40]] &gt;0,INDEX(SEGMENTS[], MATCH(CABLES[[#Headers],[SEG40]],SEGMENTS[SEG_ID],0),4),0)</f>
        <v>0</v>
      </c>
      <c r="DA58" s="9">
        <f xml:space="preserve"> IF(CABLES[[#This Row],[SEG41]] &gt;0,INDEX(SEGMENTS[], MATCH(CABLES[[#Headers],[SEG41]],SEGMENTS[SEG_ID],0),4),0)</f>
        <v>0</v>
      </c>
      <c r="DB58" s="9">
        <f xml:space="preserve"> IF(CABLES[[#This Row],[SEG42]] &gt;0,INDEX(SEGMENTS[], MATCH(CABLES[[#Headers],[SEG42]],SEGMENTS[SEG_ID],0),4),0)</f>
        <v>0</v>
      </c>
      <c r="DC58" s="9">
        <f xml:space="preserve"> IF(CABLES[[#This Row],[SEG43]] &gt;0,INDEX(SEGMENTS[], MATCH(CABLES[[#Headers],[SEG43]],SEGMENTS[SEG_ID],0),4),0)</f>
        <v>0</v>
      </c>
      <c r="DD58" s="9">
        <f xml:space="preserve"> IF(CABLES[[#This Row],[SEG44]] &gt;0,INDEX(SEGMENTS[], MATCH(CABLES[[#Headers],[SEG44]],SEGMENTS[SEG_ID],0),4),0)</f>
        <v>0</v>
      </c>
      <c r="DE58" s="9">
        <f xml:space="preserve"> IF(CABLES[[#This Row],[SEG45]] &gt;0,INDEX(SEGMENTS[], MATCH(CABLES[[#Headers],[SEG45]],SEGMENTS[SEG_ID],0),4),0)</f>
        <v>0</v>
      </c>
      <c r="DF58" s="9">
        <f xml:space="preserve"> IF(CABLES[[#This Row],[SEG46]] &gt;0,INDEX(SEGMENTS[], MATCH(CABLES[[#Headers],[SEG46]],SEGMENTS[SEG_ID],0),4),0)</f>
        <v>0</v>
      </c>
      <c r="DG58" s="9">
        <f xml:space="preserve"> IF(CABLES[[#This Row],[SEG47]] &gt;0,INDEX(SEGMENTS[], MATCH(CABLES[[#Headers],[SEG47]],SEGMENTS[SEG_ID],0),4),0)</f>
        <v>0</v>
      </c>
      <c r="DH58" s="9">
        <f xml:space="preserve"> IF(CABLES[[#This Row],[SEG48]] &gt;0,INDEX(SEGMENTS[], MATCH(CABLES[[#Headers],[SEG48]],SEGMENTS[SEG_ID],0),4),0)</f>
        <v>0</v>
      </c>
      <c r="DI58" s="9">
        <f xml:space="preserve"> IF(CABLES[[#This Row],[SEG49]] &gt;0,INDEX(SEGMENTS[], MATCH(CABLES[[#Headers],[SEG49]],SEGMENTS[SEG_ID],0),4),0)</f>
        <v>0</v>
      </c>
      <c r="DJ58" s="9">
        <f xml:space="preserve"> IF(CABLES[[#This Row],[SEG50]] &gt;0,INDEX(SEGMENTS[], MATCH(CABLES[[#Headers],[SEG50]],SEGMENTS[SEG_ID],0),4),0)</f>
        <v>0</v>
      </c>
      <c r="DK58" s="9">
        <f xml:space="preserve"> IF(CABLES[[#This Row],[SEG51]] &gt;0,INDEX(SEGMENTS[], MATCH(CABLES[[#Headers],[SEG51]],SEGMENTS[SEG_ID],0),4),0)</f>
        <v>0</v>
      </c>
      <c r="DL58" s="9">
        <f xml:space="preserve"> IF(CABLES[[#This Row],[SEG52]] &gt;0,INDEX(SEGMENTS[], MATCH(CABLES[[#Headers],[SEG52]],SEGMENTS[SEG_ID],0),4),0)</f>
        <v>0</v>
      </c>
      <c r="DM58" s="9">
        <f xml:space="preserve"> IF(CABLES[[#This Row],[SEG53]] &gt;0,INDEX(SEGMENTS[], MATCH(CABLES[[#Headers],[SEG53]],SEGMENTS[SEG_ID],0),4),0)</f>
        <v>0</v>
      </c>
      <c r="DN58" s="9">
        <f xml:space="preserve"> IF(CABLES[[#This Row],[SEG54]] &gt;0,INDEX(SEGMENTS[], MATCH(CABLES[[#Headers],[SEG54]],SEGMENTS[SEG_ID],0),4),0)</f>
        <v>0</v>
      </c>
      <c r="DO58" s="9">
        <f xml:space="preserve"> IF(CABLES[[#This Row],[SEG55]] &gt;0,INDEX(SEGMENTS[], MATCH(CABLES[[#Headers],[SEG55]],SEGMENTS[SEG_ID],0),4),0)</f>
        <v>0</v>
      </c>
      <c r="DP58" s="9">
        <f xml:space="preserve"> IF(CABLES[[#This Row],[SEG56]] &gt;0,INDEX(SEGMENTS[], MATCH(CABLES[[#Headers],[SEG56]],SEGMENTS[SEG_ID],0),4),0)</f>
        <v>0</v>
      </c>
      <c r="DQ58" s="9">
        <f xml:space="preserve"> IF(CABLES[[#This Row],[SEG57]] &gt;0,INDEX(SEGMENTS[], MATCH(CABLES[[#Headers],[SEG57]],SEGMENTS[SEG_ID],0),4),0)</f>
        <v>0</v>
      </c>
      <c r="DR58" s="9">
        <f xml:space="preserve"> IF(CABLES[[#This Row],[SEG58]] &gt;0,INDEX(SEGMENTS[], MATCH(CABLES[[#Headers],[SEG58]],SEGMENTS[SEG_ID],0),4),0)</f>
        <v>0</v>
      </c>
      <c r="DS58" s="9">
        <f xml:space="preserve"> IF(CABLES[[#This Row],[SEG59]] &gt;0,INDEX(SEGMENTS[], MATCH(CABLES[[#Headers],[SEG59]],SEGMENTS[SEG_ID],0),4),0)</f>
        <v>0</v>
      </c>
      <c r="DT58" s="9">
        <f xml:space="preserve"> IF(CABLES[[#This Row],[SEG60]] &gt;0,INDEX(SEGMENTS[], MATCH(CABLES[[#Headers],[SEG60]],SEGMENTS[SEG_ID],0),4),0)</f>
        <v>0</v>
      </c>
      <c r="DU58" s="10">
        <f>SUM(CABLES[[#This Row],[SEGL1]:[SEGL60]])</f>
        <v>41</v>
      </c>
      <c r="DV58" s="10">
        <v>5</v>
      </c>
      <c r="DW58" s="10">
        <v>1.2</v>
      </c>
      <c r="DX58" s="10">
        <f xml:space="preserve"> IF(CABLES[[#This Row],[SEGL_TOTAL]]&gt;0, (CABLES[[#This Row],[SEGL_TOTAL]] + CABLES[[#This Row],[FITOFF]]) *CABLES[[#This Row],[XCAPACITY]],0)</f>
        <v>55.199999999999996</v>
      </c>
      <c r="DY58" s="10">
        <f>IF(CABLES[[#This Row],[SEG1]]&gt;0,CABLES[[#This Row],[CABLE_DIAMETER]],0)</f>
        <v>0</v>
      </c>
      <c r="DZ58" s="10">
        <f>IF(CABLES[[#This Row],[SEG2]]&gt;0,CABLES[[#This Row],[CABLE_DIAMETER]],0)</f>
        <v>0</v>
      </c>
      <c r="EA58" s="10">
        <f>IF(CABLES[[#This Row],[SEG3]]&gt;0,CABLES[[#This Row],[CABLE_DIAMETER]],0)</f>
        <v>0</v>
      </c>
      <c r="EB58" s="10">
        <f>IF(CABLES[[#This Row],[SEG4]]&gt;0,CABLES[[#This Row],[CABLE_DIAMETER]],0)</f>
        <v>0</v>
      </c>
      <c r="EC58" s="10">
        <f>IF(CABLES[[#This Row],[SEG5]]&gt;0,CABLES[[#This Row],[CABLE_DIAMETER]],0)</f>
        <v>0</v>
      </c>
      <c r="ED58" s="10">
        <f>IF(CABLES[[#This Row],[SEG6]]&gt;0,CABLES[[#This Row],[CABLE_DIAMETER]],0)</f>
        <v>0</v>
      </c>
      <c r="EE58" s="10">
        <f>IF(CABLES[[#This Row],[SEG7]]&gt;0,CABLES[[#This Row],[CABLE_DIAMETER]],0)</f>
        <v>0</v>
      </c>
      <c r="EF58" s="10">
        <f>IF(CABLES[[#This Row],[SEG9]]&gt;0,CABLES[[#This Row],[CABLE_DIAMETER]],0)</f>
        <v>0</v>
      </c>
      <c r="EG58" s="10">
        <f>IF(CABLES[[#This Row],[SEG9]]&gt;0,CABLES[[#This Row],[CABLE_DIAMETER]],0)</f>
        <v>0</v>
      </c>
      <c r="EH58" s="10">
        <f>IF(CABLES[[#This Row],[SEG10]]&gt;0,CABLES[[#This Row],[CABLE_DIAMETER]],0)</f>
        <v>0</v>
      </c>
      <c r="EI58" s="10">
        <f>IF(CABLES[[#This Row],[SEG11]]&gt;0,CABLES[[#This Row],[CABLE_DIAMETER]],0)</f>
        <v>0</v>
      </c>
      <c r="EJ58" s="10">
        <f>IF(CABLES[[#This Row],[SEG12]]&gt;0,CABLES[[#This Row],[CABLE_DIAMETER]],0)</f>
        <v>0</v>
      </c>
      <c r="EK58" s="10">
        <f>IF(CABLES[[#This Row],[SEG13]]&gt;0,CABLES[[#This Row],[CABLE_DIAMETER]],0)</f>
        <v>0</v>
      </c>
      <c r="EL58" s="10">
        <f>IF(CABLES[[#This Row],[SEG14]]&gt;0,CABLES[[#This Row],[CABLE_DIAMETER]],0)</f>
        <v>0</v>
      </c>
      <c r="EM58" s="10">
        <f>IF(CABLES[[#This Row],[SEG15]]&gt;0,CABLES[[#This Row],[CABLE_DIAMETER]],0)</f>
        <v>0</v>
      </c>
      <c r="EN58" s="10">
        <f>IF(CABLES[[#This Row],[SEG16]]&gt;0,CABLES[[#This Row],[CABLE_DIAMETER]],0)</f>
        <v>0</v>
      </c>
      <c r="EO58" s="10">
        <f>IF(CABLES[[#This Row],[SEG17]]&gt;0,CABLES[[#This Row],[CABLE_DIAMETER]],0)</f>
        <v>0</v>
      </c>
      <c r="EP58" s="10">
        <f>IF(CABLES[[#This Row],[SEG18]]&gt;0,CABLES[[#This Row],[CABLE_DIAMETER]],0)</f>
        <v>0</v>
      </c>
      <c r="EQ58" s="10">
        <f>IF(CABLES[[#This Row],[SEG19]]&gt;0,CABLES[[#This Row],[CABLE_DIAMETER]],0)</f>
        <v>0</v>
      </c>
      <c r="ER58" s="10">
        <f>IF(CABLES[[#This Row],[SEG20]]&gt;0,CABLES[[#This Row],[CABLE_DIAMETER]],0)</f>
        <v>0</v>
      </c>
      <c r="ES58" s="10">
        <f>IF(CABLES[[#This Row],[SEG21]]&gt;0,CABLES[[#This Row],[CABLE_DIAMETER]],0)</f>
        <v>0</v>
      </c>
      <c r="ET58" s="10">
        <f>IF(CABLES[[#This Row],[SEG22]]&gt;0,CABLES[[#This Row],[CABLE_DIAMETER]],0)</f>
        <v>0</v>
      </c>
      <c r="EU58" s="10">
        <f>IF(CABLES[[#This Row],[SEG23]]&gt;0,CABLES[[#This Row],[CABLE_DIAMETER]],0)</f>
        <v>0</v>
      </c>
      <c r="EV58" s="10">
        <f>IF(CABLES[[#This Row],[SEG24]]&gt;0,CABLES[[#This Row],[CABLE_DIAMETER]],0)</f>
        <v>0</v>
      </c>
      <c r="EW58" s="10">
        <f>IF(CABLES[[#This Row],[SEG25]]&gt;0,CABLES[[#This Row],[CABLE_DIAMETER]],0)</f>
        <v>0</v>
      </c>
      <c r="EX58" s="10">
        <f>IF(CABLES[[#This Row],[SEG26]]&gt;0,CABLES[[#This Row],[CABLE_DIAMETER]],0)</f>
        <v>0</v>
      </c>
      <c r="EY58" s="10">
        <f>IF(CABLES[[#This Row],[SEG27]]&gt;0,CABLES[[#This Row],[CABLE_DIAMETER]],0)</f>
        <v>0</v>
      </c>
      <c r="EZ58" s="10">
        <f>IF(CABLES[[#This Row],[SEG28]]&gt;0,CABLES[[#This Row],[CABLE_DIAMETER]],0)</f>
        <v>0</v>
      </c>
      <c r="FA58" s="10">
        <f>IF(CABLES[[#This Row],[SEG29]]&gt;0,CABLES[[#This Row],[CABLE_DIAMETER]],0)</f>
        <v>0</v>
      </c>
      <c r="FB58" s="10">
        <f>IF(CABLES[[#This Row],[SEG30]]&gt;0,CABLES[[#This Row],[CABLE_DIAMETER]],0)</f>
        <v>12</v>
      </c>
      <c r="FC58" s="10">
        <f>IF(CABLES[[#This Row],[SEG31]]&gt;0,CABLES[[#This Row],[CABLE_DIAMETER]],0)</f>
        <v>12</v>
      </c>
      <c r="FD58" s="10">
        <f>IF(CABLES[[#This Row],[SEG32]]&gt;0,CABLES[[#This Row],[CABLE_DIAMETER]],0)</f>
        <v>12</v>
      </c>
      <c r="FE58" s="10">
        <f>IF(CABLES[[#This Row],[SEG33]]&gt;0,CABLES[[#This Row],[CABLE_DIAMETER]],0)</f>
        <v>0</v>
      </c>
      <c r="FF58" s="10">
        <f>IF(CABLES[[#This Row],[SEG34]]&gt;0,CABLES[[#This Row],[CABLE_DIAMETER]],0)</f>
        <v>12</v>
      </c>
      <c r="FG58" s="10">
        <f>IF(CABLES[[#This Row],[SEG35]]&gt;0,CABLES[[#This Row],[CABLE_DIAMETER]],0)</f>
        <v>0</v>
      </c>
      <c r="FH58" s="10">
        <f>IF(CABLES[[#This Row],[SEG36]]&gt;0,CABLES[[#This Row],[CABLE_DIAMETER]],0)</f>
        <v>0</v>
      </c>
      <c r="FI58" s="10">
        <f>IF(CABLES[[#This Row],[SEG37]]&gt;0,CABLES[[#This Row],[CABLE_DIAMETER]],0)</f>
        <v>12</v>
      </c>
      <c r="FJ58" s="10">
        <f>IF(CABLES[[#This Row],[SEG38]]&gt;0,CABLES[[#This Row],[CABLE_DIAMETER]],0)</f>
        <v>12</v>
      </c>
      <c r="FK58" s="10">
        <f>IF(CABLES[[#This Row],[SEG39]]&gt;0,CABLES[[#This Row],[CABLE_DIAMETER]],0)</f>
        <v>0</v>
      </c>
      <c r="FL58" s="10">
        <f>IF(CABLES[[#This Row],[SEG40]]&gt;0,CABLES[[#This Row],[CABLE_DIAMETER]],0)</f>
        <v>0</v>
      </c>
      <c r="FM58" s="10">
        <f>IF(CABLES[[#This Row],[SEG41]]&gt;0,CABLES[[#This Row],[CABLE_DIAMETER]],0)</f>
        <v>0</v>
      </c>
      <c r="FN58" s="10">
        <f>IF(CABLES[[#This Row],[SEG42]]&gt;0,CABLES[[#This Row],[CABLE_DIAMETER]],0)</f>
        <v>0</v>
      </c>
      <c r="FO58" s="10">
        <f>IF(CABLES[[#This Row],[SEG43]]&gt;0,CABLES[[#This Row],[CABLE_DIAMETER]],0)</f>
        <v>0</v>
      </c>
      <c r="FP58" s="10">
        <f>IF(CABLES[[#This Row],[SEG44]]&gt;0,CABLES[[#This Row],[CABLE_DIAMETER]],0)</f>
        <v>0</v>
      </c>
      <c r="FQ58" s="10">
        <f>IF(CABLES[[#This Row],[SEG45]]&gt;0,CABLES[[#This Row],[CABLE_DIAMETER]],0)</f>
        <v>0</v>
      </c>
      <c r="FR58" s="10">
        <f>IF(CABLES[[#This Row],[SEG46]]&gt;0,CABLES[[#This Row],[CABLE_DIAMETER]],0)</f>
        <v>0</v>
      </c>
      <c r="FS58" s="10">
        <f>IF(CABLES[[#This Row],[SEG47]]&gt;0,CABLES[[#This Row],[CABLE_DIAMETER]],0)</f>
        <v>0</v>
      </c>
      <c r="FT58" s="10">
        <f>IF(CABLES[[#This Row],[SEG48]]&gt;0,CABLES[[#This Row],[CABLE_DIAMETER]],0)</f>
        <v>0</v>
      </c>
      <c r="FU58" s="10">
        <f>IF(CABLES[[#This Row],[SEG49]]&gt;0,CABLES[[#This Row],[CABLE_DIAMETER]],0)</f>
        <v>0</v>
      </c>
      <c r="FV58" s="10">
        <f>IF(CABLES[[#This Row],[SEG50]]&gt;0,CABLES[[#This Row],[CABLE_DIAMETER]],0)</f>
        <v>0</v>
      </c>
      <c r="FW58" s="10">
        <f>IF(CABLES[[#This Row],[SEG51]]&gt;0,CABLES[[#This Row],[CABLE_DIAMETER]],0)</f>
        <v>0</v>
      </c>
      <c r="FX58" s="10">
        <f>IF(CABLES[[#This Row],[SEG52]]&gt;0,CABLES[[#This Row],[CABLE_DIAMETER]],0)</f>
        <v>0</v>
      </c>
      <c r="FY58" s="10">
        <f>IF(CABLES[[#This Row],[SEG53]]&gt;0,CABLES[[#This Row],[CABLE_DIAMETER]],0)</f>
        <v>0</v>
      </c>
      <c r="FZ58" s="10">
        <f>IF(CABLES[[#This Row],[SEG54]]&gt;0,CABLES[[#This Row],[CABLE_DIAMETER]],0)</f>
        <v>0</v>
      </c>
      <c r="GA58" s="10">
        <f>IF(CABLES[[#This Row],[SEG55]]&gt;0,CABLES[[#This Row],[CABLE_DIAMETER]],0)</f>
        <v>0</v>
      </c>
      <c r="GB58" s="10">
        <f>IF(CABLES[[#This Row],[SEG56]]&gt;0,CABLES[[#This Row],[CABLE_DIAMETER]],0)</f>
        <v>0</v>
      </c>
      <c r="GC58" s="10">
        <f>IF(CABLES[[#This Row],[SEG57]]&gt;0,CABLES[[#This Row],[CABLE_DIAMETER]],0)</f>
        <v>0</v>
      </c>
      <c r="GD58" s="10">
        <f>IF(CABLES[[#This Row],[SEG58]]&gt;0,CABLES[[#This Row],[CABLE_DIAMETER]],0)</f>
        <v>0</v>
      </c>
      <c r="GE58" s="10">
        <f>IF(CABLES[[#This Row],[SEG59]]&gt;0,CABLES[[#This Row],[CABLE_DIAMETER]],0)</f>
        <v>0</v>
      </c>
      <c r="GF58" s="10">
        <f>IF(CABLES[[#This Row],[SEG60]]&gt;0,CABLES[[#This Row],[CABLE_DIAMETER]],0)</f>
        <v>0</v>
      </c>
      <c r="GG58" s="10">
        <f>IF(CABLES[[#This Row],[SEG1]]&gt;0,CABLES[[#This Row],[CABLE_MASS]],0)</f>
        <v>0</v>
      </c>
      <c r="GH58" s="10">
        <f>IF(CABLES[[#This Row],[SEG2]]&gt;0,CABLES[[#This Row],[CABLE_MASS]],0)</f>
        <v>0</v>
      </c>
      <c r="GI58" s="10">
        <f>IF(CABLES[[#This Row],[SEG3]]&gt;0,CABLES[[#This Row],[CABLE_MASS]],0)</f>
        <v>0</v>
      </c>
      <c r="GJ58" s="10">
        <f>IF(CABLES[[#This Row],[SEG4]]&gt;0,CABLES[[#This Row],[CABLE_MASS]],0)</f>
        <v>0</v>
      </c>
      <c r="GK58" s="10">
        <f>IF(CABLES[[#This Row],[SEG5]]&gt;0,CABLES[[#This Row],[CABLE_MASS]],0)</f>
        <v>0</v>
      </c>
      <c r="GL58" s="10">
        <f>IF(CABLES[[#This Row],[SEG6]]&gt;0,CABLES[[#This Row],[CABLE_MASS]],0)</f>
        <v>0</v>
      </c>
      <c r="GM58" s="10">
        <f>IF(CABLES[[#This Row],[SEG7]]&gt;0,CABLES[[#This Row],[CABLE_MASS]],0)</f>
        <v>0</v>
      </c>
      <c r="GN58" s="10">
        <f>IF(CABLES[[#This Row],[SEG8]]&gt;0,CABLES[[#This Row],[CABLE_MASS]],0)</f>
        <v>0</v>
      </c>
      <c r="GO58" s="10">
        <f>IF(CABLES[[#This Row],[SEG9]]&gt;0,CABLES[[#This Row],[CABLE_MASS]],0)</f>
        <v>0</v>
      </c>
      <c r="GP58" s="10">
        <f>IF(CABLES[[#This Row],[SEG10]]&gt;0,CABLES[[#This Row],[CABLE_MASS]],0)</f>
        <v>0</v>
      </c>
      <c r="GQ58" s="10">
        <f>IF(CABLES[[#This Row],[SEG11]]&gt;0,CABLES[[#This Row],[CABLE_MASS]],0)</f>
        <v>0</v>
      </c>
      <c r="GR58" s="10">
        <f>IF(CABLES[[#This Row],[SEG12]]&gt;0,CABLES[[#This Row],[CABLE_MASS]],0)</f>
        <v>0</v>
      </c>
      <c r="GS58" s="10">
        <f>IF(CABLES[[#This Row],[SEG13]]&gt;0,CABLES[[#This Row],[CABLE_MASS]],0)</f>
        <v>0</v>
      </c>
      <c r="GT58" s="10">
        <f>IF(CABLES[[#This Row],[SEG14]]&gt;0,CABLES[[#This Row],[CABLE_MASS]],0)</f>
        <v>0</v>
      </c>
      <c r="GU58" s="10">
        <f>IF(CABLES[[#This Row],[SEG15]]&gt;0,CABLES[[#This Row],[CABLE_MASS]],0)</f>
        <v>0</v>
      </c>
      <c r="GV58" s="10">
        <f>IF(CABLES[[#This Row],[SEG16]]&gt;0,CABLES[[#This Row],[CABLE_MASS]],0)</f>
        <v>0</v>
      </c>
      <c r="GW58" s="10">
        <f>IF(CABLES[[#This Row],[SEG17]]&gt;0,CABLES[[#This Row],[CABLE_MASS]],0)</f>
        <v>0</v>
      </c>
      <c r="GX58" s="10">
        <f>IF(CABLES[[#This Row],[SEG18]]&gt;0,CABLES[[#This Row],[CABLE_MASS]],0)</f>
        <v>0</v>
      </c>
      <c r="GY58" s="10">
        <f>IF(CABLES[[#This Row],[SEG19]]&gt;0,CABLES[[#This Row],[CABLE_MASS]],0)</f>
        <v>0</v>
      </c>
      <c r="GZ58" s="10">
        <f>IF(CABLES[[#This Row],[SEG20]]&gt;0,CABLES[[#This Row],[CABLE_MASS]],0)</f>
        <v>0</v>
      </c>
      <c r="HA58" s="10">
        <f>IF(CABLES[[#This Row],[SEG21]]&gt;0,CABLES[[#This Row],[CABLE_MASS]],0)</f>
        <v>0</v>
      </c>
      <c r="HB58" s="10">
        <f>IF(CABLES[[#This Row],[SEG22]]&gt;0,CABLES[[#This Row],[CABLE_MASS]],0)</f>
        <v>0</v>
      </c>
      <c r="HC58" s="10">
        <f>IF(CABLES[[#This Row],[SEG23]]&gt;0,CABLES[[#This Row],[CABLE_MASS]],0)</f>
        <v>0</v>
      </c>
      <c r="HD58" s="10">
        <f>IF(CABLES[[#This Row],[SEG24]]&gt;0,CABLES[[#This Row],[CABLE_MASS]],0)</f>
        <v>0</v>
      </c>
      <c r="HE58" s="10">
        <f>IF(CABLES[[#This Row],[SEG25]]&gt;0,CABLES[[#This Row],[CABLE_MASS]],0)</f>
        <v>0</v>
      </c>
      <c r="HF58" s="10">
        <f>IF(CABLES[[#This Row],[SEG26]]&gt;0,CABLES[[#This Row],[CABLE_MASS]],0)</f>
        <v>0</v>
      </c>
      <c r="HG58" s="10">
        <f>IF(CABLES[[#This Row],[SEG27]]&gt;0,CABLES[[#This Row],[CABLE_MASS]],0)</f>
        <v>0</v>
      </c>
      <c r="HH58" s="10">
        <f>IF(CABLES[[#This Row],[SEG28]]&gt;0,CABLES[[#This Row],[CABLE_MASS]],0)</f>
        <v>0</v>
      </c>
      <c r="HI58" s="10">
        <f>IF(CABLES[[#This Row],[SEG29]]&gt;0,CABLES[[#This Row],[CABLE_MASS]],0)</f>
        <v>0</v>
      </c>
      <c r="HJ58" s="10">
        <f>IF(CABLES[[#This Row],[SEG30]]&gt;0,CABLES[[#This Row],[CABLE_MASS]],0)</f>
        <v>0.21</v>
      </c>
      <c r="HK58" s="10">
        <f>IF(CABLES[[#This Row],[SEG31]]&gt;0,CABLES[[#This Row],[CABLE_MASS]],0)</f>
        <v>0.21</v>
      </c>
      <c r="HL58" s="10">
        <f>IF(CABLES[[#This Row],[SEG32]]&gt;0,CABLES[[#This Row],[CABLE_MASS]],0)</f>
        <v>0.21</v>
      </c>
      <c r="HM58" s="10">
        <f>IF(CABLES[[#This Row],[SEG33]]&gt;0,CABLES[[#This Row],[CABLE_MASS]],0)</f>
        <v>0</v>
      </c>
      <c r="HN58" s="10">
        <f>IF(CABLES[[#This Row],[SEG34]]&gt;0,CABLES[[#This Row],[CABLE_MASS]],0)</f>
        <v>0.21</v>
      </c>
      <c r="HO58" s="10">
        <f>IF(CABLES[[#This Row],[SEG35]]&gt;0,CABLES[[#This Row],[CABLE_MASS]],0)</f>
        <v>0</v>
      </c>
      <c r="HP58" s="10">
        <f>IF(CABLES[[#This Row],[SEG36]]&gt;0,CABLES[[#This Row],[CABLE_MASS]],0)</f>
        <v>0</v>
      </c>
      <c r="HQ58" s="10">
        <f>IF(CABLES[[#This Row],[SEG37]]&gt;0,CABLES[[#This Row],[CABLE_MASS]],0)</f>
        <v>0.21</v>
      </c>
      <c r="HR58" s="10">
        <f>IF(CABLES[[#This Row],[SEG38]]&gt;0,CABLES[[#This Row],[CABLE_MASS]],0)</f>
        <v>0.21</v>
      </c>
      <c r="HS58" s="10">
        <f>IF(CABLES[[#This Row],[SEG39]]&gt;0,CABLES[[#This Row],[CABLE_MASS]],0)</f>
        <v>0</v>
      </c>
      <c r="HT58" s="10">
        <f>IF(CABLES[[#This Row],[SEG40]]&gt;0,CABLES[[#This Row],[CABLE_MASS]],0)</f>
        <v>0</v>
      </c>
      <c r="HU58" s="10">
        <f>IF(CABLES[[#This Row],[SEG41]]&gt;0,CABLES[[#This Row],[CABLE_MASS]],0)</f>
        <v>0</v>
      </c>
      <c r="HV58" s="10">
        <f>IF(CABLES[[#This Row],[SEG42]]&gt;0,CABLES[[#This Row],[CABLE_MASS]],0)</f>
        <v>0</v>
      </c>
      <c r="HW58" s="10">
        <f>IF(CABLES[[#This Row],[SEG43]]&gt;0,CABLES[[#This Row],[CABLE_MASS]],0)</f>
        <v>0</v>
      </c>
      <c r="HX58" s="10">
        <f>IF(CABLES[[#This Row],[SEG44]]&gt;0,CABLES[[#This Row],[CABLE_MASS]],0)</f>
        <v>0</v>
      </c>
      <c r="HY58" s="10">
        <f>IF(CABLES[[#This Row],[SEG45]]&gt;0,CABLES[[#This Row],[CABLE_MASS]],0)</f>
        <v>0</v>
      </c>
      <c r="HZ58" s="10">
        <f>IF(CABLES[[#This Row],[SEG46]]&gt;0,CABLES[[#This Row],[CABLE_MASS]],0)</f>
        <v>0</v>
      </c>
      <c r="IA58" s="10">
        <f>IF(CABLES[[#This Row],[SEG47]]&gt;0,CABLES[[#This Row],[CABLE_MASS]],0)</f>
        <v>0</v>
      </c>
      <c r="IB58" s="10">
        <f>IF(CABLES[[#This Row],[SEG48]]&gt;0,CABLES[[#This Row],[CABLE_MASS]],0)</f>
        <v>0</v>
      </c>
      <c r="IC58" s="10">
        <f>IF(CABLES[[#This Row],[SEG49]]&gt;0,CABLES[[#This Row],[CABLE_MASS]],0)</f>
        <v>0</v>
      </c>
      <c r="ID58" s="10">
        <f>IF(CABLES[[#This Row],[SEG50]]&gt;0,CABLES[[#This Row],[CABLE_MASS]],0)</f>
        <v>0</v>
      </c>
      <c r="IE58" s="10">
        <f>IF(CABLES[[#This Row],[SEG51]]&gt;0,CABLES[[#This Row],[CABLE_MASS]],0)</f>
        <v>0</v>
      </c>
      <c r="IF58" s="10">
        <f>IF(CABLES[[#This Row],[SEG52]]&gt;0,CABLES[[#This Row],[CABLE_MASS]],0)</f>
        <v>0</v>
      </c>
      <c r="IG58" s="10">
        <f>IF(CABLES[[#This Row],[SEG53]]&gt;0,CABLES[[#This Row],[CABLE_MASS]],0)</f>
        <v>0</v>
      </c>
      <c r="IH58" s="10">
        <f>IF(CABLES[[#This Row],[SEG54]]&gt;0,CABLES[[#This Row],[CABLE_MASS]],0)</f>
        <v>0</v>
      </c>
      <c r="II58" s="10">
        <f>IF(CABLES[[#This Row],[SEG55]]&gt;0,CABLES[[#This Row],[CABLE_MASS]],0)</f>
        <v>0</v>
      </c>
      <c r="IJ58" s="10">
        <f>IF(CABLES[[#This Row],[SEG56]]&gt;0,CABLES[[#This Row],[CABLE_MASS]],0)</f>
        <v>0</v>
      </c>
      <c r="IK58" s="10">
        <f>IF(CABLES[[#This Row],[SEG57]]&gt;0,CABLES[[#This Row],[CABLE_MASS]],0)</f>
        <v>0</v>
      </c>
      <c r="IL58" s="10">
        <f>IF(CABLES[[#This Row],[SEG58]]&gt;0,CABLES[[#This Row],[CABLE_MASS]],0)</f>
        <v>0</v>
      </c>
      <c r="IM58" s="10">
        <f>IF(CABLES[[#This Row],[SEG59]]&gt;0,CABLES[[#This Row],[CABLE_MASS]],0)</f>
        <v>0</v>
      </c>
      <c r="IN58" s="10">
        <f>IF(CABLES[[#This Row],[SEG60]]&gt;0,CABLES[[#This Row],[CABLE_MASS]],0)</f>
        <v>0</v>
      </c>
      <c r="IO58" s="10">
        <f xml:space="preserve">  (CABLES[[#This Row],[LOAD_KW]]/(SQRT(3)*SYSTEM_VOLTAGE*POWER_FACTOR))*1000</f>
        <v>0.88206291126192826</v>
      </c>
      <c r="IP58" s="10">
        <v>45</v>
      </c>
      <c r="IQ58" s="10">
        <f xml:space="preserve"> INDEX(AS3000_AMBIENTDERATE[], MATCH(CABLES[[#This Row],[AMBIENT]],AS3000_AMBIENTDERATE[AMBIENT],0), 2)</f>
        <v>0.94</v>
      </c>
      <c r="IR58" s="10">
        <f xml:space="preserve"> ROUNDUP( CABLES[[#This Row],[CALCULATED_AMPS]]/CABLES[[#This Row],[AMBIENT_DERATING]],1)</f>
        <v>1</v>
      </c>
      <c r="IS58" s="10" t="s">
        <v>531</v>
      </c>
      <c r="IT5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8" s="10">
        <f t="shared" si="1"/>
        <v>28.000000000000004</v>
      </c>
      <c r="IV58" s="10">
        <f>(1000*CABLES[[#This Row],[MAX_VDROP]])/(CABLES[[#This Row],[ESTIMATED_CABLE_LENGTH]]*CABLES[[#This Row],[AMP_RATING]])</f>
        <v>507.2463768115943</v>
      </c>
      <c r="IW58" s="10">
        <f xml:space="preserve"> INDEX(AS3000_VDROP[], MATCH(CABLES[[#This Row],[VC_CALC]],AS3000_VDROP[Vc],1),1)</f>
        <v>2.5</v>
      </c>
      <c r="IX58" s="10">
        <f>MAX(CABLES[[#This Row],[CABLESIZE_METHOD1]],CABLES[[#This Row],[CABLESIZE_METHOD2]])</f>
        <v>2.5</v>
      </c>
      <c r="IY58" s="10"/>
      <c r="IZ58" s="10">
        <f>IF(LEN(CABLES[[#This Row],[OVERRIDE_CABLESIZE]])&gt;0,CABLES[[#This Row],[OVERRIDE_CABLESIZE]],CABLES[[#This Row],[INITIAL_CABLESIZE]])</f>
        <v>2.5</v>
      </c>
      <c r="JA58" s="10">
        <f>INDEX(PROTECTIVE_DEVICE[DEVICE], MATCH(CABLES[[#This Row],[CALCULATED_AMPS]],PROTECTIVE_DEVICE[DEVICE],-1),1)</f>
        <v>6</v>
      </c>
      <c r="JB58" s="10"/>
      <c r="JC58" s="10">
        <f>IF(LEN(CABLES[[#This Row],[OVERRIDE_PDEVICE]])&gt;0, CABLES[[#This Row],[OVERRIDE_PDEVICE]],CABLES[[#This Row],[RECOMMEND_PDEVICE]])</f>
        <v>6</v>
      </c>
      <c r="JD58" s="10" t="s">
        <v>450</v>
      </c>
      <c r="JE58" s="10">
        <f xml:space="preserve"> CABLES[[#This Row],[SELECTED_PDEVICE]] * INDEX(DEVICE_CURVE[], MATCH(CABLES[[#This Row],[PDEVICE_CURVE]], DEVICE_CURVE[DEVICE_CURVE],0),2)</f>
        <v>39</v>
      </c>
      <c r="JF58" s="10" t="s">
        <v>458</v>
      </c>
      <c r="JG58" s="10">
        <f xml:space="preserve"> INDEX(CONDUCTOR_MATERIAL[], MATCH(CABLES[[#This Row],[CONDUCTOR_MATERIAL]],CONDUCTOR_MATERIAL[CONDUCTOR_MATERIAL],0),2)</f>
        <v>2.2499999999999999E-2</v>
      </c>
      <c r="JH58" s="10">
        <f>CABLES[[#This Row],[SELECTED_CABLESIZE]]</f>
        <v>2.5</v>
      </c>
      <c r="JI58" s="10">
        <f xml:space="preserve"> INDEX( EARTH_CONDUCTOR_SIZE[], MATCH(CABLES[[#This Row],[SPH]],EARTH_CONDUCTOR_SIZE[MM^2],-1), 2)</f>
        <v>2.5</v>
      </c>
      <c r="JJ58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58" s="10" t="str">
        <f>IF(CABLES[[#This Row],[LMAX]]&gt;CABLES[[#This Row],[ESTIMATED_CABLE_LENGTH]], "PASS", "ERROR")</f>
        <v>PASS</v>
      </c>
      <c r="JL5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8" s="6">
        <f xml:space="preserve"> ROUNDUP( CABLES[[#This Row],[CALCULATED_AMPS]],1)</f>
        <v>0.9</v>
      </c>
      <c r="JO58" s="6">
        <f>CABLES[[#This Row],[SELECTED_CABLESIZE]]</f>
        <v>2.5</v>
      </c>
      <c r="JP58" s="10">
        <f>CABLES[[#This Row],[ESTIMATED_CABLE_LENGTH]]</f>
        <v>55.199999999999996</v>
      </c>
      <c r="JQ58" s="6">
        <f>CABLES[[#This Row],[SELECTED_PDEVICE]]</f>
        <v>6</v>
      </c>
    </row>
    <row r="59" spans="1:277" x14ac:dyDescent="0.35">
      <c r="A59" s="5" t="s">
        <v>58</v>
      </c>
      <c r="B59" s="5" t="s">
        <v>110</v>
      </c>
      <c r="C59" s="10" t="s">
        <v>262</v>
      </c>
      <c r="D59" s="9">
        <v>0.55000000000000004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1</v>
      </c>
      <c r="AI59" s="9">
        <v>1</v>
      </c>
      <c r="AJ59" s="9">
        <v>1</v>
      </c>
      <c r="AK59" s="9">
        <v>0</v>
      </c>
      <c r="AL59" s="9">
        <v>1</v>
      </c>
      <c r="AM59" s="9">
        <v>0</v>
      </c>
      <c r="AN59" s="9">
        <v>0</v>
      </c>
      <c r="AO59" s="9">
        <v>1</v>
      </c>
      <c r="AP59" s="9">
        <v>1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f xml:space="preserve"> IF(CABLES[[#This Row],[SEG1]] &gt;0, INDEX(SEGMENTS[], MATCH(CABLES[[#Headers],[SEG1]],SEGMENTS[SEG_ID],0),4),0)</f>
        <v>0</v>
      </c>
      <c r="BN59" s="9">
        <f xml:space="preserve"> IF(CABLES[[#This Row],[SEG2]] &gt;0, INDEX(SEGMENTS[], MATCH(CABLES[[#Headers],[SEG2]],SEGMENTS[SEG_ID],0),4),0)</f>
        <v>0</v>
      </c>
      <c r="BO59" s="9">
        <f xml:space="preserve"> IF(CABLES[[#This Row],[SEG3]] &gt;0, INDEX(SEGMENTS[], MATCH(CABLES[[#Headers],[SEG3]],SEGMENTS[SEG_ID],0),4),0)</f>
        <v>0</v>
      </c>
      <c r="BP59" s="9">
        <f xml:space="preserve"> IF(CABLES[[#This Row],[SEG4]] &gt;0, INDEX(SEGMENTS[], MATCH(CABLES[[#Headers],[SEG4]],SEGMENTS[SEG_ID],0),4),0)</f>
        <v>0</v>
      </c>
      <c r="BQ59" s="9">
        <f xml:space="preserve"> IF(CABLES[[#This Row],[SEG5]] &gt;0,INDEX(SEGMENTS[], MATCH(CABLES[[#Headers],[SEG5]],SEGMENTS[SEG_ID],0),4),0)</f>
        <v>0</v>
      </c>
      <c r="BR59" s="9">
        <f xml:space="preserve"> IF(CABLES[[#This Row],[SEG6]] &gt;0,INDEX(SEGMENTS[], MATCH(CABLES[[#Headers],[SEG6]],SEGMENTS[SEG_ID],0),4),0)</f>
        <v>0</v>
      </c>
      <c r="BS59" s="9">
        <f xml:space="preserve"> IF(CABLES[[#This Row],[SEG7]] &gt;0,INDEX(SEGMENTS[], MATCH(CABLES[[#Headers],[SEG7]],SEGMENTS[SEG_ID],0),4),0)</f>
        <v>0</v>
      </c>
      <c r="BT59" s="9">
        <f xml:space="preserve"> IF(CABLES[[#This Row],[SEG8]] &gt;0,INDEX(SEGMENTS[], MATCH(CABLES[[#Headers],[SEG8]],SEGMENTS[SEG_ID],0),4),0)</f>
        <v>0</v>
      </c>
      <c r="BU59" s="9">
        <f xml:space="preserve"> IF(CABLES[[#This Row],[SEG9]] &gt;0,INDEX(SEGMENTS[], MATCH(CABLES[[#Headers],[SEG9]],SEGMENTS[SEG_ID],0),4),0)</f>
        <v>0</v>
      </c>
      <c r="BV59" s="9">
        <f xml:space="preserve"> IF(CABLES[[#This Row],[SEG10]] &gt;0,INDEX(SEGMENTS[], MATCH(CABLES[[#Headers],[SEG10]],SEGMENTS[SEG_ID],0),4),0)</f>
        <v>0</v>
      </c>
      <c r="BW59" s="9">
        <f xml:space="preserve"> IF(CABLES[[#This Row],[SEG11]] &gt;0,INDEX(SEGMENTS[], MATCH(CABLES[[#Headers],[SEG11]],SEGMENTS[SEG_ID],0),4),0)</f>
        <v>0</v>
      </c>
      <c r="BX59" s="9">
        <f>IF(CABLES[[#This Row],[SEG12]] &gt;0, INDEX(SEGMENTS[], MATCH(CABLES[[#Headers],[SEG12]],SEGMENTS[SEG_ID],0),4),0)</f>
        <v>0</v>
      </c>
      <c r="BY59" s="9">
        <f xml:space="preserve"> IF(CABLES[[#This Row],[SEG13]] &gt;0,INDEX(SEGMENTS[], MATCH(CABLES[[#Headers],[SEG13]],SEGMENTS[SEG_ID],0),4),0)</f>
        <v>0</v>
      </c>
      <c r="BZ59" s="9">
        <f xml:space="preserve"> IF(CABLES[[#This Row],[SEG14]] &gt;0,INDEX(SEGMENTS[], MATCH(CABLES[[#Headers],[SEG14]],SEGMENTS[SEG_ID],0),4),0)</f>
        <v>0</v>
      </c>
      <c r="CA59" s="9">
        <f xml:space="preserve"> IF(CABLES[[#This Row],[SEG15]] &gt;0,INDEX(SEGMENTS[], MATCH(CABLES[[#Headers],[SEG15]],SEGMENTS[SEG_ID],0),4),0)</f>
        <v>0</v>
      </c>
      <c r="CB59" s="9">
        <f xml:space="preserve"> IF(CABLES[[#This Row],[SEG16]] &gt;0,INDEX(SEGMENTS[], MATCH(CABLES[[#Headers],[SEG16]],SEGMENTS[SEG_ID],0),4),0)</f>
        <v>0</v>
      </c>
      <c r="CC59" s="9">
        <f xml:space="preserve"> IF(CABLES[[#This Row],[SEG17]] &gt;0,INDEX(SEGMENTS[], MATCH(CABLES[[#Headers],[SEG17]],SEGMENTS[SEG_ID],0),4),0)</f>
        <v>0</v>
      </c>
      <c r="CD59" s="9">
        <f xml:space="preserve"> IF(CABLES[[#This Row],[SEG18]] &gt;0,INDEX(SEGMENTS[], MATCH(CABLES[[#Headers],[SEG18]],SEGMENTS[SEG_ID],0),4),0)</f>
        <v>0</v>
      </c>
      <c r="CE59" s="9">
        <f>IF(CABLES[[#This Row],[SEG19]] &gt;0, INDEX(SEGMENTS[], MATCH(CABLES[[#Headers],[SEG19]],SEGMENTS[SEG_ID],0),4),0)</f>
        <v>0</v>
      </c>
      <c r="CF59" s="9">
        <f>IF(CABLES[[#This Row],[SEG20]] &gt;0, INDEX(SEGMENTS[], MATCH(CABLES[[#Headers],[SEG20]],SEGMENTS[SEG_ID],0),4),0)</f>
        <v>0</v>
      </c>
      <c r="CG59" s="9">
        <f xml:space="preserve"> IF(CABLES[[#This Row],[SEG21]] &gt;0,INDEX(SEGMENTS[], MATCH(CABLES[[#Headers],[SEG21]],SEGMENTS[SEG_ID],0),4),0)</f>
        <v>0</v>
      </c>
      <c r="CH59" s="9">
        <f xml:space="preserve"> IF(CABLES[[#This Row],[SEG22]] &gt;0,INDEX(SEGMENTS[], MATCH(CABLES[[#Headers],[SEG22]],SEGMENTS[SEG_ID],0),4),0)</f>
        <v>0</v>
      </c>
      <c r="CI59" s="9">
        <f>IF(CABLES[[#This Row],[SEG23]] &gt;0, INDEX(SEGMENTS[], MATCH(CABLES[[#Headers],[SEG23]],SEGMENTS[SEG_ID],0),4),0)</f>
        <v>0</v>
      </c>
      <c r="CJ59" s="9">
        <f xml:space="preserve"> IF(CABLES[[#This Row],[SEG24]] &gt;0,INDEX(SEGMENTS[], MATCH(CABLES[[#Headers],[SEG24]],SEGMENTS[SEG_ID],0),4),0)</f>
        <v>0</v>
      </c>
      <c r="CK59" s="9">
        <f>IF(CABLES[[#This Row],[SEG25]] &gt;0, INDEX(SEGMENTS[], MATCH(CABLES[[#Headers],[SEG25]],SEGMENTS[SEG_ID],0),4),0)</f>
        <v>0</v>
      </c>
      <c r="CL59" s="9">
        <f>IF(CABLES[[#This Row],[SEG26]] &gt;0, INDEX(SEGMENTS[], MATCH(CABLES[[#Headers],[SEG26]],SEGMENTS[SEG_ID],0),4),0)</f>
        <v>0</v>
      </c>
      <c r="CM59" s="9">
        <f xml:space="preserve"> IF(CABLES[[#This Row],[SEG27]] &gt;0,INDEX(SEGMENTS[], MATCH(CABLES[[#Headers],[SEG27]],SEGMENTS[SEG_ID],0),4),0)</f>
        <v>0</v>
      </c>
      <c r="CN59" s="9">
        <f xml:space="preserve"> IF(CABLES[[#This Row],[SEG28]] &gt;0,INDEX(SEGMENTS[], MATCH(CABLES[[#Headers],[SEG28]],SEGMENTS[SEG_ID],0),4),0)</f>
        <v>0</v>
      </c>
      <c r="CO59" s="9">
        <f xml:space="preserve"> IF(CABLES[[#This Row],[SEG29]] &gt;0,INDEX(SEGMENTS[], MATCH(CABLES[[#Headers],[SEG29]],SEGMENTS[SEG_ID],0),4),0)</f>
        <v>0</v>
      </c>
      <c r="CP59" s="9">
        <f xml:space="preserve"> IF(CABLES[[#This Row],[SEG30]] &gt;0,INDEX(SEGMENTS[], MATCH(CABLES[[#Headers],[SEG30]],SEGMENTS[SEG_ID],0),4),0)</f>
        <v>6</v>
      </c>
      <c r="CQ59" s="9">
        <f>IF(CABLES[[#This Row],[SEG31]] &gt;0, INDEX(SEGMENTS[], MATCH(CABLES[[#Headers],[SEG31]],SEGMENTS[SEG_ID],0),4),0)</f>
        <v>3</v>
      </c>
      <c r="CR59" s="9">
        <f xml:space="preserve"> IF(CABLES[[#This Row],[SEG32]] &gt;0,INDEX(SEGMENTS[], MATCH(CABLES[[#Headers],[SEG32]],SEGMENTS[SEG_ID],0),4),0)</f>
        <v>5</v>
      </c>
      <c r="CS59" s="9">
        <f xml:space="preserve"> IF(CABLES[[#This Row],[SEG33]] &gt;0,INDEX(SEGMENTS[], MATCH(CABLES[[#Headers],[SEG33]],SEGMENTS[SEG_ID],0),4),0)</f>
        <v>0</v>
      </c>
      <c r="CT59" s="9">
        <f>IF(CABLES[[#This Row],[SEG34]] &gt;0, INDEX(SEGMENTS[], MATCH(CABLES[[#Headers],[SEG34]],SEGMENTS[SEG_ID],0),4),0)</f>
        <v>7</v>
      </c>
      <c r="CU59" s="9">
        <f xml:space="preserve"> IF(CABLES[[#This Row],[SEG35]] &gt;0,INDEX(SEGMENTS[], MATCH(CABLES[[#Headers],[SEG35]],SEGMENTS[SEG_ID],0),4),0)</f>
        <v>0</v>
      </c>
      <c r="CV59" s="9">
        <f xml:space="preserve"> IF(CABLES[[#This Row],[SEG36]] &gt;0,INDEX(SEGMENTS[], MATCH(CABLES[[#Headers],[SEG36]],SEGMENTS[SEG_ID],0),4),0)</f>
        <v>0</v>
      </c>
      <c r="CW59" s="9">
        <f xml:space="preserve"> IF(CABLES[[#This Row],[SEG37]] &gt;0,INDEX(SEGMENTS[], MATCH(CABLES[[#Headers],[SEG37]],SEGMENTS[SEG_ID],0),4),0)</f>
        <v>5</v>
      </c>
      <c r="CX59" s="9">
        <f xml:space="preserve"> IF(CABLES[[#This Row],[SEG38]] &gt;0,INDEX(SEGMENTS[], MATCH(CABLES[[#Headers],[SEG38]],SEGMENTS[SEG_ID],0),4),0)</f>
        <v>15</v>
      </c>
      <c r="CY59" s="9">
        <f xml:space="preserve"> IF(CABLES[[#This Row],[SEG39]] &gt;0,INDEX(SEGMENTS[], MATCH(CABLES[[#Headers],[SEG39]],SEGMENTS[SEG_ID],0),4),0)</f>
        <v>0</v>
      </c>
      <c r="CZ59" s="9">
        <f xml:space="preserve"> IF(CABLES[[#This Row],[SEG40]] &gt;0,INDEX(SEGMENTS[], MATCH(CABLES[[#Headers],[SEG40]],SEGMENTS[SEG_ID],0),4),0)</f>
        <v>0</v>
      </c>
      <c r="DA59" s="9">
        <f xml:space="preserve"> IF(CABLES[[#This Row],[SEG41]] &gt;0,INDEX(SEGMENTS[], MATCH(CABLES[[#Headers],[SEG41]],SEGMENTS[SEG_ID],0),4),0)</f>
        <v>0</v>
      </c>
      <c r="DB59" s="9">
        <f xml:space="preserve"> IF(CABLES[[#This Row],[SEG42]] &gt;0,INDEX(SEGMENTS[], MATCH(CABLES[[#Headers],[SEG42]],SEGMENTS[SEG_ID],0),4),0)</f>
        <v>0</v>
      </c>
      <c r="DC59" s="9">
        <f xml:space="preserve"> IF(CABLES[[#This Row],[SEG43]] &gt;0,INDEX(SEGMENTS[], MATCH(CABLES[[#Headers],[SEG43]],SEGMENTS[SEG_ID],0),4),0)</f>
        <v>0</v>
      </c>
      <c r="DD59" s="9">
        <f xml:space="preserve"> IF(CABLES[[#This Row],[SEG44]] &gt;0,INDEX(SEGMENTS[], MATCH(CABLES[[#Headers],[SEG44]],SEGMENTS[SEG_ID],0),4),0)</f>
        <v>0</v>
      </c>
      <c r="DE59" s="9">
        <f xml:space="preserve"> IF(CABLES[[#This Row],[SEG45]] &gt;0,INDEX(SEGMENTS[], MATCH(CABLES[[#Headers],[SEG45]],SEGMENTS[SEG_ID],0),4),0)</f>
        <v>0</v>
      </c>
      <c r="DF59" s="9">
        <f xml:space="preserve"> IF(CABLES[[#This Row],[SEG46]] &gt;0,INDEX(SEGMENTS[], MATCH(CABLES[[#Headers],[SEG46]],SEGMENTS[SEG_ID],0),4),0)</f>
        <v>0</v>
      </c>
      <c r="DG59" s="9">
        <f xml:space="preserve"> IF(CABLES[[#This Row],[SEG47]] &gt;0,INDEX(SEGMENTS[], MATCH(CABLES[[#Headers],[SEG47]],SEGMENTS[SEG_ID],0),4),0)</f>
        <v>0</v>
      </c>
      <c r="DH59" s="9">
        <f xml:space="preserve"> IF(CABLES[[#This Row],[SEG48]] &gt;0,INDEX(SEGMENTS[], MATCH(CABLES[[#Headers],[SEG48]],SEGMENTS[SEG_ID],0),4),0)</f>
        <v>0</v>
      </c>
      <c r="DI59" s="9">
        <f xml:space="preserve"> IF(CABLES[[#This Row],[SEG49]] &gt;0,INDEX(SEGMENTS[], MATCH(CABLES[[#Headers],[SEG49]],SEGMENTS[SEG_ID],0),4),0)</f>
        <v>0</v>
      </c>
      <c r="DJ59" s="9">
        <f xml:space="preserve"> IF(CABLES[[#This Row],[SEG50]] &gt;0,INDEX(SEGMENTS[], MATCH(CABLES[[#Headers],[SEG50]],SEGMENTS[SEG_ID],0),4),0)</f>
        <v>0</v>
      </c>
      <c r="DK59" s="9">
        <f xml:space="preserve"> IF(CABLES[[#This Row],[SEG51]] &gt;0,INDEX(SEGMENTS[], MATCH(CABLES[[#Headers],[SEG51]],SEGMENTS[SEG_ID],0),4),0)</f>
        <v>0</v>
      </c>
      <c r="DL59" s="9">
        <f xml:space="preserve"> IF(CABLES[[#This Row],[SEG52]] &gt;0,INDEX(SEGMENTS[], MATCH(CABLES[[#Headers],[SEG52]],SEGMENTS[SEG_ID],0),4),0)</f>
        <v>0</v>
      </c>
      <c r="DM59" s="9">
        <f xml:space="preserve"> IF(CABLES[[#This Row],[SEG53]] &gt;0,INDEX(SEGMENTS[], MATCH(CABLES[[#Headers],[SEG53]],SEGMENTS[SEG_ID],0),4),0)</f>
        <v>0</v>
      </c>
      <c r="DN59" s="9">
        <f xml:space="preserve"> IF(CABLES[[#This Row],[SEG54]] &gt;0,INDEX(SEGMENTS[], MATCH(CABLES[[#Headers],[SEG54]],SEGMENTS[SEG_ID],0),4),0)</f>
        <v>0</v>
      </c>
      <c r="DO59" s="9">
        <f xml:space="preserve"> IF(CABLES[[#This Row],[SEG55]] &gt;0,INDEX(SEGMENTS[], MATCH(CABLES[[#Headers],[SEG55]],SEGMENTS[SEG_ID],0),4),0)</f>
        <v>0</v>
      </c>
      <c r="DP59" s="9">
        <f xml:space="preserve"> IF(CABLES[[#This Row],[SEG56]] &gt;0,INDEX(SEGMENTS[], MATCH(CABLES[[#Headers],[SEG56]],SEGMENTS[SEG_ID],0),4),0)</f>
        <v>0</v>
      </c>
      <c r="DQ59" s="9">
        <f xml:space="preserve"> IF(CABLES[[#This Row],[SEG57]] &gt;0,INDEX(SEGMENTS[], MATCH(CABLES[[#Headers],[SEG57]],SEGMENTS[SEG_ID],0),4),0)</f>
        <v>0</v>
      </c>
      <c r="DR59" s="9">
        <f xml:space="preserve"> IF(CABLES[[#This Row],[SEG58]] &gt;0,INDEX(SEGMENTS[], MATCH(CABLES[[#Headers],[SEG58]],SEGMENTS[SEG_ID],0),4),0)</f>
        <v>0</v>
      </c>
      <c r="DS59" s="9">
        <f xml:space="preserve"> IF(CABLES[[#This Row],[SEG59]] &gt;0,INDEX(SEGMENTS[], MATCH(CABLES[[#Headers],[SEG59]],SEGMENTS[SEG_ID],0),4),0)</f>
        <v>0</v>
      </c>
      <c r="DT59" s="9">
        <f xml:space="preserve"> IF(CABLES[[#This Row],[SEG60]] &gt;0,INDEX(SEGMENTS[], MATCH(CABLES[[#Headers],[SEG60]],SEGMENTS[SEG_ID],0),4),0)</f>
        <v>0</v>
      </c>
      <c r="DU59" s="10">
        <f>SUM(CABLES[[#This Row],[SEGL1]:[SEGL60]])</f>
        <v>41</v>
      </c>
      <c r="DV59" s="10">
        <v>5</v>
      </c>
      <c r="DW59" s="10">
        <v>1.2</v>
      </c>
      <c r="DX59" s="10">
        <f xml:space="preserve"> IF(CABLES[[#This Row],[SEGL_TOTAL]]&gt;0, (CABLES[[#This Row],[SEGL_TOTAL]] + CABLES[[#This Row],[FITOFF]]) *CABLES[[#This Row],[XCAPACITY]],0)</f>
        <v>55.199999999999996</v>
      </c>
      <c r="DY59" s="10">
        <f>IF(CABLES[[#This Row],[SEG1]]&gt;0,CABLES[[#This Row],[CABLE_DIAMETER]],0)</f>
        <v>0</v>
      </c>
      <c r="DZ59" s="10">
        <f>IF(CABLES[[#This Row],[SEG2]]&gt;0,CABLES[[#This Row],[CABLE_DIAMETER]],0)</f>
        <v>0</v>
      </c>
      <c r="EA59" s="10">
        <f>IF(CABLES[[#This Row],[SEG3]]&gt;0,CABLES[[#This Row],[CABLE_DIAMETER]],0)</f>
        <v>0</v>
      </c>
      <c r="EB59" s="10">
        <f>IF(CABLES[[#This Row],[SEG4]]&gt;0,CABLES[[#This Row],[CABLE_DIAMETER]],0)</f>
        <v>0</v>
      </c>
      <c r="EC59" s="10">
        <f>IF(CABLES[[#This Row],[SEG5]]&gt;0,CABLES[[#This Row],[CABLE_DIAMETER]],0)</f>
        <v>0</v>
      </c>
      <c r="ED59" s="10">
        <f>IF(CABLES[[#This Row],[SEG6]]&gt;0,CABLES[[#This Row],[CABLE_DIAMETER]],0)</f>
        <v>0</v>
      </c>
      <c r="EE59" s="10">
        <f>IF(CABLES[[#This Row],[SEG7]]&gt;0,CABLES[[#This Row],[CABLE_DIAMETER]],0)</f>
        <v>0</v>
      </c>
      <c r="EF59" s="10">
        <f>IF(CABLES[[#This Row],[SEG9]]&gt;0,CABLES[[#This Row],[CABLE_DIAMETER]],0)</f>
        <v>0</v>
      </c>
      <c r="EG59" s="10">
        <f>IF(CABLES[[#This Row],[SEG9]]&gt;0,CABLES[[#This Row],[CABLE_DIAMETER]],0)</f>
        <v>0</v>
      </c>
      <c r="EH59" s="10">
        <f>IF(CABLES[[#This Row],[SEG10]]&gt;0,CABLES[[#This Row],[CABLE_DIAMETER]],0)</f>
        <v>0</v>
      </c>
      <c r="EI59" s="10">
        <f>IF(CABLES[[#This Row],[SEG11]]&gt;0,CABLES[[#This Row],[CABLE_DIAMETER]],0)</f>
        <v>0</v>
      </c>
      <c r="EJ59" s="10">
        <f>IF(CABLES[[#This Row],[SEG12]]&gt;0,CABLES[[#This Row],[CABLE_DIAMETER]],0)</f>
        <v>0</v>
      </c>
      <c r="EK59" s="10">
        <f>IF(CABLES[[#This Row],[SEG13]]&gt;0,CABLES[[#This Row],[CABLE_DIAMETER]],0)</f>
        <v>0</v>
      </c>
      <c r="EL59" s="10">
        <f>IF(CABLES[[#This Row],[SEG14]]&gt;0,CABLES[[#This Row],[CABLE_DIAMETER]],0)</f>
        <v>0</v>
      </c>
      <c r="EM59" s="10">
        <f>IF(CABLES[[#This Row],[SEG15]]&gt;0,CABLES[[#This Row],[CABLE_DIAMETER]],0)</f>
        <v>0</v>
      </c>
      <c r="EN59" s="10">
        <f>IF(CABLES[[#This Row],[SEG16]]&gt;0,CABLES[[#This Row],[CABLE_DIAMETER]],0)</f>
        <v>0</v>
      </c>
      <c r="EO59" s="10">
        <f>IF(CABLES[[#This Row],[SEG17]]&gt;0,CABLES[[#This Row],[CABLE_DIAMETER]],0)</f>
        <v>0</v>
      </c>
      <c r="EP59" s="10">
        <f>IF(CABLES[[#This Row],[SEG18]]&gt;0,CABLES[[#This Row],[CABLE_DIAMETER]],0)</f>
        <v>0</v>
      </c>
      <c r="EQ59" s="10">
        <f>IF(CABLES[[#This Row],[SEG19]]&gt;0,CABLES[[#This Row],[CABLE_DIAMETER]],0)</f>
        <v>0</v>
      </c>
      <c r="ER59" s="10">
        <f>IF(CABLES[[#This Row],[SEG20]]&gt;0,CABLES[[#This Row],[CABLE_DIAMETER]],0)</f>
        <v>0</v>
      </c>
      <c r="ES59" s="10">
        <f>IF(CABLES[[#This Row],[SEG21]]&gt;0,CABLES[[#This Row],[CABLE_DIAMETER]],0)</f>
        <v>0</v>
      </c>
      <c r="ET59" s="10">
        <f>IF(CABLES[[#This Row],[SEG22]]&gt;0,CABLES[[#This Row],[CABLE_DIAMETER]],0)</f>
        <v>0</v>
      </c>
      <c r="EU59" s="10">
        <f>IF(CABLES[[#This Row],[SEG23]]&gt;0,CABLES[[#This Row],[CABLE_DIAMETER]],0)</f>
        <v>0</v>
      </c>
      <c r="EV59" s="10">
        <f>IF(CABLES[[#This Row],[SEG24]]&gt;0,CABLES[[#This Row],[CABLE_DIAMETER]],0)</f>
        <v>0</v>
      </c>
      <c r="EW59" s="10">
        <f>IF(CABLES[[#This Row],[SEG25]]&gt;0,CABLES[[#This Row],[CABLE_DIAMETER]],0)</f>
        <v>0</v>
      </c>
      <c r="EX59" s="10">
        <f>IF(CABLES[[#This Row],[SEG26]]&gt;0,CABLES[[#This Row],[CABLE_DIAMETER]],0)</f>
        <v>0</v>
      </c>
      <c r="EY59" s="10">
        <f>IF(CABLES[[#This Row],[SEG27]]&gt;0,CABLES[[#This Row],[CABLE_DIAMETER]],0)</f>
        <v>0</v>
      </c>
      <c r="EZ59" s="10">
        <f>IF(CABLES[[#This Row],[SEG28]]&gt;0,CABLES[[#This Row],[CABLE_DIAMETER]],0)</f>
        <v>0</v>
      </c>
      <c r="FA59" s="10">
        <f>IF(CABLES[[#This Row],[SEG29]]&gt;0,CABLES[[#This Row],[CABLE_DIAMETER]],0)</f>
        <v>0</v>
      </c>
      <c r="FB59" s="10">
        <f>IF(CABLES[[#This Row],[SEG30]]&gt;0,CABLES[[#This Row],[CABLE_DIAMETER]],0)</f>
        <v>12</v>
      </c>
      <c r="FC59" s="10">
        <f>IF(CABLES[[#This Row],[SEG31]]&gt;0,CABLES[[#This Row],[CABLE_DIAMETER]],0)</f>
        <v>12</v>
      </c>
      <c r="FD59" s="10">
        <f>IF(CABLES[[#This Row],[SEG32]]&gt;0,CABLES[[#This Row],[CABLE_DIAMETER]],0)</f>
        <v>12</v>
      </c>
      <c r="FE59" s="10">
        <f>IF(CABLES[[#This Row],[SEG33]]&gt;0,CABLES[[#This Row],[CABLE_DIAMETER]],0)</f>
        <v>0</v>
      </c>
      <c r="FF59" s="10">
        <f>IF(CABLES[[#This Row],[SEG34]]&gt;0,CABLES[[#This Row],[CABLE_DIAMETER]],0)</f>
        <v>12</v>
      </c>
      <c r="FG59" s="10">
        <f>IF(CABLES[[#This Row],[SEG35]]&gt;0,CABLES[[#This Row],[CABLE_DIAMETER]],0)</f>
        <v>0</v>
      </c>
      <c r="FH59" s="10">
        <f>IF(CABLES[[#This Row],[SEG36]]&gt;0,CABLES[[#This Row],[CABLE_DIAMETER]],0)</f>
        <v>0</v>
      </c>
      <c r="FI59" s="10">
        <f>IF(CABLES[[#This Row],[SEG37]]&gt;0,CABLES[[#This Row],[CABLE_DIAMETER]],0)</f>
        <v>12</v>
      </c>
      <c r="FJ59" s="10">
        <f>IF(CABLES[[#This Row],[SEG38]]&gt;0,CABLES[[#This Row],[CABLE_DIAMETER]],0)</f>
        <v>12</v>
      </c>
      <c r="FK59" s="10">
        <f>IF(CABLES[[#This Row],[SEG39]]&gt;0,CABLES[[#This Row],[CABLE_DIAMETER]],0)</f>
        <v>0</v>
      </c>
      <c r="FL59" s="10">
        <f>IF(CABLES[[#This Row],[SEG40]]&gt;0,CABLES[[#This Row],[CABLE_DIAMETER]],0)</f>
        <v>0</v>
      </c>
      <c r="FM59" s="10">
        <f>IF(CABLES[[#This Row],[SEG41]]&gt;0,CABLES[[#This Row],[CABLE_DIAMETER]],0)</f>
        <v>0</v>
      </c>
      <c r="FN59" s="10">
        <f>IF(CABLES[[#This Row],[SEG42]]&gt;0,CABLES[[#This Row],[CABLE_DIAMETER]],0)</f>
        <v>0</v>
      </c>
      <c r="FO59" s="10">
        <f>IF(CABLES[[#This Row],[SEG43]]&gt;0,CABLES[[#This Row],[CABLE_DIAMETER]],0)</f>
        <v>0</v>
      </c>
      <c r="FP59" s="10">
        <f>IF(CABLES[[#This Row],[SEG44]]&gt;0,CABLES[[#This Row],[CABLE_DIAMETER]],0)</f>
        <v>0</v>
      </c>
      <c r="FQ59" s="10">
        <f>IF(CABLES[[#This Row],[SEG45]]&gt;0,CABLES[[#This Row],[CABLE_DIAMETER]],0)</f>
        <v>0</v>
      </c>
      <c r="FR59" s="10">
        <f>IF(CABLES[[#This Row],[SEG46]]&gt;0,CABLES[[#This Row],[CABLE_DIAMETER]],0)</f>
        <v>0</v>
      </c>
      <c r="FS59" s="10">
        <f>IF(CABLES[[#This Row],[SEG47]]&gt;0,CABLES[[#This Row],[CABLE_DIAMETER]],0)</f>
        <v>0</v>
      </c>
      <c r="FT59" s="10">
        <f>IF(CABLES[[#This Row],[SEG48]]&gt;0,CABLES[[#This Row],[CABLE_DIAMETER]],0)</f>
        <v>0</v>
      </c>
      <c r="FU59" s="10">
        <f>IF(CABLES[[#This Row],[SEG49]]&gt;0,CABLES[[#This Row],[CABLE_DIAMETER]],0)</f>
        <v>0</v>
      </c>
      <c r="FV59" s="10">
        <f>IF(CABLES[[#This Row],[SEG50]]&gt;0,CABLES[[#This Row],[CABLE_DIAMETER]],0)</f>
        <v>0</v>
      </c>
      <c r="FW59" s="10">
        <f>IF(CABLES[[#This Row],[SEG51]]&gt;0,CABLES[[#This Row],[CABLE_DIAMETER]],0)</f>
        <v>0</v>
      </c>
      <c r="FX59" s="10">
        <f>IF(CABLES[[#This Row],[SEG52]]&gt;0,CABLES[[#This Row],[CABLE_DIAMETER]],0)</f>
        <v>0</v>
      </c>
      <c r="FY59" s="10">
        <f>IF(CABLES[[#This Row],[SEG53]]&gt;0,CABLES[[#This Row],[CABLE_DIAMETER]],0)</f>
        <v>0</v>
      </c>
      <c r="FZ59" s="10">
        <f>IF(CABLES[[#This Row],[SEG54]]&gt;0,CABLES[[#This Row],[CABLE_DIAMETER]],0)</f>
        <v>0</v>
      </c>
      <c r="GA59" s="10">
        <f>IF(CABLES[[#This Row],[SEG55]]&gt;0,CABLES[[#This Row],[CABLE_DIAMETER]],0)</f>
        <v>0</v>
      </c>
      <c r="GB59" s="10">
        <f>IF(CABLES[[#This Row],[SEG56]]&gt;0,CABLES[[#This Row],[CABLE_DIAMETER]],0)</f>
        <v>0</v>
      </c>
      <c r="GC59" s="10">
        <f>IF(CABLES[[#This Row],[SEG57]]&gt;0,CABLES[[#This Row],[CABLE_DIAMETER]],0)</f>
        <v>0</v>
      </c>
      <c r="GD59" s="10">
        <f>IF(CABLES[[#This Row],[SEG58]]&gt;0,CABLES[[#This Row],[CABLE_DIAMETER]],0)</f>
        <v>0</v>
      </c>
      <c r="GE59" s="10">
        <f>IF(CABLES[[#This Row],[SEG59]]&gt;0,CABLES[[#This Row],[CABLE_DIAMETER]],0)</f>
        <v>0</v>
      </c>
      <c r="GF59" s="10">
        <f>IF(CABLES[[#This Row],[SEG60]]&gt;0,CABLES[[#This Row],[CABLE_DIAMETER]],0)</f>
        <v>0</v>
      </c>
      <c r="GG59" s="10">
        <f>IF(CABLES[[#This Row],[SEG1]]&gt;0,CABLES[[#This Row],[CABLE_MASS]],0)</f>
        <v>0</v>
      </c>
      <c r="GH59" s="10">
        <f>IF(CABLES[[#This Row],[SEG2]]&gt;0,CABLES[[#This Row],[CABLE_MASS]],0)</f>
        <v>0</v>
      </c>
      <c r="GI59" s="10">
        <f>IF(CABLES[[#This Row],[SEG3]]&gt;0,CABLES[[#This Row],[CABLE_MASS]],0)</f>
        <v>0</v>
      </c>
      <c r="GJ59" s="10">
        <f>IF(CABLES[[#This Row],[SEG4]]&gt;0,CABLES[[#This Row],[CABLE_MASS]],0)</f>
        <v>0</v>
      </c>
      <c r="GK59" s="10">
        <f>IF(CABLES[[#This Row],[SEG5]]&gt;0,CABLES[[#This Row],[CABLE_MASS]],0)</f>
        <v>0</v>
      </c>
      <c r="GL59" s="10">
        <f>IF(CABLES[[#This Row],[SEG6]]&gt;0,CABLES[[#This Row],[CABLE_MASS]],0)</f>
        <v>0</v>
      </c>
      <c r="GM59" s="10">
        <f>IF(CABLES[[#This Row],[SEG7]]&gt;0,CABLES[[#This Row],[CABLE_MASS]],0)</f>
        <v>0</v>
      </c>
      <c r="GN59" s="10">
        <f>IF(CABLES[[#This Row],[SEG8]]&gt;0,CABLES[[#This Row],[CABLE_MASS]],0)</f>
        <v>0</v>
      </c>
      <c r="GO59" s="10">
        <f>IF(CABLES[[#This Row],[SEG9]]&gt;0,CABLES[[#This Row],[CABLE_MASS]],0)</f>
        <v>0</v>
      </c>
      <c r="GP59" s="10">
        <f>IF(CABLES[[#This Row],[SEG10]]&gt;0,CABLES[[#This Row],[CABLE_MASS]],0)</f>
        <v>0</v>
      </c>
      <c r="GQ59" s="10">
        <f>IF(CABLES[[#This Row],[SEG11]]&gt;0,CABLES[[#This Row],[CABLE_MASS]],0)</f>
        <v>0</v>
      </c>
      <c r="GR59" s="10">
        <f>IF(CABLES[[#This Row],[SEG12]]&gt;0,CABLES[[#This Row],[CABLE_MASS]],0)</f>
        <v>0</v>
      </c>
      <c r="GS59" s="10">
        <f>IF(CABLES[[#This Row],[SEG13]]&gt;0,CABLES[[#This Row],[CABLE_MASS]],0)</f>
        <v>0</v>
      </c>
      <c r="GT59" s="10">
        <f>IF(CABLES[[#This Row],[SEG14]]&gt;0,CABLES[[#This Row],[CABLE_MASS]],0)</f>
        <v>0</v>
      </c>
      <c r="GU59" s="10">
        <f>IF(CABLES[[#This Row],[SEG15]]&gt;0,CABLES[[#This Row],[CABLE_MASS]],0)</f>
        <v>0</v>
      </c>
      <c r="GV59" s="10">
        <f>IF(CABLES[[#This Row],[SEG16]]&gt;0,CABLES[[#This Row],[CABLE_MASS]],0)</f>
        <v>0</v>
      </c>
      <c r="GW59" s="10">
        <f>IF(CABLES[[#This Row],[SEG17]]&gt;0,CABLES[[#This Row],[CABLE_MASS]],0)</f>
        <v>0</v>
      </c>
      <c r="GX59" s="10">
        <f>IF(CABLES[[#This Row],[SEG18]]&gt;0,CABLES[[#This Row],[CABLE_MASS]],0)</f>
        <v>0</v>
      </c>
      <c r="GY59" s="10">
        <f>IF(CABLES[[#This Row],[SEG19]]&gt;0,CABLES[[#This Row],[CABLE_MASS]],0)</f>
        <v>0</v>
      </c>
      <c r="GZ59" s="10">
        <f>IF(CABLES[[#This Row],[SEG20]]&gt;0,CABLES[[#This Row],[CABLE_MASS]],0)</f>
        <v>0</v>
      </c>
      <c r="HA59" s="10">
        <f>IF(CABLES[[#This Row],[SEG21]]&gt;0,CABLES[[#This Row],[CABLE_MASS]],0)</f>
        <v>0</v>
      </c>
      <c r="HB59" s="10">
        <f>IF(CABLES[[#This Row],[SEG22]]&gt;0,CABLES[[#This Row],[CABLE_MASS]],0)</f>
        <v>0</v>
      </c>
      <c r="HC59" s="10">
        <f>IF(CABLES[[#This Row],[SEG23]]&gt;0,CABLES[[#This Row],[CABLE_MASS]],0)</f>
        <v>0</v>
      </c>
      <c r="HD59" s="10">
        <f>IF(CABLES[[#This Row],[SEG24]]&gt;0,CABLES[[#This Row],[CABLE_MASS]],0)</f>
        <v>0</v>
      </c>
      <c r="HE59" s="10">
        <f>IF(CABLES[[#This Row],[SEG25]]&gt;0,CABLES[[#This Row],[CABLE_MASS]],0)</f>
        <v>0</v>
      </c>
      <c r="HF59" s="10">
        <f>IF(CABLES[[#This Row],[SEG26]]&gt;0,CABLES[[#This Row],[CABLE_MASS]],0)</f>
        <v>0</v>
      </c>
      <c r="HG59" s="10">
        <f>IF(CABLES[[#This Row],[SEG27]]&gt;0,CABLES[[#This Row],[CABLE_MASS]],0)</f>
        <v>0</v>
      </c>
      <c r="HH59" s="10">
        <f>IF(CABLES[[#This Row],[SEG28]]&gt;0,CABLES[[#This Row],[CABLE_MASS]],0)</f>
        <v>0</v>
      </c>
      <c r="HI59" s="10">
        <f>IF(CABLES[[#This Row],[SEG29]]&gt;0,CABLES[[#This Row],[CABLE_MASS]],0)</f>
        <v>0</v>
      </c>
      <c r="HJ59" s="10">
        <f>IF(CABLES[[#This Row],[SEG30]]&gt;0,CABLES[[#This Row],[CABLE_MASS]],0)</f>
        <v>0.21</v>
      </c>
      <c r="HK59" s="10">
        <f>IF(CABLES[[#This Row],[SEG31]]&gt;0,CABLES[[#This Row],[CABLE_MASS]],0)</f>
        <v>0.21</v>
      </c>
      <c r="HL59" s="10">
        <f>IF(CABLES[[#This Row],[SEG32]]&gt;0,CABLES[[#This Row],[CABLE_MASS]],0)</f>
        <v>0.21</v>
      </c>
      <c r="HM59" s="10">
        <f>IF(CABLES[[#This Row],[SEG33]]&gt;0,CABLES[[#This Row],[CABLE_MASS]],0)</f>
        <v>0</v>
      </c>
      <c r="HN59" s="10">
        <f>IF(CABLES[[#This Row],[SEG34]]&gt;0,CABLES[[#This Row],[CABLE_MASS]],0)</f>
        <v>0.21</v>
      </c>
      <c r="HO59" s="10">
        <f>IF(CABLES[[#This Row],[SEG35]]&gt;0,CABLES[[#This Row],[CABLE_MASS]],0)</f>
        <v>0</v>
      </c>
      <c r="HP59" s="10">
        <f>IF(CABLES[[#This Row],[SEG36]]&gt;0,CABLES[[#This Row],[CABLE_MASS]],0)</f>
        <v>0</v>
      </c>
      <c r="HQ59" s="10">
        <f>IF(CABLES[[#This Row],[SEG37]]&gt;0,CABLES[[#This Row],[CABLE_MASS]],0)</f>
        <v>0.21</v>
      </c>
      <c r="HR59" s="10">
        <f>IF(CABLES[[#This Row],[SEG38]]&gt;0,CABLES[[#This Row],[CABLE_MASS]],0)</f>
        <v>0.21</v>
      </c>
      <c r="HS59" s="10">
        <f>IF(CABLES[[#This Row],[SEG39]]&gt;0,CABLES[[#This Row],[CABLE_MASS]],0)</f>
        <v>0</v>
      </c>
      <c r="HT59" s="10">
        <f>IF(CABLES[[#This Row],[SEG40]]&gt;0,CABLES[[#This Row],[CABLE_MASS]],0)</f>
        <v>0</v>
      </c>
      <c r="HU59" s="10">
        <f>IF(CABLES[[#This Row],[SEG41]]&gt;0,CABLES[[#This Row],[CABLE_MASS]],0)</f>
        <v>0</v>
      </c>
      <c r="HV59" s="10">
        <f>IF(CABLES[[#This Row],[SEG42]]&gt;0,CABLES[[#This Row],[CABLE_MASS]],0)</f>
        <v>0</v>
      </c>
      <c r="HW59" s="10">
        <f>IF(CABLES[[#This Row],[SEG43]]&gt;0,CABLES[[#This Row],[CABLE_MASS]],0)</f>
        <v>0</v>
      </c>
      <c r="HX59" s="10">
        <f>IF(CABLES[[#This Row],[SEG44]]&gt;0,CABLES[[#This Row],[CABLE_MASS]],0)</f>
        <v>0</v>
      </c>
      <c r="HY59" s="10">
        <f>IF(CABLES[[#This Row],[SEG45]]&gt;0,CABLES[[#This Row],[CABLE_MASS]],0)</f>
        <v>0</v>
      </c>
      <c r="HZ59" s="10">
        <f>IF(CABLES[[#This Row],[SEG46]]&gt;0,CABLES[[#This Row],[CABLE_MASS]],0)</f>
        <v>0</v>
      </c>
      <c r="IA59" s="10">
        <f>IF(CABLES[[#This Row],[SEG47]]&gt;0,CABLES[[#This Row],[CABLE_MASS]],0)</f>
        <v>0</v>
      </c>
      <c r="IB59" s="10">
        <f>IF(CABLES[[#This Row],[SEG48]]&gt;0,CABLES[[#This Row],[CABLE_MASS]],0)</f>
        <v>0</v>
      </c>
      <c r="IC59" s="10">
        <f>IF(CABLES[[#This Row],[SEG49]]&gt;0,CABLES[[#This Row],[CABLE_MASS]],0)</f>
        <v>0</v>
      </c>
      <c r="ID59" s="10">
        <f>IF(CABLES[[#This Row],[SEG50]]&gt;0,CABLES[[#This Row],[CABLE_MASS]],0)</f>
        <v>0</v>
      </c>
      <c r="IE59" s="10">
        <f>IF(CABLES[[#This Row],[SEG51]]&gt;0,CABLES[[#This Row],[CABLE_MASS]],0)</f>
        <v>0</v>
      </c>
      <c r="IF59" s="10">
        <f>IF(CABLES[[#This Row],[SEG52]]&gt;0,CABLES[[#This Row],[CABLE_MASS]],0)</f>
        <v>0</v>
      </c>
      <c r="IG59" s="10">
        <f>IF(CABLES[[#This Row],[SEG53]]&gt;0,CABLES[[#This Row],[CABLE_MASS]],0)</f>
        <v>0</v>
      </c>
      <c r="IH59" s="10">
        <f>IF(CABLES[[#This Row],[SEG54]]&gt;0,CABLES[[#This Row],[CABLE_MASS]],0)</f>
        <v>0</v>
      </c>
      <c r="II59" s="10">
        <f>IF(CABLES[[#This Row],[SEG55]]&gt;0,CABLES[[#This Row],[CABLE_MASS]],0)</f>
        <v>0</v>
      </c>
      <c r="IJ59" s="10">
        <f>IF(CABLES[[#This Row],[SEG56]]&gt;0,CABLES[[#This Row],[CABLE_MASS]],0)</f>
        <v>0</v>
      </c>
      <c r="IK59" s="10">
        <f>IF(CABLES[[#This Row],[SEG57]]&gt;0,CABLES[[#This Row],[CABLE_MASS]],0)</f>
        <v>0</v>
      </c>
      <c r="IL59" s="10">
        <f>IF(CABLES[[#This Row],[SEG58]]&gt;0,CABLES[[#This Row],[CABLE_MASS]],0)</f>
        <v>0</v>
      </c>
      <c r="IM59" s="10">
        <f>IF(CABLES[[#This Row],[SEG59]]&gt;0,CABLES[[#This Row],[CABLE_MASS]],0)</f>
        <v>0</v>
      </c>
      <c r="IN59" s="10">
        <f>IF(CABLES[[#This Row],[SEG60]]&gt;0,CABLES[[#This Row],[CABLE_MASS]],0)</f>
        <v>0</v>
      </c>
      <c r="IO59" s="10">
        <f xml:space="preserve">  (CABLES[[#This Row],[LOAD_KW]]/(SQRT(3)*SYSTEM_VOLTAGE*POWER_FACTOR))*1000</f>
        <v>0.88206291126192826</v>
      </c>
      <c r="IP59" s="10">
        <v>45</v>
      </c>
      <c r="IQ59" s="10">
        <f xml:space="preserve"> INDEX(AS3000_AMBIENTDERATE[], MATCH(CABLES[[#This Row],[AMBIENT]],AS3000_AMBIENTDERATE[AMBIENT],0), 2)</f>
        <v>0.94</v>
      </c>
      <c r="IR59" s="10">
        <f xml:space="preserve"> ROUNDUP( CABLES[[#This Row],[CALCULATED_AMPS]]/CABLES[[#This Row],[AMBIENT_DERATING]],1)</f>
        <v>1</v>
      </c>
      <c r="IS59" s="10" t="s">
        <v>531</v>
      </c>
      <c r="IT5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59" s="10">
        <f t="shared" si="1"/>
        <v>28.000000000000004</v>
      </c>
      <c r="IV59" s="10">
        <f>(1000*CABLES[[#This Row],[MAX_VDROP]])/(CABLES[[#This Row],[ESTIMATED_CABLE_LENGTH]]*CABLES[[#This Row],[AMP_RATING]])</f>
        <v>507.2463768115943</v>
      </c>
      <c r="IW59" s="10">
        <f xml:space="preserve"> INDEX(AS3000_VDROP[], MATCH(CABLES[[#This Row],[VC_CALC]],AS3000_VDROP[Vc],1),1)</f>
        <v>2.5</v>
      </c>
      <c r="IX59" s="10">
        <f>MAX(CABLES[[#This Row],[CABLESIZE_METHOD1]],CABLES[[#This Row],[CABLESIZE_METHOD2]])</f>
        <v>2.5</v>
      </c>
      <c r="IY59" s="10"/>
      <c r="IZ59" s="10">
        <f>IF(LEN(CABLES[[#This Row],[OVERRIDE_CABLESIZE]])&gt;0,CABLES[[#This Row],[OVERRIDE_CABLESIZE]],CABLES[[#This Row],[INITIAL_CABLESIZE]])</f>
        <v>2.5</v>
      </c>
      <c r="JA59" s="10">
        <f>INDEX(PROTECTIVE_DEVICE[DEVICE], MATCH(CABLES[[#This Row],[CALCULATED_AMPS]],PROTECTIVE_DEVICE[DEVICE],-1),1)</f>
        <v>6</v>
      </c>
      <c r="JB59" s="10"/>
      <c r="JC59" s="10">
        <f>IF(LEN(CABLES[[#This Row],[OVERRIDE_PDEVICE]])&gt;0, CABLES[[#This Row],[OVERRIDE_PDEVICE]],CABLES[[#This Row],[RECOMMEND_PDEVICE]])</f>
        <v>6</v>
      </c>
      <c r="JD59" s="10" t="s">
        <v>450</v>
      </c>
      <c r="JE59" s="10">
        <f xml:space="preserve"> CABLES[[#This Row],[SELECTED_PDEVICE]] * INDEX(DEVICE_CURVE[], MATCH(CABLES[[#This Row],[PDEVICE_CURVE]], DEVICE_CURVE[DEVICE_CURVE],0),2)</f>
        <v>39</v>
      </c>
      <c r="JF59" s="10" t="s">
        <v>458</v>
      </c>
      <c r="JG59" s="10">
        <f xml:space="preserve"> INDEX(CONDUCTOR_MATERIAL[], MATCH(CABLES[[#This Row],[CONDUCTOR_MATERIAL]],CONDUCTOR_MATERIAL[CONDUCTOR_MATERIAL],0),2)</f>
        <v>2.2499999999999999E-2</v>
      </c>
      <c r="JH59" s="10">
        <f>CABLES[[#This Row],[SELECTED_CABLESIZE]]</f>
        <v>2.5</v>
      </c>
      <c r="JI59" s="10">
        <f xml:space="preserve"> INDEX( EARTH_CONDUCTOR_SIZE[], MATCH(CABLES[[#This Row],[SPH]],EARTH_CONDUCTOR_SIZE[MM^2],-1), 2)</f>
        <v>2.5</v>
      </c>
      <c r="JJ59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59" s="10" t="str">
        <f>IF(CABLES[[#This Row],[LMAX]]&gt;CABLES[[#This Row],[ESTIMATED_CABLE_LENGTH]], "PASS", "ERROR")</f>
        <v>PASS</v>
      </c>
      <c r="JL5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5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59" s="6">
        <f xml:space="preserve"> ROUNDUP( CABLES[[#This Row],[CALCULATED_AMPS]],1)</f>
        <v>0.9</v>
      </c>
      <c r="JO59" s="6">
        <f>CABLES[[#This Row],[SELECTED_CABLESIZE]]</f>
        <v>2.5</v>
      </c>
      <c r="JP59" s="10">
        <f>CABLES[[#This Row],[ESTIMATED_CABLE_LENGTH]]</f>
        <v>55.199999999999996</v>
      </c>
      <c r="JQ59" s="6">
        <f>CABLES[[#This Row],[SELECTED_PDEVICE]]</f>
        <v>6</v>
      </c>
    </row>
    <row r="60" spans="1:277" x14ac:dyDescent="0.35">
      <c r="A60" s="5" t="s">
        <v>59</v>
      </c>
      <c r="B60" s="5" t="s">
        <v>504</v>
      </c>
      <c r="C60" s="10" t="s">
        <v>261</v>
      </c>
      <c r="D60" s="9">
        <v>5.5</v>
      </c>
      <c r="E60" s="9">
        <v>1</v>
      </c>
      <c r="F60" s="9">
        <v>1</v>
      </c>
      <c r="G60" s="9">
        <v>0</v>
      </c>
      <c r="H60" s="9">
        <v>1</v>
      </c>
      <c r="I60" s="9">
        <v>0</v>
      </c>
      <c r="J60" s="9">
        <v>1</v>
      </c>
      <c r="K60" s="9">
        <v>0</v>
      </c>
      <c r="L60" s="9">
        <v>1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1</v>
      </c>
      <c r="S60" s="9">
        <v>0</v>
      </c>
      <c r="T60" s="9">
        <v>1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f xml:space="preserve"> IF(CABLES[[#This Row],[SEG1]] &gt;0, INDEX(SEGMENTS[], MATCH(CABLES[[#Headers],[SEG1]],SEGMENTS[SEG_ID],0),4),0)</f>
        <v>13</v>
      </c>
      <c r="BN60" s="9">
        <f xml:space="preserve"> IF(CABLES[[#This Row],[SEG2]] &gt;0, INDEX(SEGMENTS[], MATCH(CABLES[[#Headers],[SEG2]],SEGMENTS[SEG_ID],0),4),0)</f>
        <v>2</v>
      </c>
      <c r="BO60" s="9">
        <f xml:space="preserve"> IF(CABLES[[#This Row],[SEG3]] &gt;0, INDEX(SEGMENTS[], MATCH(CABLES[[#Headers],[SEG3]],SEGMENTS[SEG_ID],0),4),0)</f>
        <v>0</v>
      </c>
      <c r="BP60" s="9">
        <f xml:space="preserve"> IF(CABLES[[#This Row],[SEG4]] &gt;0, INDEX(SEGMENTS[], MATCH(CABLES[[#Headers],[SEG4]],SEGMENTS[SEG_ID],0),4),0)</f>
        <v>14</v>
      </c>
      <c r="BQ60" s="9">
        <f xml:space="preserve"> IF(CABLES[[#This Row],[SEG5]] &gt;0,INDEX(SEGMENTS[], MATCH(CABLES[[#Headers],[SEG5]],SEGMENTS[SEG_ID],0),4),0)</f>
        <v>0</v>
      </c>
      <c r="BR60" s="9">
        <f xml:space="preserve"> IF(CABLES[[#This Row],[SEG6]] &gt;0,INDEX(SEGMENTS[], MATCH(CABLES[[#Headers],[SEG6]],SEGMENTS[SEG_ID],0),4),0)</f>
        <v>2</v>
      </c>
      <c r="BS60" s="9">
        <f xml:space="preserve"> IF(CABLES[[#This Row],[SEG7]] &gt;0,INDEX(SEGMENTS[], MATCH(CABLES[[#Headers],[SEG7]],SEGMENTS[SEG_ID],0),4),0)</f>
        <v>0</v>
      </c>
      <c r="BT60" s="9">
        <f xml:space="preserve"> IF(CABLES[[#This Row],[SEG8]] &gt;0,INDEX(SEGMENTS[], MATCH(CABLES[[#Headers],[SEG8]],SEGMENTS[SEG_ID],0),4),0)</f>
        <v>3</v>
      </c>
      <c r="BU60" s="9">
        <f xml:space="preserve"> IF(CABLES[[#This Row],[SEG9]] &gt;0,INDEX(SEGMENTS[], MATCH(CABLES[[#Headers],[SEG9]],SEGMENTS[SEG_ID],0),4),0)</f>
        <v>0</v>
      </c>
      <c r="BV60" s="9">
        <f xml:space="preserve"> IF(CABLES[[#This Row],[SEG10]] &gt;0,INDEX(SEGMENTS[], MATCH(CABLES[[#Headers],[SEG10]],SEGMENTS[SEG_ID],0),4),0)</f>
        <v>0</v>
      </c>
      <c r="BW60" s="9">
        <f xml:space="preserve"> IF(CABLES[[#This Row],[SEG11]] &gt;0,INDEX(SEGMENTS[], MATCH(CABLES[[#Headers],[SEG11]],SEGMENTS[SEG_ID],0),4),0)</f>
        <v>0</v>
      </c>
      <c r="BX60" s="9">
        <f>IF(CABLES[[#This Row],[SEG12]] &gt;0, INDEX(SEGMENTS[], MATCH(CABLES[[#Headers],[SEG12]],SEGMENTS[SEG_ID],0),4),0)</f>
        <v>0</v>
      </c>
      <c r="BY60" s="9">
        <f xml:space="preserve"> IF(CABLES[[#This Row],[SEG13]] &gt;0,INDEX(SEGMENTS[], MATCH(CABLES[[#Headers],[SEG13]],SEGMENTS[SEG_ID],0),4),0)</f>
        <v>0</v>
      </c>
      <c r="BZ60" s="9">
        <f xml:space="preserve"> IF(CABLES[[#This Row],[SEG14]] &gt;0,INDEX(SEGMENTS[], MATCH(CABLES[[#Headers],[SEG14]],SEGMENTS[SEG_ID],0),4),0)</f>
        <v>4</v>
      </c>
      <c r="CA60" s="9">
        <f xml:space="preserve"> IF(CABLES[[#This Row],[SEG15]] &gt;0,INDEX(SEGMENTS[], MATCH(CABLES[[#Headers],[SEG15]],SEGMENTS[SEG_ID],0),4),0)</f>
        <v>0</v>
      </c>
      <c r="CB60" s="9">
        <f xml:space="preserve"> IF(CABLES[[#This Row],[SEG16]] &gt;0,INDEX(SEGMENTS[], MATCH(CABLES[[#Headers],[SEG16]],SEGMENTS[SEG_ID],0),4),0)</f>
        <v>13</v>
      </c>
      <c r="CC60" s="9">
        <f xml:space="preserve"> IF(CABLES[[#This Row],[SEG17]] &gt;0,INDEX(SEGMENTS[], MATCH(CABLES[[#Headers],[SEG17]],SEGMENTS[SEG_ID],0),4),0)</f>
        <v>0</v>
      </c>
      <c r="CD60" s="9">
        <f xml:space="preserve"> IF(CABLES[[#This Row],[SEG18]] &gt;0,INDEX(SEGMENTS[], MATCH(CABLES[[#Headers],[SEG18]],SEGMENTS[SEG_ID],0),4),0)</f>
        <v>0</v>
      </c>
      <c r="CE60" s="9">
        <f>IF(CABLES[[#This Row],[SEG19]] &gt;0, INDEX(SEGMENTS[], MATCH(CABLES[[#Headers],[SEG19]],SEGMENTS[SEG_ID],0),4),0)</f>
        <v>0</v>
      </c>
      <c r="CF60" s="9">
        <f>IF(CABLES[[#This Row],[SEG20]] &gt;0, INDEX(SEGMENTS[], MATCH(CABLES[[#Headers],[SEG20]],SEGMENTS[SEG_ID],0),4),0)</f>
        <v>0</v>
      </c>
      <c r="CG60" s="9">
        <f xml:space="preserve"> IF(CABLES[[#This Row],[SEG21]] &gt;0,INDEX(SEGMENTS[], MATCH(CABLES[[#Headers],[SEG21]],SEGMENTS[SEG_ID],0),4),0)</f>
        <v>0</v>
      </c>
      <c r="CH60" s="9">
        <f xml:space="preserve"> IF(CABLES[[#This Row],[SEG22]] &gt;0,INDEX(SEGMENTS[], MATCH(CABLES[[#Headers],[SEG22]],SEGMENTS[SEG_ID],0),4),0)</f>
        <v>0</v>
      </c>
      <c r="CI60" s="9">
        <f>IF(CABLES[[#This Row],[SEG23]] &gt;0, INDEX(SEGMENTS[], MATCH(CABLES[[#Headers],[SEG23]],SEGMENTS[SEG_ID],0),4),0)</f>
        <v>0</v>
      </c>
      <c r="CJ60" s="9">
        <f xml:space="preserve"> IF(CABLES[[#This Row],[SEG24]] &gt;0,INDEX(SEGMENTS[], MATCH(CABLES[[#Headers],[SEG24]],SEGMENTS[SEG_ID],0),4),0)</f>
        <v>0</v>
      </c>
      <c r="CK60" s="9">
        <f>IF(CABLES[[#This Row],[SEG25]] &gt;0, INDEX(SEGMENTS[], MATCH(CABLES[[#Headers],[SEG25]],SEGMENTS[SEG_ID],0),4),0)</f>
        <v>0</v>
      </c>
      <c r="CL60" s="9">
        <f>IF(CABLES[[#This Row],[SEG26]] &gt;0, INDEX(SEGMENTS[], MATCH(CABLES[[#Headers],[SEG26]],SEGMENTS[SEG_ID],0),4),0)</f>
        <v>0</v>
      </c>
      <c r="CM60" s="9">
        <f xml:space="preserve"> IF(CABLES[[#This Row],[SEG27]] &gt;0,INDEX(SEGMENTS[], MATCH(CABLES[[#Headers],[SEG27]],SEGMENTS[SEG_ID],0),4),0)</f>
        <v>0</v>
      </c>
      <c r="CN60" s="9">
        <f xml:space="preserve"> IF(CABLES[[#This Row],[SEG28]] &gt;0,INDEX(SEGMENTS[], MATCH(CABLES[[#Headers],[SEG28]],SEGMENTS[SEG_ID],0),4),0)</f>
        <v>0</v>
      </c>
      <c r="CO60" s="9">
        <f xml:space="preserve"> IF(CABLES[[#This Row],[SEG29]] &gt;0,INDEX(SEGMENTS[], MATCH(CABLES[[#Headers],[SEG29]],SEGMENTS[SEG_ID],0),4),0)</f>
        <v>0</v>
      </c>
      <c r="CP60" s="9">
        <f xml:space="preserve"> IF(CABLES[[#This Row],[SEG30]] &gt;0,INDEX(SEGMENTS[], MATCH(CABLES[[#Headers],[SEG30]],SEGMENTS[SEG_ID],0),4),0)</f>
        <v>0</v>
      </c>
      <c r="CQ60" s="9">
        <f>IF(CABLES[[#This Row],[SEG31]] &gt;0, INDEX(SEGMENTS[], MATCH(CABLES[[#Headers],[SEG31]],SEGMENTS[SEG_ID],0),4),0)</f>
        <v>0</v>
      </c>
      <c r="CR60" s="9">
        <f xml:space="preserve"> IF(CABLES[[#This Row],[SEG32]] &gt;0,INDEX(SEGMENTS[], MATCH(CABLES[[#Headers],[SEG32]],SEGMENTS[SEG_ID],0),4),0)</f>
        <v>0</v>
      </c>
      <c r="CS60" s="9">
        <f xml:space="preserve"> IF(CABLES[[#This Row],[SEG33]] &gt;0,INDEX(SEGMENTS[], MATCH(CABLES[[#Headers],[SEG33]],SEGMENTS[SEG_ID],0),4),0)</f>
        <v>0</v>
      </c>
      <c r="CT60" s="9">
        <f>IF(CABLES[[#This Row],[SEG34]] &gt;0, INDEX(SEGMENTS[], MATCH(CABLES[[#Headers],[SEG34]],SEGMENTS[SEG_ID],0),4),0)</f>
        <v>0</v>
      </c>
      <c r="CU60" s="9">
        <f xml:space="preserve"> IF(CABLES[[#This Row],[SEG35]] &gt;0,INDEX(SEGMENTS[], MATCH(CABLES[[#Headers],[SEG35]],SEGMENTS[SEG_ID],0),4),0)</f>
        <v>0</v>
      </c>
      <c r="CV60" s="9">
        <f xml:space="preserve"> IF(CABLES[[#This Row],[SEG36]] &gt;0,INDEX(SEGMENTS[], MATCH(CABLES[[#Headers],[SEG36]],SEGMENTS[SEG_ID],0),4),0)</f>
        <v>0</v>
      </c>
      <c r="CW60" s="9">
        <f xml:space="preserve"> IF(CABLES[[#This Row],[SEG37]] &gt;0,INDEX(SEGMENTS[], MATCH(CABLES[[#Headers],[SEG37]],SEGMENTS[SEG_ID],0),4),0)</f>
        <v>0</v>
      </c>
      <c r="CX60" s="9">
        <f xml:space="preserve"> IF(CABLES[[#This Row],[SEG38]] &gt;0,INDEX(SEGMENTS[], MATCH(CABLES[[#Headers],[SEG38]],SEGMENTS[SEG_ID],0),4),0)</f>
        <v>0</v>
      </c>
      <c r="CY60" s="9">
        <f xml:space="preserve"> IF(CABLES[[#This Row],[SEG39]] &gt;0,INDEX(SEGMENTS[], MATCH(CABLES[[#Headers],[SEG39]],SEGMENTS[SEG_ID],0),4),0)</f>
        <v>0</v>
      </c>
      <c r="CZ60" s="9">
        <f xml:space="preserve"> IF(CABLES[[#This Row],[SEG40]] &gt;0,INDEX(SEGMENTS[], MATCH(CABLES[[#Headers],[SEG40]],SEGMENTS[SEG_ID],0),4),0)</f>
        <v>0</v>
      </c>
      <c r="DA60" s="9">
        <f xml:space="preserve"> IF(CABLES[[#This Row],[SEG41]] &gt;0,INDEX(SEGMENTS[], MATCH(CABLES[[#Headers],[SEG41]],SEGMENTS[SEG_ID],0),4),0)</f>
        <v>0</v>
      </c>
      <c r="DB60" s="9">
        <f xml:space="preserve"> IF(CABLES[[#This Row],[SEG42]] &gt;0,INDEX(SEGMENTS[], MATCH(CABLES[[#Headers],[SEG42]],SEGMENTS[SEG_ID],0),4),0)</f>
        <v>0</v>
      </c>
      <c r="DC60" s="9">
        <f xml:space="preserve"> IF(CABLES[[#This Row],[SEG43]] &gt;0,INDEX(SEGMENTS[], MATCH(CABLES[[#Headers],[SEG43]],SEGMENTS[SEG_ID],0),4),0)</f>
        <v>0</v>
      </c>
      <c r="DD60" s="9">
        <f xml:space="preserve"> IF(CABLES[[#This Row],[SEG44]] &gt;0,INDEX(SEGMENTS[], MATCH(CABLES[[#Headers],[SEG44]],SEGMENTS[SEG_ID],0),4),0)</f>
        <v>0</v>
      </c>
      <c r="DE60" s="9">
        <f xml:space="preserve"> IF(CABLES[[#This Row],[SEG45]] &gt;0,INDEX(SEGMENTS[], MATCH(CABLES[[#Headers],[SEG45]],SEGMENTS[SEG_ID],0),4),0)</f>
        <v>0</v>
      </c>
      <c r="DF60" s="9">
        <f xml:space="preserve"> IF(CABLES[[#This Row],[SEG46]] &gt;0,INDEX(SEGMENTS[], MATCH(CABLES[[#Headers],[SEG46]],SEGMENTS[SEG_ID],0),4),0)</f>
        <v>0</v>
      </c>
      <c r="DG60" s="9">
        <f xml:space="preserve"> IF(CABLES[[#This Row],[SEG47]] &gt;0,INDEX(SEGMENTS[], MATCH(CABLES[[#Headers],[SEG47]],SEGMENTS[SEG_ID],0),4),0)</f>
        <v>0</v>
      </c>
      <c r="DH60" s="9">
        <f xml:space="preserve"> IF(CABLES[[#This Row],[SEG48]] &gt;0,INDEX(SEGMENTS[], MATCH(CABLES[[#Headers],[SEG48]],SEGMENTS[SEG_ID],0),4),0)</f>
        <v>0</v>
      </c>
      <c r="DI60" s="9">
        <f xml:space="preserve"> IF(CABLES[[#This Row],[SEG49]] &gt;0,INDEX(SEGMENTS[], MATCH(CABLES[[#Headers],[SEG49]],SEGMENTS[SEG_ID],0),4),0)</f>
        <v>0</v>
      </c>
      <c r="DJ60" s="9">
        <f xml:space="preserve"> IF(CABLES[[#This Row],[SEG50]] &gt;0,INDEX(SEGMENTS[], MATCH(CABLES[[#Headers],[SEG50]],SEGMENTS[SEG_ID],0),4),0)</f>
        <v>0</v>
      </c>
      <c r="DK60" s="9">
        <f xml:space="preserve"> IF(CABLES[[#This Row],[SEG51]] &gt;0,INDEX(SEGMENTS[], MATCH(CABLES[[#Headers],[SEG51]],SEGMENTS[SEG_ID],0),4),0)</f>
        <v>0</v>
      </c>
      <c r="DL60" s="9">
        <f xml:space="preserve"> IF(CABLES[[#This Row],[SEG52]] &gt;0,INDEX(SEGMENTS[], MATCH(CABLES[[#Headers],[SEG52]],SEGMENTS[SEG_ID],0),4),0)</f>
        <v>0</v>
      </c>
      <c r="DM60" s="9">
        <f xml:space="preserve"> IF(CABLES[[#This Row],[SEG53]] &gt;0,INDEX(SEGMENTS[], MATCH(CABLES[[#Headers],[SEG53]],SEGMENTS[SEG_ID],0),4),0)</f>
        <v>0</v>
      </c>
      <c r="DN60" s="9">
        <f xml:space="preserve"> IF(CABLES[[#This Row],[SEG54]] &gt;0,INDEX(SEGMENTS[], MATCH(CABLES[[#Headers],[SEG54]],SEGMENTS[SEG_ID],0),4),0)</f>
        <v>0</v>
      </c>
      <c r="DO60" s="9">
        <f xml:space="preserve"> IF(CABLES[[#This Row],[SEG55]] &gt;0,INDEX(SEGMENTS[], MATCH(CABLES[[#Headers],[SEG55]],SEGMENTS[SEG_ID],0),4),0)</f>
        <v>0</v>
      </c>
      <c r="DP60" s="9">
        <f xml:space="preserve"> IF(CABLES[[#This Row],[SEG56]] &gt;0,INDEX(SEGMENTS[], MATCH(CABLES[[#Headers],[SEG56]],SEGMENTS[SEG_ID],0),4),0)</f>
        <v>0</v>
      </c>
      <c r="DQ60" s="9">
        <f xml:space="preserve"> IF(CABLES[[#This Row],[SEG57]] &gt;0,INDEX(SEGMENTS[], MATCH(CABLES[[#Headers],[SEG57]],SEGMENTS[SEG_ID],0),4),0)</f>
        <v>0</v>
      </c>
      <c r="DR60" s="9">
        <f xml:space="preserve"> IF(CABLES[[#This Row],[SEG58]] &gt;0,INDEX(SEGMENTS[], MATCH(CABLES[[#Headers],[SEG58]],SEGMENTS[SEG_ID],0),4),0)</f>
        <v>0</v>
      </c>
      <c r="DS60" s="9">
        <f xml:space="preserve"> IF(CABLES[[#This Row],[SEG59]] &gt;0,INDEX(SEGMENTS[], MATCH(CABLES[[#Headers],[SEG59]],SEGMENTS[SEG_ID],0),4),0)</f>
        <v>0</v>
      </c>
      <c r="DT60" s="9">
        <f xml:space="preserve"> IF(CABLES[[#This Row],[SEG60]] &gt;0,INDEX(SEGMENTS[], MATCH(CABLES[[#Headers],[SEG60]],SEGMENTS[SEG_ID],0),4),0)</f>
        <v>0</v>
      </c>
      <c r="DU60" s="10">
        <f>SUM(CABLES[[#This Row],[SEGL1]:[SEGL60]])</f>
        <v>51</v>
      </c>
      <c r="DV60" s="10">
        <v>5</v>
      </c>
      <c r="DW60" s="10">
        <v>1.2</v>
      </c>
      <c r="DX60" s="10">
        <f xml:space="preserve"> IF(CABLES[[#This Row],[SEGL_TOTAL]]&gt;0, (CABLES[[#This Row],[SEGL_TOTAL]] + CABLES[[#This Row],[FITOFF]]) *CABLES[[#This Row],[XCAPACITY]],0)</f>
        <v>67.2</v>
      </c>
      <c r="DY60" s="10">
        <f>IF(CABLES[[#This Row],[SEG1]]&gt;0,CABLES[[#This Row],[CABLE_DIAMETER]],0)</f>
        <v>14.5</v>
      </c>
      <c r="DZ60" s="10">
        <f>IF(CABLES[[#This Row],[SEG2]]&gt;0,CABLES[[#This Row],[CABLE_DIAMETER]],0)</f>
        <v>14.5</v>
      </c>
      <c r="EA60" s="10">
        <f>IF(CABLES[[#This Row],[SEG3]]&gt;0,CABLES[[#This Row],[CABLE_DIAMETER]],0)</f>
        <v>0</v>
      </c>
      <c r="EB60" s="10">
        <f>IF(CABLES[[#This Row],[SEG4]]&gt;0,CABLES[[#This Row],[CABLE_DIAMETER]],0)</f>
        <v>14.5</v>
      </c>
      <c r="EC60" s="10">
        <f>IF(CABLES[[#This Row],[SEG5]]&gt;0,CABLES[[#This Row],[CABLE_DIAMETER]],0)</f>
        <v>0</v>
      </c>
      <c r="ED60" s="10">
        <f>IF(CABLES[[#This Row],[SEG6]]&gt;0,CABLES[[#This Row],[CABLE_DIAMETER]],0)</f>
        <v>14.5</v>
      </c>
      <c r="EE60" s="10">
        <f>IF(CABLES[[#This Row],[SEG7]]&gt;0,CABLES[[#This Row],[CABLE_DIAMETER]],0)</f>
        <v>0</v>
      </c>
      <c r="EF60" s="10">
        <f>IF(CABLES[[#This Row],[SEG9]]&gt;0,CABLES[[#This Row],[CABLE_DIAMETER]],0)</f>
        <v>0</v>
      </c>
      <c r="EG60" s="10">
        <f>IF(CABLES[[#This Row],[SEG9]]&gt;0,CABLES[[#This Row],[CABLE_DIAMETER]],0)</f>
        <v>0</v>
      </c>
      <c r="EH60" s="10">
        <f>IF(CABLES[[#This Row],[SEG10]]&gt;0,CABLES[[#This Row],[CABLE_DIAMETER]],0)</f>
        <v>0</v>
      </c>
      <c r="EI60" s="10">
        <f>IF(CABLES[[#This Row],[SEG11]]&gt;0,CABLES[[#This Row],[CABLE_DIAMETER]],0)</f>
        <v>0</v>
      </c>
      <c r="EJ60" s="10">
        <f>IF(CABLES[[#This Row],[SEG12]]&gt;0,CABLES[[#This Row],[CABLE_DIAMETER]],0)</f>
        <v>0</v>
      </c>
      <c r="EK60" s="10">
        <f>IF(CABLES[[#This Row],[SEG13]]&gt;0,CABLES[[#This Row],[CABLE_DIAMETER]],0)</f>
        <v>0</v>
      </c>
      <c r="EL60" s="10">
        <f>IF(CABLES[[#This Row],[SEG14]]&gt;0,CABLES[[#This Row],[CABLE_DIAMETER]],0)</f>
        <v>14.5</v>
      </c>
      <c r="EM60" s="10">
        <f>IF(CABLES[[#This Row],[SEG15]]&gt;0,CABLES[[#This Row],[CABLE_DIAMETER]],0)</f>
        <v>0</v>
      </c>
      <c r="EN60" s="10">
        <f>IF(CABLES[[#This Row],[SEG16]]&gt;0,CABLES[[#This Row],[CABLE_DIAMETER]],0)</f>
        <v>14.5</v>
      </c>
      <c r="EO60" s="10">
        <f>IF(CABLES[[#This Row],[SEG17]]&gt;0,CABLES[[#This Row],[CABLE_DIAMETER]],0)</f>
        <v>0</v>
      </c>
      <c r="EP60" s="10">
        <f>IF(CABLES[[#This Row],[SEG18]]&gt;0,CABLES[[#This Row],[CABLE_DIAMETER]],0)</f>
        <v>0</v>
      </c>
      <c r="EQ60" s="10">
        <f>IF(CABLES[[#This Row],[SEG19]]&gt;0,CABLES[[#This Row],[CABLE_DIAMETER]],0)</f>
        <v>0</v>
      </c>
      <c r="ER60" s="10">
        <f>IF(CABLES[[#This Row],[SEG20]]&gt;0,CABLES[[#This Row],[CABLE_DIAMETER]],0)</f>
        <v>0</v>
      </c>
      <c r="ES60" s="10">
        <f>IF(CABLES[[#This Row],[SEG21]]&gt;0,CABLES[[#This Row],[CABLE_DIAMETER]],0)</f>
        <v>0</v>
      </c>
      <c r="ET60" s="10">
        <f>IF(CABLES[[#This Row],[SEG22]]&gt;0,CABLES[[#This Row],[CABLE_DIAMETER]],0)</f>
        <v>0</v>
      </c>
      <c r="EU60" s="10">
        <f>IF(CABLES[[#This Row],[SEG23]]&gt;0,CABLES[[#This Row],[CABLE_DIAMETER]],0)</f>
        <v>0</v>
      </c>
      <c r="EV60" s="10">
        <f>IF(CABLES[[#This Row],[SEG24]]&gt;0,CABLES[[#This Row],[CABLE_DIAMETER]],0)</f>
        <v>0</v>
      </c>
      <c r="EW60" s="10">
        <f>IF(CABLES[[#This Row],[SEG25]]&gt;0,CABLES[[#This Row],[CABLE_DIAMETER]],0)</f>
        <v>0</v>
      </c>
      <c r="EX60" s="10">
        <f>IF(CABLES[[#This Row],[SEG26]]&gt;0,CABLES[[#This Row],[CABLE_DIAMETER]],0)</f>
        <v>0</v>
      </c>
      <c r="EY60" s="10">
        <f>IF(CABLES[[#This Row],[SEG27]]&gt;0,CABLES[[#This Row],[CABLE_DIAMETER]],0)</f>
        <v>0</v>
      </c>
      <c r="EZ60" s="10">
        <f>IF(CABLES[[#This Row],[SEG28]]&gt;0,CABLES[[#This Row],[CABLE_DIAMETER]],0)</f>
        <v>0</v>
      </c>
      <c r="FA60" s="10">
        <f>IF(CABLES[[#This Row],[SEG29]]&gt;0,CABLES[[#This Row],[CABLE_DIAMETER]],0)</f>
        <v>0</v>
      </c>
      <c r="FB60" s="10">
        <f>IF(CABLES[[#This Row],[SEG30]]&gt;0,CABLES[[#This Row],[CABLE_DIAMETER]],0)</f>
        <v>0</v>
      </c>
      <c r="FC60" s="10">
        <f>IF(CABLES[[#This Row],[SEG31]]&gt;0,CABLES[[#This Row],[CABLE_DIAMETER]],0)</f>
        <v>0</v>
      </c>
      <c r="FD60" s="10">
        <f>IF(CABLES[[#This Row],[SEG32]]&gt;0,CABLES[[#This Row],[CABLE_DIAMETER]],0)</f>
        <v>0</v>
      </c>
      <c r="FE60" s="10">
        <f>IF(CABLES[[#This Row],[SEG33]]&gt;0,CABLES[[#This Row],[CABLE_DIAMETER]],0)</f>
        <v>0</v>
      </c>
      <c r="FF60" s="10">
        <f>IF(CABLES[[#This Row],[SEG34]]&gt;0,CABLES[[#This Row],[CABLE_DIAMETER]],0)</f>
        <v>0</v>
      </c>
      <c r="FG60" s="10">
        <f>IF(CABLES[[#This Row],[SEG35]]&gt;0,CABLES[[#This Row],[CABLE_DIAMETER]],0)</f>
        <v>0</v>
      </c>
      <c r="FH60" s="10">
        <f>IF(CABLES[[#This Row],[SEG36]]&gt;0,CABLES[[#This Row],[CABLE_DIAMETER]],0)</f>
        <v>0</v>
      </c>
      <c r="FI60" s="10">
        <f>IF(CABLES[[#This Row],[SEG37]]&gt;0,CABLES[[#This Row],[CABLE_DIAMETER]],0)</f>
        <v>0</v>
      </c>
      <c r="FJ60" s="10">
        <f>IF(CABLES[[#This Row],[SEG38]]&gt;0,CABLES[[#This Row],[CABLE_DIAMETER]],0)</f>
        <v>0</v>
      </c>
      <c r="FK60" s="10">
        <f>IF(CABLES[[#This Row],[SEG39]]&gt;0,CABLES[[#This Row],[CABLE_DIAMETER]],0)</f>
        <v>0</v>
      </c>
      <c r="FL60" s="10">
        <f>IF(CABLES[[#This Row],[SEG40]]&gt;0,CABLES[[#This Row],[CABLE_DIAMETER]],0)</f>
        <v>0</v>
      </c>
      <c r="FM60" s="10">
        <f>IF(CABLES[[#This Row],[SEG41]]&gt;0,CABLES[[#This Row],[CABLE_DIAMETER]],0)</f>
        <v>0</v>
      </c>
      <c r="FN60" s="10">
        <f>IF(CABLES[[#This Row],[SEG42]]&gt;0,CABLES[[#This Row],[CABLE_DIAMETER]],0)</f>
        <v>0</v>
      </c>
      <c r="FO60" s="10">
        <f>IF(CABLES[[#This Row],[SEG43]]&gt;0,CABLES[[#This Row],[CABLE_DIAMETER]],0)</f>
        <v>0</v>
      </c>
      <c r="FP60" s="10">
        <f>IF(CABLES[[#This Row],[SEG44]]&gt;0,CABLES[[#This Row],[CABLE_DIAMETER]],0)</f>
        <v>0</v>
      </c>
      <c r="FQ60" s="10">
        <f>IF(CABLES[[#This Row],[SEG45]]&gt;0,CABLES[[#This Row],[CABLE_DIAMETER]],0)</f>
        <v>0</v>
      </c>
      <c r="FR60" s="10">
        <f>IF(CABLES[[#This Row],[SEG46]]&gt;0,CABLES[[#This Row],[CABLE_DIAMETER]],0)</f>
        <v>0</v>
      </c>
      <c r="FS60" s="10">
        <f>IF(CABLES[[#This Row],[SEG47]]&gt;0,CABLES[[#This Row],[CABLE_DIAMETER]],0)</f>
        <v>0</v>
      </c>
      <c r="FT60" s="10">
        <f>IF(CABLES[[#This Row],[SEG48]]&gt;0,CABLES[[#This Row],[CABLE_DIAMETER]],0)</f>
        <v>0</v>
      </c>
      <c r="FU60" s="10">
        <f>IF(CABLES[[#This Row],[SEG49]]&gt;0,CABLES[[#This Row],[CABLE_DIAMETER]],0)</f>
        <v>0</v>
      </c>
      <c r="FV60" s="10">
        <f>IF(CABLES[[#This Row],[SEG50]]&gt;0,CABLES[[#This Row],[CABLE_DIAMETER]],0)</f>
        <v>0</v>
      </c>
      <c r="FW60" s="10">
        <f>IF(CABLES[[#This Row],[SEG51]]&gt;0,CABLES[[#This Row],[CABLE_DIAMETER]],0)</f>
        <v>0</v>
      </c>
      <c r="FX60" s="10">
        <f>IF(CABLES[[#This Row],[SEG52]]&gt;0,CABLES[[#This Row],[CABLE_DIAMETER]],0)</f>
        <v>0</v>
      </c>
      <c r="FY60" s="10">
        <f>IF(CABLES[[#This Row],[SEG53]]&gt;0,CABLES[[#This Row],[CABLE_DIAMETER]],0)</f>
        <v>0</v>
      </c>
      <c r="FZ60" s="10">
        <f>IF(CABLES[[#This Row],[SEG54]]&gt;0,CABLES[[#This Row],[CABLE_DIAMETER]],0)</f>
        <v>0</v>
      </c>
      <c r="GA60" s="10">
        <f>IF(CABLES[[#This Row],[SEG55]]&gt;0,CABLES[[#This Row],[CABLE_DIAMETER]],0)</f>
        <v>0</v>
      </c>
      <c r="GB60" s="10">
        <f>IF(CABLES[[#This Row],[SEG56]]&gt;0,CABLES[[#This Row],[CABLE_DIAMETER]],0)</f>
        <v>0</v>
      </c>
      <c r="GC60" s="10">
        <f>IF(CABLES[[#This Row],[SEG57]]&gt;0,CABLES[[#This Row],[CABLE_DIAMETER]],0)</f>
        <v>0</v>
      </c>
      <c r="GD60" s="10">
        <f>IF(CABLES[[#This Row],[SEG58]]&gt;0,CABLES[[#This Row],[CABLE_DIAMETER]],0)</f>
        <v>0</v>
      </c>
      <c r="GE60" s="10">
        <f>IF(CABLES[[#This Row],[SEG59]]&gt;0,CABLES[[#This Row],[CABLE_DIAMETER]],0)</f>
        <v>0</v>
      </c>
      <c r="GF60" s="10">
        <f>IF(CABLES[[#This Row],[SEG60]]&gt;0,CABLES[[#This Row],[CABLE_DIAMETER]],0)</f>
        <v>0</v>
      </c>
      <c r="GG60" s="10">
        <f>IF(CABLES[[#This Row],[SEG1]]&gt;0,CABLES[[#This Row],[CABLE_MASS]],0)</f>
        <v>0.33</v>
      </c>
      <c r="GH60" s="10">
        <f>IF(CABLES[[#This Row],[SEG2]]&gt;0,CABLES[[#This Row],[CABLE_MASS]],0)</f>
        <v>0.33</v>
      </c>
      <c r="GI60" s="10">
        <f>IF(CABLES[[#This Row],[SEG3]]&gt;0,CABLES[[#This Row],[CABLE_MASS]],0)</f>
        <v>0</v>
      </c>
      <c r="GJ60" s="10">
        <f>IF(CABLES[[#This Row],[SEG4]]&gt;0,CABLES[[#This Row],[CABLE_MASS]],0)</f>
        <v>0.33</v>
      </c>
      <c r="GK60" s="10">
        <f>IF(CABLES[[#This Row],[SEG5]]&gt;0,CABLES[[#This Row],[CABLE_MASS]],0)</f>
        <v>0</v>
      </c>
      <c r="GL60" s="10">
        <f>IF(CABLES[[#This Row],[SEG6]]&gt;0,CABLES[[#This Row],[CABLE_MASS]],0)</f>
        <v>0.33</v>
      </c>
      <c r="GM60" s="10">
        <f>IF(CABLES[[#This Row],[SEG7]]&gt;0,CABLES[[#This Row],[CABLE_MASS]],0)</f>
        <v>0</v>
      </c>
      <c r="GN60" s="10">
        <f>IF(CABLES[[#This Row],[SEG8]]&gt;0,CABLES[[#This Row],[CABLE_MASS]],0)</f>
        <v>0.33</v>
      </c>
      <c r="GO60" s="10">
        <f>IF(CABLES[[#This Row],[SEG9]]&gt;0,CABLES[[#This Row],[CABLE_MASS]],0)</f>
        <v>0</v>
      </c>
      <c r="GP60" s="10">
        <f>IF(CABLES[[#This Row],[SEG10]]&gt;0,CABLES[[#This Row],[CABLE_MASS]],0)</f>
        <v>0</v>
      </c>
      <c r="GQ60" s="10">
        <f>IF(CABLES[[#This Row],[SEG11]]&gt;0,CABLES[[#This Row],[CABLE_MASS]],0)</f>
        <v>0</v>
      </c>
      <c r="GR60" s="10">
        <f>IF(CABLES[[#This Row],[SEG12]]&gt;0,CABLES[[#This Row],[CABLE_MASS]],0)</f>
        <v>0</v>
      </c>
      <c r="GS60" s="10">
        <f>IF(CABLES[[#This Row],[SEG13]]&gt;0,CABLES[[#This Row],[CABLE_MASS]],0)</f>
        <v>0</v>
      </c>
      <c r="GT60" s="10">
        <f>IF(CABLES[[#This Row],[SEG14]]&gt;0,CABLES[[#This Row],[CABLE_MASS]],0)</f>
        <v>0.33</v>
      </c>
      <c r="GU60" s="10">
        <f>IF(CABLES[[#This Row],[SEG15]]&gt;0,CABLES[[#This Row],[CABLE_MASS]],0)</f>
        <v>0</v>
      </c>
      <c r="GV60" s="10">
        <f>IF(CABLES[[#This Row],[SEG16]]&gt;0,CABLES[[#This Row],[CABLE_MASS]],0)</f>
        <v>0.33</v>
      </c>
      <c r="GW60" s="10">
        <f>IF(CABLES[[#This Row],[SEG17]]&gt;0,CABLES[[#This Row],[CABLE_MASS]],0)</f>
        <v>0</v>
      </c>
      <c r="GX60" s="10">
        <f>IF(CABLES[[#This Row],[SEG18]]&gt;0,CABLES[[#This Row],[CABLE_MASS]],0)</f>
        <v>0</v>
      </c>
      <c r="GY60" s="10">
        <f>IF(CABLES[[#This Row],[SEG19]]&gt;0,CABLES[[#This Row],[CABLE_MASS]],0)</f>
        <v>0</v>
      </c>
      <c r="GZ60" s="10">
        <f>IF(CABLES[[#This Row],[SEG20]]&gt;0,CABLES[[#This Row],[CABLE_MASS]],0)</f>
        <v>0</v>
      </c>
      <c r="HA60" s="10">
        <f>IF(CABLES[[#This Row],[SEG21]]&gt;0,CABLES[[#This Row],[CABLE_MASS]],0)</f>
        <v>0</v>
      </c>
      <c r="HB60" s="10">
        <f>IF(CABLES[[#This Row],[SEG22]]&gt;0,CABLES[[#This Row],[CABLE_MASS]],0)</f>
        <v>0</v>
      </c>
      <c r="HC60" s="10">
        <f>IF(CABLES[[#This Row],[SEG23]]&gt;0,CABLES[[#This Row],[CABLE_MASS]],0)</f>
        <v>0</v>
      </c>
      <c r="HD60" s="10">
        <f>IF(CABLES[[#This Row],[SEG24]]&gt;0,CABLES[[#This Row],[CABLE_MASS]],0)</f>
        <v>0</v>
      </c>
      <c r="HE60" s="10">
        <f>IF(CABLES[[#This Row],[SEG25]]&gt;0,CABLES[[#This Row],[CABLE_MASS]],0)</f>
        <v>0</v>
      </c>
      <c r="HF60" s="10">
        <f>IF(CABLES[[#This Row],[SEG26]]&gt;0,CABLES[[#This Row],[CABLE_MASS]],0)</f>
        <v>0</v>
      </c>
      <c r="HG60" s="10">
        <f>IF(CABLES[[#This Row],[SEG27]]&gt;0,CABLES[[#This Row],[CABLE_MASS]],0)</f>
        <v>0</v>
      </c>
      <c r="HH60" s="10">
        <f>IF(CABLES[[#This Row],[SEG28]]&gt;0,CABLES[[#This Row],[CABLE_MASS]],0)</f>
        <v>0</v>
      </c>
      <c r="HI60" s="10">
        <f>IF(CABLES[[#This Row],[SEG29]]&gt;0,CABLES[[#This Row],[CABLE_MASS]],0)</f>
        <v>0</v>
      </c>
      <c r="HJ60" s="10">
        <f>IF(CABLES[[#This Row],[SEG30]]&gt;0,CABLES[[#This Row],[CABLE_MASS]],0)</f>
        <v>0</v>
      </c>
      <c r="HK60" s="10">
        <f>IF(CABLES[[#This Row],[SEG31]]&gt;0,CABLES[[#This Row],[CABLE_MASS]],0)</f>
        <v>0</v>
      </c>
      <c r="HL60" s="10">
        <f>IF(CABLES[[#This Row],[SEG32]]&gt;0,CABLES[[#This Row],[CABLE_MASS]],0)</f>
        <v>0</v>
      </c>
      <c r="HM60" s="10">
        <f>IF(CABLES[[#This Row],[SEG33]]&gt;0,CABLES[[#This Row],[CABLE_MASS]],0)</f>
        <v>0</v>
      </c>
      <c r="HN60" s="10">
        <f>IF(CABLES[[#This Row],[SEG34]]&gt;0,CABLES[[#This Row],[CABLE_MASS]],0)</f>
        <v>0</v>
      </c>
      <c r="HO60" s="10">
        <f>IF(CABLES[[#This Row],[SEG35]]&gt;0,CABLES[[#This Row],[CABLE_MASS]],0)</f>
        <v>0</v>
      </c>
      <c r="HP60" s="10">
        <f>IF(CABLES[[#This Row],[SEG36]]&gt;0,CABLES[[#This Row],[CABLE_MASS]],0)</f>
        <v>0</v>
      </c>
      <c r="HQ60" s="10">
        <f>IF(CABLES[[#This Row],[SEG37]]&gt;0,CABLES[[#This Row],[CABLE_MASS]],0)</f>
        <v>0</v>
      </c>
      <c r="HR60" s="10">
        <f>IF(CABLES[[#This Row],[SEG38]]&gt;0,CABLES[[#This Row],[CABLE_MASS]],0)</f>
        <v>0</v>
      </c>
      <c r="HS60" s="10">
        <f>IF(CABLES[[#This Row],[SEG39]]&gt;0,CABLES[[#This Row],[CABLE_MASS]],0)</f>
        <v>0</v>
      </c>
      <c r="HT60" s="10">
        <f>IF(CABLES[[#This Row],[SEG40]]&gt;0,CABLES[[#This Row],[CABLE_MASS]],0)</f>
        <v>0</v>
      </c>
      <c r="HU60" s="10">
        <f>IF(CABLES[[#This Row],[SEG41]]&gt;0,CABLES[[#This Row],[CABLE_MASS]],0)</f>
        <v>0</v>
      </c>
      <c r="HV60" s="10">
        <f>IF(CABLES[[#This Row],[SEG42]]&gt;0,CABLES[[#This Row],[CABLE_MASS]],0)</f>
        <v>0</v>
      </c>
      <c r="HW60" s="10">
        <f>IF(CABLES[[#This Row],[SEG43]]&gt;0,CABLES[[#This Row],[CABLE_MASS]],0)</f>
        <v>0</v>
      </c>
      <c r="HX60" s="10">
        <f>IF(CABLES[[#This Row],[SEG44]]&gt;0,CABLES[[#This Row],[CABLE_MASS]],0)</f>
        <v>0</v>
      </c>
      <c r="HY60" s="10">
        <f>IF(CABLES[[#This Row],[SEG45]]&gt;0,CABLES[[#This Row],[CABLE_MASS]],0)</f>
        <v>0</v>
      </c>
      <c r="HZ60" s="10">
        <f>IF(CABLES[[#This Row],[SEG46]]&gt;0,CABLES[[#This Row],[CABLE_MASS]],0)</f>
        <v>0</v>
      </c>
      <c r="IA60" s="10">
        <f>IF(CABLES[[#This Row],[SEG47]]&gt;0,CABLES[[#This Row],[CABLE_MASS]],0)</f>
        <v>0</v>
      </c>
      <c r="IB60" s="10">
        <f>IF(CABLES[[#This Row],[SEG48]]&gt;0,CABLES[[#This Row],[CABLE_MASS]],0)</f>
        <v>0</v>
      </c>
      <c r="IC60" s="10">
        <f>IF(CABLES[[#This Row],[SEG49]]&gt;0,CABLES[[#This Row],[CABLE_MASS]],0)</f>
        <v>0</v>
      </c>
      <c r="ID60" s="10">
        <f>IF(CABLES[[#This Row],[SEG50]]&gt;0,CABLES[[#This Row],[CABLE_MASS]],0)</f>
        <v>0</v>
      </c>
      <c r="IE60" s="10">
        <f>IF(CABLES[[#This Row],[SEG51]]&gt;0,CABLES[[#This Row],[CABLE_MASS]],0)</f>
        <v>0</v>
      </c>
      <c r="IF60" s="10">
        <f>IF(CABLES[[#This Row],[SEG52]]&gt;0,CABLES[[#This Row],[CABLE_MASS]],0)</f>
        <v>0</v>
      </c>
      <c r="IG60" s="10">
        <f>IF(CABLES[[#This Row],[SEG53]]&gt;0,CABLES[[#This Row],[CABLE_MASS]],0)</f>
        <v>0</v>
      </c>
      <c r="IH60" s="10">
        <f>IF(CABLES[[#This Row],[SEG54]]&gt;0,CABLES[[#This Row],[CABLE_MASS]],0)</f>
        <v>0</v>
      </c>
      <c r="II60" s="10">
        <f>IF(CABLES[[#This Row],[SEG55]]&gt;0,CABLES[[#This Row],[CABLE_MASS]],0)</f>
        <v>0</v>
      </c>
      <c r="IJ60" s="10">
        <f>IF(CABLES[[#This Row],[SEG56]]&gt;0,CABLES[[#This Row],[CABLE_MASS]],0)</f>
        <v>0</v>
      </c>
      <c r="IK60" s="10">
        <f>IF(CABLES[[#This Row],[SEG57]]&gt;0,CABLES[[#This Row],[CABLE_MASS]],0)</f>
        <v>0</v>
      </c>
      <c r="IL60" s="10">
        <f>IF(CABLES[[#This Row],[SEG58]]&gt;0,CABLES[[#This Row],[CABLE_MASS]],0)</f>
        <v>0</v>
      </c>
      <c r="IM60" s="10">
        <f>IF(CABLES[[#This Row],[SEG59]]&gt;0,CABLES[[#This Row],[CABLE_MASS]],0)</f>
        <v>0</v>
      </c>
      <c r="IN60" s="10">
        <f>IF(CABLES[[#This Row],[SEG60]]&gt;0,CABLES[[#This Row],[CABLE_MASS]],0)</f>
        <v>0</v>
      </c>
      <c r="IO60" s="10">
        <f xml:space="preserve">  (CABLES[[#This Row],[LOAD_KW]]/(SQRT(3)*SYSTEM_VOLTAGE*POWER_FACTOR))*1000</f>
        <v>8.8206291126192813</v>
      </c>
      <c r="IP60" s="10">
        <v>45</v>
      </c>
      <c r="IQ60" s="10">
        <f xml:space="preserve"> INDEX(AS3000_AMBIENTDERATE[], MATCH(CABLES[[#This Row],[AMBIENT]],AS3000_AMBIENTDERATE[AMBIENT],0), 2)</f>
        <v>0.94</v>
      </c>
      <c r="IR60" s="10">
        <f xml:space="preserve"> ROUNDUP( CABLES[[#This Row],[CALCULATED_AMPS]]/CABLES[[#This Row],[AMBIENT_DERATING]],1)</f>
        <v>9.4</v>
      </c>
      <c r="IS60" s="10" t="s">
        <v>531</v>
      </c>
      <c r="IT6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0" s="10">
        <f t="shared" si="1"/>
        <v>28.000000000000004</v>
      </c>
      <c r="IV60" s="10">
        <f>(1000*CABLES[[#This Row],[MAX_VDROP]])/(CABLES[[#This Row],[ESTIMATED_CABLE_LENGTH]]*CABLES[[#This Row],[AMP_RATING]])</f>
        <v>44.326241134751776</v>
      </c>
      <c r="IW60" s="10">
        <f xml:space="preserve"> INDEX(AS3000_VDROP[], MATCH(CABLES[[#This Row],[VC_CALC]],AS3000_VDROP[Vc],1),1)</f>
        <v>2.5</v>
      </c>
      <c r="IX60" s="10">
        <f>MAX(CABLES[[#This Row],[CABLESIZE_METHOD1]],CABLES[[#This Row],[CABLESIZE_METHOD2]])</f>
        <v>2.5</v>
      </c>
      <c r="IY60" s="10"/>
      <c r="IZ60" s="10">
        <f>IF(LEN(CABLES[[#This Row],[OVERRIDE_CABLESIZE]])&gt;0,CABLES[[#This Row],[OVERRIDE_CABLESIZE]],CABLES[[#This Row],[INITIAL_CABLESIZE]])</f>
        <v>2.5</v>
      </c>
      <c r="JA60" s="10">
        <f>INDEX(PROTECTIVE_DEVICE[DEVICE], MATCH(CABLES[[#This Row],[CALCULATED_AMPS]],PROTECTIVE_DEVICE[DEVICE],-1),1)</f>
        <v>10</v>
      </c>
      <c r="JB60" s="10"/>
      <c r="JC60" s="10">
        <f>IF(LEN(CABLES[[#This Row],[OVERRIDE_PDEVICE]])&gt;0, CABLES[[#This Row],[OVERRIDE_PDEVICE]],CABLES[[#This Row],[RECOMMEND_PDEVICE]])</f>
        <v>10</v>
      </c>
      <c r="JD60" s="10" t="s">
        <v>450</v>
      </c>
      <c r="JE60" s="10">
        <f xml:space="preserve"> CABLES[[#This Row],[SELECTED_PDEVICE]] * INDEX(DEVICE_CURVE[], MATCH(CABLES[[#This Row],[PDEVICE_CURVE]], DEVICE_CURVE[DEVICE_CURVE],0),2)</f>
        <v>65</v>
      </c>
      <c r="JF60" s="10" t="s">
        <v>458</v>
      </c>
      <c r="JG60" s="10">
        <f xml:space="preserve"> INDEX(CONDUCTOR_MATERIAL[], MATCH(CABLES[[#This Row],[CONDUCTOR_MATERIAL]],CONDUCTOR_MATERIAL[CONDUCTOR_MATERIAL],0),2)</f>
        <v>2.2499999999999999E-2</v>
      </c>
      <c r="JH60" s="10">
        <f>CABLES[[#This Row],[SELECTED_CABLESIZE]]</f>
        <v>2.5</v>
      </c>
      <c r="JI60" s="10">
        <f xml:space="preserve"> INDEX( EARTH_CONDUCTOR_SIZE[], MATCH(CABLES[[#This Row],[SPH]],EARTH_CONDUCTOR_SIZE[MM^2],-1), 2)</f>
        <v>2.5</v>
      </c>
      <c r="JJ60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0" s="10" t="str">
        <f>IF(CABLES[[#This Row],[LMAX]]&gt;CABLES[[#This Row],[ESTIMATED_CABLE_LENGTH]], "PASS", "ERROR")</f>
        <v>PASS</v>
      </c>
      <c r="JL6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6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60" s="6">
        <f xml:space="preserve"> ROUNDUP( CABLES[[#This Row],[CALCULATED_AMPS]],1)</f>
        <v>8.9</v>
      </c>
      <c r="JO60" s="6">
        <f>CABLES[[#This Row],[SELECTED_CABLESIZE]]</f>
        <v>2.5</v>
      </c>
      <c r="JP60" s="10">
        <f>CABLES[[#This Row],[ESTIMATED_CABLE_LENGTH]]</f>
        <v>67.2</v>
      </c>
      <c r="JQ60" s="6">
        <f>CABLES[[#This Row],[SELECTED_PDEVICE]]</f>
        <v>10</v>
      </c>
    </row>
    <row r="61" spans="1:277" x14ac:dyDescent="0.35">
      <c r="A61" s="5" t="s">
        <v>60</v>
      </c>
      <c r="B61" s="5" t="s">
        <v>111</v>
      </c>
      <c r="C61" s="10" t="s">
        <v>261</v>
      </c>
      <c r="D61" s="9">
        <v>5.5</v>
      </c>
      <c r="E61" s="9">
        <v>1</v>
      </c>
      <c r="F61" s="9">
        <v>1</v>
      </c>
      <c r="G61" s="9">
        <v>0</v>
      </c>
      <c r="H61" s="9">
        <v>1</v>
      </c>
      <c r="I61" s="9">
        <v>0</v>
      </c>
      <c r="J61" s="9">
        <v>1</v>
      </c>
      <c r="K61" s="9">
        <v>0</v>
      </c>
      <c r="L61" s="9">
        <v>1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</v>
      </c>
      <c r="S61" s="9">
        <v>0</v>
      </c>
      <c r="T61" s="9">
        <v>1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f xml:space="preserve"> IF(CABLES[[#This Row],[SEG1]] &gt;0, INDEX(SEGMENTS[], MATCH(CABLES[[#Headers],[SEG1]],SEGMENTS[SEG_ID],0),4),0)</f>
        <v>13</v>
      </c>
      <c r="BN61" s="9">
        <f xml:space="preserve"> IF(CABLES[[#This Row],[SEG2]] &gt;0, INDEX(SEGMENTS[], MATCH(CABLES[[#Headers],[SEG2]],SEGMENTS[SEG_ID],0),4),0)</f>
        <v>2</v>
      </c>
      <c r="BO61" s="9">
        <f xml:space="preserve"> IF(CABLES[[#This Row],[SEG3]] &gt;0, INDEX(SEGMENTS[], MATCH(CABLES[[#Headers],[SEG3]],SEGMENTS[SEG_ID],0),4),0)</f>
        <v>0</v>
      </c>
      <c r="BP61" s="9">
        <f xml:space="preserve"> IF(CABLES[[#This Row],[SEG4]] &gt;0, INDEX(SEGMENTS[], MATCH(CABLES[[#Headers],[SEG4]],SEGMENTS[SEG_ID],0),4),0)</f>
        <v>14</v>
      </c>
      <c r="BQ61" s="9">
        <f xml:space="preserve"> IF(CABLES[[#This Row],[SEG5]] &gt;0,INDEX(SEGMENTS[], MATCH(CABLES[[#Headers],[SEG5]],SEGMENTS[SEG_ID],0),4),0)</f>
        <v>0</v>
      </c>
      <c r="BR61" s="9">
        <f xml:space="preserve"> IF(CABLES[[#This Row],[SEG6]] &gt;0,INDEX(SEGMENTS[], MATCH(CABLES[[#Headers],[SEG6]],SEGMENTS[SEG_ID],0),4),0)</f>
        <v>2</v>
      </c>
      <c r="BS61" s="9">
        <f xml:space="preserve"> IF(CABLES[[#This Row],[SEG7]] &gt;0,INDEX(SEGMENTS[], MATCH(CABLES[[#Headers],[SEG7]],SEGMENTS[SEG_ID],0),4),0)</f>
        <v>0</v>
      </c>
      <c r="BT61" s="9">
        <f xml:space="preserve"> IF(CABLES[[#This Row],[SEG8]] &gt;0,INDEX(SEGMENTS[], MATCH(CABLES[[#Headers],[SEG8]],SEGMENTS[SEG_ID],0),4),0)</f>
        <v>3</v>
      </c>
      <c r="BU61" s="9">
        <f xml:space="preserve"> IF(CABLES[[#This Row],[SEG9]] &gt;0,INDEX(SEGMENTS[], MATCH(CABLES[[#Headers],[SEG9]],SEGMENTS[SEG_ID],0),4),0)</f>
        <v>0</v>
      </c>
      <c r="BV61" s="9">
        <f xml:space="preserve"> IF(CABLES[[#This Row],[SEG10]] &gt;0,INDEX(SEGMENTS[], MATCH(CABLES[[#Headers],[SEG10]],SEGMENTS[SEG_ID],0),4),0)</f>
        <v>0</v>
      </c>
      <c r="BW61" s="9">
        <f xml:space="preserve"> IF(CABLES[[#This Row],[SEG11]] &gt;0,INDEX(SEGMENTS[], MATCH(CABLES[[#Headers],[SEG11]],SEGMENTS[SEG_ID],0),4),0)</f>
        <v>0</v>
      </c>
      <c r="BX61" s="9">
        <f>IF(CABLES[[#This Row],[SEG12]] &gt;0, INDEX(SEGMENTS[], MATCH(CABLES[[#Headers],[SEG12]],SEGMENTS[SEG_ID],0),4),0)</f>
        <v>0</v>
      </c>
      <c r="BY61" s="9">
        <f xml:space="preserve"> IF(CABLES[[#This Row],[SEG13]] &gt;0,INDEX(SEGMENTS[], MATCH(CABLES[[#Headers],[SEG13]],SEGMENTS[SEG_ID],0),4),0)</f>
        <v>0</v>
      </c>
      <c r="BZ61" s="9">
        <f xml:space="preserve"> IF(CABLES[[#This Row],[SEG14]] &gt;0,INDEX(SEGMENTS[], MATCH(CABLES[[#Headers],[SEG14]],SEGMENTS[SEG_ID],0),4),0)</f>
        <v>4</v>
      </c>
      <c r="CA61" s="9">
        <f xml:space="preserve"> IF(CABLES[[#This Row],[SEG15]] &gt;0,INDEX(SEGMENTS[], MATCH(CABLES[[#Headers],[SEG15]],SEGMENTS[SEG_ID],0),4),0)</f>
        <v>0</v>
      </c>
      <c r="CB61" s="9">
        <f xml:space="preserve"> IF(CABLES[[#This Row],[SEG16]] &gt;0,INDEX(SEGMENTS[], MATCH(CABLES[[#Headers],[SEG16]],SEGMENTS[SEG_ID],0),4),0)</f>
        <v>13</v>
      </c>
      <c r="CC61" s="9">
        <f xml:space="preserve"> IF(CABLES[[#This Row],[SEG17]] &gt;0,INDEX(SEGMENTS[], MATCH(CABLES[[#Headers],[SEG17]],SEGMENTS[SEG_ID],0),4),0)</f>
        <v>0</v>
      </c>
      <c r="CD61" s="9">
        <f xml:space="preserve"> IF(CABLES[[#This Row],[SEG18]] &gt;0,INDEX(SEGMENTS[], MATCH(CABLES[[#Headers],[SEG18]],SEGMENTS[SEG_ID],0),4),0)</f>
        <v>0</v>
      </c>
      <c r="CE61" s="9">
        <f>IF(CABLES[[#This Row],[SEG19]] &gt;0, INDEX(SEGMENTS[], MATCH(CABLES[[#Headers],[SEG19]],SEGMENTS[SEG_ID],0),4),0)</f>
        <v>0</v>
      </c>
      <c r="CF61" s="9">
        <f>IF(CABLES[[#This Row],[SEG20]] &gt;0, INDEX(SEGMENTS[], MATCH(CABLES[[#Headers],[SEG20]],SEGMENTS[SEG_ID],0),4),0)</f>
        <v>0</v>
      </c>
      <c r="CG61" s="9">
        <f xml:space="preserve"> IF(CABLES[[#This Row],[SEG21]] &gt;0,INDEX(SEGMENTS[], MATCH(CABLES[[#Headers],[SEG21]],SEGMENTS[SEG_ID],0),4),0)</f>
        <v>0</v>
      </c>
      <c r="CH61" s="9">
        <f xml:space="preserve"> IF(CABLES[[#This Row],[SEG22]] &gt;0,INDEX(SEGMENTS[], MATCH(CABLES[[#Headers],[SEG22]],SEGMENTS[SEG_ID],0),4),0)</f>
        <v>0</v>
      </c>
      <c r="CI61" s="9">
        <f>IF(CABLES[[#This Row],[SEG23]] &gt;0, INDEX(SEGMENTS[], MATCH(CABLES[[#Headers],[SEG23]],SEGMENTS[SEG_ID],0),4),0)</f>
        <v>0</v>
      </c>
      <c r="CJ61" s="9">
        <f xml:space="preserve"> IF(CABLES[[#This Row],[SEG24]] &gt;0,INDEX(SEGMENTS[], MATCH(CABLES[[#Headers],[SEG24]],SEGMENTS[SEG_ID],0),4),0)</f>
        <v>0</v>
      </c>
      <c r="CK61" s="9">
        <f>IF(CABLES[[#This Row],[SEG25]] &gt;0, INDEX(SEGMENTS[], MATCH(CABLES[[#Headers],[SEG25]],SEGMENTS[SEG_ID],0),4),0)</f>
        <v>0</v>
      </c>
      <c r="CL61" s="9">
        <f>IF(CABLES[[#This Row],[SEG26]] &gt;0, INDEX(SEGMENTS[], MATCH(CABLES[[#Headers],[SEG26]],SEGMENTS[SEG_ID],0),4),0)</f>
        <v>0</v>
      </c>
      <c r="CM61" s="9">
        <f xml:space="preserve"> IF(CABLES[[#This Row],[SEG27]] &gt;0,INDEX(SEGMENTS[], MATCH(CABLES[[#Headers],[SEG27]],SEGMENTS[SEG_ID],0),4),0)</f>
        <v>0</v>
      </c>
      <c r="CN61" s="9">
        <f xml:space="preserve"> IF(CABLES[[#This Row],[SEG28]] &gt;0,INDEX(SEGMENTS[], MATCH(CABLES[[#Headers],[SEG28]],SEGMENTS[SEG_ID],0),4),0)</f>
        <v>0</v>
      </c>
      <c r="CO61" s="9">
        <f xml:space="preserve"> IF(CABLES[[#This Row],[SEG29]] &gt;0,INDEX(SEGMENTS[], MATCH(CABLES[[#Headers],[SEG29]],SEGMENTS[SEG_ID],0),4),0)</f>
        <v>0</v>
      </c>
      <c r="CP61" s="9">
        <f xml:space="preserve"> IF(CABLES[[#This Row],[SEG30]] &gt;0,INDEX(SEGMENTS[], MATCH(CABLES[[#Headers],[SEG30]],SEGMENTS[SEG_ID],0),4),0)</f>
        <v>0</v>
      </c>
      <c r="CQ61" s="9">
        <f>IF(CABLES[[#This Row],[SEG31]] &gt;0, INDEX(SEGMENTS[], MATCH(CABLES[[#Headers],[SEG31]],SEGMENTS[SEG_ID],0),4),0)</f>
        <v>0</v>
      </c>
      <c r="CR61" s="9">
        <f xml:space="preserve"> IF(CABLES[[#This Row],[SEG32]] &gt;0,INDEX(SEGMENTS[], MATCH(CABLES[[#Headers],[SEG32]],SEGMENTS[SEG_ID],0),4),0)</f>
        <v>0</v>
      </c>
      <c r="CS61" s="9">
        <f xml:space="preserve"> IF(CABLES[[#This Row],[SEG33]] &gt;0,INDEX(SEGMENTS[], MATCH(CABLES[[#Headers],[SEG33]],SEGMENTS[SEG_ID],0),4),0)</f>
        <v>0</v>
      </c>
      <c r="CT61" s="9">
        <f>IF(CABLES[[#This Row],[SEG34]] &gt;0, INDEX(SEGMENTS[], MATCH(CABLES[[#Headers],[SEG34]],SEGMENTS[SEG_ID],0),4),0)</f>
        <v>0</v>
      </c>
      <c r="CU61" s="9">
        <f xml:space="preserve"> IF(CABLES[[#This Row],[SEG35]] &gt;0,INDEX(SEGMENTS[], MATCH(CABLES[[#Headers],[SEG35]],SEGMENTS[SEG_ID],0),4),0)</f>
        <v>0</v>
      </c>
      <c r="CV61" s="9">
        <f xml:space="preserve"> IF(CABLES[[#This Row],[SEG36]] &gt;0,INDEX(SEGMENTS[], MATCH(CABLES[[#Headers],[SEG36]],SEGMENTS[SEG_ID],0),4),0)</f>
        <v>0</v>
      </c>
      <c r="CW61" s="9">
        <f xml:space="preserve"> IF(CABLES[[#This Row],[SEG37]] &gt;0,INDEX(SEGMENTS[], MATCH(CABLES[[#Headers],[SEG37]],SEGMENTS[SEG_ID],0),4),0)</f>
        <v>0</v>
      </c>
      <c r="CX61" s="9">
        <f xml:space="preserve"> IF(CABLES[[#This Row],[SEG38]] &gt;0,INDEX(SEGMENTS[], MATCH(CABLES[[#Headers],[SEG38]],SEGMENTS[SEG_ID],0),4),0)</f>
        <v>0</v>
      </c>
      <c r="CY61" s="9">
        <f xml:space="preserve"> IF(CABLES[[#This Row],[SEG39]] &gt;0,INDEX(SEGMENTS[], MATCH(CABLES[[#Headers],[SEG39]],SEGMENTS[SEG_ID],0),4),0)</f>
        <v>0</v>
      </c>
      <c r="CZ61" s="9">
        <f xml:space="preserve"> IF(CABLES[[#This Row],[SEG40]] &gt;0,INDEX(SEGMENTS[], MATCH(CABLES[[#Headers],[SEG40]],SEGMENTS[SEG_ID],0),4),0)</f>
        <v>0</v>
      </c>
      <c r="DA61" s="9">
        <f xml:space="preserve"> IF(CABLES[[#This Row],[SEG41]] &gt;0,INDEX(SEGMENTS[], MATCH(CABLES[[#Headers],[SEG41]],SEGMENTS[SEG_ID],0),4),0)</f>
        <v>0</v>
      </c>
      <c r="DB61" s="9">
        <f xml:space="preserve"> IF(CABLES[[#This Row],[SEG42]] &gt;0,INDEX(SEGMENTS[], MATCH(CABLES[[#Headers],[SEG42]],SEGMENTS[SEG_ID],0),4),0)</f>
        <v>0</v>
      </c>
      <c r="DC61" s="9">
        <f xml:space="preserve"> IF(CABLES[[#This Row],[SEG43]] &gt;0,INDEX(SEGMENTS[], MATCH(CABLES[[#Headers],[SEG43]],SEGMENTS[SEG_ID],0),4),0)</f>
        <v>0</v>
      </c>
      <c r="DD61" s="9">
        <f xml:space="preserve"> IF(CABLES[[#This Row],[SEG44]] &gt;0,INDEX(SEGMENTS[], MATCH(CABLES[[#Headers],[SEG44]],SEGMENTS[SEG_ID],0),4),0)</f>
        <v>0</v>
      </c>
      <c r="DE61" s="9">
        <f xml:space="preserve"> IF(CABLES[[#This Row],[SEG45]] &gt;0,INDEX(SEGMENTS[], MATCH(CABLES[[#Headers],[SEG45]],SEGMENTS[SEG_ID],0),4),0)</f>
        <v>0</v>
      </c>
      <c r="DF61" s="9">
        <f xml:space="preserve"> IF(CABLES[[#This Row],[SEG46]] &gt;0,INDEX(SEGMENTS[], MATCH(CABLES[[#Headers],[SEG46]],SEGMENTS[SEG_ID],0),4),0)</f>
        <v>0</v>
      </c>
      <c r="DG61" s="9">
        <f xml:space="preserve"> IF(CABLES[[#This Row],[SEG47]] &gt;0,INDEX(SEGMENTS[], MATCH(CABLES[[#Headers],[SEG47]],SEGMENTS[SEG_ID],0),4),0)</f>
        <v>0</v>
      </c>
      <c r="DH61" s="9">
        <f xml:space="preserve"> IF(CABLES[[#This Row],[SEG48]] &gt;0,INDEX(SEGMENTS[], MATCH(CABLES[[#Headers],[SEG48]],SEGMENTS[SEG_ID],0),4),0)</f>
        <v>0</v>
      </c>
      <c r="DI61" s="9">
        <f xml:space="preserve"> IF(CABLES[[#This Row],[SEG49]] &gt;0,INDEX(SEGMENTS[], MATCH(CABLES[[#Headers],[SEG49]],SEGMENTS[SEG_ID],0),4),0)</f>
        <v>0</v>
      </c>
      <c r="DJ61" s="9">
        <f xml:space="preserve"> IF(CABLES[[#This Row],[SEG50]] &gt;0,INDEX(SEGMENTS[], MATCH(CABLES[[#Headers],[SEG50]],SEGMENTS[SEG_ID],0),4),0)</f>
        <v>0</v>
      </c>
      <c r="DK61" s="9">
        <f xml:space="preserve"> IF(CABLES[[#This Row],[SEG51]] &gt;0,INDEX(SEGMENTS[], MATCH(CABLES[[#Headers],[SEG51]],SEGMENTS[SEG_ID],0),4),0)</f>
        <v>0</v>
      </c>
      <c r="DL61" s="9">
        <f xml:space="preserve"> IF(CABLES[[#This Row],[SEG52]] &gt;0,INDEX(SEGMENTS[], MATCH(CABLES[[#Headers],[SEG52]],SEGMENTS[SEG_ID],0),4),0)</f>
        <v>0</v>
      </c>
      <c r="DM61" s="9">
        <f xml:space="preserve"> IF(CABLES[[#This Row],[SEG53]] &gt;0,INDEX(SEGMENTS[], MATCH(CABLES[[#Headers],[SEG53]],SEGMENTS[SEG_ID],0),4),0)</f>
        <v>0</v>
      </c>
      <c r="DN61" s="9">
        <f xml:space="preserve"> IF(CABLES[[#This Row],[SEG54]] &gt;0,INDEX(SEGMENTS[], MATCH(CABLES[[#Headers],[SEG54]],SEGMENTS[SEG_ID],0),4),0)</f>
        <v>0</v>
      </c>
      <c r="DO61" s="9">
        <f xml:space="preserve"> IF(CABLES[[#This Row],[SEG55]] &gt;0,INDEX(SEGMENTS[], MATCH(CABLES[[#Headers],[SEG55]],SEGMENTS[SEG_ID],0),4),0)</f>
        <v>0</v>
      </c>
      <c r="DP61" s="9">
        <f xml:space="preserve"> IF(CABLES[[#This Row],[SEG56]] &gt;0,INDEX(SEGMENTS[], MATCH(CABLES[[#Headers],[SEG56]],SEGMENTS[SEG_ID],0),4),0)</f>
        <v>0</v>
      </c>
      <c r="DQ61" s="9">
        <f xml:space="preserve"> IF(CABLES[[#This Row],[SEG57]] &gt;0,INDEX(SEGMENTS[], MATCH(CABLES[[#Headers],[SEG57]],SEGMENTS[SEG_ID],0),4),0)</f>
        <v>0</v>
      </c>
      <c r="DR61" s="9">
        <f xml:space="preserve"> IF(CABLES[[#This Row],[SEG58]] &gt;0,INDEX(SEGMENTS[], MATCH(CABLES[[#Headers],[SEG58]],SEGMENTS[SEG_ID],0),4),0)</f>
        <v>0</v>
      </c>
      <c r="DS61" s="9">
        <f xml:space="preserve"> IF(CABLES[[#This Row],[SEG59]] &gt;0,INDEX(SEGMENTS[], MATCH(CABLES[[#Headers],[SEG59]],SEGMENTS[SEG_ID],0),4),0)</f>
        <v>0</v>
      </c>
      <c r="DT61" s="9">
        <f xml:space="preserve"> IF(CABLES[[#This Row],[SEG60]] &gt;0,INDEX(SEGMENTS[], MATCH(CABLES[[#Headers],[SEG60]],SEGMENTS[SEG_ID],0),4),0)</f>
        <v>0</v>
      </c>
      <c r="DU61" s="10">
        <f>SUM(CABLES[[#This Row],[SEGL1]:[SEGL60]])</f>
        <v>51</v>
      </c>
      <c r="DV61" s="10">
        <v>5</v>
      </c>
      <c r="DW61" s="10">
        <v>1.2</v>
      </c>
      <c r="DX61" s="10">
        <f xml:space="preserve"> IF(CABLES[[#This Row],[SEGL_TOTAL]]&gt;0, (CABLES[[#This Row],[SEGL_TOTAL]] + CABLES[[#This Row],[FITOFF]]) *CABLES[[#This Row],[XCAPACITY]],0)</f>
        <v>67.2</v>
      </c>
      <c r="DY61" s="10">
        <f>IF(CABLES[[#This Row],[SEG1]]&gt;0,CABLES[[#This Row],[CABLE_DIAMETER]],0)</f>
        <v>14.5</v>
      </c>
      <c r="DZ61" s="10">
        <f>IF(CABLES[[#This Row],[SEG2]]&gt;0,CABLES[[#This Row],[CABLE_DIAMETER]],0)</f>
        <v>14.5</v>
      </c>
      <c r="EA61" s="10">
        <f>IF(CABLES[[#This Row],[SEG3]]&gt;0,CABLES[[#This Row],[CABLE_DIAMETER]],0)</f>
        <v>0</v>
      </c>
      <c r="EB61" s="10">
        <f>IF(CABLES[[#This Row],[SEG4]]&gt;0,CABLES[[#This Row],[CABLE_DIAMETER]],0)</f>
        <v>14.5</v>
      </c>
      <c r="EC61" s="10">
        <f>IF(CABLES[[#This Row],[SEG5]]&gt;0,CABLES[[#This Row],[CABLE_DIAMETER]],0)</f>
        <v>0</v>
      </c>
      <c r="ED61" s="10">
        <f>IF(CABLES[[#This Row],[SEG6]]&gt;0,CABLES[[#This Row],[CABLE_DIAMETER]],0)</f>
        <v>14.5</v>
      </c>
      <c r="EE61" s="10">
        <f>IF(CABLES[[#This Row],[SEG7]]&gt;0,CABLES[[#This Row],[CABLE_DIAMETER]],0)</f>
        <v>0</v>
      </c>
      <c r="EF61" s="10">
        <f>IF(CABLES[[#This Row],[SEG9]]&gt;0,CABLES[[#This Row],[CABLE_DIAMETER]],0)</f>
        <v>0</v>
      </c>
      <c r="EG61" s="10">
        <f>IF(CABLES[[#This Row],[SEG9]]&gt;0,CABLES[[#This Row],[CABLE_DIAMETER]],0)</f>
        <v>0</v>
      </c>
      <c r="EH61" s="10">
        <f>IF(CABLES[[#This Row],[SEG10]]&gt;0,CABLES[[#This Row],[CABLE_DIAMETER]],0)</f>
        <v>0</v>
      </c>
      <c r="EI61" s="10">
        <f>IF(CABLES[[#This Row],[SEG11]]&gt;0,CABLES[[#This Row],[CABLE_DIAMETER]],0)</f>
        <v>0</v>
      </c>
      <c r="EJ61" s="10">
        <f>IF(CABLES[[#This Row],[SEG12]]&gt;0,CABLES[[#This Row],[CABLE_DIAMETER]],0)</f>
        <v>0</v>
      </c>
      <c r="EK61" s="10">
        <f>IF(CABLES[[#This Row],[SEG13]]&gt;0,CABLES[[#This Row],[CABLE_DIAMETER]],0)</f>
        <v>0</v>
      </c>
      <c r="EL61" s="10">
        <f>IF(CABLES[[#This Row],[SEG14]]&gt;0,CABLES[[#This Row],[CABLE_DIAMETER]],0)</f>
        <v>14.5</v>
      </c>
      <c r="EM61" s="10">
        <f>IF(CABLES[[#This Row],[SEG15]]&gt;0,CABLES[[#This Row],[CABLE_DIAMETER]],0)</f>
        <v>0</v>
      </c>
      <c r="EN61" s="10">
        <f>IF(CABLES[[#This Row],[SEG16]]&gt;0,CABLES[[#This Row],[CABLE_DIAMETER]],0)</f>
        <v>14.5</v>
      </c>
      <c r="EO61" s="10">
        <f>IF(CABLES[[#This Row],[SEG17]]&gt;0,CABLES[[#This Row],[CABLE_DIAMETER]],0)</f>
        <v>0</v>
      </c>
      <c r="EP61" s="10">
        <f>IF(CABLES[[#This Row],[SEG18]]&gt;0,CABLES[[#This Row],[CABLE_DIAMETER]],0)</f>
        <v>0</v>
      </c>
      <c r="EQ61" s="10">
        <f>IF(CABLES[[#This Row],[SEG19]]&gt;0,CABLES[[#This Row],[CABLE_DIAMETER]],0)</f>
        <v>0</v>
      </c>
      <c r="ER61" s="10">
        <f>IF(CABLES[[#This Row],[SEG20]]&gt;0,CABLES[[#This Row],[CABLE_DIAMETER]],0)</f>
        <v>0</v>
      </c>
      <c r="ES61" s="10">
        <f>IF(CABLES[[#This Row],[SEG21]]&gt;0,CABLES[[#This Row],[CABLE_DIAMETER]],0)</f>
        <v>0</v>
      </c>
      <c r="ET61" s="10">
        <f>IF(CABLES[[#This Row],[SEG22]]&gt;0,CABLES[[#This Row],[CABLE_DIAMETER]],0)</f>
        <v>0</v>
      </c>
      <c r="EU61" s="10">
        <f>IF(CABLES[[#This Row],[SEG23]]&gt;0,CABLES[[#This Row],[CABLE_DIAMETER]],0)</f>
        <v>0</v>
      </c>
      <c r="EV61" s="10">
        <f>IF(CABLES[[#This Row],[SEG24]]&gt;0,CABLES[[#This Row],[CABLE_DIAMETER]],0)</f>
        <v>0</v>
      </c>
      <c r="EW61" s="10">
        <f>IF(CABLES[[#This Row],[SEG25]]&gt;0,CABLES[[#This Row],[CABLE_DIAMETER]],0)</f>
        <v>0</v>
      </c>
      <c r="EX61" s="10">
        <f>IF(CABLES[[#This Row],[SEG26]]&gt;0,CABLES[[#This Row],[CABLE_DIAMETER]],0)</f>
        <v>0</v>
      </c>
      <c r="EY61" s="10">
        <f>IF(CABLES[[#This Row],[SEG27]]&gt;0,CABLES[[#This Row],[CABLE_DIAMETER]],0)</f>
        <v>0</v>
      </c>
      <c r="EZ61" s="10">
        <f>IF(CABLES[[#This Row],[SEG28]]&gt;0,CABLES[[#This Row],[CABLE_DIAMETER]],0)</f>
        <v>0</v>
      </c>
      <c r="FA61" s="10">
        <f>IF(CABLES[[#This Row],[SEG29]]&gt;0,CABLES[[#This Row],[CABLE_DIAMETER]],0)</f>
        <v>0</v>
      </c>
      <c r="FB61" s="10">
        <f>IF(CABLES[[#This Row],[SEG30]]&gt;0,CABLES[[#This Row],[CABLE_DIAMETER]],0)</f>
        <v>0</v>
      </c>
      <c r="FC61" s="10">
        <f>IF(CABLES[[#This Row],[SEG31]]&gt;0,CABLES[[#This Row],[CABLE_DIAMETER]],0)</f>
        <v>0</v>
      </c>
      <c r="FD61" s="10">
        <f>IF(CABLES[[#This Row],[SEG32]]&gt;0,CABLES[[#This Row],[CABLE_DIAMETER]],0)</f>
        <v>0</v>
      </c>
      <c r="FE61" s="10">
        <f>IF(CABLES[[#This Row],[SEG33]]&gt;0,CABLES[[#This Row],[CABLE_DIAMETER]],0)</f>
        <v>0</v>
      </c>
      <c r="FF61" s="10">
        <f>IF(CABLES[[#This Row],[SEG34]]&gt;0,CABLES[[#This Row],[CABLE_DIAMETER]],0)</f>
        <v>0</v>
      </c>
      <c r="FG61" s="10">
        <f>IF(CABLES[[#This Row],[SEG35]]&gt;0,CABLES[[#This Row],[CABLE_DIAMETER]],0)</f>
        <v>0</v>
      </c>
      <c r="FH61" s="10">
        <f>IF(CABLES[[#This Row],[SEG36]]&gt;0,CABLES[[#This Row],[CABLE_DIAMETER]],0)</f>
        <v>0</v>
      </c>
      <c r="FI61" s="10">
        <f>IF(CABLES[[#This Row],[SEG37]]&gt;0,CABLES[[#This Row],[CABLE_DIAMETER]],0)</f>
        <v>0</v>
      </c>
      <c r="FJ61" s="10">
        <f>IF(CABLES[[#This Row],[SEG38]]&gt;0,CABLES[[#This Row],[CABLE_DIAMETER]],0)</f>
        <v>0</v>
      </c>
      <c r="FK61" s="10">
        <f>IF(CABLES[[#This Row],[SEG39]]&gt;0,CABLES[[#This Row],[CABLE_DIAMETER]],0)</f>
        <v>0</v>
      </c>
      <c r="FL61" s="10">
        <f>IF(CABLES[[#This Row],[SEG40]]&gt;0,CABLES[[#This Row],[CABLE_DIAMETER]],0)</f>
        <v>0</v>
      </c>
      <c r="FM61" s="10">
        <f>IF(CABLES[[#This Row],[SEG41]]&gt;0,CABLES[[#This Row],[CABLE_DIAMETER]],0)</f>
        <v>0</v>
      </c>
      <c r="FN61" s="10">
        <f>IF(CABLES[[#This Row],[SEG42]]&gt;0,CABLES[[#This Row],[CABLE_DIAMETER]],0)</f>
        <v>0</v>
      </c>
      <c r="FO61" s="10">
        <f>IF(CABLES[[#This Row],[SEG43]]&gt;0,CABLES[[#This Row],[CABLE_DIAMETER]],0)</f>
        <v>0</v>
      </c>
      <c r="FP61" s="10">
        <f>IF(CABLES[[#This Row],[SEG44]]&gt;0,CABLES[[#This Row],[CABLE_DIAMETER]],0)</f>
        <v>0</v>
      </c>
      <c r="FQ61" s="10">
        <f>IF(CABLES[[#This Row],[SEG45]]&gt;0,CABLES[[#This Row],[CABLE_DIAMETER]],0)</f>
        <v>0</v>
      </c>
      <c r="FR61" s="10">
        <f>IF(CABLES[[#This Row],[SEG46]]&gt;0,CABLES[[#This Row],[CABLE_DIAMETER]],0)</f>
        <v>0</v>
      </c>
      <c r="FS61" s="10">
        <f>IF(CABLES[[#This Row],[SEG47]]&gt;0,CABLES[[#This Row],[CABLE_DIAMETER]],0)</f>
        <v>0</v>
      </c>
      <c r="FT61" s="10">
        <f>IF(CABLES[[#This Row],[SEG48]]&gt;0,CABLES[[#This Row],[CABLE_DIAMETER]],0)</f>
        <v>0</v>
      </c>
      <c r="FU61" s="10">
        <f>IF(CABLES[[#This Row],[SEG49]]&gt;0,CABLES[[#This Row],[CABLE_DIAMETER]],0)</f>
        <v>0</v>
      </c>
      <c r="FV61" s="10">
        <f>IF(CABLES[[#This Row],[SEG50]]&gt;0,CABLES[[#This Row],[CABLE_DIAMETER]],0)</f>
        <v>0</v>
      </c>
      <c r="FW61" s="10">
        <f>IF(CABLES[[#This Row],[SEG51]]&gt;0,CABLES[[#This Row],[CABLE_DIAMETER]],0)</f>
        <v>0</v>
      </c>
      <c r="FX61" s="10">
        <f>IF(CABLES[[#This Row],[SEG52]]&gt;0,CABLES[[#This Row],[CABLE_DIAMETER]],0)</f>
        <v>0</v>
      </c>
      <c r="FY61" s="10">
        <f>IF(CABLES[[#This Row],[SEG53]]&gt;0,CABLES[[#This Row],[CABLE_DIAMETER]],0)</f>
        <v>0</v>
      </c>
      <c r="FZ61" s="10">
        <f>IF(CABLES[[#This Row],[SEG54]]&gt;0,CABLES[[#This Row],[CABLE_DIAMETER]],0)</f>
        <v>0</v>
      </c>
      <c r="GA61" s="10">
        <f>IF(CABLES[[#This Row],[SEG55]]&gt;0,CABLES[[#This Row],[CABLE_DIAMETER]],0)</f>
        <v>0</v>
      </c>
      <c r="GB61" s="10">
        <f>IF(CABLES[[#This Row],[SEG56]]&gt;0,CABLES[[#This Row],[CABLE_DIAMETER]],0)</f>
        <v>0</v>
      </c>
      <c r="GC61" s="10">
        <f>IF(CABLES[[#This Row],[SEG57]]&gt;0,CABLES[[#This Row],[CABLE_DIAMETER]],0)</f>
        <v>0</v>
      </c>
      <c r="GD61" s="10">
        <f>IF(CABLES[[#This Row],[SEG58]]&gt;0,CABLES[[#This Row],[CABLE_DIAMETER]],0)</f>
        <v>0</v>
      </c>
      <c r="GE61" s="10">
        <f>IF(CABLES[[#This Row],[SEG59]]&gt;0,CABLES[[#This Row],[CABLE_DIAMETER]],0)</f>
        <v>0</v>
      </c>
      <c r="GF61" s="10">
        <f>IF(CABLES[[#This Row],[SEG60]]&gt;0,CABLES[[#This Row],[CABLE_DIAMETER]],0)</f>
        <v>0</v>
      </c>
      <c r="GG61" s="10">
        <f>IF(CABLES[[#This Row],[SEG1]]&gt;0,CABLES[[#This Row],[CABLE_MASS]],0)</f>
        <v>0.33</v>
      </c>
      <c r="GH61" s="10">
        <f>IF(CABLES[[#This Row],[SEG2]]&gt;0,CABLES[[#This Row],[CABLE_MASS]],0)</f>
        <v>0.33</v>
      </c>
      <c r="GI61" s="10">
        <f>IF(CABLES[[#This Row],[SEG3]]&gt;0,CABLES[[#This Row],[CABLE_MASS]],0)</f>
        <v>0</v>
      </c>
      <c r="GJ61" s="10">
        <f>IF(CABLES[[#This Row],[SEG4]]&gt;0,CABLES[[#This Row],[CABLE_MASS]],0)</f>
        <v>0.33</v>
      </c>
      <c r="GK61" s="10">
        <f>IF(CABLES[[#This Row],[SEG5]]&gt;0,CABLES[[#This Row],[CABLE_MASS]],0)</f>
        <v>0</v>
      </c>
      <c r="GL61" s="10">
        <f>IF(CABLES[[#This Row],[SEG6]]&gt;0,CABLES[[#This Row],[CABLE_MASS]],0)</f>
        <v>0.33</v>
      </c>
      <c r="GM61" s="10">
        <f>IF(CABLES[[#This Row],[SEG7]]&gt;0,CABLES[[#This Row],[CABLE_MASS]],0)</f>
        <v>0</v>
      </c>
      <c r="GN61" s="10">
        <f>IF(CABLES[[#This Row],[SEG8]]&gt;0,CABLES[[#This Row],[CABLE_MASS]],0)</f>
        <v>0.33</v>
      </c>
      <c r="GO61" s="10">
        <f>IF(CABLES[[#This Row],[SEG9]]&gt;0,CABLES[[#This Row],[CABLE_MASS]],0)</f>
        <v>0</v>
      </c>
      <c r="GP61" s="10">
        <f>IF(CABLES[[#This Row],[SEG10]]&gt;0,CABLES[[#This Row],[CABLE_MASS]],0)</f>
        <v>0</v>
      </c>
      <c r="GQ61" s="10">
        <f>IF(CABLES[[#This Row],[SEG11]]&gt;0,CABLES[[#This Row],[CABLE_MASS]],0)</f>
        <v>0</v>
      </c>
      <c r="GR61" s="10">
        <f>IF(CABLES[[#This Row],[SEG12]]&gt;0,CABLES[[#This Row],[CABLE_MASS]],0)</f>
        <v>0</v>
      </c>
      <c r="GS61" s="10">
        <f>IF(CABLES[[#This Row],[SEG13]]&gt;0,CABLES[[#This Row],[CABLE_MASS]],0)</f>
        <v>0</v>
      </c>
      <c r="GT61" s="10">
        <f>IF(CABLES[[#This Row],[SEG14]]&gt;0,CABLES[[#This Row],[CABLE_MASS]],0)</f>
        <v>0.33</v>
      </c>
      <c r="GU61" s="10">
        <f>IF(CABLES[[#This Row],[SEG15]]&gt;0,CABLES[[#This Row],[CABLE_MASS]],0)</f>
        <v>0</v>
      </c>
      <c r="GV61" s="10">
        <f>IF(CABLES[[#This Row],[SEG16]]&gt;0,CABLES[[#This Row],[CABLE_MASS]],0)</f>
        <v>0.33</v>
      </c>
      <c r="GW61" s="10">
        <f>IF(CABLES[[#This Row],[SEG17]]&gt;0,CABLES[[#This Row],[CABLE_MASS]],0)</f>
        <v>0</v>
      </c>
      <c r="GX61" s="10">
        <f>IF(CABLES[[#This Row],[SEG18]]&gt;0,CABLES[[#This Row],[CABLE_MASS]],0)</f>
        <v>0</v>
      </c>
      <c r="GY61" s="10">
        <f>IF(CABLES[[#This Row],[SEG19]]&gt;0,CABLES[[#This Row],[CABLE_MASS]],0)</f>
        <v>0</v>
      </c>
      <c r="GZ61" s="10">
        <f>IF(CABLES[[#This Row],[SEG20]]&gt;0,CABLES[[#This Row],[CABLE_MASS]],0)</f>
        <v>0</v>
      </c>
      <c r="HA61" s="10">
        <f>IF(CABLES[[#This Row],[SEG21]]&gt;0,CABLES[[#This Row],[CABLE_MASS]],0)</f>
        <v>0</v>
      </c>
      <c r="HB61" s="10">
        <f>IF(CABLES[[#This Row],[SEG22]]&gt;0,CABLES[[#This Row],[CABLE_MASS]],0)</f>
        <v>0</v>
      </c>
      <c r="HC61" s="10">
        <f>IF(CABLES[[#This Row],[SEG23]]&gt;0,CABLES[[#This Row],[CABLE_MASS]],0)</f>
        <v>0</v>
      </c>
      <c r="HD61" s="10">
        <f>IF(CABLES[[#This Row],[SEG24]]&gt;0,CABLES[[#This Row],[CABLE_MASS]],0)</f>
        <v>0</v>
      </c>
      <c r="HE61" s="10">
        <f>IF(CABLES[[#This Row],[SEG25]]&gt;0,CABLES[[#This Row],[CABLE_MASS]],0)</f>
        <v>0</v>
      </c>
      <c r="HF61" s="10">
        <f>IF(CABLES[[#This Row],[SEG26]]&gt;0,CABLES[[#This Row],[CABLE_MASS]],0)</f>
        <v>0</v>
      </c>
      <c r="HG61" s="10">
        <f>IF(CABLES[[#This Row],[SEG27]]&gt;0,CABLES[[#This Row],[CABLE_MASS]],0)</f>
        <v>0</v>
      </c>
      <c r="HH61" s="10">
        <f>IF(CABLES[[#This Row],[SEG28]]&gt;0,CABLES[[#This Row],[CABLE_MASS]],0)</f>
        <v>0</v>
      </c>
      <c r="HI61" s="10">
        <f>IF(CABLES[[#This Row],[SEG29]]&gt;0,CABLES[[#This Row],[CABLE_MASS]],0)</f>
        <v>0</v>
      </c>
      <c r="HJ61" s="10">
        <f>IF(CABLES[[#This Row],[SEG30]]&gt;0,CABLES[[#This Row],[CABLE_MASS]],0)</f>
        <v>0</v>
      </c>
      <c r="HK61" s="10">
        <f>IF(CABLES[[#This Row],[SEG31]]&gt;0,CABLES[[#This Row],[CABLE_MASS]],0)</f>
        <v>0</v>
      </c>
      <c r="HL61" s="10">
        <f>IF(CABLES[[#This Row],[SEG32]]&gt;0,CABLES[[#This Row],[CABLE_MASS]],0)</f>
        <v>0</v>
      </c>
      <c r="HM61" s="10">
        <f>IF(CABLES[[#This Row],[SEG33]]&gt;0,CABLES[[#This Row],[CABLE_MASS]],0)</f>
        <v>0</v>
      </c>
      <c r="HN61" s="10">
        <f>IF(CABLES[[#This Row],[SEG34]]&gt;0,CABLES[[#This Row],[CABLE_MASS]],0)</f>
        <v>0</v>
      </c>
      <c r="HO61" s="10">
        <f>IF(CABLES[[#This Row],[SEG35]]&gt;0,CABLES[[#This Row],[CABLE_MASS]],0)</f>
        <v>0</v>
      </c>
      <c r="HP61" s="10">
        <f>IF(CABLES[[#This Row],[SEG36]]&gt;0,CABLES[[#This Row],[CABLE_MASS]],0)</f>
        <v>0</v>
      </c>
      <c r="HQ61" s="10">
        <f>IF(CABLES[[#This Row],[SEG37]]&gt;0,CABLES[[#This Row],[CABLE_MASS]],0)</f>
        <v>0</v>
      </c>
      <c r="HR61" s="10">
        <f>IF(CABLES[[#This Row],[SEG38]]&gt;0,CABLES[[#This Row],[CABLE_MASS]],0)</f>
        <v>0</v>
      </c>
      <c r="HS61" s="10">
        <f>IF(CABLES[[#This Row],[SEG39]]&gt;0,CABLES[[#This Row],[CABLE_MASS]],0)</f>
        <v>0</v>
      </c>
      <c r="HT61" s="10">
        <f>IF(CABLES[[#This Row],[SEG40]]&gt;0,CABLES[[#This Row],[CABLE_MASS]],0)</f>
        <v>0</v>
      </c>
      <c r="HU61" s="10">
        <f>IF(CABLES[[#This Row],[SEG41]]&gt;0,CABLES[[#This Row],[CABLE_MASS]],0)</f>
        <v>0</v>
      </c>
      <c r="HV61" s="10">
        <f>IF(CABLES[[#This Row],[SEG42]]&gt;0,CABLES[[#This Row],[CABLE_MASS]],0)</f>
        <v>0</v>
      </c>
      <c r="HW61" s="10">
        <f>IF(CABLES[[#This Row],[SEG43]]&gt;0,CABLES[[#This Row],[CABLE_MASS]],0)</f>
        <v>0</v>
      </c>
      <c r="HX61" s="10">
        <f>IF(CABLES[[#This Row],[SEG44]]&gt;0,CABLES[[#This Row],[CABLE_MASS]],0)</f>
        <v>0</v>
      </c>
      <c r="HY61" s="10">
        <f>IF(CABLES[[#This Row],[SEG45]]&gt;0,CABLES[[#This Row],[CABLE_MASS]],0)</f>
        <v>0</v>
      </c>
      <c r="HZ61" s="10">
        <f>IF(CABLES[[#This Row],[SEG46]]&gt;0,CABLES[[#This Row],[CABLE_MASS]],0)</f>
        <v>0</v>
      </c>
      <c r="IA61" s="10">
        <f>IF(CABLES[[#This Row],[SEG47]]&gt;0,CABLES[[#This Row],[CABLE_MASS]],0)</f>
        <v>0</v>
      </c>
      <c r="IB61" s="10">
        <f>IF(CABLES[[#This Row],[SEG48]]&gt;0,CABLES[[#This Row],[CABLE_MASS]],0)</f>
        <v>0</v>
      </c>
      <c r="IC61" s="10">
        <f>IF(CABLES[[#This Row],[SEG49]]&gt;0,CABLES[[#This Row],[CABLE_MASS]],0)</f>
        <v>0</v>
      </c>
      <c r="ID61" s="10">
        <f>IF(CABLES[[#This Row],[SEG50]]&gt;0,CABLES[[#This Row],[CABLE_MASS]],0)</f>
        <v>0</v>
      </c>
      <c r="IE61" s="10">
        <f>IF(CABLES[[#This Row],[SEG51]]&gt;0,CABLES[[#This Row],[CABLE_MASS]],0)</f>
        <v>0</v>
      </c>
      <c r="IF61" s="10">
        <f>IF(CABLES[[#This Row],[SEG52]]&gt;0,CABLES[[#This Row],[CABLE_MASS]],0)</f>
        <v>0</v>
      </c>
      <c r="IG61" s="10">
        <f>IF(CABLES[[#This Row],[SEG53]]&gt;0,CABLES[[#This Row],[CABLE_MASS]],0)</f>
        <v>0</v>
      </c>
      <c r="IH61" s="10">
        <f>IF(CABLES[[#This Row],[SEG54]]&gt;0,CABLES[[#This Row],[CABLE_MASS]],0)</f>
        <v>0</v>
      </c>
      <c r="II61" s="10">
        <f>IF(CABLES[[#This Row],[SEG55]]&gt;0,CABLES[[#This Row],[CABLE_MASS]],0)</f>
        <v>0</v>
      </c>
      <c r="IJ61" s="10">
        <f>IF(CABLES[[#This Row],[SEG56]]&gt;0,CABLES[[#This Row],[CABLE_MASS]],0)</f>
        <v>0</v>
      </c>
      <c r="IK61" s="10">
        <f>IF(CABLES[[#This Row],[SEG57]]&gt;0,CABLES[[#This Row],[CABLE_MASS]],0)</f>
        <v>0</v>
      </c>
      <c r="IL61" s="10">
        <f>IF(CABLES[[#This Row],[SEG58]]&gt;0,CABLES[[#This Row],[CABLE_MASS]],0)</f>
        <v>0</v>
      </c>
      <c r="IM61" s="10">
        <f>IF(CABLES[[#This Row],[SEG59]]&gt;0,CABLES[[#This Row],[CABLE_MASS]],0)</f>
        <v>0</v>
      </c>
      <c r="IN61" s="10">
        <f>IF(CABLES[[#This Row],[SEG60]]&gt;0,CABLES[[#This Row],[CABLE_MASS]],0)</f>
        <v>0</v>
      </c>
      <c r="IO61" s="10">
        <f xml:space="preserve">  (CABLES[[#This Row],[LOAD_KW]]/(SQRT(3)*SYSTEM_VOLTAGE*POWER_FACTOR))*1000</f>
        <v>8.8206291126192813</v>
      </c>
      <c r="IP61" s="10">
        <v>45</v>
      </c>
      <c r="IQ61" s="10">
        <f xml:space="preserve"> INDEX(AS3000_AMBIENTDERATE[], MATCH(CABLES[[#This Row],[AMBIENT]],AS3000_AMBIENTDERATE[AMBIENT],0), 2)</f>
        <v>0.94</v>
      </c>
      <c r="IR61" s="10">
        <f xml:space="preserve"> ROUNDUP( CABLES[[#This Row],[CALCULATED_AMPS]]/CABLES[[#This Row],[AMBIENT_DERATING]],1)</f>
        <v>9.4</v>
      </c>
      <c r="IS61" s="10" t="s">
        <v>531</v>
      </c>
      <c r="IT6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1" s="10">
        <f t="shared" si="1"/>
        <v>28.000000000000004</v>
      </c>
      <c r="IV61" s="10">
        <f>(1000*CABLES[[#This Row],[MAX_VDROP]])/(CABLES[[#This Row],[ESTIMATED_CABLE_LENGTH]]*CABLES[[#This Row],[AMP_RATING]])</f>
        <v>44.326241134751776</v>
      </c>
      <c r="IW61" s="10">
        <f xml:space="preserve"> INDEX(AS3000_VDROP[], MATCH(CABLES[[#This Row],[VC_CALC]],AS3000_VDROP[Vc],1),1)</f>
        <v>2.5</v>
      </c>
      <c r="IX61" s="10">
        <f>MAX(CABLES[[#This Row],[CABLESIZE_METHOD1]],CABLES[[#This Row],[CABLESIZE_METHOD2]])</f>
        <v>2.5</v>
      </c>
      <c r="IY61" s="10"/>
      <c r="IZ61" s="10">
        <f>IF(LEN(CABLES[[#This Row],[OVERRIDE_CABLESIZE]])&gt;0,CABLES[[#This Row],[OVERRIDE_CABLESIZE]],CABLES[[#This Row],[INITIAL_CABLESIZE]])</f>
        <v>2.5</v>
      </c>
      <c r="JA61" s="10">
        <f>INDEX(PROTECTIVE_DEVICE[DEVICE], MATCH(CABLES[[#This Row],[CALCULATED_AMPS]],PROTECTIVE_DEVICE[DEVICE],-1),1)</f>
        <v>10</v>
      </c>
      <c r="JB61" s="10"/>
      <c r="JC61" s="10">
        <f>IF(LEN(CABLES[[#This Row],[OVERRIDE_PDEVICE]])&gt;0, CABLES[[#This Row],[OVERRIDE_PDEVICE]],CABLES[[#This Row],[RECOMMEND_PDEVICE]])</f>
        <v>10</v>
      </c>
      <c r="JD61" s="10" t="s">
        <v>450</v>
      </c>
      <c r="JE61" s="10">
        <f xml:space="preserve"> CABLES[[#This Row],[SELECTED_PDEVICE]] * INDEX(DEVICE_CURVE[], MATCH(CABLES[[#This Row],[PDEVICE_CURVE]], DEVICE_CURVE[DEVICE_CURVE],0),2)</f>
        <v>65</v>
      </c>
      <c r="JF61" s="10" t="s">
        <v>458</v>
      </c>
      <c r="JG61" s="10">
        <f xml:space="preserve"> INDEX(CONDUCTOR_MATERIAL[], MATCH(CABLES[[#This Row],[CONDUCTOR_MATERIAL]],CONDUCTOR_MATERIAL[CONDUCTOR_MATERIAL],0),2)</f>
        <v>2.2499999999999999E-2</v>
      </c>
      <c r="JH61" s="10">
        <f>CABLES[[#This Row],[SELECTED_CABLESIZE]]</f>
        <v>2.5</v>
      </c>
      <c r="JI61" s="10">
        <f xml:space="preserve"> INDEX( EARTH_CONDUCTOR_SIZE[], MATCH(CABLES[[#This Row],[SPH]],EARTH_CONDUCTOR_SIZE[MM^2],-1), 2)</f>
        <v>2.5</v>
      </c>
      <c r="JJ61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1" s="10" t="str">
        <f>IF(CABLES[[#This Row],[LMAX]]&gt;CABLES[[#This Row],[ESTIMATED_CABLE_LENGTH]], "PASS", "ERROR")</f>
        <v>PASS</v>
      </c>
      <c r="JL6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6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61" s="6">
        <f xml:space="preserve"> ROUNDUP( CABLES[[#This Row],[CALCULATED_AMPS]],1)</f>
        <v>8.9</v>
      </c>
      <c r="JO61" s="6">
        <f>CABLES[[#This Row],[SELECTED_CABLESIZE]]</f>
        <v>2.5</v>
      </c>
      <c r="JP61" s="10">
        <f>CABLES[[#This Row],[ESTIMATED_CABLE_LENGTH]]</f>
        <v>67.2</v>
      </c>
      <c r="JQ61" s="6">
        <f>CABLES[[#This Row],[SELECTED_PDEVICE]]</f>
        <v>10</v>
      </c>
    </row>
    <row r="62" spans="1:277" x14ac:dyDescent="0.35">
      <c r="A62" s="5" t="s">
        <v>61</v>
      </c>
      <c r="B62" s="5" t="s">
        <v>112</v>
      </c>
      <c r="C62" s="10" t="s">
        <v>262</v>
      </c>
      <c r="D62" s="9">
        <v>5.5</v>
      </c>
      <c r="E62" s="9">
        <v>1</v>
      </c>
      <c r="F62" s="9">
        <v>1</v>
      </c>
      <c r="G62" s="9">
        <v>0</v>
      </c>
      <c r="H62" s="9">
        <v>1</v>
      </c>
      <c r="I62" s="9">
        <v>0</v>
      </c>
      <c r="J62" s="9">
        <v>1</v>
      </c>
      <c r="K62" s="9">
        <v>0</v>
      </c>
      <c r="L62" s="9">
        <v>1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1</v>
      </c>
      <c r="S62" s="9">
        <v>0</v>
      </c>
      <c r="T62" s="9">
        <v>1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f xml:space="preserve"> IF(CABLES[[#This Row],[SEG1]] &gt;0, INDEX(SEGMENTS[], MATCH(CABLES[[#Headers],[SEG1]],SEGMENTS[SEG_ID],0),4),0)</f>
        <v>13</v>
      </c>
      <c r="BN62" s="9">
        <f xml:space="preserve"> IF(CABLES[[#This Row],[SEG2]] &gt;0, INDEX(SEGMENTS[], MATCH(CABLES[[#Headers],[SEG2]],SEGMENTS[SEG_ID],0),4),0)</f>
        <v>2</v>
      </c>
      <c r="BO62" s="9">
        <f xml:space="preserve"> IF(CABLES[[#This Row],[SEG3]] &gt;0, INDEX(SEGMENTS[], MATCH(CABLES[[#Headers],[SEG3]],SEGMENTS[SEG_ID],0),4),0)</f>
        <v>0</v>
      </c>
      <c r="BP62" s="9">
        <f xml:space="preserve"> IF(CABLES[[#This Row],[SEG4]] &gt;0, INDEX(SEGMENTS[], MATCH(CABLES[[#Headers],[SEG4]],SEGMENTS[SEG_ID],0),4),0)</f>
        <v>14</v>
      </c>
      <c r="BQ62" s="9">
        <f xml:space="preserve"> IF(CABLES[[#This Row],[SEG5]] &gt;0,INDEX(SEGMENTS[], MATCH(CABLES[[#Headers],[SEG5]],SEGMENTS[SEG_ID],0),4),0)</f>
        <v>0</v>
      </c>
      <c r="BR62" s="9">
        <f xml:space="preserve"> IF(CABLES[[#This Row],[SEG6]] &gt;0,INDEX(SEGMENTS[], MATCH(CABLES[[#Headers],[SEG6]],SEGMENTS[SEG_ID],0),4),0)</f>
        <v>2</v>
      </c>
      <c r="BS62" s="9">
        <f xml:space="preserve"> IF(CABLES[[#This Row],[SEG7]] &gt;0,INDEX(SEGMENTS[], MATCH(CABLES[[#Headers],[SEG7]],SEGMENTS[SEG_ID],0),4),0)</f>
        <v>0</v>
      </c>
      <c r="BT62" s="9">
        <f xml:space="preserve"> IF(CABLES[[#This Row],[SEG8]] &gt;0,INDEX(SEGMENTS[], MATCH(CABLES[[#Headers],[SEG8]],SEGMENTS[SEG_ID],0),4),0)</f>
        <v>3</v>
      </c>
      <c r="BU62" s="9">
        <f xml:space="preserve"> IF(CABLES[[#This Row],[SEG9]] &gt;0,INDEX(SEGMENTS[], MATCH(CABLES[[#Headers],[SEG9]],SEGMENTS[SEG_ID],0),4),0)</f>
        <v>0</v>
      </c>
      <c r="BV62" s="9">
        <f xml:space="preserve"> IF(CABLES[[#This Row],[SEG10]] &gt;0,INDEX(SEGMENTS[], MATCH(CABLES[[#Headers],[SEG10]],SEGMENTS[SEG_ID],0),4),0)</f>
        <v>0</v>
      </c>
      <c r="BW62" s="9">
        <f xml:space="preserve"> IF(CABLES[[#This Row],[SEG11]] &gt;0,INDEX(SEGMENTS[], MATCH(CABLES[[#Headers],[SEG11]],SEGMENTS[SEG_ID],0),4),0)</f>
        <v>0</v>
      </c>
      <c r="BX62" s="9">
        <f>IF(CABLES[[#This Row],[SEG12]] &gt;0, INDEX(SEGMENTS[], MATCH(CABLES[[#Headers],[SEG12]],SEGMENTS[SEG_ID],0),4),0)</f>
        <v>0</v>
      </c>
      <c r="BY62" s="9">
        <f xml:space="preserve"> IF(CABLES[[#This Row],[SEG13]] &gt;0,INDEX(SEGMENTS[], MATCH(CABLES[[#Headers],[SEG13]],SEGMENTS[SEG_ID],0),4),0)</f>
        <v>0</v>
      </c>
      <c r="BZ62" s="9">
        <f xml:space="preserve"> IF(CABLES[[#This Row],[SEG14]] &gt;0,INDEX(SEGMENTS[], MATCH(CABLES[[#Headers],[SEG14]],SEGMENTS[SEG_ID],0),4),0)</f>
        <v>4</v>
      </c>
      <c r="CA62" s="9">
        <f xml:space="preserve"> IF(CABLES[[#This Row],[SEG15]] &gt;0,INDEX(SEGMENTS[], MATCH(CABLES[[#Headers],[SEG15]],SEGMENTS[SEG_ID],0),4),0)</f>
        <v>0</v>
      </c>
      <c r="CB62" s="9">
        <f xml:space="preserve"> IF(CABLES[[#This Row],[SEG16]] &gt;0,INDEX(SEGMENTS[], MATCH(CABLES[[#Headers],[SEG16]],SEGMENTS[SEG_ID],0),4),0)</f>
        <v>13</v>
      </c>
      <c r="CC62" s="9">
        <f xml:space="preserve"> IF(CABLES[[#This Row],[SEG17]] &gt;0,INDEX(SEGMENTS[], MATCH(CABLES[[#Headers],[SEG17]],SEGMENTS[SEG_ID],0),4),0)</f>
        <v>0</v>
      </c>
      <c r="CD62" s="9">
        <f xml:space="preserve"> IF(CABLES[[#This Row],[SEG18]] &gt;0,INDEX(SEGMENTS[], MATCH(CABLES[[#Headers],[SEG18]],SEGMENTS[SEG_ID],0),4),0)</f>
        <v>0</v>
      </c>
      <c r="CE62" s="9">
        <f>IF(CABLES[[#This Row],[SEG19]] &gt;0, INDEX(SEGMENTS[], MATCH(CABLES[[#Headers],[SEG19]],SEGMENTS[SEG_ID],0),4),0)</f>
        <v>0</v>
      </c>
      <c r="CF62" s="9">
        <f>IF(CABLES[[#This Row],[SEG20]] &gt;0, INDEX(SEGMENTS[], MATCH(CABLES[[#Headers],[SEG20]],SEGMENTS[SEG_ID],0),4),0)</f>
        <v>0</v>
      </c>
      <c r="CG62" s="9">
        <f xml:space="preserve"> IF(CABLES[[#This Row],[SEG21]] &gt;0,INDEX(SEGMENTS[], MATCH(CABLES[[#Headers],[SEG21]],SEGMENTS[SEG_ID],0),4),0)</f>
        <v>0</v>
      </c>
      <c r="CH62" s="9">
        <f xml:space="preserve"> IF(CABLES[[#This Row],[SEG22]] &gt;0,INDEX(SEGMENTS[], MATCH(CABLES[[#Headers],[SEG22]],SEGMENTS[SEG_ID],0),4),0)</f>
        <v>0</v>
      </c>
      <c r="CI62" s="9">
        <f>IF(CABLES[[#This Row],[SEG23]] &gt;0, INDEX(SEGMENTS[], MATCH(CABLES[[#Headers],[SEG23]],SEGMENTS[SEG_ID],0),4),0)</f>
        <v>0</v>
      </c>
      <c r="CJ62" s="9">
        <f xml:space="preserve"> IF(CABLES[[#This Row],[SEG24]] &gt;0,INDEX(SEGMENTS[], MATCH(CABLES[[#Headers],[SEG24]],SEGMENTS[SEG_ID],0),4),0)</f>
        <v>0</v>
      </c>
      <c r="CK62" s="9">
        <f>IF(CABLES[[#This Row],[SEG25]] &gt;0, INDEX(SEGMENTS[], MATCH(CABLES[[#Headers],[SEG25]],SEGMENTS[SEG_ID],0),4),0)</f>
        <v>0</v>
      </c>
      <c r="CL62" s="9">
        <f>IF(CABLES[[#This Row],[SEG26]] &gt;0, INDEX(SEGMENTS[], MATCH(CABLES[[#Headers],[SEG26]],SEGMENTS[SEG_ID],0),4),0)</f>
        <v>0</v>
      </c>
      <c r="CM62" s="9">
        <f xml:space="preserve"> IF(CABLES[[#This Row],[SEG27]] &gt;0,INDEX(SEGMENTS[], MATCH(CABLES[[#Headers],[SEG27]],SEGMENTS[SEG_ID],0),4),0)</f>
        <v>0</v>
      </c>
      <c r="CN62" s="9">
        <f xml:space="preserve"> IF(CABLES[[#This Row],[SEG28]] &gt;0,INDEX(SEGMENTS[], MATCH(CABLES[[#Headers],[SEG28]],SEGMENTS[SEG_ID],0),4),0)</f>
        <v>0</v>
      </c>
      <c r="CO62" s="9">
        <f xml:space="preserve"> IF(CABLES[[#This Row],[SEG29]] &gt;0,INDEX(SEGMENTS[], MATCH(CABLES[[#Headers],[SEG29]],SEGMENTS[SEG_ID],0),4),0)</f>
        <v>0</v>
      </c>
      <c r="CP62" s="9">
        <f xml:space="preserve"> IF(CABLES[[#This Row],[SEG30]] &gt;0,INDEX(SEGMENTS[], MATCH(CABLES[[#Headers],[SEG30]],SEGMENTS[SEG_ID],0),4),0)</f>
        <v>0</v>
      </c>
      <c r="CQ62" s="9">
        <f>IF(CABLES[[#This Row],[SEG31]] &gt;0, INDEX(SEGMENTS[], MATCH(CABLES[[#Headers],[SEG31]],SEGMENTS[SEG_ID],0),4),0)</f>
        <v>0</v>
      </c>
      <c r="CR62" s="9">
        <f xml:space="preserve"> IF(CABLES[[#This Row],[SEG32]] &gt;0,INDEX(SEGMENTS[], MATCH(CABLES[[#Headers],[SEG32]],SEGMENTS[SEG_ID],0),4),0)</f>
        <v>0</v>
      </c>
      <c r="CS62" s="9">
        <f xml:space="preserve"> IF(CABLES[[#This Row],[SEG33]] &gt;0,INDEX(SEGMENTS[], MATCH(CABLES[[#Headers],[SEG33]],SEGMENTS[SEG_ID],0),4),0)</f>
        <v>0</v>
      </c>
      <c r="CT62" s="9">
        <f>IF(CABLES[[#This Row],[SEG34]] &gt;0, INDEX(SEGMENTS[], MATCH(CABLES[[#Headers],[SEG34]],SEGMENTS[SEG_ID],0),4),0)</f>
        <v>0</v>
      </c>
      <c r="CU62" s="9">
        <f xml:space="preserve"> IF(CABLES[[#This Row],[SEG35]] &gt;0,INDEX(SEGMENTS[], MATCH(CABLES[[#Headers],[SEG35]],SEGMENTS[SEG_ID],0),4),0)</f>
        <v>0</v>
      </c>
      <c r="CV62" s="9">
        <f xml:space="preserve"> IF(CABLES[[#This Row],[SEG36]] &gt;0,INDEX(SEGMENTS[], MATCH(CABLES[[#Headers],[SEG36]],SEGMENTS[SEG_ID],0),4),0)</f>
        <v>0</v>
      </c>
      <c r="CW62" s="9">
        <f xml:space="preserve"> IF(CABLES[[#This Row],[SEG37]] &gt;0,INDEX(SEGMENTS[], MATCH(CABLES[[#Headers],[SEG37]],SEGMENTS[SEG_ID],0),4),0)</f>
        <v>0</v>
      </c>
      <c r="CX62" s="9">
        <f xml:space="preserve"> IF(CABLES[[#This Row],[SEG38]] &gt;0,INDEX(SEGMENTS[], MATCH(CABLES[[#Headers],[SEG38]],SEGMENTS[SEG_ID],0),4),0)</f>
        <v>0</v>
      </c>
      <c r="CY62" s="9">
        <f xml:space="preserve"> IF(CABLES[[#This Row],[SEG39]] &gt;0,INDEX(SEGMENTS[], MATCH(CABLES[[#Headers],[SEG39]],SEGMENTS[SEG_ID],0),4),0)</f>
        <v>0</v>
      </c>
      <c r="CZ62" s="9">
        <f xml:space="preserve"> IF(CABLES[[#This Row],[SEG40]] &gt;0,INDEX(SEGMENTS[], MATCH(CABLES[[#Headers],[SEG40]],SEGMENTS[SEG_ID],0),4),0)</f>
        <v>0</v>
      </c>
      <c r="DA62" s="9">
        <f xml:space="preserve"> IF(CABLES[[#This Row],[SEG41]] &gt;0,INDEX(SEGMENTS[], MATCH(CABLES[[#Headers],[SEG41]],SEGMENTS[SEG_ID],0),4),0)</f>
        <v>0</v>
      </c>
      <c r="DB62" s="9">
        <f xml:space="preserve"> IF(CABLES[[#This Row],[SEG42]] &gt;0,INDEX(SEGMENTS[], MATCH(CABLES[[#Headers],[SEG42]],SEGMENTS[SEG_ID],0),4),0)</f>
        <v>0</v>
      </c>
      <c r="DC62" s="9">
        <f xml:space="preserve"> IF(CABLES[[#This Row],[SEG43]] &gt;0,INDEX(SEGMENTS[], MATCH(CABLES[[#Headers],[SEG43]],SEGMENTS[SEG_ID],0),4),0)</f>
        <v>0</v>
      </c>
      <c r="DD62" s="9">
        <f xml:space="preserve"> IF(CABLES[[#This Row],[SEG44]] &gt;0,INDEX(SEGMENTS[], MATCH(CABLES[[#Headers],[SEG44]],SEGMENTS[SEG_ID],0),4),0)</f>
        <v>0</v>
      </c>
      <c r="DE62" s="9">
        <f xml:space="preserve"> IF(CABLES[[#This Row],[SEG45]] &gt;0,INDEX(SEGMENTS[], MATCH(CABLES[[#Headers],[SEG45]],SEGMENTS[SEG_ID],0),4),0)</f>
        <v>0</v>
      </c>
      <c r="DF62" s="9">
        <f xml:space="preserve"> IF(CABLES[[#This Row],[SEG46]] &gt;0,INDEX(SEGMENTS[], MATCH(CABLES[[#Headers],[SEG46]],SEGMENTS[SEG_ID],0),4),0)</f>
        <v>0</v>
      </c>
      <c r="DG62" s="9">
        <f xml:space="preserve"> IF(CABLES[[#This Row],[SEG47]] &gt;0,INDEX(SEGMENTS[], MATCH(CABLES[[#Headers],[SEG47]],SEGMENTS[SEG_ID],0),4),0)</f>
        <v>0</v>
      </c>
      <c r="DH62" s="9">
        <f xml:space="preserve"> IF(CABLES[[#This Row],[SEG48]] &gt;0,INDEX(SEGMENTS[], MATCH(CABLES[[#Headers],[SEG48]],SEGMENTS[SEG_ID],0),4),0)</f>
        <v>0</v>
      </c>
      <c r="DI62" s="9">
        <f xml:space="preserve"> IF(CABLES[[#This Row],[SEG49]] &gt;0,INDEX(SEGMENTS[], MATCH(CABLES[[#Headers],[SEG49]],SEGMENTS[SEG_ID],0),4),0)</f>
        <v>0</v>
      </c>
      <c r="DJ62" s="9">
        <f xml:space="preserve"> IF(CABLES[[#This Row],[SEG50]] &gt;0,INDEX(SEGMENTS[], MATCH(CABLES[[#Headers],[SEG50]],SEGMENTS[SEG_ID],0),4),0)</f>
        <v>0</v>
      </c>
      <c r="DK62" s="9">
        <f xml:space="preserve"> IF(CABLES[[#This Row],[SEG51]] &gt;0,INDEX(SEGMENTS[], MATCH(CABLES[[#Headers],[SEG51]],SEGMENTS[SEG_ID],0),4),0)</f>
        <v>0</v>
      </c>
      <c r="DL62" s="9">
        <f xml:space="preserve"> IF(CABLES[[#This Row],[SEG52]] &gt;0,INDEX(SEGMENTS[], MATCH(CABLES[[#Headers],[SEG52]],SEGMENTS[SEG_ID],0),4),0)</f>
        <v>0</v>
      </c>
      <c r="DM62" s="9">
        <f xml:space="preserve"> IF(CABLES[[#This Row],[SEG53]] &gt;0,INDEX(SEGMENTS[], MATCH(CABLES[[#Headers],[SEG53]],SEGMENTS[SEG_ID],0),4),0)</f>
        <v>0</v>
      </c>
      <c r="DN62" s="9">
        <f xml:space="preserve"> IF(CABLES[[#This Row],[SEG54]] &gt;0,INDEX(SEGMENTS[], MATCH(CABLES[[#Headers],[SEG54]],SEGMENTS[SEG_ID],0),4),0)</f>
        <v>0</v>
      </c>
      <c r="DO62" s="9">
        <f xml:space="preserve"> IF(CABLES[[#This Row],[SEG55]] &gt;0,INDEX(SEGMENTS[], MATCH(CABLES[[#Headers],[SEG55]],SEGMENTS[SEG_ID],0),4),0)</f>
        <v>0</v>
      </c>
      <c r="DP62" s="9">
        <f xml:space="preserve"> IF(CABLES[[#This Row],[SEG56]] &gt;0,INDEX(SEGMENTS[], MATCH(CABLES[[#Headers],[SEG56]],SEGMENTS[SEG_ID],0),4),0)</f>
        <v>0</v>
      </c>
      <c r="DQ62" s="9">
        <f xml:space="preserve"> IF(CABLES[[#This Row],[SEG57]] &gt;0,INDEX(SEGMENTS[], MATCH(CABLES[[#Headers],[SEG57]],SEGMENTS[SEG_ID],0),4),0)</f>
        <v>0</v>
      </c>
      <c r="DR62" s="9">
        <f xml:space="preserve"> IF(CABLES[[#This Row],[SEG58]] &gt;0,INDEX(SEGMENTS[], MATCH(CABLES[[#Headers],[SEG58]],SEGMENTS[SEG_ID],0),4),0)</f>
        <v>0</v>
      </c>
      <c r="DS62" s="9">
        <f xml:space="preserve"> IF(CABLES[[#This Row],[SEG59]] &gt;0,INDEX(SEGMENTS[], MATCH(CABLES[[#Headers],[SEG59]],SEGMENTS[SEG_ID],0),4),0)</f>
        <v>0</v>
      </c>
      <c r="DT62" s="9">
        <f xml:space="preserve"> IF(CABLES[[#This Row],[SEG60]] &gt;0,INDEX(SEGMENTS[], MATCH(CABLES[[#Headers],[SEG60]],SEGMENTS[SEG_ID],0),4),0)</f>
        <v>0</v>
      </c>
      <c r="DU62" s="10">
        <f>SUM(CABLES[[#This Row],[SEGL1]:[SEGL60]])</f>
        <v>51</v>
      </c>
      <c r="DV62" s="10">
        <v>5</v>
      </c>
      <c r="DW62" s="10">
        <v>1.2</v>
      </c>
      <c r="DX62" s="10">
        <f xml:space="preserve"> IF(CABLES[[#This Row],[SEGL_TOTAL]]&gt;0, (CABLES[[#This Row],[SEGL_TOTAL]] + CABLES[[#This Row],[FITOFF]]) *CABLES[[#This Row],[XCAPACITY]],0)</f>
        <v>67.2</v>
      </c>
      <c r="DY62" s="10">
        <f>IF(CABLES[[#This Row],[SEG1]]&gt;0,CABLES[[#This Row],[CABLE_DIAMETER]],0)</f>
        <v>12</v>
      </c>
      <c r="DZ62" s="10">
        <f>IF(CABLES[[#This Row],[SEG2]]&gt;0,CABLES[[#This Row],[CABLE_DIAMETER]],0)</f>
        <v>12</v>
      </c>
      <c r="EA62" s="10">
        <f>IF(CABLES[[#This Row],[SEG3]]&gt;0,CABLES[[#This Row],[CABLE_DIAMETER]],0)</f>
        <v>0</v>
      </c>
      <c r="EB62" s="10">
        <f>IF(CABLES[[#This Row],[SEG4]]&gt;0,CABLES[[#This Row],[CABLE_DIAMETER]],0)</f>
        <v>12</v>
      </c>
      <c r="EC62" s="10">
        <f>IF(CABLES[[#This Row],[SEG5]]&gt;0,CABLES[[#This Row],[CABLE_DIAMETER]],0)</f>
        <v>0</v>
      </c>
      <c r="ED62" s="10">
        <f>IF(CABLES[[#This Row],[SEG6]]&gt;0,CABLES[[#This Row],[CABLE_DIAMETER]],0)</f>
        <v>12</v>
      </c>
      <c r="EE62" s="10">
        <f>IF(CABLES[[#This Row],[SEG7]]&gt;0,CABLES[[#This Row],[CABLE_DIAMETER]],0)</f>
        <v>0</v>
      </c>
      <c r="EF62" s="10">
        <f>IF(CABLES[[#This Row],[SEG9]]&gt;0,CABLES[[#This Row],[CABLE_DIAMETER]],0)</f>
        <v>0</v>
      </c>
      <c r="EG62" s="10">
        <f>IF(CABLES[[#This Row],[SEG9]]&gt;0,CABLES[[#This Row],[CABLE_DIAMETER]],0)</f>
        <v>0</v>
      </c>
      <c r="EH62" s="10">
        <f>IF(CABLES[[#This Row],[SEG10]]&gt;0,CABLES[[#This Row],[CABLE_DIAMETER]],0)</f>
        <v>0</v>
      </c>
      <c r="EI62" s="10">
        <f>IF(CABLES[[#This Row],[SEG11]]&gt;0,CABLES[[#This Row],[CABLE_DIAMETER]],0)</f>
        <v>0</v>
      </c>
      <c r="EJ62" s="10">
        <f>IF(CABLES[[#This Row],[SEG12]]&gt;0,CABLES[[#This Row],[CABLE_DIAMETER]],0)</f>
        <v>0</v>
      </c>
      <c r="EK62" s="10">
        <f>IF(CABLES[[#This Row],[SEG13]]&gt;0,CABLES[[#This Row],[CABLE_DIAMETER]],0)</f>
        <v>0</v>
      </c>
      <c r="EL62" s="10">
        <f>IF(CABLES[[#This Row],[SEG14]]&gt;0,CABLES[[#This Row],[CABLE_DIAMETER]],0)</f>
        <v>12</v>
      </c>
      <c r="EM62" s="10">
        <f>IF(CABLES[[#This Row],[SEG15]]&gt;0,CABLES[[#This Row],[CABLE_DIAMETER]],0)</f>
        <v>0</v>
      </c>
      <c r="EN62" s="10">
        <f>IF(CABLES[[#This Row],[SEG16]]&gt;0,CABLES[[#This Row],[CABLE_DIAMETER]],0)</f>
        <v>12</v>
      </c>
      <c r="EO62" s="10">
        <f>IF(CABLES[[#This Row],[SEG17]]&gt;0,CABLES[[#This Row],[CABLE_DIAMETER]],0)</f>
        <v>0</v>
      </c>
      <c r="EP62" s="10">
        <f>IF(CABLES[[#This Row],[SEG18]]&gt;0,CABLES[[#This Row],[CABLE_DIAMETER]],0)</f>
        <v>0</v>
      </c>
      <c r="EQ62" s="10">
        <f>IF(CABLES[[#This Row],[SEG19]]&gt;0,CABLES[[#This Row],[CABLE_DIAMETER]],0)</f>
        <v>0</v>
      </c>
      <c r="ER62" s="10">
        <f>IF(CABLES[[#This Row],[SEG20]]&gt;0,CABLES[[#This Row],[CABLE_DIAMETER]],0)</f>
        <v>0</v>
      </c>
      <c r="ES62" s="10">
        <f>IF(CABLES[[#This Row],[SEG21]]&gt;0,CABLES[[#This Row],[CABLE_DIAMETER]],0)</f>
        <v>0</v>
      </c>
      <c r="ET62" s="10">
        <f>IF(CABLES[[#This Row],[SEG22]]&gt;0,CABLES[[#This Row],[CABLE_DIAMETER]],0)</f>
        <v>0</v>
      </c>
      <c r="EU62" s="10">
        <f>IF(CABLES[[#This Row],[SEG23]]&gt;0,CABLES[[#This Row],[CABLE_DIAMETER]],0)</f>
        <v>0</v>
      </c>
      <c r="EV62" s="10">
        <f>IF(CABLES[[#This Row],[SEG24]]&gt;0,CABLES[[#This Row],[CABLE_DIAMETER]],0)</f>
        <v>0</v>
      </c>
      <c r="EW62" s="10">
        <f>IF(CABLES[[#This Row],[SEG25]]&gt;0,CABLES[[#This Row],[CABLE_DIAMETER]],0)</f>
        <v>0</v>
      </c>
      <c r="EX62" s="10">
        <f>IF(CABLES[[#This Row],[SEG26]]&gt;0,CABLES[[#This Row],[CABLE_DIAMETER]],0)</f>
        <v>0</v>
      </c>
      <c r="EY62" s="10">
        <f>IF(CABLES[[#This Row],[SEG27]]&gt;0,CABLES[[#This Row],[CABLE_DIAMETER]],0)</f>
        <v>0</v>
      </c>
      <c r="EZ62" s="10">
        <f>IF(CABLES[[#This Row],[SEG28]]&gt;0,CABLES[[#This Row],[CABLE_DIAMETER]],0)</f>
        <v>0</v>
      </c>
      <c r="FA62" s="10">
        <f>IF(CABLES[[#This Row],[SEG29]]&gt;0,CABLES[[#This Row],[CABLE_DIAMETER]],0)</f>
        <v>0</v>
      </c>
      <c r="FB62" s="10">
        <f>IF(CABLES[[#This Row],[SEG30]]&gt;0,CABLES[[#This Row],[CABLE_DIAMETER]],0)</f>
        <v>0</v>
      </c>
      <c r="FC62" s="10">
        <f>IF(CABLES[[#This Row],[SEG31]]&gt;0,CABLES[[#This Row],[CABLE_DIAMETER]],0)</f>
        <v>0</v>
      </c>
      <c r="FD62" s="10">
        <f>IF(CABLES[[#This Row],[SEG32]]&gt;0,CABLES[[#This Row],[CABLE_DIAMETER]],0)</f>
        <v>0</v>
      </c>
      <c r="FE62" s="10">
        <f>IF(CABLES[[#This Row],[SEG33]]&gt;0,CABLES[[#This Row],[CABLE_DIAMETER]],0)</f>
        <v>0</v>
      </c>
      <c r="FF62" s="10">
        <f>IF(CABLES[[#This Row],[SEG34]]&gt;0,CABLES[[#This Row],[CABLE_DIAMETER]],0)</f>
        <v>0</v>
      </c>
      <c r="FG62" s="10">
        <f>IF(CABLES[[#This Row],[SEG35]]&gt;0,CABLES[[#This Row],[CABLE_DIAMETER]],0)</f>
        <v>0</v>
      </c>
      <c r="FH62" s="10">
        <f>IF(CABLES[[#This Row],[SEG36]]&gt;0,CABLES[[#This Row],[CABLE_DIAMETER]],0)</f>
        <v>0</v>
      </c>
      <c r="FI62" s="10">
        <f>IF(CABLES[[#This Row],[SEG37]]&gt;0,CABLES[[#This Row],[CABLE_DIAMETER]],0)</f>
        <v>0</v>
      </c>
      <c r="FJ62" s="10">
        <f>IF(CABLES[[#This Row],[SEG38]]&gt;0,CABLES[[#This Row],[CABLE_DIAMETER]],0)</f>
        <v>0</v>
      </c>
      <c r="FK62" s="10">
        <f>IF(CABLES[[#This Row],[SEG39]]&gt;0,CABLES[[#This Row],[CABLE_DIAMETER]],0)</f>
        <v>0</v>
      </c>
      <c r="FL62" s="10">
        <f>IF(CABLES[[#This Row],[SEG40]]&gt;0,CABLES[[#This Row],[CABLE_DIAMETER]],0)</f>
        <v>0</v>
      </c>
      <c r="FM62" s="10">
        <f>IF(CABLES[[#This Row],[SEG41]]&gt;0,CABLES[[#This Row],[CABLE_DIAMETER]],0)</f>
        <v>0</v>
      </c>
      <c r="FN62" s="10">
        <f>IF(CABLES[[#This Row],[SEG42]]&gt;0,CABLES[[#This Row],[CABLE_DIAMETER]],0)</f>
        <v>0</v>
      </c>
      <c r="FO62" s="10">
        <f>IF(CABLES[[#This Row],[SEG43]]&gt;0,CABLES[[#This Row],[CABLE_DIAMETER]],0)</f>
        <v>0</v>
      </c>
      <c r="FP62" s="10">
        <f>IF(CABLES[[#This Row],[SEG44]]&gt;0,CABLES[[#This Row],[CABLE_DIAMETER]],0)</f>
        <v>0</v>
      </c>
      <c r="FQ62" s="10">
        <f>IF(CABLES[[#This Row],[SEG45]]&gt;0,CABLES[[#This Row],[CABLE_DIAMETER]],0)</f>
        <v>0</v>
      </c>
      <c r="FR62" s="10">
        <f>IF(CABLES[[#This Row],[SEG46]]&gt;0,CABLES[[#This Row],[CABLE_DIAMETER]],0)</f>
        <v>0</v>
      </c>
      <c r="FS62" s="10">
        <f>IF(CABLES[[#This Row],[SEG47]]&gt;0,CABLES[[#This Row],[CABLE_DIAMETER]],0)</f>
        <v>0</v>
      </c>
      <c r="FT62" s="10">
        <f>IF(CABLES[[#This Row],[SEG48]]&gt;0,CABLES[[#This Row],[CABLE_DIAMETER]],0)</f>
        <v>0</v>
      </c>
      <c r="FU62" s="10">
        <f>IF(CABLES[[#This Row],[SEG49]]&gt;0,CABLES[[#This Row],[CABLE_DIAMETER]],0)</f>
        <v>0</v>
      </c>
      <c r="FV62" s="10">
        <f>IF(CABLES[[#This Row],[SEG50]]&gt;0,CABLES[[#This Row],[CABLE_DIAMETER]],0)</f>
        <v>0</v>
      </c>
      <c r="FW62" s="10">
        <f>IF(CABLES[[#This Row],[SEG51]]&gt;0,CABLES[[#This Row],[CABLE_DIAMETER]],0)</f>
        <v>0</v>
      </c>
      <c r="FX62" s="10">
        <f>IF(CABLES[[#This Row],[SEG52]]&gt;0,CABLES[[#This Row],[CABLE_DIAMETER]],0)</f>
        <v>0</v>
      </c>
      <c r="FY62" s="10">
        <f>IF(CABLES[[#This Row],[SEG53]]&gt;0,CABLES[[#This Row],[CABLE_DIAMETER]],0)</f>
        <v>0</v>
      </c>
      <c r="FZ62" s="10">
        <f>IF(CABLES[[#This Row],[SEG54]]&gt;0,CABLES[[#This Row],[CABLE_DIAMETER]],0)</f>
        <v>0</v>
      </c>
      <c r="GA62" s="10">
        <f>IF(CABLES[[#This Row],[SEG55]]&gt;0,CABLES[[#This Row],[CABLE_DIAMETER]],0)</f>
        <v>0</v>
      </c>
      <c r="GB62" s="10">
        <f>IF(CABLES[[#This Row],[SEG56]]&gt;0,CABLES[[#This Row],[CABLE_DIAMETER]],0)</f>
        <v>0</v>
      </c>
      <c r="GC62" s="10">
        <f>IF(CABLES[[#This Row],[SEG57]]&gt;0,CABLES[[#This Row],[CABLE_DIAMETER]],0)</f>
        <v>0</v>
      </c>
      <c r="GD62" s="10">
        <f>IF(CABLES[[#This Row],[SEG58]]&gt;0,CABLES[[#This Row],[CABLE_DIAMETER]],0)</f>
        <v>0</v>
      </c>
      <c r="GE62" s="10">
        <f>IF(CABLES[[#This Row],[SEG59]]&gt;0,CABLES[[#This Row],[CABLE_DIAMETER]],0)</f>
        <v>0</v>
      </c>
      <c r="GF62" s="10">
        <f>IF(CABLES[[#This Row],[SEG60]]&gt;0,CABLES[[#This Row],[CABLE_DIAMETER]],0)</f>
        <v>0</v>
      </c>
      <c r="GG62" s="10">
        <f>IF(CABLES[[#This Row],[SEG1]]&gt;0,CABLES[[#This Row],[CABLE_MASS]],0)</f>
        <v>0.21</v>
      </c>
      <c r="GH62" s="10">
        <f>IF(CABLES[[#This Row],[SEG2]]&gt;0,CABLES[[#This Row],[CABLE_MASS]],0)</f>
        <v>0.21</v>
      </c>
      <c r="GI62" s="10">
        <f>IF(CABLES[[#This Row],[SEG3]]&gt;0,CABLES[[#This Row],[CABLE_MASS]],0)</f>
        <v>0</v>
      </c>
      <c r="GJ62" s="10">
        <f>IF(CABLES[[#This Row],[SEG4]]&gt;0,CABLES[[#This Row],[CABLE_MASS]],0)</f>
        <v>0.21</v>
      </c>
      <c r="GK62" s="10">
        <f>IF(CABLES[[#This Row],[SEG5]]&gt;0,CABLES[[#This Row],[CABLE_MASS]],0)</f>
        <v>0</v>
      </c>
      <c r="GL62" s="10">
        <f>IF(CABLES[[#This Row],[SEG6]]&gt;0,CABLES[[#This Row],[CABLE_MASS]],0)</f>
        <v>0.21</v>
      </c>
      <c r="GM62" s="10">
        <f>IF(CABLES[[#This Row],[SEG7]]&gt;0,CABLES[[#This Row],[CABLE_MASS]],0)</f>
        <v>0</v>
      </c>
      <c r="GN62" s="10">
        <f>IF(CABLES[[#This Row],[SEG8]]&gt;0,CABLES[[#This Row],[CABLE_MASS]],0)</f>
        <v>0.21</v>
      </c>
      <c r="GO62" s="10">
        <f>IF(CABLES[[#This Row],[SEG9]]&gt;0,CABLES[[#This Row],[CABLE_MASS]],0)</f>
        <v>0</v>
      </c>
      <c r="GP62" s="10">
        <f>IF(CABLES[[#This Row],[SEG10]]&gt;0,CABLES[[#This Row],[CABLE_MASS]],0)</f>
        <v>0</v>
      </c>
      <c r="GQ62" s="10">
        <f>IF(CABLES[[#This Row],[SEG11]]&gt;0,CABLES[[#This Row],[CABLE_MASS]],0)</f>
        <v>0</v>
      </c>
      <c r="GR62" s="10">
        <f>IF(CABLES[[#This Row],[SEG12]]&gt;0,CABLES[[#This Row],[CABLE_MASS]],0)</f>
        <v>0</v>
      </c>
      <c r="GS62" s="10">
        <f>IF(CABLES[[#This Row],[SEG13]]&gt;0,CABLES[[#This Row],[CABLE_MASS]],0)</f>
        <v>0</v>
      </c>
      <c r="GT62" s="10">
        <f>IF(CABLES[[#This Row],[SEG14]]&gt;0,CABLES[[#This Row],[CABLE_MASS]],0)</f>
        <v>0.21</v>
      </c>
      <c r="GU62" s="10">
        <f>IF(CABLES[[#This Row],[SEG15]]&gt;0,CABLES[[#This Row],[CABLE_MASS]],0)</f>
        <v>0</v>
      </c>
      <c r="GV62" s="10">
        <f>IF(CABLES[[#This Row],[SEG16]]&gt;0,CABLES[[#This Row],[CABLE_MASS]],0)</f>
        <v>0.21</v>
      </c>
      <c r="GW62" s="10">
        <f>IF(CABLES[[#This Row],[SEG17]]&gt;0,CABLES[[#This Row],[CABLE_MASS]],0)</f>
        <v>0</v>
      </c>
      <c r="GX62" s="10">
        <f>IF(CABLES[[#This Row],[SEG18]]&gt;0,CABLES[[#This Row],[CABLE_MASS]],0)</f>
        <v>0</v>
      </c>
      <c r="GY62" s="10">
        <f>IF(CABLES[[#This Row],[SEG19]]&gt;0,CABLES[[#This Row],[CABLE_MASS]],0)</f>
        <v>0</v>
      </c>
      <c r="GZ62" s="10">
        <f>IF(CABLES[[#This Row],[SEG20]]&gt;0,CABLES[[#This Row],[CABLE_MASS]],0)</f>
        <v>0</v>
      </c>
      <c r="HA62" s="10">
        <f>IF(CABLES[[#This Row],[SEG21]]&gt;0,CABLES[[#This Row],[CABLE_MASS]],0)</f>
        <v>0</v>
      </c>
      <c r="HB62" s="10">
        <f>IF(CABLES[[#This Row],[SEG22]]&gt;0,CABLES[[#This Row],[CABLE_MASS]],0)</f>
        <v>0</v>
      </c>
      <c r="HC62" s="10">
        <f>IF(CABLES[[#This Row],[SEG23]]&gt;0,CABLES[[#This Row],[CABLE_MASS]],0)</f>
        <v>0</v>
      </c>
      <c r="HD62" s="10">
        <f>IF(CABLES[[#This Row],[SEG24]]&gt;0,CABLES[[#This Row],[CABLE_MASS]],0)</f>
        <v>0</v>
      </c>
      <c r="HE62" s="10">
        <f>IF(CABLES[[#This Row],[SEG25]]&gt;0,CABLES[[#This Row],[CABLE_MASS]],0)</f>
        <v>0</v>
      </c>
      <c r="HF62" s="10">
        <f>IF(CABLES[[#This Row],[SEG26]]&gt;0,CABLES[[#This Row],[CABLE_MASS]],0)</f>
        <v>0</v>
      </c>
      <c r="HG62" s="10">
        <f>IF(CABLES[[#This Row],[SEG27]]&gt;0,CABLES[[#This Row],[CABLE_MASS]],0)</f>
        <v>0</v>
      </c>
      <c r="HH62" s="10">
        <f>IF(CABLES[[#This Row],[SEG28]]&gt;0,CABLES[[#This Row],[CABLE_MASS]],0)</f>
        <v>0</v>
      </c>
      <c r="HI62" s="10">
        <f>IF(CABLES[[#This Row],[SEG29]]&gt;0,CABLES[[#This Row],[CABLE_MASS]],0)</f>
        <v>0</v>
      </c>
      <c r="HJ62" s="10">
        <f>IF(CABLES[[#This Row],[SEG30]]&gt;0,CABLES[[#This Row],[CABLE_MASS]],0)</f>
        <v>0</v>
      </c>
      <c r="HK62" s="10">
        <f>IF(CABLES[[#This Row],[SEG31]]&gt;0,CABLES[[#This Row],[CABLE_MASS]],0)</f>
        <v>0</v>
      </c>
      <c r="HL62" s="10">
        <f>IF(CABLES[[#This Row],[SEG32]]&gt;0,CABLES[[#This Row],[CABLE_MASS]],0)</f>
        <v>0</v>
      </c>
      <c r="HM62" s="10">
        <f>IF(CABLES[[#This Row],[SEG33]]&gt;0,CABLES[[#This Row],[CABLE_MASS]],0)</f>
        <v>0</v>
      </c>
      <c r="HN62" s="10">
        <f>IF(CABLES[[#This Row],[SEG34]]&gt;0,CABLES[[#This Row],[CABLE_MASS]],0)</f>
        <v>0</v>
      </c>
      <c r="HO62" s="10">
        <f>IF(CABLES[[#This Row],[SEG35]]&gt;0,CABLES[[#This Row],[CABLE_MASS]],0)</f>
        <v>0</v>
      </c>
      <c r="HP62" s="10">
        <f>IF(CABLES[[#This Row],[SEG36]]&gt;0,CABLES[[#This Row],[CABLE_MASS]],0)</f>
        <v>0</v>
      </c>
      <c r="HQ62" s="10">
        <f>IF(CABLES[[#This Row],[SEG37]]&gt;0,CABLES[[#This Row],[CABLE_MASS]],0)</f>
        <v>0</v>
      </c>
      <c r="HR62" s="10">
        <f>IF(CABLES[[#This Row],[SEG38]]&gt;0,CABLES[[#This Row],[CABLE_MASS]],0)</f>
        <v>0</v>
      </c>
      <c r="HS62" s="10">
        <f>IF(CABLES[[#This Row],[SEG39]]&gt;0,CABLES[[#This Row],[CABLE_MASS]],0)</f>
        <v>0</v>
      </c>
      <c r="HT62" s="10">
        <f>IF(CABLES[[#This Row],[SEG40]]&gt;0,CABLES[[#This Row],[CABLE_MASS]],0)</f>
        <v>0</v>
      </c>
      <c r="HU62" s="10">
        <f>IF(CABLES[[#This Row],[SEG41]]&gt;0,CABLES[[#This Row],[CABLE_MASS]],0)</f>
        <v>0</v>
      </c>
      <c r="HV62" s="10">
        <f>IF(CABLES[[#This Row],[SEG42]]&gt;0,CABLES[[#This Row],[CABLE_MASS]],0)</f>
        <v>0</v>
      </c>
      <c r="HW62" s="10">
        <f>IF(CABLES[[#This Row],[SEG43]]&gt;0,CABLES[[#This Row],[CABLE_MASS]],0)</f>
        <v>0</v>
      </c>
      <c r="HX62" s="10">
        <f>IF(CABLES[[#This Row],[SEG44]]&gt;0,CABLES[[#This Row],[CABLE_MASS]],0)</f>
        <v>0</v>
      </c>
      <c r="HY62" s="10">
        <f>IF(CABLES[[#This Row],[SEG45]]&gt;0,CABLES[[#This Row],[CABLE_MASS]],0)</f>
        <v>0</v>
      </c>
      <c r="HZ62" s="10">
        <f>IF(CABLES[[#This Row],[SEG46]]&gt;0,CABLES[[#This Row],[CABLE_MASS]],0)</f>
        <v>0</v>
      </c>
      <c r="IA62" s="10">
        <f>IF(CABLES[[#This Row],[SEG47]]&gt;0,CABLES[[#This Row],[CABLE_MASS]],0)</f>
        <v>0</v>
      </c>
      <c r="IB62" s="10">
        <f>IF(CABLES[[#This Row],[SEG48]]&gt;0,CABLES[[#This Row],[CABLE_MASS]],0)</f>
        <v>0</v>
      </c>
      <c r="IC62" s="10">
        <f>IF(CABLES[[#This Row],[SEG49]]&gt;0,CABLES[[#This Row],[CABLE_MASS]],0)</f>
        <v>0</v>
      </c>
      <c r="ID62" s="10">
        <f>IF(CABLES[[#This Row],[SEG50]]&gt;0,CABLES[[#This Row],[CABLE_MASS]],0)</f>
        <v>0</v>
      </c>
      <c r="IE62" s="10">
        <f>IF(CABLES[[#This Row],[SEG51]]&gt;0,CABLES[[#This Row],[CABLE_MASS]],0)</f>
        <v>0</v>
      </c>
      <c r="IF62" s="10">
        <f>IF(CABLES[[#This Row],[SEG52]]&gt;0,CABLES[[#This Row],[CABLE_MASS]],0)</f>
        <v>0</v>
      </c>
      <c r="IG62" s="10">
        <f>IF(CABLES[[#This Row],[SEG53]]&gt;0,CABLES[[#This Row],[CABLE_MASS]],0)</f>
        <v>0</v>
      </c>
      <c r="IH62" s="10">
        <f>IF(CABLES[[#This Row],[SEG54]]&gt;0,CABLES[[#This Row],[CABLE_MASS]],0)</f>
        <v>0</v>
      </c>
      <c r="II62" s="10">
        <f>IF(CABLES[[#This Row],[SEG55]]&gt;0,CABLES[[#This Row],[CABLE_MASS]],0)</f>
        <v>0</v>
      </c>
      <c r="IJ62" s="10">
        <f>IF(CABLES[[#This Row],[SEG56]]&gt;0,CABLES[[#This Row],[CABLE_MASS]],0)</f>
        <v>0</v>
      </c>
      <c r="IK62" s="10">
        <f>IF(CABLES[[#This Row],[SEG57]]&gt;0,CABLES[[#This Row],[CABLE_MASS]],0)</f>
        <v>0</v>
      </c>
      <c r="IL62" s="10">
        <f>IF(CABLES[[#This Row],[SEG58]]&gt;0,CABLES[[#This Row],[CABLE_MASS]],0)</f>
        <v>0</v>
      </c>
      <c r="IM62" s="10">
        <f>IF(CABLES[[#This Row],[SEG59]]&gt;0,CABLES[[#This Row],[CABLE_MASS]],0)</f>
        <v>0</v>
      </c>
      <c r="IN62" s="10">
        <f>IF(CABLES[[#This Row],[SEG60]]&gt;0,CABLES[[#This Row],[CABLE_MASS]],0)</f>
        <v>0</v>
      </c>
      <c r="IO62" s="10">
        <f xml:space="preserve">  (CABLES[[#This Row],[LOAD_KW]]/(SQRT(3)*SYSTEM_VOLTAGE*POWER_FACTOR))*1000</f>
        <v>8.8206291126192813</v>
      </c>
      <c r="IP62" s="10">
        <v>45</v>
      </c>
      <c r="IQ62" s="10">
        <f xml:space="preserve"> INDEX(AS3000_AMBIENTDERATE[], MATCH(CABLES[[#This Row],[AMBIENT]],AS3000_AMBIENTDERATE[AMBIENT],0), 2)</f>
        <v>0.94</v>
      </c>
      <c r="IR62" s="10">
        <f xml:space="preserve"> ROUNDUP( CABLES[[#This Row],[CALCULATED_AMPS]]/CABLES[[#This Row],[AMBIENT_DERATING]],1)</f>
        <v>9.4</v>
      </c>
      <c r="IS62" s="10" t="s">
        <v>531</v>
      </c>
      <c r="IT6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2" s="10">
        <f t="shared" si="1"/>
        <v>28.000000000000004</v>
      </c>
      <c r="IV62" s="10">
        <f>(1000*CABLES[[#This Row],[MAX_VDROP]])/(CABLES[[#This Row],[ESTIMATED_CABLE_LENGTH]]*CABLES[[#This Row],[AMP_RATING]])</f>
        <v>44.326241134751776</v>
      </c>
      <c r="IW62" s="10">
        <f xml:space="preserve"> INDEX(AS3000_VDROP[], MATCH(CABLES[[#This Row],[VC_CALC]],AS3000_VDROP[Vc],1),1)</f>
        <v>2.5</v>
      </c>
      <c r="IX62" s="10">
        <f>MAX(CABLES[[#This Row],[CABLESIZE_METHOD1]],CABLES[[#This Row],[CABLESIZE_METHOD2]])</f>
        <v>2.5</v>
      </c>
      <c r="IY62" s="10"/>
      <c r="IZ62" s="10">
        <f>IF(LEN(CABLES[[#This Row],[OVERRIDE_CABLESIZE]])&gt;0,CABLES[[#This Row],[OVERRIDE_CABLESIZE]],CABLES[[#This Row],[INITIAL_CABLESIZE]])</f>
        <v>2.5</v>
      </c>
      <c r="JA62" s="10">
        <f>INDEX(PROTECTIVE_DEVICE[DEVICE], MATCH(CABLES[[#This Row],[CALCULATED_AMPS]],PROTECTIVE_DEVICE[DEVICE],-1),1)</f>
        <v>10</v>
      </c>
      <c r="JB62" s="10"/>
      <c r="JC62" s="10">
        <f>IF(LEN(CABLES[[#This Row],[OVERRIDE_PDEVICE]])&gt;0, CABLES[[#This Row],[OVERRIDE_PDEVICE]],CABLES[[#This Row],[RECOMMEND_PDEVICE]])</f>
        <v>10</v>
      </c>
      <c r="JD62" s="10" t="s">
        <v>450</v>
      </c>
      <c r="JE62" s="10">
        <f xml:space="preserve"> CABLES[[#This Row],[SELECTED_PDEVICE]] * INDEX(DEVICE_CURVE[], MATCH(CABLES[[#This Row],[PDEVICE_CURVE]], DEVICE_CURVE[DEVICE_CURVE],0),2)</f>
        <v>65</v>
      </c>
      <c r="JF62" s="10" t="s">
        <v>458</v>
      </c>
      <c r="JG62" s="10">
        <f xml:space="preserve"> INDEX(CONDUCTOR_MATERIAL[], MATCH(CABLES[[#This Row],[CONDUCTOR_MATERIAL]],CONDUCTOR_MATERIAL[CONDUCTOR_MATERIAL],0),2)</f>
        <v>2.2499999999999999E-2</v>
      </c>
      <c r="JH62" s="10">
        <f>CABLES[[#This Row],[SELECTED_CABLESIZE]]</f>
        <v>2.5</v>
      </c>
      <c r="JI62" s="10">
        <f xml:space="preserve"> INDEX( EARTH_CONDUCTOR_SIZE[], MATCH(CABLES[[#This Row],[SPH]],EARTH_CONDUCTOR_SIZE[MM^2],-1), 2)</f>
        <v>2.5</v>
      </c>
      <c r="JJ62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2" s="10" t="str">
        <f>IF(CABLES[[#This Row],[LMAX]]&gt;CABLES[[#This Row],[ESTIMATED_CABLE_LENGTH]], "PASS", "ERROR")</f>
        <v>PASS</v>
      </c>
      <c r="JL6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6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62" s="6">
        <f xml:space="preserve"> ROUNDUP( CABLES[[#This Row],[CALCULATED_AMPS]],1)</f>
        <v>8.9</v>
      </c>
      <c r="JO62" s="6">
        <f>CABLES[[#This Row],[SELECTED_CABLESIZE]]</f>
        <v>2.5</v>
      </c>
      <c r="JP62" s="10">
        <f>CABLES[[#This Row],[ESTIMATED_CABLE_LENGTH]]</f>
        <v>67.2</v>
      </c>
      <c r="JQ62" s="6">
        <f>CABLES[[#This Row],[SELECTED_PDEVICE]]</f>
        <v>10</v>
      </c>
    </row>
    <row r="63" spans="1:277" x14ac:dyDescent="0.35">
      <c r="A63" s="5" t="s">
        <v>62</v>
      </c>
      <c r="B63" s="5" t="s">
        <v>517</v>
      </c>
      <c r="C63" s="10" t="s">
        <v>261</v>
      </c>
      <c r="D63" s="9">
        <v>11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1</v>
      </c>
      <c r="AI63" s="9">
        <v>1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1</v>
      </c>
      <c r="AR63" s="9">
        <v>0</v>
      </c>
      <c r="AS63" s="9">
        <v>1</v>
      </c>
      <c r="AT63" s="9">
        <v>0</v>
      </c>
      <c r="AU63" s="9">
        <v>0</v>
      </c>
      <c r="AV63" s="9">
        <v>0</v>
      </c>
      <c r="AW63" s="9">
        <v>1</v>
      </c>
      <c r="AX63" s="9">
        <v>0</v>
      </c>
      <c r="AY63" s="9">
        <v>1</v>
      </c>
      <c r="AZ63" s="9">
        <v>1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f xml:space="preserve"> IF(CABLES[[#This Row],[SEG1]] &gt;0, INDEX(SEGMENTS[], MATCH(CABLES[[#Headers],[SEG1]],SEGMENTS[SEG_ID],0),4),0)</f>
        <v>0</v>
      </c>
      <c r="BN63" s="9">
        <f xml:space="preserve"> IF(CABLES[[#This Row],[SEG2]] &gt;0, INDEX(SEGMENTS[], MATCH(CABLES[[#Headers],[SEG2]],SEGMENTS[SEG_ID],0),4),0)</f>
        <v>0</v>
      </c>
      <c r="BO63" s="9">
        <f xml:space="preserve"> IF(CABLES[[#This Row],[SEG3]] &gt;0, INDEX(SEGMENTS[], MATCH(CABLES[[#Headers],[SEG3]],SEGMENTS[SEG_ID],0),4),0)</f>
        <v>0</v>
      </c>
      <c r="BP63" s="9">
        <f xml:space="preserve"> IF(CABLES[[#This Row],[SEG4]] &gt;0, INDEX(SEGMENTS[], MATCH(CABLES[[#Headers],[SEG4]],SEGMENTS[SEG_ID],0),4),0)</f>
        <v>0</v>
      </c>
      <c r="BQ63" s="9">
        <f xml:space="preserve"> IF(CABLES[[#This Row],[SEG5]] &gt;0,INDEX(SEGMENTS[], MATCH(CABLES[[#Headers],[SEG5]],SEGMENTS[SEG_ID],0),4),0)</f>
        <v>0</v>
      </c>
      <c r="BR63" s="9">
        <f xml:space="preserve"> IF(CABLES[[#This Row],[SEG6]] &gt;0,INDEX(SEGMENTS[], MATCH(CABLES[[#Headers],[SEG6]],SEGMENTS[SEG_ID],0),4),0)</f>
        <v>0</v>
      </c>
      <c r="BS63" s="9">
        <f xml:space="preserve"> IF(CABLES[[#This Row],[SEG7]] &gt;0,INDEX(SEGMENTS[], MATCH(CABLES[[#Headers],[SEG7]],SEGMENTS[SEG_ID],0),4),0)</f>
        <v>0</v>
      </c>
      <c r="BT63" s="9">
        <f xml:space="preserve"> IF(CABLES[[#This Row],[SEG8]] &gt;0,INDEX(SEGMENTS[], MATCH(CABLES[[#Headers],[SEG8]],SEGMENTS[SEG_ID],0),4),0)</f>
        <v>0</v>
      </c>
      <c r="BU63" s="9">
        <f xml:space="preserve"> IF(CABLES[[#This Row],[SEG9]] &gt;0,INDEX(SEGMENTS[], MATCH(CABLES[[#Headers],[SEG9]],SEGMENTS[SEG_ID],0),4),0)</f>
        <v>0</v>
      </c>
      <c r="BV63" s="9">
        <f xml:space="preserve"> IF(CABLES[[#This Row],[SEG10]] &gt;0,INDEX(SEGMENTS[], MATCH(CABLES[[#Headers],[SEG10]],SEGMENTS[SEG_ID],0),4),0)</f>
        <v>0</v>
      </c>
      <c r="BW63" s="9">
        <f xml:space="preserve"> IF(CABLES[[#This Row],[SEG11]] &gt;0,INDEX(SEGMENTS[], MATCH(CABLES[[#Headers],[SEG11]],SEGMENTS[SEG_ID],0),4),0)</f>
        <v>0</v>
      </c>
      <c r="BX63" s="9">
        <f>IF(CABLES[[#This Row],[SEG12]] &gt;0, INDEX(SEGMENTS[], MATCH(CABLES[[#Headers],[SEG12]],SEGMENTS[SEG_ID],0),4),0)</f>
        <v>0</v>
      </c>
      <c r="BY63" s="9">
        <f xml:space="preserve"> IF(CABLES[[#This Row],[SEG13]] &gt;0,INDEX(SEGMENTS[], MATCH(CABLES[[#Headers],[SEG13]],SEGMENTS[SEG_ID],0),4),0)</f>
        <v>0</v>
      </c>
      <c r="BZ63" s="9">
        <f xml:space="preserve"> IF(CABLES[[#This Row],[SEG14]] &gt;0,INDEX(SEGMENTS[], MATCH(CABLES[[#Headers],[SEG14]],SEGMENTS[SEG_ID],0),4),0)</f>
        <v>0</v>
      </c>
      <c r="CA63" s="9">
        <f xml:space="preserve"> IF(CABLES[[#This Row],[SEG15]] &gt;0,INDEX(SEGMENTS[], MATCH(CABLES[[#Headers],[SEG15]],SEGMENTS[SEG_ID],0),4),0)</f>
        <v>0</v>
      </c>
      <c r="CB63" s="9">
        <f xml:space="preserve"> IF(CABLES[[#This Row],[SEG16]] &gt;0,INDEX(SEGMENTS[], MATCH(CABLES[[#Headers],[SEG16]],SEGMENTS[SEG_ID],0),4),0)</f>
        <v>0</v>
      </c>
      <c r="CC63" s="9">
        <f xml:space="preserve"> IF(CABLES[[#This Row],[SEG17]] &gt;0,INDEX(SEGMENTS[], MATCH(CABLES[[#Headers],[SEG17]],SEGMENTS[SEG_ID],0),4),0)</f>
        <v>0</v>
      </c>
      <c r="CD63" s="9">
        <f xml:space="preserve"> IF(CABLES[[#This Row],[SEG18]] &gt;0,INDEX(SEGMENTS[], MATCH(CABLES[[#Headers],[SEG18]],SEGMENTS[SEG_ID],0),4),0)</f>
        <v>0</v>
      </c>
      <c r="CE63" s="9">
        <f>IF(CABLES[[#This Row],[SEG19]] &gt;0, INDEX(SEGMENTS[], MATCH(CABLES[[#Headers],[SEG19]],SEGMENTS[SEG_ID],0),4),0)</f>
        <v>0</v>
      </c>
      <c r="CF63" s="9">
        <f>IF(CABLES[[#This Row],[SEG20]] &gt;0, INDEX(SEGMENTS[], MATCH(CABLES[[#Headers],[SEG20]],SEGMENTS[SEG_ID],0),4),0)</f>
        <v>0</v>
      </c>
      <c r="CG63" s="9">
        <f xml:space="preserve"> IF(CABLES[[#This Row],[SEG21]] &gt;0,INDEX(SEGMENTS[], MATCH(CABLES[[#Headers],[SEG21]],SEGMENTS[SEG_ID],0),4),0)</f>
        <v>0</v>
      </c>
      <c r="CH63" s="9">
        <f xml:space="preserve"> IF(CABLES[[#This Row],[SEG22]] &gt;0,INDEX(SEGMENTS[], MATCH(CABLES[[#Headers],[SEG22]],SEGMENTS[SEG_ID],0),4),0)</f>
        <v>0</v>
      </c>
      <c r="CI63" s="9">
        <f>IF(CABLES[[#This Row],[SEG23]] &gt;0, INDEX(SEGMENTS[], MATCH(CABLES[[#Headers],[SEG23]],SEGMENTS[SEG_ID],0),4),0)</f>
        <v>0</v>
      </c>
      <c r="CJ63" s="9">
        <f xml:space="preserve"> IF(CABLES[[#This Row],[SEG24]] &gt;0,INDEX(SEGMENTS[], MATCH(CABLES[[#Headers],[SEG24]],SEGMENTS[SEG_ID],0),4),0)</f>
        <v>0</v>
      </c>
      <c r="CK63" s="9">
        <f>IF(CABLES[[#This Row],[SEG25]] &gt;0, INDEX(SEGMENTS[], MATCH(CABLES[[#Headers],[SEG25]],SEGMENTS[SEG_ID],0),4),0)</f>
        <v>0</v>
      </c>
      <c r="CL63" s="9">
        <f>IF(CABLES[[#This Row],[SEG26]] &gt;0, INDEX(SEGMENTS[], MATCH(CABLES[[#Headers],[SEG26]],SEGMENTS[SEG_ID],0),4),0)</f>
        <v>0</v>
      </c>
      <c r="CM63" s="9">
        <f xml:space="preserve"> IF(CABLES[[#This Row],[SEG27]] &gt;0,INDEX(SEGMENTS[], MATCH(CABLES[[#Headers],[SEG27]],SEGMENTS[SEG_ID],0),4),0)</f>
        <v>0</v>
      </c>
      <c r="CN63" s="9">
        <f xml:space="preserve"> IF(CABLES[[#This Row],[SEG28]] &gt;0,INDEX(SEGMENTS[], MATCH(CABLES[[#Headers],[SEG28]],SEGMENTS[SEG_ID],0),4),0)</f>
        <v>0</v>
      </c>
      <c r="CO63" s="9">
        <f xml:space="preserve"> IF(CABLES[[#This Row],[SEG29]] &gt;0,INDEX(SEGMENTS[], MATCH(CABLES[[#Headers],[SEG29]],SEGMENTS[SEG_ID],0),4),0)</f>
        <v>0</v>
      </c>
      <c r="CP63" s="9">
        <f xml:space="preserve"> IF(CABLES[[#This Row],[SEG30]] &gt;0,INDEX(SEGMENTS[], MATCH(CABLES[[#Headers],[SEG30]],SEGMENTS[SEG_ID],0),4),0)</f>
        <v>6</v>
      </c>
      <c r="CQ63" s="9">
        <f>IF(CABLES[[#This Row],[SEG31]] &gt;0, INDEX(SEGMENTS[], MATCH(CABLES[[#Headers],[SEG31]],SEGMENTS[SEG_ID],0),4),0)</f>
        <v>3</v>
      </c>
      <c r="CR63" s="9">
        <f xml:space="preserve"> IF(CABLES[[#This Row],[SEG32]] &gt;0,INDEX(SEGMENTS[], MATCH(CABLES[[#Headers],[SEG32]],SEGMENTS[SEG_ID],0),4),0)</f>
        <v>0</v>
      </c>
      <c r="CS63" s="9">
        <f xml:space="preserve"> IF(CABLES[[#This Row],[SEG33]] &gt;0,INDEX(SEGMENTS[], MATCH(CABLES[[#Headers],[SEG33]],SEGMENTS[SEG_ID],0),4),0)</f>
        <v>0</v>
      </c>
      <c r="CT63" s="9">
        <f>IF(CABLES[[#This Row],[SEG34]] &gt;0, INDEX(SEGMENTS[], MATCH(CABLES[[#Headers],[SEG34]],SEGMENTS[SEG_ID],0),4),0)</f>
        <v>0</v>
      </c>
      <c r="CU63" s="9">
        <f xml:space="preserve"> IF(CABLES[[#This Row],[SEG35]] &gt;0,INDEX(SEGMENTS[], MATCH(CABLES[[#Headers],[SEG35]],SEGMENTS[SEG_ID],0),4),0)</f>
        <v>0</v>
      </c>
      <c r="CV63" s="9">
        <f xml:space="preserve"> IF(CABLES[[#This Row],[SEG36]] &gt;0,INDEX(SEGMENTS[], MATCH(CABLES[[#Headers],[SEG36]],SEGMENTS[SEG_ID],0),4),0)</f>
        <v>0</v>
      </c>
      <c r="CW63" s="9">
        <f xml:space="preserve"> IF(CABLES[[#This Row],[SEG37]] &gt;0,INDEX(SEGMENTS[], MATCH(CABLES[[#Headers],[SEG37]],SEGMENTS[SEG_ID],0),4),0)</f>
        <v>0</v>
      </c>
      <c r="CX63" s="9">
        <f xml:space="preserve"> IF(CABLES[[#This Row],[SEG38]] &gt;0,INDEX(SEGMENTS[], MATCH(CABLES[[#Headers],[SEG38]],SEGMENTS[SEG_ID],0),4),0)</f>
        <v>0</v>
      </c>
      <c r="CY63" s="9">
        <f xml:space="preserve"> IF(CABLES[[#This Row],[SEG39]] &gt;0,INDEX(SEGMENTS[], MATCH(CABLES[[#Headers],[SEG39]],SEGMENTS[SEG_ID],0),4),0)</f>
        <v>8</v>
      </c>
      <c r="CZ63" s="9">
        <f xml:space="preserve"> IF(CABLES[[#This Row],[SEG40]] &gt;0,INDEX(SEGMENTS[], MATCH(CABLES[[#Headers],[SEG40]],SEGMENTS[SEG_ID],0),4),0)</f>
        <v>0</v>
      </c>
      <c r="DA63" s="9">
        <f xml:space="preserve"> IF(CABLES[[#This Row],[SEG41]] &gt;0,INDEX(SEGMENTS[], MATCH(CABLES[[#Headers],[SEG41]],SEGMENTS[SEG_ID],0),4),0)</f>
        <v>8</v>
      </c>
      <c r="DB63" s="9">
        <f xml:space="preserve"> IF(CABLES[[#This Row],[SEG42]] &gt;0,INDEX(SEGMENTS[], MATCH(CABLES[[#Headers],[SEG42]],SEGMENTS[SEG_ID],0),4),0)</f>
        <v>0</v>
      </c>
      <c r="DC63" s="9">
        <f xml:space="preserve"> IF(CABLES[[#This Row],[SEG43]] &gt;0,INDEX(SEGMENTS[], MATCH(CABLES[[#Headers],[SEG43]],SEGMENTS[SEG_ID],0),4),0)</f>
        <v>0</v>
      </c>
      <c r="DD63" s="9">
        <f xml:space="preserve"> IF(CABLES[[#This Row],[SEG44]] &gt;0,INDEX(SEGMENTS[], MATCH(CABLES[[#Headers],[SEG44]],SEGMENTS[SEG_ID],0),4),0)</f>
        <v>0</v>
      </c>
      <c r="DE63" s="9">
        <f xml:space="preserve"> IF(CABLES[[#This Row],[SEG45]] &gt;0,INDEX(SEGMENTS[], MATCH(CABLES[[#Headers],[SEG45]],SEGMENTS[SEG_ID],0),4),0)</f>
        <v>9</v>
      </c>
      <c r="DF63" s="9">
        <f xml:space="preserve"> IF(CABLES[[#This Row],[SEG46]] &gt;0,INDEX(SEGMENTS[], MATCH(CABLES[[#Headers],[SEG46]],SEGMENTS[SEG_ID],0),4),0)</f>
        <v>0</v>
      </c>
      <c r="DG63" s="9">
        <f xml:space="preserve"> IF(CABLES[[#This Row],[SEG47]] &gt;0,INDEX(SEGMENTS[], MATCH(CABLES[[#Headers],[SEG47]],SEGMENTS[SEG_ID],0),4),0)</f>
        <v>12</v>
      </c>
      <c r="DH63" s="9">
        <f xml:space="preserve"> IF(CABLES[[#This Row],[SEG48]] &gt;0,INDEX(SEGMENTS[], MATCH(CABLES[[#Headers],[SEG48]],SEGMENTS[SEG_ID],0),4),0)</f>
        <v>15</v>
      </c>
      <c r="DI63" s="9">
        <f xml:space="preserve"> IF(CABLES[[#This Row],[SEG49]] &gt;0,INDEX(SEGMENTS[], MATCH(CABLES[[#Headers],[SEG49]],SEGMENTS[SEG_ID],0),4),0)</f>
        <v>0</v>
      </c>
      <c r="DJ63" s="9">
        <f xml:space="preserve"> IF(CABLES[[#This Row],[SEG50]] &gt;0,INDEX(SEGMENTS[], MATCH(CABLES[[#Headers],[SEG50]],SEGMENTS[SEG_ID],0),4),0)</f>
        <v>0</v>
      </c>
      <c r="DK63" s="9">
        <f xml:space="preserve"> IF(CABLES[[#This Row],[SEG51]] &gt;0,INDEX(SEGMENTS[], MATCH(CABLES[[#Headers],[SEG51]],SEGMENTS[SEG_ID],0),4),0)</f>
        <v>0</v>
      </c>
      <c r="DL63" s="9">
        <f xml:space="preserve"> IF(CABLES[[#This Row],[SEG52]] &gt;0,INDEX(SEGMENTS[], MATCH(CABLES[[#Headers],[SEG52]],SEGMENTS[SEG_ID],0),4),0)</f>
        <v>0</v>
      </c>
      <c r="DM63" s="9">
        <f xml:space="preserve"> IF(CABLES[[#This Row],[SEG53]] &gt;0,INDEX(SEGMENTS[], MATCH(CABLES[[#Headers],[SEG53]],SEGMENTS[SEG_ID],0),4),0)</f>
        <v>0</v>
      </c>
      <c r="DN63" s="9">
        <f xml:space="preserve"> IF(CABLES[[#This Row],[SEG54]] &gt;0,INDEX(SEGMENTS[], MATCH(CABLES[[#Headers],[SEG54]],SEGMENTS[SEG_ID],0),4),0)</f>
        <v>0</v>
      </c>
      <c r="DO63" s="9">
        <f xml:space="preserve"> IF(CABLES[[#This Row],[SEG55]] &gt;0,INDEX(SEGMENTS[], MATCH(CABLES[[#Headers],[SEG55]],SEGMENTS[SEG_ID],0),4),0)</f>
        <v>0</v>
      </c>
      <c r="DP63" s="9">
        <f xml:space="preserve"> IF(CABLES[[#This Row],[SEG56]] &gt;0,INDEX(SEGMENTS[], MATCH(CABLES[[#Headers],[SEG56]],SEGMENTS[SEG_ID],0),4),0)</f>
        <v>0</v>
      </c>
      <c r="DQ63" s="9">
        <f xml:space="preserve"> IF(CABLES[[#This Row],[SEG57]] &gt;0,INDEX(SEGMENTS[], MATCH(CABLES[[#Headers],[SEG57]],SEGMENTS[SEG_ID],0),4),0)</f>
        <v>0</v>
      </c>
      <c r="DR63" s="9">
        <f xml:space="preserve"> IF(CABLES[[#This Row],[SEG58]] &gt;0,INDEX(SEGMENTS[], MATCH(CABLES[[#Headers],[SEG58]],SEGMENTS[SEG_ID],0),4),0)</f>
        <v>0</v>
      </c>
      <c r="DS63" s="9">
        <f xml:space="preserve"> IF(CABLES[[#This Row],[SEG59]] &gt;0,INDEX(SEGMENTS[], MATCH(CABLES[[#Headers],[SEG59]],SEGMENTS[SEG_ID],0),4),0)</f>
        <v>0</v>
      </c>
      <c r="DT63" s="9">
        <f xml:space="preserve"> IF(CABLES[[#This Row],[SEG60]] &gt;0,INDEX(SEGMENTS[], MATCH(CABLES[[#Headers],[SEG60]],SEGMENTS[SEG_ID],0),4),0)</f>
        <v>0</v>
      </c>
      <c r="DU63" s="10">
        <f>SUM(CABLES[[#This Row],[SEGL1]:[SEGL60]])</f>
        <v>61</v>
      </c>
      <c r="DV63" s="10">
        <v>5</v>
      </c>
      <c r="DW63" s="10">
        <v>1.2</v>
      </c>
      <c r="DX63" s="10">
        <f xml:space="preserve"> IF(CABLES[[#This Row],[SEGL_TOTAL]]&gt;0, (CABLES[[#This Row],[SEGL_TOTAL]] + CABLES[[#This Row],[FITOFF]]) *CABLES[[#This Row],[XCAPACITY]],0)</f>
        <v>79.2</v>
      </c>
      <c r="DY63" s="10">
        <f>IF(CABLES[[#This Row],[SEG1]]&gt;0,CABLES[[#This Row],[CABLE_DIAMETER]],0)</f>
        <v>0</v>
      </c>
      <c r="DZ63" s="10">
        <f>IF(CABLES[[#This Row],[SEG2]]&gt;0,CABLES[[#This Row],[CABLE_DIAMETER]],0)</f>
        <v>0</v>
      </c>
      <c r="EA63" s="10">
        <f>IF(CABLES[[#This Row],[SEG3]]&gt;0,CABLES[[#This Row],[CABLE_DIAMETER]],0)</f>
        <v>0</v>
      </c>
      <c r="EB63" s="10">
        <f>IF(CABLES[[#This Row],[SEG4]]&gt;0,CABLES[[#This Row],[CABLE_DIAMETER]],0)</f>
        <v>0</v>
      </c>
      <c r="EC63" s="10">
        <f>IF(CABLES[[#This Row],[SEG5]]&gt;0,CABLES[[#This Row],[CABLE_DIAMETER]],0)</f>
        <v>0</v>
      </c>
      <c r="ED63" s="10">
        <f>IF(CABLES[[#This Row],[SEG6]]&gt;0,CABLES[[#This Row],[CABLE_DIAMETER]],0)</f>
        <v>0</v>
      </c>
      <c r="EE63" s="10">
        <f>IF(CABLES[[#This Row],[SEG7]]&gt;0,CABLES[[#This Row],[CABLE_DIAMETER]],0)</f>
        <v>0</v>
      </c>
      <c r="EF63" s="10">
        <f>IF(CABLES[[#This Row],[SEG9]]&gt;0,CABLES[[#This Row],[CABLE_DIAMETER]],0)</f>
        <v>0</v>
      </c>
      <c r="EG63" s="10">
        <f>IF(CABLES[[#This Row],[SEG9]]&gt;0,CABLES[[#This Row],[CABLE_DIAMETER]],0)</f>
        <v>0</v>
      </c>
      <c r="EH63" s="10">
        <f>IF(CABLES[[#This Row],[SEG10]]&gt;0,CABLES[[#This Row],[CABLE_DIAMETER]],0)</f>
        <v>0</v>
      </c>
      <c r="EI63" s="10">
        <f>IF(CABLES[[#This Row],[SEG11]]&gt;0,CABLES[[#This Row],[CABLE_DIAMETER]],0)</f>
        <v>0</v>
      </c>
      <c r="EJ63" s="10">
        <f>IF(CABLES[[#This Row],[SEG12]]&gt;0,CABLES[[#This Row],[CABLE_DIAMETER]],0)</f>
        <v>0</v>
      </c>
      <c r="EK63" s="10">
        <f>IF(CABLES[[#This Row],[SEG13]]&gt;0,CABLES[[#This Row],[CABLE_DIAMETER]],0)</f>
        <v>0</v>
      </c>
      <c r="EL63" s="10">
        <f>IF(CABLES[[#This Row],[SEG14]]&gt;0,CABLES[[#This Row],[CABLE_DIAMETER]],0)</f>
        <v>0</v>
      </c>
      <c r="EM63" s="10">
        <f>IF(CABLES[[#This Row],[SEG15]]&gt;0,CABLES[[#This Row],[CABLE_DIAMETER]],0)</f>
        <v>0</v>
      </c>
      <c r="EN63" s="10">
        <f>IF(CABLES[[#This Row],[SEG16]]&gt;0,CABLES[[#This Row],[CABLE_DIAMETER]],0)</f>
        <v>0</v>
      </c>
      <c r="EO63" s="10">
        <f>IF(CABLES[[#This Row],[SEG17]]&gt;0,CABLES[[#This Row],[CABLE_DIAMETER]],0)</f>
        <v>0</v>
      </c>
      <c r="EP63" s="10">
        <f>IF(CABLES[[#This Row],[SEG18]]&gt;0,CABLES[[#This Row],[CABLE_DIAMETER]],0)</f>
        <v>0</v>
      </c>
      <c r="EQ63" s="10">
        <f>IF(CABLES[[#This Row],[SEG19]]&gt;0,CABLES[[#This Row],[CABLE_DIAMETER]],0)</f>
        <v>0</v>
      </c>
      <c r="ER63" s="10">
        <f>IF(CABLES[[#This Row],[SEG20]]&gt;0,CABLES[[#This Row],[CABLE_DIAMETER]],0)</f>
        <v>0</v>
      </c>
      <c r="ES63" s="10">
        <f>IF(CABLES[[#This Row],[SEG21]]&gt;0,CABLES[[#This Row],[CABLE_DIAMETER]],0)</f>
        <v>0</v>
      </c>
      <c r="ET63" s="10">
        <f>IF(CABLES[[#This Row],[SEG22]]&gt;0,CABLES[[#This Row],[CABLE_DIAMETER]],0)</f>
        <v>0</v>
      </c>
      <c r="EU63" s="10">
        <f>IF(CABLES[[#This Row],[SEG23]]&gt;0,CABLES[[#This Row],[CABLE_DIAMETER]],0)</f>
        <v>0</v>
      </c>
      <c r="EV63" s="10">
        <f>IF(CABLES[[#This Row],[SEG24]]&gt;0,CABLES[[#This Row],[CABLE_DIAMETER]],0)</f>
        <v>0</v>
      </c>
      <c r="EW63" s="10">
        <f>IF(CABLES[[#This Row],[SEG25]]&gt;0,CABLES[[#This Row],[CABLE_DIAMETER]],0)</f>
        <v>0</v>
      </c>
      <c r="EX63" s="10">
        <f>IF(CABLES[[#This Row],[SEG26]]&gt;0,CABLES[[#This Row],[CABLE_DIAMETER]],0)</f>
        <v>0</v>
      </c>
      <c r="EY63" s="10">
        <f>IF(CABLES[[#This Row],[SEG27]]&gt;0,CABLES[[#This Row],[CABLE_DIAMETER]],0)</f>
        <v>0</v>
      </c>
      <c r="EZ63" s="10">
        <f>IF(CABLES[[#This Row],[SEG28]]&gt;0,CABLES[[#This Row],[CABLE_DIAMETER]],0)</f>
        <v>0</v>
      </c>
      <c r="FA63" s="10">
        <f>IF(CABLES[[#This Row],[SEG29]]&gt;0,CABLES[[#This Row],[CABLE_DIAMETER]],0)</f>
        <v>0</v>
      </c>
      <c r="FB63" s="10">
        <f>IF(CABLES[[#This Row],[SEG30]]&gt;0,CABLES[[#This Row],[CABLE_DIAMETER]],0)</f>
        <v>16.5</v>
      </c>
      <c r="FC63" s="10">
        <f>IF(CABLES[[#This Row],[SEG31]]&gt;0,CABLES[[#This Row],[CABLE_DIAMETER]],0)</f>
        <v>16.5</v>
      </c>
      <c r="FD63" s="10">
        <f>IF(CABLES[[#This Row],[SEG32]]&gt;0,CABLES[[#This Row],[CABLE_DIAMETER]],0)</f>
        <v>0</v>
      </c>
      <c r="FE63" s="10">
        <f>IF(CABLES[[#This Row],[SEG33]]&gt;0,CABLES[[#This Row],[CABLE_DIAMETER]],0)</f>
        <v>0</v>
      </c>
      <c r="FF63" s="10">
        <f>IF(CABLES[[#This Row],[SEG34]]&gt;0,CABLES[[#This Row],[CABLE_DIAMETER]],0)</f>
        <v>0</v>
      </c>
      <c r="FG63" s="10">
        <f>IF(CABLES[[#This Row],[SEG35]]&gt;0,CABLES[[#This Row],[CABLE_DIAMETER]],0)</f>
        <v>0</v>
      </c>
      <c r="FH63" s="10">
        <f>IF(CABLES[[#This Row],[SEG36]]&gt;0,CABLES[[#This Row],[CABLE_DIAMETER]],0)</f>
        <v>0</v>
      </c>
      <c r="FI63" s="10">
        <f>IF(CABLES[[#This Row],[SEG37]]&gt;0,CABLES[[#This Row],[CABLE_DIAMETER]],0)</f>
        <v>0</v>
      </c>
      <c r="FJ63" s="10">
        <f>IF(CABLES[[#This Row],[SEG38]]&gt;0,CABLES[[#This Row],[CABLE_DIAMETER]],0)</f>
        <v>0</v>
      </c>
      <c r="FK63" s="10">
        <f>IF(CABLES[[#This Row],[SEG39]]&gt;0,CABLES[[#This Row],[CABLE_DIAMETER]],0)</f>
        <v>16.5</v>
      </c>
      <c r="FL63" s="10">
        <f>IF(CABLES[[#This Row],[SEG40]]&gt;0,CABLES[[#This Row],[CABLE_DIAMETER]],0)</f>
        <v>0</v>
      </c>
      <c r="FM63" s="10">
        <f>IF(CABLES[[#This Row],[SEG41]]&gt;0,CABLES[[#This Row],[CABLE_DIAMETER]],0)</f>
        <v>16.5</v>
      </c>
      <c r="FN63" s="10">
        <f>IF(CABLES[[#This Row],[SEG42]]&gt;0,CABLES[[#This Row],[CABLE_DIAMETER]],0)</f>
        <v>0</v>
      </c>
      <c r="FO63" s="10">
        <f>IF(CABLES[[#This Row],[SEG43]]&gt;0,CABLES[[#This Row],[CABLE_DIAMETER]],0)</f>
        <v>0</v>
      </c>
      <c r="FP63" s="10">
        <f>IF(CABLES[[#This Row],[SEG44]]&gt;0,CABLES[[#This Row],[CABLE_DIAMETER]],0)</f>
        <v>0</v>
      </c>
      <c r="FQ63" s="10">
        <f>IF(CABLES[[#This Row],[SEG45]]&gt;0,CABLES[[#This Row],[CABLE_DIAMETER]],0)</f>
        <v>16.5</v>
      </c>
      <c r="FR63" s="10">
        <f>IF(CABLES[[#This Row],[SEG46]]&gt;0,CABLES[[#This Row],[CABLE_DIAMETER]],0)</f>
        <v>0</v>
      </c>
      <c r="FS63" s="10">
        <f>IF(CABLES[[#This Row],[SEG47]]&gt;0,CABLES[[#This Row],[CABLE_DIAMETER]],0)</f>
        <v>16.5</v>
      </c>
      <c r="FT63" s="10">
        <f>IF(CABLES[[#This Row],[SEG48]]&gt;0,CABLES[[#This Row],[CABLE_DIAMETER]],0)</f>
        <v>16.5</v>
      </c>
      <c r="FU63" s="10">
        <f>IF(CABLES[[#This Row],[SEG49]]&gt;0,CABLES[[#This Row],[CABLE_DIAMETER]],0)</f>
        <v>0</v>
      </c>
      <c r="FV63" s="10">
        <f>IF(CABLES[[#This Row],[SEG50]]&gt;0,CABLES[[#This Row],[CABLE_DIAMETER]],0)</f>
        <v>0</v>
      </c>
      <c r="FW63" s="10">
        <f>IF(CABLES[[#This Row],[SEG51]]&gt;0,CABLES[[#This Row],[CABLE_DIAMETER]],0)</f>
        <v>0</v>
      </c>
      <c r="FX63" s="10">
        <f>IF(CABLES[[#This Row],[SEG52]]&gt;0,CABLES[[#This Row],[CABLE_DIAMETER]],0)</f>
        <v>0</v>
      </c>
      <c r="FY63" s="10">
        <f>IF(CABLES[[#This Row],[SEG53]]&gt;0,CABLES[[#This Row],[CABLE_DIAMETER]],0)</f>
        <v>0</v>
      </c>
      <c r="FZ63" s="10">
        <f>IF(CABLES[[#This Row],[SEG54]]&gt;0,CABLES[[#This Row],[CABLE_DIAMETER]],0)</f>
        <v>0</v>
      </c>
      <c r="GA63" s="10">
        <f>IF(CABLES[[#This Row],[SEG55]]&gt;0,CABLES[[#This Row],[CABLE_DIAMETER]],0)</f>
        <v>0</v>
      </c>
      <c r="GB63" s="10">
        <f>IF(CABLES[[#This Row],[SEG56]]&gt;0,CABLES[[#This Row],[CABLE_DIAMETER]],0)</f>
        <v>0</v>
      </c>
      <c r="GC63" s="10">
        <f>IF(CABLES[[#This Row],[SEG57]]&gt;0,CABLES[[#This Row],[CABLE_DIAMETER]],0)</f>
        <v>0</v>
      </c>
      <c r="GD63" s="10">
        <f>IF(CABLES[[#This Row],[SEG58]]&gt;0,CABLES[[#This Row],[CABLE_DIAMETER]],0)</f>
        <v>0</v>
      </c>
      <c r="GE63" s="10">
        <f>IF(CABLES[[#This Row],[SEG59]]&gt;0,CABLES[[#This Row],[CABLE_DIAMETER]],0)</f>
        <v>0</v>
      </c>
      <c r="GF63" s="10">
        <f>IF(CABLES[[#This Row],[SEG60]]&gt;0,CABLES[[#This Row],[CABLE_DIAMETER]],0)</f>
        <v>0</v>
      </c>
      <c r="GG63" s="10">
        <f>IF(CABLES[[#This Row],[SEG1]]&gt;0,CABLES[[#This Row],[CABLE_MASS]],0)</f>
        <v>0</v>
      </c>
      <c r="GH63" s="10">
        <f>IF(CABLES[[#This Row],[SEG2]]&gt;0,CABLES[[#This Row],[CABLE_MASS]],0)</f>
        <v>0</v>
      </c>
      <c r="GI63" s="10">
        <f>IF(CABLES[[#This Row],[SEG3]]&gt;0,CABLES[[#This Row],[CABLE_MASS]],0)</f>
        <v>0</v>
      </c>
      <c r="GJ63" s="10">
        <f>IF(CABLES[[#This Row],[SEG4]]&gt;0,CABLES[[#This Row],[CABLE_MASS]],0)</f>
        <v>0</v>
      </c>
      <c r="GK63" s="10">
        <f>IF(CABLES[[#This Row],[SEG5]]&gt;0,CABLES[[#This Row],[CABLE_MASS]],0)</f>
        <v>0</v>
      </c>
      <c r="GL63" s="10">
        <f>IF(CABLES[[#This Row],[SEG6]]&gt;0,CABLES[[#This Row],[CABLE_MASS]],0)</f>
        <v>0</v>
      </c>
      <c r="GM63" s="10">
        <f>IF(CABLES[[#This Row],[SEG7]]&gt;0,CABLES[[#This Row],[CABLE_MASS]],0)</f>
        <v>0</v>
      </c>
      <c r="GN63" s="10">
        <f>IF(CABLES[[#This Row],[SEG8]]&gt;0,CABLES[[#This Row],[CABLE_MASS]],0)</f>
        <v>0</v>
      </c>
      <c r="GO63" s="10">
        <f>IF(CABLES[[#This Row],[SEG9]]&gt;0,CABLES[[#This Row],[CABLE_MASS]],0)</f>
        <v>0</v>
      </c>
      <c r="GP63" s="10">
        <f>IF(CABLES[[#This Row],[SEG10]]&gt;0,CABLES[[#This Row],[CABLE_MASS]],0)</f>
        <v>0</v>
      </c>
      <c r="GQ63" s="10">
        <f>IF(CABLES[[#This Row],[SEG11]]&gt;0,CABLES[[#This Row],[CABLE_MASS]],0)</f>
        <v>0</v>
      </c>
      <c r="GR63" s="10">
        <f>IF(CABLES[[#This Row],[SEG12]]&gt;0,CABLES[[#This Row],[CABLE_MASS]],0)</f>
        <v>0</v>
      </c>
      <c r="GS63" s="10">
        <f>IF(CABLES[[#This Row],[SEG13]]&gt;0,CABLES[[#This Row],[CABLE_MASS]],0)</f>
        <v>0</v>
      </c>
      <c r="GT63" s="10">
        <f>IF(CABLES[[#This Row],[SEG14]]&gt;0,CABLES[[#This Row],[CABLE_MASS]],0)</f>
        <v>0</v>
      </c>
      <c r="GU63" s="10">
        <f>IF(CABLES[[#This Row],[SEG15]]&gt;0,CABLES[[#This Row],[CABLE_MASS]],0)</f>
        <v>0</v>
      </c>
      <c r="GV63" s="10">
        <f>IF(CABLES[[#This Row],[SEG16]]&gt;0,CABLES[[#This Row],[CABLE_MASS]],0)</f>
        <v>0</v>
      </c>
      <c r="GW63" s="10">
        <f>IF(CABLES[[#This Row],[SEG17]]&gt;0,CABLES[[#This Row],[CABLE_MASS]],0)</f>
        <v>0</v>
      </c>
      <c r="GX63" s="10">
        <f>IF(CABLES[[#This Row],[SEG18]]&gt;0,CABLES[[#This Row],[CABLE_MASS]],0)</f>
        <v>0</v>
      </c>
      <c r="GY63" s="10">
        <f>IF(CABLES[[#This Row],[SEG19]]&gt;0,CABLES[[#This Row],[CABLE_MASS]],0)</f>
        <v>0</v>
      </c>
      <c r="GZ63" s="10">
        <f>IF(CABLES[[#This Row],[SEG20]]&gt;0,CABLES[[#This Row],[CABLE_MASS]],0)</f>
        <v>0</v>
      </c>
      <c r="HA63" s="10">
        <f>IF(CABLES[[#This Row],[SEG21]]&gt;0,CABLES[[#This Row],[CABLE_MASS]],0)</f>
        <v>0</v>
      </c>
      <c r="HB63" s="10">
        <f>IF(CABLES[[#This Row],[SEG22]]&gt;0,CABLES[[#This Row],[CABLE_MASS]],0)</f>
        <v>0</v>
      </c>
      <c r="HC63" s="10">
        <f>IF(CABLES[[#This Row],[SEG23]]&gt;0,CABLES[[#This Row],[CABLE_MASS]],0)</f>
        <v>0</v>
      </c>
      <c r="HD63" s="10">
        <f>IF(CABLES[[#This Row],[SEG24]]&gt;0,CABLES[[#This Row],[CABLE_MASS]],0)</f>
        <v>0</v>
      </c>
      <c r="HE63" s="10">
        <f>IF(CABLES[[#This Row],[SEG25]]&gt;0,CABLES[[#This Row],[CABLE_MASS]],0)</f>
        <v>0</v>
      </c>
      <c r="HF63" s="10">
        <f>IF(CABLES[[#This Row],[SEG26]]&gt;0,CABLES[[#This Row],[CABLE_MASS]],0)</f>
        <v>0</v>
      </c>
      <c r="HG63" s="10">
        <f>IF(CABLES[[#This Row],[SEG27]]&gt;0,CABLES[[#This Row],[CABLE_MASS]],0)</f>
        <v>0</v>
      </c>
      <c r="HH63" s="10">
        <f>IF(CABLES[[#This Row],[SEG28]]&gt;0,CABLES[[#This Row],[CABLE_MASS]],0)</f>
        <v>0</v>
      </c>
      <c r="HI63" s="10">
        <f>IF(CABLES[[#This Row],[SEG29]]&gt;0,CABLES[[#This Row],[CABLE_MASS]],0)</f>
        <v>0</v>
      </c>
      <c r="HJ63" s="10">
        <f>IF(CABLES[[#This Row],[SEG30]]&gt;0,CABLES[[#This Row],[CABLE_MASS]],0)</f>
        <v>0.41</v>
      </c>
      <c r="HK63" s="10">
        <f>IF(CABLES[[#This Row],[SEG31]]&gt;0,CABLES[[#This Row],[CABLE_MASS]],0)</f>
        <v>0.41</v>
      </c>
      <c r="HL63" s="10">
        <f>IF(CABLES[[#This Row],[SEG32]]&gt;0,CABLES[[#This Row],[CABLE_MASS]],0)</f>
        <v>0</v>
      </c>
      <c r="HM63" s="10">
        <f>IF(CABLES[[#This Row],[SEG33]]&gt;0,CABLES[[#This Row],[CABLE_MASS]],0)</f>
        <v>0</v>
      </c>
      <c r="HN63" s="10">
        <f>IF(CABLES[[#This Row],[SEG34]]&gt;0,CABLES[[#This Row],[CABLE_MASS]],0)</f>
        <v>0</v>
      </c>
      <c r="HO63" s="10">
        <f>IF(CABLES[[#This Row],[SEG35]]&gt;0,CABLES[[#This Row],[CABLE_MASS]],0)</f>
        <v>0</v>
      </c>
      <c r="HP63" s="10">
        <f>IF(CABLES[[#This Row],[SEG36]]&gt;0,CABLES[[#This Row],[CABLE_MASS]],0)</f>
        <v>0</v>
      </c>
      <c r="HQ63" s="10">
        <f>IF(CABLES[[#This Row],[SEG37]]&gt;0,CABLES[[#This Row],[CABLE_MASS]],0)</f>
        <v>0</v>
      </c>
      <c r="HR63" s="10">
        <f>IF(CABLES[[#This Row],[SEG38]]&gt;0,CABLES[[#This Row],[CABLE_MASS]],0)</f>
        <v>0</v>
      </c>
      <c r="HS63" s="10">
        <f>IF(CABLES[[#This Row],[SEG39]]&gt;0,CABLES[[#This Row],[CABLE_MASS]],0)</f>
        <v>0.41</v>
      </c>
      <c r="HT63" s="10">
        <f>IF(CABLES[[#This Row],[SEG40]]&gt;0,CABLES[[#This Row],[CABLE_MASS]],0)</f>
        <v>0</v>
      </c>
      <c r="HU63" s="10">
        <f>IF(CABLES[[#This Row],[SEG41]]&gt;0,CABLES[[#This Row],[CABLE_MASS]],0)</f>
        <v>0.41</v>
      </c>
      <c r="HV63" s="10">
        <f>IF(CABLES[[#This Row],[SEG42]]&gt;0,CABLES[[#This Row],[CABLE_MASS]],0)</f>
        <v>0</v>
      </c>
      <c r="HW63" s="10">
        <f>IF(CABLES[[#This Row],[SEG43]]&gt;0,CABLES[[#This Row],[CABLE_MASS]],0)</f>
        <v>0</v>
      </c>
      <c r="HX63" s="10">
        <f>IF(CABLES[[#This Row],[SEG44]]&gt;0,CABLES[[#This Row],[CABLE_MASS]],0)</f>
        <v>0</v>
      </c>
      <c r="HY63" s="10">
        <f>IF(CABLES[[#This Row],[SEG45]]&gt;0,CABLES[[#This Row],[CABLE_MASS]],0)</f>
        <v>0.41</v>
      </c>
      <c r="HZ63" s="10">
        <f>IF(CABLES[[#This Row],[SEG46]]&gt;0,CABLES[[#This Row],[CABLE_MASS]],0)</f>
        <v>0</v>
      </c>
      <c r="IA63" s="10">
        <f>IF(CABLES[[#This Row],[SEG47]]&gt;0,CABLES[[#This Row],[CABLE_MASS]],0)</f>
        <v>0.41</v>
      </c>
      <c r="IB63" s="10">
        <f>IF(CABLES[[#This Row],[SEG48]]&gt;0,CABLES[[#This Row],[CABLE_MASS]],0)</f>
        <v>0.41</v>
      </c>
      <c r="IC63" s="10">
        <f>IF(CABLES[[#This Row],[SEG49]]&gt;0,CABLES[[#This Row],[CABLE_MASS]],0)</f>
        <v>0</v>
      </c>
      <c r="ID63" s="10">
        <f>IF(CABLES[[#This Row],[SEG50]]&gt;0,CABLES[[#This Row],[CABLE_MASS]],0)</f>
        <v>0</v>
      </c>
      <c r="IE63" s="10">
        <f>IF(CABLES[[#This Row],[SEG51]]&gt;0,CABLES[[#This Row],[CABLE_MASS]],0)</f>
        <v>0</v>
      </c>
      <c r="IF63" s="10">
        <f>IF(CABLES[[#This Row],[SEG52]]&gt;0,CABLES[[#This Row],[CABLE_MASS]],0)</f>
        <v>0</v>
      </c>
      <c r="IG63" s="10">
        <f>IF(CABLES[[#This Row],[SEG53]]&gt;0,CABLES[[#This Row],[CABLE_MASS]],0)</f>
        <v>0</v>
      </c>
      <c r="IH63" s="10">
        <f>IF(CABLES[[#This Row],[SEG54]]&gt;0,CABLES[[#This Row],[CABLE_MASS]],0)</f>
        <v>0</v>
      </c>
      <c r="II63" s="10">
        <f>IF(CABLES[[#This Row],[SEG55]]&gt;0,CABLES[[#This Row],[CABLE_MASS]],0)</f>
        <v>0</v>
      </c>
      <c r="IJ63" s="10">
        <f>IF(CABLES[[#This Row],[SEG56]]&gt;0,CABLES[[#This Row],[CABLE_MASS]],0)</f>
        <v>0</v>
      </c>
      <c r="IK63" s="10">
        <f>IF(CABLES[[#This Row],[SEG57]]&gt;0,CABLES[[#This Row],[CABLE_MASS]],0)</f>
        <v>0</v>
      </c>
      <c r="IL63" s="10">
        <f>IF(CABLES[[#This Row],[SEG58]]&gt;0,CABLES[[#This Row],[CABLE_MASS]],0)</f>
        <v>0</v>
      </c>
      <c r="IM63" s="10">
        <f>IF(CABLES[[#This Row],[SEG59]]&gt;0,CABLES[[#This Row],[CABLE_MASS]],0)</f>
        <v>0</v>
      </c>
      <c r="IN63" s="10">
        <f>IF(CABLES[[#This Row],[SEG60]]&gt;0,CABLES[[#This Row],[CABLE_MASS]],0)</f>
        <v>0</v>
      </c>
      <c r="IO63" s="10">
        <f xml:space="preserve">  (CABLES[[#This Row],[LOAD_KW]]/(SQRT(3)*SYSTEM_VOLTAGE*POWER_FACTOR))*1000</f>
        <v>17.641258225238563</v>
      </c>
      <c r="IP63" s="10">
        <v>45</v>
      </c>
      <c r="IQ63" s="10">
        <f xml:space="preserve"> INDEX(AS3000_AMBIENTDERATE[], MATCH(CABLES[[#This Row],[AMBIENT]],AS3000_AMBIENTDERATE[AMBIENT],0), 2)</f>
        <v>0.94</v>
      </c>
      <c r="IR63" s="10">
        <f xml:space="preserve"> ROUNDUP( CABLES[[#This Row],[CALCULATED_AMPS]]/CABLES[[#This Row],[AMBIENT_DERATING]],1)</f>
        <v>18.8</v>
      </c>
      <c r="IS63" s="10" t="s">
        <v>531</v>
      </c>
      <c r="IT6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2.5</v>
      </c>
      <c r="IU63" s="10">
        <f t="shared" si="1"/>
        <v>28.000000000000004</v>
      </c>
      <c r="IV63" s="10">
        <f>(1000*CABLES[[#This Row],[MAX_VDROP]])/(CABLES[[#This Row],[ESTIMATED_CABLE_LENGTH]]*CABLES[[#This Row],[AMP_RATING]])</f>
        <v>18.80507199656136</v>
      </c>
      <c r="IW63" s="10">
        <f xml:space="preserve"> INDEX(AS3000_VDROP[], MATCH(CABLES[[#This Row],[VC_CALC]],AS3000_VDROP[Vc],1),1)</f>
        <v>2.5</v>
      </c>
      <c r="IX63" s="10">
        <f>MAX(CABLES[[#This Row],[CABLESIZE_METHOD1]],CABLES[[#This Row],[CABLESIZE_METHOD2]])</f>
        <v>2.5</v>
      </c>
      <c r="IY63" s="10">
        <v>4</v>
      </c>
      <c r="IZ63" s="10">
        <f>IF(LEN(CABLES[[#This Row],[OVERRIDE_CABLESIZE]])&gt;0,CABLES[[#This Row],[OVERRIDE_CABLESIZE]],CABLES[[#This Row],[INITIAL_CABLESIZE]])</f>
        <v>4</v>
      </c>
      <c r="JA63" s="10">
        <f>INDEX(PROTECTIVE_DEVICE[DEVICE], MATCH(CABLES[[#This Row],[CALCULATED_AMPS]],PROTECTIVE_DEVICE[DEVICE],-1),1)</f>
        <v>20</v>
      </c>
      <c r="JB63" s="10"/>
      <c r="JC63" s="10">
        <f>IF(LEN(CABLES[[#This Row],[OVERRIDE_PDEVICE]])&gt;0, CABLES[[#This Row],[OVERRIDE_PDEVICE]],CABLES[[#This Row],[RECOMMEND_PDEVICE]])</f>
        <v>20</v>
      </c>
      <c r="JD63" s="10" t="s">
        <v>450</v>
      </c>
      <c r="JE63" s="10">
        <f xml:space="preserve"> CABLES[[#This Row],[SELECTED_PDEVICE]] * INDEX(DEVICE_CURVE[], MATCH(CABLES[[#This Row],[PDEVICE_CURVE]], DEVICE_CURVE[DEVICE_CURVE],0),2)</f>
        <v>130</v>
      </c>
      <c r="JF63" s="10" t="s">
        <v>458</v>
      </c>
      <c r="JG63" s="10">
        <f xml:space="preserve"> INDEX(CONDUCTOR_MATERIAL[], MATCH(CABLES[[#This Row],[CONDUCTOR_MATERIAL]],CONDUCTOR_MATERIAL[CONDUCTOR_MATERIAL],0),2)</f>
        <v>2.2499999999999999E-2</v>
      </c>
      <c r="JH63" s="10">
        <f>CABLES[[#This Row],[SELECTED_CABLESIZE]]</f>
        <v>4</v>
      </c>
      <c r="JI63" s="10">
        <f xml:space="preserve"> INDEX( EARTH_CONDUCTOR_SIZE[], MATCH(CABLES[[#This Row],[SPH]],EARTH_CONDUCTOR_SIZE[MM^2],-1), 2)</f>
        <v>2.5</v>
      </c>
      <c r="JJ63" s="10">
        <f>(0.8*PHASE_VOLTAGE*CABLES[[#This Row],[SPH]]*CABLES[[#This Row],[SPE]])/(CABLES[[#This Row],[PDEVICE_IA]]*CABLES[[#This Row],[MATERIAL_CONSTANT]]*(CABLES[[#This Row],[SPH]]+CABLES[[#This Row],[SPE]]))</f>
        <v>96.778435239973703</v>
      </c>
      <c r="JK63" s="10" t="str">
        <f>IF(CABLES[[#This Row],[LMAX]]&gt;CABLES[[#This Row],[ESTIMATED_CABLE_LENGTH]], "PASS", "ERROR")</f>
        <v>PASS</v>
      </c>
      <c r="JL6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16.5</v>
      </c>
      <c r="JM6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0.41</v>
      </c>
      <c r="JN63" s="6">
        <f xml:space="preserve"> ROUNDUP( CABLES[[#This Row],[CALCULATED_AMPS]],1)</f>
        <v>17.700000000000003</v>
      </c>
      <c r="JO63" s="6">
        <f>CABLES[[#This Row],[SELECTED_CABLESIZE]]</f>
        <v>4</v>
      </c>
      <c r="JP63" s="10">
        <f>CABLES[[#This Row],[ESTIMATED_CABLE_LENGTH]]</f>
        <v>79.2</v>
      </c>
      <c r="JQ63" s="6">
        <f>CABLES[[#This Row],[SELECTED_PDEVICE]]</f>
        <v>20</v>
      </c>
    </row>
    <row r="64" spans="1:277" x14ac:dyDescent="0.35">
      <c r="A64" s="5" t="s">
        <v>549</v>
      </c>
      <c r="B64" s="5" t="s">
        <v>518</v>
      </c>
      <c r="C64" s="10" t="s">
        <v>262</v>
      </c>
      <c r="D64" s="9">
        <v>4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1</v>
      </c>
      <c r="AI64" s="9">
        <v>1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1</v>
      </c>
      <c r="AR64" s="9">
        <v>0</v>
      </c>
      <c r="AS64" s="9">
        <v>1</v>
      </c>
      <c r="AT64" s="9">
        <v>0</v>
      </c>
      <c r="AU64" s="9">
        <v>0</v>
      </c>
      <c r="AV64" s="9">
        <v>0</v>
      </c>
      <c r="AW64" s="9">
        <v>1</v>
      </c>
      <c r="AX64" s="9">
        <v>0</v>
      </c>
      <c r="AY64" s="9">
        <v>1</v>
      </c>
      <c r="AZ64" s="9">
        <v>1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f xml:space="preserve"> IF(CABLES[[#This Row],[SEG1]] &gt;0, INDEX(SEGMENTS[], MATCH(CABLES[[#Headers],[SEG1]],SEGMENTS[SEG_ID],0),4),0)</f>
        <v>0</v>
      </c>
      <c r="BN64" s="10">
        <f xml:space="preserve"> IF(CABLES[[#This Row],[SEG2]] &gt;0, INDEX(SEGMENTS[], MATCH(CABLES[[#Headers],[SEG2]],SEGMENTS[SEG_ID],0),4),0)</f>
        <v>0</v>
      </c>
      <c r="BO64" s="10">
        <f xml:space="preserve"> IF(CABLES[[#This Row],[SEG3]] &gt;0, INDEX(SEGMENTS[], MATCH(CABLES[[#Headers],[SEG3]],SEGMENTS[SEG_ID],0),4),0)</f>
        <v>0</v>
      </c>
      <c r="BP64" s="10">
        <f xml:space="preserve"> IF(CABLES[[#This Row],[SEG4]] &gt;0, INDEX(SEGMENTS[], MATCH(CABLES[[#Headers],[SEG4]],SEGMENTS[SEG_ID],0),4),0)</f>
        <v>0</v>
      </c>
      <c r="BQ64" s="10">
        <f xml:space="preserve"> IF(CABLES[[#This Row],[SEG5]] &gt;0,INDEX(SEGMENTS[], MATCH(CABLES[[#Headers],[SEG5]],SEGMENTS[SEG_ID],0),4),0)</f>
        <v>0</v>
      </c>
      <c r="BR64" s="10">
        <f xml:space="preserve"> IF(CABLES[[#This Row],[SEG6]] &gt;0,INDEX(SEGMENTS[], MATCH(CABLES[[#Headers],[SEG6]],SEGMENTS[SEG_ID],0),4),0)</f>
        <v>0</v>
      </c>
      <c r="BS64" s="10">
        <f xml:space="preserve"> IF(CABLES[[#This Row],[SEG7]] &gt;0,INDEX(SEGMENTS[], MATCH(CABLES[[#Headers],[SEG7]],SEGMENTS[SEG_ID],0),4),0)</f>
        <v>0</v>
      </c>
      <c r="BT64" s="10">
        <f xml:space="preserve"> IF(CABLES[[#This Row],[SEG8]] &gt;0,INDEX(SEGMENTS[], MATCH(CABLES[[#Headers],[SEG8]],SEGMENTS[SEG_ID],0),4),0)</f>
        <v>0</v>
      </c>
      <c r="BU64" s="10">
        <f xml:space="preserve"> IF(CABLES[[#This Row],[SEG9]] &gt;0,INDEX(SEGMENTS[], MATCH(CABLES[[#Headers],[SEG9]],SEGMENTS[SEG_ID],0),4),0)</f>
        <v>0</v>
      </c>
      <c r="BV64" s="10">
        <f xml:space="preserve"> IF(CABLES[[#This Row],[SEG10]] &gt;0,INDEX(SEGMENTS[], MATCH(CABLES[[#Headers],[SEG10]],SEGMENTS[SEG_ID],0),4),0)</f>
        <v>0</v>
      </c>
      <c r="BW64" s="10">
        <f xml:space="preserve"> IF(CABLES[[#This Row],[SEG11]] &gt;0,INDEX(SEGMENTS[], MATCH(CABLES[[#Headers],[SEG11]],SEGMENTS[SEG_ID],0),4),0)</f>
        <v>0</v>
      </c>
      <c r="BX64" s="10">
        <f>IF(CABLES[[#This Row],[SEG12]] &gt;0, INDEX(SEGMENTS[], MATCH(CABLES[[#Headers],[SEG12]],SEGMENTS[SEG_ID],0),4),0)</f>
        <v>0</v>
      </c>
      <c r="BY64" s="10">
        <f xml:space="preserve"> IF(CABLES[[#This Row],[SEG13]] &gt;0,INDEX(SEGMENTS[], MATCH(CABLES[[#Headers],[SEG13]],SEGMENTS[SEG_ID],0),4),0)</f>
        <v>0</v>
      </c>
      <c r="BZ64" s="10">
        <f xml:space="preserve"> IF(CABLES[[#This Row],[SEG14]] &gt;0,INDEX(SEGMENTS[], MATCH(CABLES[[#Headers],[SEG14]],SEGMENTS[SEG_ID],0),4),0)</f>
        <v>0</v>
      </c>
      <c r="CA64" s="10">
        <f xml:space="preserve"> IF(CABLES[[#This Row],[SEG15]] &gt;0,INDEX(SEGMENTS[], MATCH(CABLES[[#Headers],[SEG15]],SEGMENTS[SEG_ID],0),4),0)</f>
        <v>0</v>
      </c>
      <c r="CB64" s="10">
        <f xml:space="preserve"> IF(CABLES[[#This Row],[SEG16]] &gt;0,INDEX(SEGMENTS[], MATCH(CABLES[[#Headers],[SEG16]],SEGMENTS[SEG_ID],0),4),0)</f>
        <v>0</v>
      </c>
      <c r="CC64" s="10">
        <f xml:space="preserve"> IF(CABLES[[#This Row],[SEG17]] &gt;0,INDEX(SEGMENTS[], MATCH(CABLES[[#Headers],[SEG17]],SEGMENTS[SEG_ID],0),4),0)</f>
        <v>0</v>
      </c>
      <c r="CD64" s="10">
        <f xml:space="preserve"> IF(CABLES[[#This Row],[SEG18]] &gt;0,INDEX(SEGMENTS[], MATCH(CABLES[[#Headers],[SEG18]],SEGMENTS[SEG_ID],0),4),0)</f>
        <v>0</v>
      </c>
      <c r="CE64" s="10">
        <f>IF(CABLES[[#This Row],[SEG19]] &gt;0, INDEX(SEGMENTS[], MATCH(CABLES[[#Headers],[SEG19]],SEGMENTS[SEG_ID],0),4),0)</f>
        <v>0</v>
      </c>
      <c r="CF64" s="10">
        <f>IF(CABLES[[#This Row],[SEG20]] &gt;0, INDEX(SEGMENTS[], MATCH(CABLES[[#Headers],[SEG20]],SEGMENTS[SEG_ID],0),4),0)</f>
        <v>0</v>
      </c>
      <c r="CG64" s="10">
        <f xml:space="preserve"> IF(CABLES[[#This Row],[SEG21]] &gt;0,INDEX(SEGMENTS[], MATCH(CABLES[[#Headers],[SEG21]],SEGMENTS[SEG_ID],0),4),0)</f>
        <v>0</v>
      </c>
      <c r="CH64" s="10">
        <f xml:space="preserve"> IF(CABLES[[#This Row],[SEG22]] &gt;0,INDEX(SEGMENTS[], MATCH(CABLES[[#Headers],[SEG22]],SEGMENTS[SEG_ID],0),4),0)</f>
        <v>0</v>
      </c>
      <c r="CI64" s="10">
        <f>IF(CABLES[[#This Row],[SEG23]] &gt;0, INDEX(SEGMENTS[], MATCH(CABLES[[#Headers],[SEG23]],SEGMENTS[SEG_ID],0),4),0)</f>
        <v>0</v>
      </c>
      <c r="CJ64" s="10">
        <f xml:space="preserve"> IF(CABLES[[#This Row],[SEG24]] &gt;0,INDEX(SEGMENTS[], MATCH(CABLES[[#Headers],[SEG24]],SEGMENTS[SEG_ID],0),4),0)</f>
        <v>0</v>
      </c>
      <c r="CK64" s="10">
        <f>IF(CABLES[[#This Row],[SEG25]] &gt;0, INDEX(SEGMENTS[], MATCH(CABLES[[#Headers],[SEG25]],SEGMENTS[SEG_ID],0),4),0)</f>
        <v>0</v>
      </c>
      <c r="CL64" s="10">
        <f>IF(CABLES[[#This Row],[SEG26]] &gt;0, INDEX(SEGMENTS[], MATCH(CABLES[[#Headers],[SEG26]],SEGMENTS[SEG_ID],0),4),0)</f>
        <v>0</v>
      </c>
      <c r="CM64" s="10">
        <f xml:space="preserve"> IF(CABLES[[#This Row],[SEG27]] &gt;0,INDEX(SEGMENTS[], MATCH(CABLES[[#Headers],[SEG27]],SEGMENTS[SEG_ID],0),4),0)</f>
        <v>0</v>
      </c>
      <c r="CN64" s="10">
        <f xml:space="preserve"> IF(CABLES[[#This Row],[SEG28]] &gt;0,INDEX(SEGMENTS[], MATCH(CABLES[[#Headers],[SEG28]],SEGMENTS[SEG_ID],0),4),0)</f>
        <v>0</v>
      </c>
      <c r="CO64" s="10">
        <f xml:space="preserve"> IF(CABLES[[#This Row],[SEG29]] &gt;0,INDEX(SEGMENTS[], MATCH(CABLES[[#Headers],[SEG29]],SEGMENTS[SEG_ID],0),4),0)</f>
        <v>0</v>
      </c>
      <c r="CP64" s="10">
        <f xml:space="preserve"> IF(CABLES[[#This Row],[SEG30]] &gt;0,INDEX(SEGMENTS[], MATCH(CABLES[[#Headers],[SEG30]],SEGMENTS[SEG_ID],0),4),0)</f>
        <v>6</v>
      </c>
      <c r="CQ64" s="10">
        <f>IF(CABLES[[#This Row],[SEG31]] &gt;0, INDEX(SEGMENTS[], MATCH(CABLES[[#Headers],[SEG31]],SEGMENTS[SEG_ID],0),4),0)</f>
        <v>3</v>
      </c>
      <c r="CR64" s="10">
        <f xml:space="preserve"> IF(CABLES[[#This Row],[SEG32]] &gt;0,INDEX(SEGMENTS[], MATCH(CABLES[[#Headers],[SEG32]],SEGMENTS[SEG_ID],0),4),0)</f>
        <v>0</v>
      </c>
      <c r="CS64" s="10">
        <f xml:space="preserve"> IF(CABLES[[#This Row],[SEG33]] &gt;0,INDEX(SEGMENTS[], MATCH(CABLES[[#Headers],[SEG33]],SEGMENTS[SEG_ID],0),4),0)</f>
        <v>0</v>
      </c>
      <c r="CT64" s="10">
        <f>IF(CABLES[[#This Row],[SEG34]] &gt;0, INDEX(SEGMENTS[], MATCH(CABLES[[#Headers],[SEG34]],SEGMENTS[SEG_ID],0),4),0)</f>
        <v>0</v>
      </c>
      <c r="CU64" s="10">
        <f xml:space="preserve"> IF(CABLES[[#This Row],[SEG35]] &gt;0,INDEX(SEGMENTS[], MATCH(CABLES[[#Headers],[SEG35]],SEGMENTS[SEG_ID],0),4),0)</f>
        <v>0</v>
      </c>
      <c r="CV64" s="10">
        <f xml:space="preserve"> IF(CABLES[[#This Row],[SEG36]] &gt;0,INDEX(SEGMENTS[], MATCH(CABLES[[#Headers],[SEG36]],SEGMENTS[SEG_ID],0),4),0)</f>
        <v>0</v>
      </c>
      <c r="CW64" s="10">
        <f xml:space="preserve"> IF(CABLES[[#This Row],[SEG37]] &gt;0,INDEX(SEGMENTS[], MATCH(CABLES[[#Headers],[SEG37]],SEGMENTS[SEG_ID],0),4),0)</f>
        <v>0</v>
      </c>
      <c r="CX64" s="10">
        <f xml:space="preserve"> IF(CABLES[[#This Row],[SEG38]] &gt;0,INDEX(SEGMENTS[], MATCH(CABLES[[#Headers],[SEG38]],SEGMENTS[SEG_ID],0),4),0)</f>
        <v>0</v>
      </c>
      <c r="CY64" s="10">
        <f xml:space="preserve"> IF(CABLES[[#This Row],[SEG39]] &gt;0,INDEX(SEGMENTS[], MATCH(CABLES[[#Headers],[SEG39]],SEGMENTS[SEG_ID],0),4),0)</f>
        <v>8</v>
      </c>
      <c r="CZ64" s="10">
        <f xml:space="preserve"> IF(CABLES[[#This Row],[SEG40]] &gt;0,INDEX(SEGMENTS[], MATCH(CABLES[[#Headers],[SEG40]],SEGMENTS[SEG_ID],0),4),0)</f>
        <v>0</v>
      </c>
      <c r="DA64" s="10">
        <f xml:space="preserve"> IF(CABLES[[#This Row],[SEG41]] &gt;0,INDEX(SEGMENTS[], MATCH(CABLES[[#Headers],[SEG41]],SEGMENTS[SEG_ID],0),4),0)</f>
        <v>8</v>
      </c>
      <c r="DB64" s="10">
        <f xml:space="preserve"> IF(CABLES[[#This Row],[SEG42]] &gt;0,INDEX(SEGMENTS[], MATCH(CABLES[[#Headers],[SEG42]],SEGMENTS[SEG_ID],0),4),0)</f>
        <v>0</v>
      </c>
      <c r="DC64" s="10">
        <f xml:space="preserve"> IF(CABLES[[#This Row],[SEG43]] &gt;0,INDEX(SEGMENTS[], MATCH(CABLES[[#Headers],[SEG43]],SEGMENTS[SEG_ID],0),4),0)</f>
        <v>0</v>
      </c>
      <c r="DD64" s="10">
        <f xml:space="preserve"> IF(CABLES[[#This Row],[SEG44]] &gt;0,INDEX(SEGMENTS[], MATCH(CABLES[[#Headers],[SEG44]],SEGMENTS[SEG_ID],0),4),0)</f>
        <v>0</v>
      </c>
      <c r="DE64" s="10">
        <f xml:space="preserve"> IF(CABLES[[#This Row],[SEG45]] &gt;0,INDEX(SEGMENTS[], MATCH(CABLES[[#Headers],[SEG45]],SEGMENTS[SEG_ID],0),4),0)</f>
        <v>9</v>
      </c>
      <c r="DF64" s="10">
        <f xml:space="preserve"> IF(CABLES[[#This Row],[SEG46]] &gt;0,INDEX(SEGMENTS[], MATCH(CABLES[[#Headers],[SEG46]],SEGMENTS[SEG_ID],0),4),0)</f>
        <v>0</v>
      </c>
      <c r="DG64" s="10">
        <f xml:space="preserve"> IF(CABLES[[#This Row],[SEG47]] &gt;0,INDEX(SEGMENTS[], MATCH(CABLES[[#Headers],[SEG47]],SEGMENTS[SEG_ID],0),4),0)</f>
        <v>12</v>
      </c>
      <c r="DH64" s="10">
        <f xml:space="preserve"> IF(CABLES[[#This Row],[SEG48]] &gt;0,INDEX(SEGMENTS[], MATCH(CABLES[[#Headers],[SEG48]],SEGMENTS[SEG_ID],0),4),0)</f>
        <v>15</v>
      </c>
      <c r="DI64" s="10">
        <f xml:space="preserve"> IF(CABLES[[#This Row],[SEG49]] &gt;0,INDEX(SEGMENTS[], MATCH(CABLES[[#Headers],[SEG49]],SEGMENTS[SEG_ID],0),4),0)</f>
        <v>0</v>
      </c>
      <c r="DJ64" s="10">
        <f xml:space="preserve"> IF(CABLES[[#This Row],[SEG50]] &gt;0,INDEX(SEGMENTS[], MATCH(CABLES[[#Headers],[SEG50]],SEGMENTS[SEG_ID],0),4),0)</f>
        <v>0</v>
      </c>
      <c r="DK64" s="10">
        <f xml:space="preserve"> IF(CABLES[[#This Row],[SEG51]] &gt;0,INDEX(SEGMENTS[], MATCH(CABLES[[#Headers],[SEG51]],SEGMENTS[SEG_ID],0),4),0)</f>
        <v>0</v>
      </c>
      <c r="DL64" s="10">
        <f xml:space="preserve"> IF(CABLES[[#This Row],[SEG52]] &gt;0,INDEX(SEGMENTS[], MATCH(CABLES[[#Headers],[SEG52]],SEGMENTS[SEG_ID],0),4),0)</f>
        <v>0</v>
      </c>
      <c r="DM64" s="10">
        <f xml:space="preserve"> IF(CABLES[[#This Row],[SEG53]] &gt;0,INDEX(SEGMENTS[], MATCH(CABLES[[#Headers],[SEG53]],SEGMENTS[SEG_ID],0),4),0)</f>
        <v>0</v>
      </c>
      <c r="DN64" s="10">
        <f xml:space="preserve"> IF(CABLES[[#This Row],[SEG54]] &gt;0,INDEX(SEGMENTS[], MATCH(CABLES[[#Headers],[SEG54]],SEGMENTS[SEG_ID],0),4),0)</f>
        <v>0</v>
      </c>
      <c r="DO64" s="10">
        <f xml:space="preserve"> IF(CABLES[[#This Row],[SEG55]] &gt;0,INDEX(SEGMENTS[], MATCH(CABLES[[#Headers],[SEG55]],SEGMENTS[SEG_ID],0),4),0)</f>
        <v>0</v>
      </c>
      <c r="DP64" s="10">
        <f xml:space="preserve"> IF(CABLES[[#This Row],[SEG56]] &gt;0,INDEX(SEGMENTS[], MATCH(CABLES[[#Headers],[SEG56]],SEGMENTS[SEG_ID],0),4),0)</f>
        <v>0</v>
      </c>
      <c r="DQ64" s="10">
        <f xml:space="preserve"> IF(CABLES[[#This Row],[SEG57]] &gt;0,INDEX(SEGMENTS[], MATCH(CABLES[[#Headers],[SEG57]],SEGMENTS[SEG_ID],0),4),0)</f>
        <v>0</v>
      </c>
      <c r="DR64" s="10">
        <f xml:space="preserve"> IF(CABLES[[#This Row],[SEG58]] &gt;0,INDEX(SEGMENTS[], MATCH(CABLES[[#Headers],[SEG58]],SEGMENTS[SEG_ID],0),4),0)</f>
        <v>0</v>
      </c>
      <c r="DS64" s="10">
        <f xml:space="preserve"> IF(CABLES[[#This Row],[SEG59]] &gt;0,INDEX(SEGMENTS[], MATCH(CABLES[[#Headers],[SEG59]],SEGMENTS[SEG_ID],0),4),0)</f>
        <v>0</v>
      </c>
      <c r="DT64" s="10">
        <f xml:space="preserve"> IF(CABLES[[#This Row],[SEG60]] &gt;0,INDEX(SEGMENTS[], MATCH(CABLES[[#Headers],[SEG60]],SEGMENTS[SEG_ID],0),4),0)</f>
        <v>0</v>
      </c>
      <c r="DU64" s="10">
        <f>SUM(CABLES[[#This Row],[SEGL1]:[SEGL60]])</f>
        <v>61</v>
      </c>
      <c r="DV64" s="10">
        <v>5</v>
      </c>
      <c r="DW64" s="10">
        <v>1.2</v>
      </c>
      <c r="DX64" s="10">
        <f xml:space="preserve"> IF(CABLES[[#This Row],[SEGL_TOTAL]]&gt;0, (CABLES[[#This Row],[SEGL_TOTAL]] + CABLES[[#This Row],[FITOFF]]) *CABLES[[#This Row],[XCAPACITY]],0)</f>
        <v>79.2</v>
      </c>
      <c r="DY64" s="10">
        <f>IF(CABLES[[#This Row],[SEG1]]&gt;0,CABLES[[#This Row],[CABLE_DIAMETER]],0)</f>
        <v>0</v>
      </c>
      <c r="DZ64" s="10">
        <f>IF(CABLES[[#This Row],[SEG2]]&gt;0,CABLES[[#This Row],[CABLE_DIAMETER]],0)</f>
        <v>0</v>
      </c>
      <c r="EA64" s="10">
        <f>IF(CABLES[[#This Row],[SEG3]]&gt;0,CABLES[[#This Row],[CABLE_DIAMETER]],0)</f>
        <v>0</v>
      </c>
      <c r="EB64" s="10">
        <f>IF(CABLES[[#This Row],[SEG4]]&gt;0,CABLES[[#This Row],[CABLE_DIAMETER]],0)</f>
        <v>0</v>
      </c>
      <c r="EC64" s="10">
        <f>IF(CABLES[[#This Row],[SEG5]]&gt;0,CABLES[[#This Row],[CABLE_DIAMETER]],0)</f>
        <v>0</v>
      </c>
      <c r="ED64" s="10">
        <f>IF(CABLES[[#This Row],[SEG6]]&gt;0,CABLES[[#This Row],[CABLE_DIAMETER]],0)</f>
        <v>0</v>
      </c>
      <c r="EE64" s="10">
        <f>IF(CABLES[[#This Row],[SEG7]]&gt;0,CABLES[[#This Row],[CABLE_DIAMETER]],0)</f>
        <v>0</v>
      </c>
      <c r="EF64" s="10">
        <f>IF(CABLES[[#This Row],[SEG9]]&gt;0,CABLES[[#This Row],[CABLE_DIAMETER]],0)</f>
        <v>0</v>
      </c>
      <c r="EG64" s="10">
        <f>IF(CABLES[[#This Row],[SEG9]]&gt;0,CABLES[[#This Row],[CABLE_DIAMETER]],0)</f>
        <v>0</v>
      </c>
      <c r="EH64" s="10">
        <f>IF(CABLES[[#This Row],[SEG10]]&gt;0,CABLES[[#This Row],[CABLE_DIAMETER]],0)</f>
        <v>0</v>
      </c>
      <c r="EI64" s="10">
        <f>IF(CABLES[[#This Row],[SEG11]]&gt;0,CABLES[[#This Row],[CABLE_DIAMETER]],0)</f>
        <v>0</v>
      </c>
      <c r="EJ64" s="10">
        <f>IF(CABLES[[#This Row],[SEG12]]&gt;0,CABLES[[#This Row],[CABLE_DIAMETER]],0)</f>
        <v>0</v>
      </c>
      <c r="EK64" s="10">
        <f>IF(CABLES[[#This Row],[SEG13]]&gt;0,CABLES[[#This Row],[CABLE_DIAMETER]],0)</f>
        <v>0</v>
      </c>
      <c r="EL64" s="10">
        <f>IF(CABLES[[#This Row],[SEG14]]&gt;0,CABLES[[#This Row],[CABLE_DIAMETER]],0)</f>
        <v>0</v>
      </c>
      <c r="EM64" s="10">
        <f>IF(CABLES[[#This Row],[SEG15]]&gt;0,CABLES[[#This Row],[CABLE_DIAMETER]],0)</f>
        <v>0</v>
      </c>
      <c r="EN64" s="10">
        <f>IF(CABLES[[#This Row],[SEG16]]&gt;0,CABLES[[#This Row],[CABLE_DIAMETER]],0)</f>
        <v>0</v>
      </c>
      <c r="EO64" s="10">
        <f>IF(CABLES[[#This Row],[SEG17]]&gt;0,CABLES[[#This Row],[CABLE_DIAMETER]],0)</f>
        <v>0</v>
      </c>
      <c r="EP64" s="10">
        <f>IF(CABLES[[#This Row],[SEG18]]&gt;0,CABLES[[#This Row],[CABLE_DIAMETER]],0)</f>
        <v>0</v>
      </c>
      <c r="EQ64" s="10">
        <f>IF(CABLES[[#This Row],[SEG19]]&gt;0,CABLES[[#This Row],[CABLE_DIAMETER]],0)</f>
        <v>0</v>
      </c>
      <c r="ER64" s="10">
        <f>IF(CABLES[[#This Row],[SEG20]]&gt;0,CABLES[[#This Row],[CABLE_DIAMETER]],0)</f>
        <v>0</v>
      </c>
      <c r="ES64" s="10">
        <f>IF(CABLES[[#This Row],[SEG21]]&gt;0,CABLES[[#This Row],[CABLE_DIAMETER]],0)</f>
        <v>0</v>
      </c>
      <c r="ET64" s="10">
        <f>IF(CABLES[[#This Row],[SEG22]]&gt;0,CABLES[[#This Row],[CABLE_DIAMETER]],0)</f>
        <v>0</v>
      </c>
      <c r="EU64" s="10">
        <f>IF(CABLES[[#This Row],[SEG23]]&gt;0,CABLES[[#This Row],[CABLE_DIAMETER]],0)</f>
        <v>0</v>
      </c>
      <c r="EV64" s="10">
        <f>IF(CABLES[[#This Row],[SEG24]]&gt;0,CABLES[[#This Row],[CABLE_DIAMETER]],0)</f>
        <v>0</v>
      </c>
      <c r="EW64" s="10">
        <f>IF(CABLES[[#This Row],[SEG25]]&gt;0,CABLES[[#This Row],[CABLE_DIAMETER]],0)</f>
        <v>0</v>
      </c>
      <c r="EX64" s="10">
        <f>IF(CABLES[[#This Row],[SEG26]]&gt;0,CABLES[[#This Row],[CABLE_DIAMETER]],0)</f>
        <v>0</v>
      </c>
      <c r="EY64" s="10">
        <f>IF(CABLES[[#This Row],[SEG27]]&gt;0,CABLES[[#This Row],[CABLE_DIAMETER]],0)</f>
        <v>0</v>
      </c>
      <c r="EZ64" s="10">
        <f>IF(CABLES[[#This Row],[SEG28]]&gt;0,CABLES[[#This Row],[CABLE_DIAMETER]],0)</f>
        <v>0</v>
      </c>
      <c r="FA64" s="10">
        <f>IF(CABLES[[#This Row],[SEG29]]&gt;0,CABLES[[#This Row],[CABLE_DIAMETER]],0)</f>
        <v>0</v>
      </c>
      <c r="FB64" s="10">
        <f>IF(CABLES[[#This Row],[SEG30]]&gt;0,CABLES[[#This Row],[CABLE_DIAMETER]],0)</f>
        <v>12</v>
      </c>
      <c r="FC64" s="10">
        <f>IF(CABLES[[#This Row],[SEG31]]&gt;0,CABLES[[#This Row],[CABLE_DIAMETER]],0)</f>
        <v>12</v>
      </c>
      <c r="FD64" s="10">
        <f>IF(CABLES[[#This Row],[SEG32]]&gt;0,CABLES[[#This Row],[CABLE_DIAMETER]],0)</f>
        <v>0</v>
      </c>
      <c r="FE64" s="10">
        <f>IF(CABLES[[#This Row],[SEG33]]&gt;0,CABLES[[#This Row],[CABLE_DIAMETER]],0)</f>
        <v>0</v>
      </c>
      <c r="FF64" s="10">
        <f>IF(CABLES[[#This Row],[SEG34]]&gt;0,CABLES[[#This Row],[CABLE_DIAMETER]],0)</f>
        <v>0</v>
      </c>
      <c r="FG64" s="10">
        <f>IF(CABLES[[#This Row],[SEG35]]&gt;0,CABLES[[#This Row],[CABLE_DIAMETER]],0)</f>
        <v>0</v>
      </c>
      <c r="FH64" s="10">
        <f>IF(CABLES[[#This Row],[SEG36]]&gt;0,CABLES[[#This Row],[CABLE_DIAMETER]],0)</f>
        <v>0</v>
      </c>
      <c r="FI64" s="10">
        <f>IF(CABLES[[#This Row],[SEG37]]&gt;0,CABLES[[#This Row],[CABLE_DIAMETER]],0)</f>
        <v>0</v>
      </c>
      <c r="FJ64" s="10">
        <f>IF(CABLES[[#This Row],[SEG38]]&gt;0,CABLES[[#This Row],[CABLE_DIAMETER]],0)</f>
        <v>0</v>
      </c>
      <c r="FK64" s="10">
        <f>IF(CABLES[[#This Row],[SEG39]]&gt;0,CABLES[[#This Row],[CABLE_DIAMETER]],0)</f>
        <v>12</v>
      </c>
      <c r="FL64" s="10">
        <f>IF(CABLES[[#This Row],[SEG40]]&gt;0,CABLES[[#This Row],[CABLE_DIAMETER]],0)</f>
        <v>0</v>
      </c>
      <c r="FM64" s="10">
        <f>IF(CABLES[[#This Row],[SEG41]]&gt;0,CABLES[[#This Row],[CABLE_DIAMETER]],0)</f>
        <v>12</v>
      </c>
      <c r="FN64" s="10">
        <f>IF(CABLES[[#This Row],[SEG42]]&gt;0,CABLES[[#This Row],[CABLE_DIAMETER]],0)</f>
        <v>0</v>
      </c>
      <c r="FO64" s="10">
        <f>IF(CABLES[[#This Row],[SEG43]]&gt;0,CABLES[[#This Row],[CABLE_DIAMETER]],0)</f>
        <v>0</v>
      </c>
      <c r="FP64" s="10">
        <f>IF(CABLES[[#This Row],[SEG44]]&gt;0,CABLES[[#This Row],[CABLE_DIAMETER]],0)</f>
        <v>0</v>
      </c>
      <c r="FQ64" s="10">
        <f>IF(CABLES[[#This Row],[SEG45]]&gt;0,CABLES[[#This Row],[CABLE_DIAMETER]],0)</f>
        <v>12</v>
      </c>
      <c r="FR64" s="10">
        <f>IF(CABLES[[#This Row],[SEG46]]&gt;0,CABLES[[#This Row],[CABLE_DIAMETER]],0)</f>
        <v>0</v>
      </c>
      <c r="FS64" s="10">
        <f>IF(CABLES[[#This Row],[SEG47]]&gt;0,CABLES[[#This Row],[CABLE_DIAMETER]],0)</f>
        <v>12</v>
      </c>
      <c r="FT64" s="10">
        <f>IF(CABLES[[#This Row],[SEG48]]&gt;0,CABLES[[#This Row],[CABLE_DIAMETER]],0)</f>
        <v>12</v>
      </c>
      <c r="FU64" s="10">
        <f>IF(CABLES[[#This Row],[SEG49]]&gt;0,CABLES[[#This Row],[CABLE_DIAMETER]],0)</f>
        <v>0</v>
      </c>
      <c r="FV64" s="10">
        <f>IF(CABLES[[#This Row],[SEG50]]&gt;0,CABLES[[#This Row],[CABLE_DIAMETER]],0)</f>
        <v>0</v>
      </c>
      <c r="FW64" s="10">
        <f>IF(CABLES[[#This Row],[SEG51]]&gt;0,CABLES[[#This Row],[CABLE_DIAMETER]],0)</f>
        <v>0</v>
      </c>
      <c r="FX64" s="10">
        <f>IF(CABLES[[#This Row],[SEG52]]&gt;0,CABLES[[#This Row],[CABLE_DIAMETER]],0)</f>
        <v>0</v>
      </c>
      <c r="FY64" s="10">
        <f>IF(CABLES[[#This Row],[SEG53]]&gt;0,CABLES[[#This Row],[CABLE_DIAMETER]],0)</f>
        <v>0</v>
      </c>
      <c r="FZ64" s="10">
        <f>IF(CABLES[[#This Row],[SEG54]]&gt;0,CABLES[[#This Row],[CABLE_DIAMETER]],0)</f>
        <v>0</v>
      </c>
      <c r="GA64" s="10">
        <f>IF(CABLES[[#This Row],[SEG55]]&gt;0,CABLES[[#This Row],[CABLE_DIAMETER]],0)</f>
        <v>0</v>
      </c>
      <c r="GB64" s="10">
        <f>IF(CABLES[[#This Row],[SEG56]]&gt;0,CABLES[[#This Row],[CABLE_DIAMETER]],0)</f>
        <v>0</v>
      </c>
      <c r="GC64" s="10">
        <f>IF(CABLES[[#This Row],[SEG57]]&gt;0,CABLES[[#This Row],[CABLE_DIAMETER]],0)</f>
        <v>0</v>
      </c>
      <c r="GD64" s="10">
        <f>IF(CABLES[[#This Row],[SEG58]]&gt;0,CABLES[[#This Row],[CABLE_DIAMETER]],0)</f>
        <v>0</v>
      </c>
      <c r="GE64" s="10">
        <f>IF(CABLES[[#This Row],[SEG59]]&gt;0,CABLES[[#This Row],[CABLE_DIAMETER]],0)</f>
        <v>0</v>
      </c>
      <c r="GF64" s="10">
        <f>IF(CABLES[[#This Row],[SEG60]]&gt;0,CABLES[[#This Row],[CABLE_DIAMETER]],0)</f>
        <v>0</v>
      </c>
      <c r="GG64" s="10">
        <f>IF(CABLES[[#This Row],[SEG1]]&gt;0,CABLES[[#This Row],[CABLE_MASS]],0)</f>
        <v>0</v>
      </c>
      <c r="GH64" s="10">
        <f>IF(CABLES[[#This Row],[SEG2]]&gt;0,CABLES[[#This Row],[CABLE_MASS]],0)</f>
        <v>0</v>
      </c>
      <c r="GI64" s="10">
        <f>IF(CABLES[[#This Row],[SEG3]]&gt;0,CABLES[[#This Row],[CABLE_MASS]],0)</f>
        <v>0</v>
      </c>
      <c r="GJ64" s="10">
        <f>IF(CABLES[[#This Row],[SEG4]]&gt;0,CABLES[[#This Row],[CABLE_MASS]],0)</f>
        <v>0</v>
      </c>
      <c r="GK64" s="10">
        <f>IF(CABLES[[#This Row],[SEG5]]&gt;0,CABLES[[#This Row],[CABLE_MASS]],0)</f>
        <v>0</v>
      </c>
      <c r="GL64" s="10">
        <f>IF(CABLES[[#This Row],[SEG6]]&gt;0,CABLES[[#This Row],[CABLE_MASS]],0)</f>
        <v>0</v>
      </c>
      <c r="GM64" s="10">
        <f>IF(CABLES[[#This Row],[SEG7]]&gt;0,CABLES[[#This Row],[CABLE_MASS]],0)</f>
        <v>0</v>
      </c>
      <c r="GN64" s="10">
        <f>IF(CABLES[[#This Row],[SEG8]]&gt;0,CABLES[[#This Row],[CABLE_MASS]],0)</f>
        <v>0</v>
      </c>
      <c r="GO64" s="10">
        <f>IF(CABLES[[#This Row],[SEG9]]&gt;0,CABLES[[#This Row],[CABLE_MASS]],0)</f>
        <v>0</v>
      </c>
      <c r="GP64" s="10">
        <f>IF(CABLES[[#This Row],[SEG10]]&gt;0,CABLES[[#This Row],[CABLE_MASS]],0)</f>
        <v>0</v>
      </c>
      <c r="GQ64" s="10">
        <f>IF(CABLES[[#This Row],[SEG11]]&gt;0,CABLES[[#This Row],[CABLE_MASS]],0)</f>
        <v>0</v>
      </c>
      <c r="GR64" s="10">
        <f>IF(CABLES[[#This Row],[SEG12]]&gt;0,CABLES[[#This Row],[CABLE_MASS]],0)</f>
        <v>0</v>
      </c>
      <c r="GS64" s="10">
        <f>IF(CABLES[[#This Row],[SEG13]]&gt;0,CABLES[[#This Row],[CABLE_MASS]],0)</f>
        <v>0</v>
      </c>
      <c r="GT64" s="10">
        <f>IF(CABLES[[#This Row],[SEG14]]&gt;0,CABLES[[#This Row],[CABLE_MASS]],0)</f>
        <v>0</v>
      </c>
      <c r="GU64" s="10">
        <f>IF(CABLES[[#This Row],[SEG15]]&gt;0,CABLES[[#This Row],[CABLE_MASS]],0)</f>
        <v>0</v>
      </c>
      <c r="GV64" s="10">
        <f>IF(CABLES[[#This Row],[SEG16]]&gt;0,CABLES[[#This Row],[CABLE_MASS]],0)</f>
        <v>0</v>
      </c>
      <c r="GW64" s="10">
        <f>IF(CABLES[[#This Row],[SEG17]]&gt;0,CABLES[[#This Row],[CABLE_MASS]],0)</f>
        <v>0</v>
      </c>
      <c r="GX64" s="10">
        <f>IF(CABLES[[#This Row],[SEG18]]&gt;0,CABLES[[#This Row],[CABLE_MASS]],0)</f>
        <v>0</v>
      </c>
      <c r="GY64" s="10">
        <f>IF(CABLES[[#This Row],[SEG19]]&gt;0,CABLES[[#This Row],[CABLE_MASS]],0)</f>
        <v>0</v>
      </c>
      <c r="GZ64" s="10">
        <f>IF(CABLES[[#This Row],[SEG20]]&gt;0,CABLES[[#This Row],[CABLE_MASS]],0)</f>
        <v>0</v>
      </c>
      <c r="HA64" s="10">
        <f>IF(CABLES[[#This Row],[SEG21]]&gt;0,CABLES[[#This Row],[CABLE_MASS]],0)</f>
        <v>0</v>
      </c>
      <c r="HB64" s="10">
        <f>IF(CABLES[[#This Row],[SEG22]]&gt;0,CABLES[[#This Row],[CABLE_MASS]],0)</f>
        <v>0</v>
      </c>
      <c r="HC64" s="10">
        <f>IF(CABLES[[#This Row],[SEG23]]&gt;0,CABLES[[#This Row],[CABLE_MASS]],0)</f>
        <v>0</v>
      </c>
      <c r="HD64" s="10">
        <f>IF(CABLES[[#This Row],[SEG24]]&gt;0,CABLES[[#This Row],[CABLE_MASS]],0)</f>
        <v>0</v>
      </c>
      <c r="HE64" s="10">
        <f>IF(CABLES[[#This Row],[SEG25]]&gt;0,CABLES[[#This Row],[CABLE_MASS]],0)</f>
        <v>0</v>
      </c>
      <c r="HF64" s="10">
        <f>IF(CABLES[[#This Row],[SEG26]]&gt;0,CABLES[[#This Row],[CABLE_MASS]],0)</f>
        <v>0</v>
      </c>
      <c r="HG64" s="10">
        <f>IF(CABLES[[#This Row],[SEG27]]&gt;0,CABLES[[#This Row],[CABLE_MASS]],0)</f>
        <v>0</v>
      </c>
      <c r="HH64" s="10">
        <f>IF(CABLES[[#This Row],[SEG28]]&gt;0,CABLES[[#This Row],[CABLE_MASS]],0)</f>
        <v>0</v>
      </c>
      <c r="HI64" s="10">
        <f>IF(CABLES[[#This Row],[SEG29]]&gt;0,CABLES[[#This Row],[CABLE_MASS]],0)</f>
        <v>0</v>
      </c>
      <c r="HJ64" s="10">
        <f>IF(CABLES[[#This Row],[SEG30]]&gt;0,CABLES[[#This Row],[CABLE_MASS]],0)</f>
        <v>0.21</v>
      </c>
      <c r="HK64" s="10">
        <f>IF(CABLES[[#This Row],[SEG31]]&gt;0,CABLES[[#This Row],[CABLE_MASS]],0)</f>
        <v>0.21</v>
      </c>
      <c r="HL64" s="10">
        <f>IF(CABLES[[#This Row],[SEG32]]&gt;0,CABLES[[#This Row],[CABLE_MASS]],0)</f>
        <v>0</v>
      </c>
      <c r="HM64" s="10">
        <f>IF(CABLES[[#This Row],[SEG33]]&gt;0,CABLES[[#This Row],[CABLE_MASS]],0)</f>
        <v>0</v>
      </c>
      <c r="HN64" s="10">
        <f>IF(CABLES[[#This Row],[SEG34]]&gt;0,CABLES[[#This Row],[CABLE_MASS]],0)</f>
        <v>0</v>
      </c>
      <c r="HO64" s="10">
        <f>IF(CABLES[[#This Row],[SEG35]]&gt;0,CABLES[[#This Row],[CABLE_MASS]],0)</f>
        <v>0</v>
      </c>
      <c r="HP64" s="10">
        <f>IF(CABLES[[#This Row],[SEG36]]&gt;0,CABLES[[#This Row],[CABLE_MASS]],0)</f>
        <v>0</v>
      </c>
      <c r="HQ64" s="10">
        <f>IF(CABLES[[#This Row],[SEG37]]&gt;0,CABLES[[#This Row],[CABLE_MASS]],0)</f>
        <v>0</v>
      </c>
      <c r="HR64" s="10">
        <f>IF(CABLES[[#This Row],[SEG38]]&gt;0,CABLES[[#This Row],[CABLE_MASS]],0)</f>
        <v>0</v>
      </c>
      <c r="HS64" s="10">
        <f>IF(CABLES[[#This Row],[SEG39]]&gt;0,CABLES[[#This Row],[CABLE_MASS]],0)</f>
        <v>0.21</v>
      </c>
      <c r="HT64" s="10">
        <f>IF(CABLES[[#This Row],[SEG40]]&gt;0,CABLES[[#This Row],[CABLE_MASS]],0)</f>
        <v>0</v>
      </c>
      <c r="HU64" s="10">
        <f>IF(CABLES[[#This Row],[SEG41]]&gt;0,CABLES[[#This Row],[CABLE_MASS]],0)</f>
        <v>0.21</v>
      </c>
      <c r="HV64" s="10">
        <f>IF(CABLES[[#This Row],[SEG42]]&gt;0,CABLES[[#This Row],[CABLE_MASS]],0)</f>
        <v>0</v>
      </c>
      <c r="HW64" s="10">
        <f>IF(CABLES[[#This Row],[SEG43]]&gt;0,CABLES[[#This Row],[CABLE_MASS]],0)</f>
        <v>0</v>
      </c>
      <c r="HX64" s="10">
        <f>IF(CABLES[[#This Row],[SEG44]]&gt;0,CABLES[[#This Row],[CABLE_MASS]],0)</f>
        <v>0</v>
      </c>
      <c r="HY64" s="10">
        <f>IF(CABLES[[#This Row],[SEG45]]&gt;0,CABLES[[#This Row],[CABLE_MASS]],0)</f>
        <v>0.21</v>
      </c>
      <c r="HZ64" s="10">
        <f>IF(CABLES[[#This Row],[SEG46]]&gt;0,CABLES[[#This Row],[CABLE_MASS]],0)</f>
        <v>0</v>
      </c>
      <c r="IA64" s="10">
        <f>IF(CABLES[[#This Row],[SEG47]]&gt;0,CABLES[[#This Row],[CABLE_MASS]],0)</f>
        <v>0.21</v>
      </c>
      <c r="IB64" s="10">
        <f>IF(CABLES[[#This Row],[SEG48]]&gt;0,CABLES[[#This Row],[CABLE_MASS]],0)</f>
        <v>0.21</v>
      </c>
      <c r="IC64" s="10">
        <f>IF(CABLES[[#This Row],[SEG49]]&gt;0,CABLES[[#This Row],[CABLE_MASS]],0)</f>
        <v>0</v>
      </c>
      <c r="ID64" s="10">
        <f>IF(CABLES[[#This Row],[SEG50]]&gt;0,CABLES[[#This Row],[CABLE_MASS]],0)</f>
        <v>0</v>
      </c>
      <c r="IE64" s="10">
        <f>IF(CABLES[[#This Row],[SEG51]]&gt;0,CABLES[[#This Row],[CABLE_MASS]],0)</f>
        <v>0</v>
      </c>
      <c r="IF64" s="10">
        <f>IF(CABLES[[#This Row],[SEG52]]&gt;0,CABLES[[#This Row],[CABLE_MASS]],0)</f>
        <v>0</v>
      </c>
      <c r="IG64" s="10">
        <f>IF(CABLES[[#This Row],[SEG53]]&gt;0,CABLES[[#This Row],[CABLE_MASS]],0)</f>
        <v>0</v>
      </c>
      <c r="IH64" s="10">
        <f>IF(CABLES[[#This Row],[SEG54]]&gt;0,CABLES[[#This Row],[CABLE_MASS]],0)</f>
        <v>0</v>
      </c>
      <c r="II64" s="10">
        <f>IF(CABLES[[#This Row],[SEG55]]&gt;0,CABLES[[#This Row],[CABLE_MASS]],0)</f>
        <v>0</v>
      </c>
      <c r="IJ64" s="10">
        <f>IF(CABLES[[#This Row],[SEG56]]&gt;0,CABLES[[#This Row],[CABLE_MASS]],0)</f>
        <v>0</v>
      </c>
      <c r="IK64" s="10">
        <f>IF(CABLES[[#This Row],[SEG57]]&gt;0,CABLES[[#This Row],[CABLE_MASS]],0)</f>
        <v>0</v>
      </c>
      <c r="IL64" s="10">
        <f>IF(CABLES[[#This Row],[SEG58]]&gt;0,CABLES[[#This Row],[CABLE_MASS]],0)</f>
        <v>0</v>
      </c>
      <c r="IM64" s="10">
        <f>IF(CABLES[[#This Row],[SEG59]]&gt;0,CABLES[[#This Row],[CABLE_MASS]],0)</f>
        <v>0</v>
      </c>
      <c r="IN64" s="10">
        <f>IF(CABLES[[#This Row],[SEG60]]&gt;0,CABLES[[#This Row],[CABLE_MASS]],0)</f>
        <v>0</v>
      </c>
      <c r="IO64" s="10">
        <f xml:space="preserve">  (CABLES[[#This Row],[LOAD_KW]]/(SQRT(3)*SYSTEM_VOLTAGE*POWER_FACTOR))*1000</f>
        <v>6.4150029909958413</v>
      </c>
      <c r="IP64" s="10">
        <v>45</v>
      </c>
      <c r="IQ64" s="10">
        <f xml:space="preserve"> INDEX(AS3000_AMBIENTDERATE[], MATCH(CABLES[[#This Row],[AMBIENT]],AS3000_AMBIENTDERATE[AMBIENT],0), 2)</f>
        <v>0.94</v>
      </c>
      <c r="IR64" s="10">
        <f xml:space="preserve"> ROUNDUP( CABLES[[#This Row],[CALCULATED_AMPS]]/CABLES[[#This Row],[AMBIENT_DERATING]],1)</f>
        <v>6.8999999999999995</v>
      </c>
      <c r="IS64" s="10" t="s">
        <v>531</v>
      </c>
      <c r="IT6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4" s="10">
        <f>SYSTEM_VOLTAGE * MAX_VDROP_PERCENT</f>
        <v>28.000000000000004</v>
      </c>
      <c r="IV64" s="10">
        <f>(1000*CABLES[[#This Row],[MAX_VDROP]])/(CABLES[[#This Row],[ESTIMATED_CABLE_LENGTH]]*CABLES[[#This Row],[AMP_RATING]])</f>
        <v>51.237007758746891</v>
      </c>
      <c r="IW64" s="10">
        <f xml:space="preserve"> INDEX(AS3000_VDROP[], MATCH(CABLES[[#This Row],[VC_CALC]],AS3000_VDROP[Vc],1),1)</f>
        <v>2.5</v>
      </c>
      <c r="IX64" s="10">
        <f>MAX(CABLES[[#This Row],[CABLESIZE_METHOD1]],CABLES[[#This Row],[CABLESIZE_METHOD2]])</f>
        <v>2.5</v>
      </c>
      <c r="IY64" s="10"/>
      <c r="IZ64" s="10">
        <f>IF(LEN(CABLES[[#This Row],[OVERRIDE_CABLESIZE]])&gt;0,CABLES[[#This Row],[OVERRIDE_CABLESIZE]],CABLES[[#This Row],[INITIAL_CABLESIZE]])</f>
        <v>2.5</v>
      </c>
      <c r="JA64" s="10">
        <f>INDEX(PROTECTIVE_DEVICE[DEVICE], MATCH(CABLES[[#This Row],[CALCULATED_AMPS]],PROTECTIVE_DEVICE[DEVICE],-1),1)</f>
        <v>10</v>
      </c>
      <c r="JB64" s="10"/>
      <c r="JC64" s="10">
        <f>IF(LEN(CABLES[[#This Row],[OVERRIDE_PDEVICE]])&gt;0, CABLES[[#This Row],[OVERRIDE_PDEVICE]],CABLES[[#This Row],[RECOMMEND_PDEVICE]])</f>
        <v>10</v>
      </c>
      <c r="JD64" s="10" t="s">
        <v>450</v>
      </c>
      <c r="JE64" s="10">
        <f xml:space="preserve"> CABLES[[#This Row],[SELECTED_PDEVICE]] * INDEX(DEVICE_CURVE[], MATCH(CABLES[[#This Row],[PDEVICE_CURVE]], DEVICE_CURVE[DEVICE_CURVE],0),2)</f>
        <v>65</v>
      </c>
      <c r="JF64" s="10" t="s">
        <v>458</v>
      </c>
      <c r="JG64" s="10">
        <f xml:space="preserve"> INDEX(CONDUCTOR_MATERIAL[], MATCH(CABLES[[#This Row],[CONDUCTOR_MATERIAL]],CONDUCTOR_MATERIAL[CONDUCTOR_MATERIAL],0),2)</f>
        <v>2.2499999999999999E-2</v>
      </c>
      <c r="JH64" s="10">
        <f>CABLES[[#This Row],[SELECTED_CABLESIZE]]</f>
        <v>2.5</v>
      </c>
      <c r="JI64" s="10">
        <f xml:space="preserve"> INDEX( EARTH_CONDUCTOR_SIZE[], MATCH(CABLES[[#This Row],[SPH]],EARTH_CONDUCTOR_SIZE[MM^2],-1), 2)</f>
        <v>2.5</v>
      </c>
      <c r="JJ64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4" s="10" t="str">
        <f>IF(CABLES[[#This Row],[LMAX]]&gt;CABLES[[#This Row],[ESTIMATED_CABLE_LENGTH]], "PASS", "ERROR")</f>
        <v>PASS</v>
      </c>
      <c r="JL6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6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64" s="6">
        <f xml:space="preserve"> ROUNDUP( CABLES[[#This Row],[CALCULATED_AMPS]],1)</f>
        <v>6.5</v>
      </c>
      <c r="JO64" s="6">
        <f>CABLES[[#This Row],[SELECTED_CABLESIZE]]</f>
        <v>2.5</v>
      </c>
      <c r="JP64" s="10">
        <f>CABLES[[#This Row],[ESTIMATED_CABLE_LENGTH]]</f>
        <v>79.2</v>
      </c>
      <c r="JQ64" s="6">
        <f>CABLES[[#This Row],[SELECTED_PDEVICE]]</f>
        <v>10</v>
      </c>
    </row>
    <row r="65" spans="1:277" x14ac:dyDescent="0.35">
      <c r="A65" s="5" t="s">
        <v>63</v>
      </c>
      <c r="B65" s="5" t="s">
        <v>519</v>
      </c>
      <c r="C65" s="10" t="s">
        <v>262</v>
      </c>
      <c r="D65" s="9">
        <v>7.5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1</v>
      </c>
      <c r="AI65" s="9">
        <v>1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1</v>
      </c>
      <c r="AR65" s="9">
        <v>0</v>
      </c>
      <c r="AS65" s="9">
        <v>1</v>
      </c>
      <c r="AT65" s="9">
        <v>0</v>
      </c>
      <c r="AU65" s="9">
        <v>0</v>
      </c>
      <c r="AV65" s="9">
        <v>0</v>
      </c>
      <c r="AW65" s="9">
        <v>1</v>
      </c>
      <c r="AX65" s="9">
        <v>0</v>
      </c>
      <c r="AY65" s="9">
        <v>1</v>
      </c>
      <c r="AZ65" s="9">
        <v>1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f xml:space="preserve"> IF(CABLES[[#This Row],[SEG1]] &gt;0, INDEX(SEGMENTS[], MATCH(CABLES[[#Headers],[SEG1]],SEGMENTS[SEG_ID],0),4),0)</f>
        <v>0</v>
      </c>
      <c r="BN65" s="9">
        <f xml:space="preserve"> IF(CABLES[[#This Row],[SEG2]] &gt;0, INDEX(SEGMENTS[], MATCH(CABLES[[#Headers],[SEG2]],SEGMENTS[SEG_ID],0),4),0)</f>
        <v>0</v>
      </c>
      <c r="BO65" s="9">
        <f xml:space="preserve"> IF(CABLES[[#This Row],[SEG3]] &gt;0, INDEX(SEGMENTS[], MATCH(CABLES[[#Headers],[SEG3]],SEGMENTS[SEG_ID],0),4),0)</f>
        <v>0</v>
      </c>
      <c r="BP65" s="9">
        <f xml:space="preserve"> IF(CABLES[[#This Row],[SEG4]] &gt;0, INDEX(SEGMENTS[], MATCH(CABLES[[#Headers],[SEG4]],SEGMENTS[SEG_ID],0),4),0)</f>
        <v>0</v>
      </c>
      <c r="BQ65" s="9">
        <f xml:space="preserve"> IF(CABLES[[#This Row],[SEG5]] &gt;0,INDEX(SEGMENTS[], MATCH(CABLES[[#Headers],[SEG5]],SEGMENTS[SEG_ID],0),4),0)</f>
        <v>0</v>
      </c>
      <c r="BR65" s="9">
        <f xml:space="preserve"> IF(CABLES[[#This Row],[SEG6]] &gt;0,INDEX(SEGMENTS[], MATCH(CABLES[[#Headers],[SEG6]],SEGMENTS[SEG_ID],0),4),0)</f>
        <v>0</v>
      </c>
      <c r="BS65" s="9">
        <f xml:space="preserve"> IF(CABLES[[#This Row],[SEG7]] &gt;0,INDEX(SEGMENTS[], MATCH(CABLES[[#Headers],[SEG7]],SEGMENTS[SEG_ID],0),4),0)</f>
        <v>0</v>
      </c>
      <c r="BT65" s="9">
        <f xml:space="preserve"> IF(CABLES[[#This Row],[SEG8]] &gt;0,INDEX(SEGMENTS[], MATCH(CABLES[[#Headers],[SEG8]],SEGMENTS[SEG_ID],0),4),0)</f>
        <v>0</v>
      </c>
      <c r="BU65" s="9">
        <f xml:space="preserve"> IF(CABLES[[#This Row],[SEG9]] &gt;0,INDEX(SEGMENTS[], MATCH(CABLES[[#Headers],[SEG9]],SEGMENTS[SEG_ID],0),4),0)</f>
        <v>0</v>
      </c>
      <c r="BV65" s="9">
        <f xml:space="preserve"> IF(CABLES[[#This Row],[SEG10]] &gt;0,INDEX(SEGMENTS[], MATCH(CABLES[[#Headers],[SEG10]],SEGMENTS[SEG_ID],0),4),0)</f>
        <v>0</v>
      </c>
      <c r="BW65" s="9">
        <f xml:space="preserve"> IF(CABLES[[#This Row],[SEG11]] &gt;0,INDEX(SEGMENTS[], MATCH(CABLES[[#Headers],[SEG11]],SEGMENTS[SEG_ID],0),4),0)</f>
        <v>0</v>
      </c>
      <c r="BX65" s="9">
        <f>IF(CABLES[[#This Row],[SEG12]] &gt;0, INDEX(SEGMENTS[], MATCH(CABLES[[#Headers],[SEG12]],SEGMENTS[SEG_ID],0),4),0)</f>
        <v>0</v>
      </c>
      <c r="BY65" s="9">
        <f xml:space="preserve"> IF(CABLES[[#This Row],[SEG13]] &gt;0,INDEX(SEGMENTS[], MATCH(CABLES[[#Headers],[SEG13]],SEGMENTS[SEG_ID],0),4),0)</f>
        <v>0</v>
      </c>
      <c r="BZ65" s="9">
        <f xml:space="preserve"> IF(CABLES[[#This Row],[SEG14]] &gt;0,INDEX(SEGMENTS[], MATCH(CABLES[[#Headers],[SEG14]],SEGMENTS[SEG_ID],0),4),0)</f>
        <v>0</v>
      </c>
      <c r="CA65" s="9">
        <f xml:space="preserve"> IF(CABLES[[#This Row],[SEG15]] &gt;0,INDEX(SEGMENTS[], MATCH(CABLES[[#Headers],[SEG15]],SEGMENTS[SEG_ID],0),4),0)</f>
        <v>0</v>
      </c>
      <c r="CB65" s="9">
        <f xml:space="preserve"> IF(CABLES[[#This Row],[SEG16]] &gt;0,INDEX(SEGMENTS[], MATCH(CABLES[[#Headers],[SEG16]],SEGMENTS[SEG_ID],0),4),0)</f>
        <v>0</v>
      </c>
      <c r="CC65" s="9">
        <f xml:space="preserve"> IF(CABLES[[#This Row],[SEG17]] &gt;0,INDEX(SEGMENTS[], MATCH(CABLES[[#Headers],[SEG17]],SEGMENTS[SEG_ID],0),4),0)</f>
        <v>0</v>
      </c>
      <c r="CD65" s="9">
        <f xml:space="preserve"> IF(CABLES[[#This Row],[SEG18]] &gt;0,INDEX(SEGMENTS[], MATCH(CABLES[[#Headers],[SEG18]],SEGMENTS[SEG_ID],0),4),0)</f>
        <v>0</v>
      </c>
      <c r="CE65" s="9">
        <f>IF(CABLES[[#This Row],[SEG19]] &gt;0, INDEX(SEGMENTS[], MATCH(CABLES[[#Headers],[SEG19]],SEGMENTS[SEG_ID],0),4),0)</f>
        <v>0</v>
      </c>
      <c r="CF65" s="9">
        <f>IF(CABLES[[#This Row],[SEG20]] &gt;0, INDEX(SEGMENTS[], MATCH(CABLES[[#Headers],[SEG20]],SEGMENTS[SEG_ID],0),4),0)</f>
        <v>0</v>
      </c>
      <c r="CG65" s="9">
        <f xml:space="preserve"> IF(CABLES[[#This Row],[SEG21]] &gt;0,INDEX(SEGMENTS[], MATCH(CABLES[[#Headers],[SEG21]],SEGMENTS[SEG_ID],0),4),0)</f>
        <v>0</v>
      </c>
      <c r="CH65" s="9">
        <f xml:space="preserve"> IF(CABLES[[#This Row],[SEG22]] &gt;0,INDEX(SEGMENTS[], MATCH(CABLES[[#Headers],[SEG22]],SEGMENTS[SEG_ID],0),4),0)</f>
        <v>0</v>
      </c>
      <c r="CI65" s="9">
        <f>IF(CABLES[[#This Row],[SEG23]] &gt;0, INDEX(SEGMENTS[], MATCH(CABLES[[#Headers],[SEG23]],SEGMENTS[SEG_ID],0),4),0)</f>
        <v>0</v>
      </c>
      <c r="CJ65" s="9">
        <f xml:space="preserve"> IF(CABLES[[#This Row],[SEG24]] &gt;0,INDEX(SEGMENTS[], MATCH(CABLES[[#Headers],[SEG24]],SEGMENTS[SEG_ID],0),4),0)</f>
        <v>0</v>
      </c>
      <c r="CK65" s="9">
        <f>IF(CABLES[[#This Row],[SEG25]] &gt;0, INDEX(SEGMENTS[], MATCH(CABLES[[#Headers],[SEG25]],SEGMENTS[SEG_ID],0),4),0)</f>
        <v>0</v>
      </c>
      <c r="CL65" s="9">
        <f>IF(CABLES[[#This Row],[SEG26]] &gt;0, INDEX(SEGMENTS[], MATCH(CABLES[[#Headers],[SEG26]],SEGMENTS[SEG_ID],0),4),0)</f>
        <v>0</v>
      </c>
      <c r="CM65" s="9">
        <f xml:space="preserve"> IF(CABLES[[#This Row],[SEG27]] &gt;0,INDEX(SEGMENTS[], MATCH(CABLES[[#Headers],[SEG27]],SEGMENTS[SEG_ID],0),4),0)</f>
        <v>0</v>
      </c>
      <c r="CN65" s="9">
        <f xml:space="preserve"> IF(CABLES[[#This Row],[SEG28]] &gt;0,INDEX(SEGMENTS[], MATCH(CABLES[[#Headers],[SEG28]],SEGMENTS[SEG_ID],0),4),0)</f>
        <v>0</v>
      </c>
      <c r="CO65" s="9">
        <f xml:space="preserve"> IF(CABLES[[#This Row],[SEG29]] &gt;0,INDEX(SEGMENTS[], MATCH(CABLES[[#Headers],[SEG29]],SEGMENTS[SEG_ID],0),4),0)</f>
        <v>0</v>
      </c>
      <c r="CP65" s="9">
        <f xml:space="preserve"> IF(CABLES[[#This Row],[SEG30]] &gt;0,INDEX(SEGMENTS[], MATCH(CABLES[[#Headers],[SEG30]],SEGMENTS[SEG_ID],0),4),0)</f>
        <v>6</v>
      </c>
      <c r="CQ65" s="9">
        <f>IF(CABLES[[#This Row],[SEG31]] &gt;0, INDEX(SEGMENTS[], MATCH(CABLES[[#Headers],[SEG31]],SEGMENTS[SEG_ID],0),4),0)</f>
        <v>3</v>
      </c>
      <c r="CR65" s="9">
        <f xml:space="preserve"> IF(CABLES[[#This Row],[SEG32]] &gt;0,INDEX(SEGMENTS[], MATCH(CABLES[[#Headers],[SEG32]],SEGMENTS[SEG_ID],0),4),0)</f>
        <v>0</v>
      </c>
      <c r="CS65" s="9">
        <f xml:space="preserve"> IF(CABLES[[#This Row],[SEG33]] &gt;0,INDEX(SEGMENTS[], MATCH(CABLES[[#Headers],[SEG33]],SEGMENTS[SEG_ID],0),4),0)</f>
        <v>0</v>
      </c>
      <c r="CT65" s="9">
        <f>IF(CABLES[[#This Row],[SEG34]] &gt;0, INDEX(SEGMENTS[], MATCH(CABLES[[#Headers],[SEG34]],SEGMENTS[SEG_ID],0),4),0)</f>
        <v>0</v>
      </c>
      <c r="CU65" s="9">
        <f xml:space="preserve"> IF(CABLES[[#This Row],[SEG35]] &gt;0,INDEX(SEGMENTS[], MATCH(CABLES[[#Headers],[SEG35]],SEGMENTS[SEG_ID],0),4),0)</f>
        <v>0</v>
      </c>
      <c r="CV65" s="9">
        <f xml:space="preserve"> IF(CABLES[[#This Row],[SEG36]] &gt;0,INDEX(SEGMENTS[], MATCH(CABLES[[#Headers],[SEG36]],SEGMENTS[SEG_ID],0),4),0)</f>
        <v>0</v>
      </c>
      <c r="CW65" s="9">
        <f xml:space="preserve"> IF(CABLES[[#This Row],[SEG37]] &gt;0,INDEX(SEGMENTS[], MATCH(CABLES[[#Headers],[SEG37]],SEGMENTS[SEG_ID],0),4),0)</f>
        <v>0</v>
      </c>
      <c r="CX65" s="9">
        <f xml:space="preserve"> IF(CABLES[[#This Row],[SEG38]] &gt;0,INDEX(SEGMENTS[], MATCH(CABLES[[#Headers],[SEG38]],SEGMENTS[SEG_ID],0),4),0)</f>
        <v>0</v>
      </c>
      <c r="CY65" s="9">
        <f xml:space="preserve"> IF(CABLES[[#This Row],[SEG39]] &gt;0,INDEX(SEGMENTS[], MATCH(CABLES[[#Headers],[SEG39]],SEGMENTS[SEG_ID],0),4),0)</f>
        <v>8</v>
      </c>
      <c r="CZ65" s="9">
        <f xml:space="preserve"> IF(CABLES[[#This Row],[SEG40]] &gt;0,INDEX(SEGMENTS[], MATCH(CABLES[[#Headers],[SEG40]],SEGMENTS[SEG_ID],0),4),0)</f>
        <v>0</v>
      </c>
      <c r="DA65" s="9">
        <f xml:space="preserve"> IF(CABLES[[#This Row],[SEG41]] &gt;0,INDEX(SEGMENTS[], MATCH(CABLES[[#Headers],[SEG41]],SEGMENTS[SEG_ID],0),4),0)</f>
        <v>8</v>
      </c>
      <c r="DB65" s="9">
        <f xml:space="preserve"> IF(CABLES[[#This Row],[SEG42]] &gt;0,INDEX(SEGMENTS[], MATCH(CABLES[[#Headers],[SEG42]],SEGMENTS[SEG_ID],0),4),0)</f>
        <v>0</v>
      </c>
      <c r="DC65" s="9">
        <f xml:space="preserve"> IF(CABLES[[#This Row],[SEG43]] &gt;0,INDEX(SEGMENTS[], MATCH(CABLES[[#Headers],[SEG43]],SEGMENTS[SEG_ID],0),4),0)</f>
        <v>0</v>
      </c>
      <c r="DD65" s="9">
        <f xml:space="preserve"> IF(CABLES[[#This Row],[SEG44]] &gt;0,INDEX(SEGMENTS[], MATCH(CABLES[[#Headers],[SEG44]],SEGMENTS[SEG_ID],0),4),0)</f>
        <v>0</v>
      </c>
      <c r="DE65" s="9">
        <f xml:space="preserve"> IF(CABLES[[#This Row],[SEG45]] &gt;0,INDEX(SEGMENTS[], MATCH(CABLES[[#Headers],[SEG45]],SEGMENTS[SEG_ID],0),4),0)</f>
        <v>9</v>
      </c>
      <c r="DF65" s="9">
        <f xml:space="preserve"> IF(CABLES[[#This Row],[SEG46]] &gt;0,INDEX(SEGMENTS[], MATCH(CABLES[[#Headers],[SEG46]],SEGMENTS[SEG_ID],0),4),0)</f>
        <v>0</v>
      </c>
      <c r="DG65" s="9">
        <f xml:space="preserve"> IF(CABLES[[#This Row],[SEG47]] &gt;0,INDEX(SEGMENTS[], MATCH(CABLES[[#Headers],[SEG47]],SEGMENTS[SEG_ID],0),4),0)</f>
        <v>12</v>
      </c>
      <c r="DH65" s="9">
        <f xml:space="preserve"> IF(CABLES[[#This Row],[SEG48]] &gt;0,INDEX(SEGMENTS[], MATCH(CABLES[[#Headers],[SEG48]],SEGMENTS[SEG_ID],0),4),0)</f>
        <v>15</v>
      </c>
      <c r="DI65" s="9">
        <f xml:space="preserve"> IF(CABLES[[#This Row],[SEG49]] &gt;0,INDEX(SEGMENTS[], MATCH(CABLES[[#Headers],[SEG49]],SEGMENTS[SEG_ID],0),4),0)</f>
        <v>0</v>
      </c>
      <c r="DJ65" s="9">
        <f xml:space="preserve"> IF(CABLES[[#This Row],[SEG50]] &gt;0,INDEX(SEGMENTS[], MATCH(CABLES[[#Headers],[SEG50]],SEGMENTS[SEG_ID],0),4),0)</f>
        <v>0</v>
      </c>
      <c r="DK65" s="9">
        <f xml:space="preserve"> IF(CABLES[[#This Row],[SEG51]] &gt;0,INDEX(SEGMENTS[], MATCH(CABLES[[#Headers],[SEG51]],SEGMENTS[SEG_ID],0),4),0)</f>
        <v>0</v>
      </c>
      <c r="DL65" s="9">
        <f xml:space="preserve"> IF(CABLES[[#This Row],[SEG52]] &gt;0,INDEX(SEGMENTS[], MATCH(CABLES[[#Headers],[SEG52]],SEGMENTS[SEG_ID],0),4),0)</f>
        <v>0</v>
      </c>
      <c r="DM65" s="9">
        <f xml:space="preserve"> IF(CABLES[[#This Row],[SEG53]] &gt;0,INDEX(SEGMENTS[], MATCH(CABLES[[#Headers],[SEG53]],SEGMENTS[SEG_ID],0),4),0)</f>
        <v>0</v>
      </c>
      <c r="DN65" s="9">
        <f xml:space="preserve"> IF(CABLES[[#This Row],[SEG54]] &gt;0,INDEX(SEGMENTS[], MATCH(CABLES[[#Headers],[SEG54]],SEGMENTS[SEG_ID],0),4),0)</f>
        <v>0</v>
      </c>
      <c r="DO65" s="9">
        <f xml:space="preserve"> IF(CABLES[[#This Row],[SEG55]] &gt;0,INDEX(SEGMENTS[], MATCH(CABLES[[#Headers],[SEG55]],SEGMENTS[SEG_ID],0),4),0)</f>
        <v>0</v>
      </c>
      <c r="DP65" s="9">
        <f xml:space="preserve"> IF(CABLES[[#This Row],[SEG56]] &gt;0,INDEX(SEGMENTS[], MATCH(CABLES[[#Headers],[SEG56]],SEGMENTS[SEG_ID],0),4),0)</f>
        <v>0</v>
      </c>
      <c r="DQ65" s="9">
        <f xml:space="preserve"> IF(CABLES[[#This Row],[SEG57]] &gt;0,INDEX(SEGMENTS[], MATCH(CABLES[[#Headers],[SEG57]],SEGMENTS[SEG_ID],0),4),0)</f>
        <v>0</v>
      </c>
      <c r="DR65" s="9">
        <f xml:space="preserve"> IF(CABLES[[#This Row],[SEG58]] &gt;0,INDEX(SEGMENTS[], MATCH(CABLES[[#Headers],[SEG58]],SEGMENTS[SEG_ID],0),4),0)</f>
        <v>0</v>
      </c>
      <c r="DS65" s="9">
        <f xml:space="preserve"> IF(CABLES[[#This Row],[SEG59]] &gt;0,INDEX(SEGMENTS[], MATCH(CABLES[[#Headers],[SEG59]],SEGMENTS[SEG_ID],0),4),0)</f>
        <v>0</v>
      </c>
      <c r="DT65" s="9">
        <f xml:space="preserve"> IF(CABLES[[#This Row],[SEG60]] &gt;0,INDEX(SEGMENTS[], MATCH(CABLES[[#Headers],[SEG60]],SEGMENTS[SEG_ID],0),4),0)</f>
        <v>0</v>
      </c>
      <c r="DU65" s="10">
        <f>SUM(CABLES[[#This Row],[SEGL1]:[SEGL60]])</f>
        <v>61</v>
      </c>
      <c r="DV65" s="10">
        <v>5</v>
      </c>
      <c r="DW65" s="10">
        <v>1.2</v>
      </c>
      <c r="DX65" s="10">
        <f xml:space="preserve"> IF(CABLES[[#This Row],[SEGL_TOTAL]]&gt;0, (CABLES[[#This Row],[SEGL_TOTAL]] + CABLES[[#This Row],[FITOFF]]) *CABLES[[#This Row],[XCAPACITY]],0)</f>
        <v>79.2</v>
      </c>
      <c r="DY65" s="10">
        <f>IF(CABLES[[#This Row],[SEG1]]&gt;0,CABLES[[#This Row],[CABLE_DIAMETER]],0)</f>
        <v>0</v>
      </c>
      <c r="DZ65" s="10">
        <f>IF(CABLES[[#This Row],[SEG2]]&gt;0,CABLES[[#This Row],[CABLE_DIAMETER]],0)</f>
        <v>0</v>
      </c>
      <c r="EA65" s="10">
        <f>IF(CABLES[[#This Row],[SEG3]]&gt;0,CABLES[[#This Row],[CABLE_DIAMETER]],0)</f>
        <v>0</v>
      </c>
      <c r="EB65" s="10">
        <f>IF(CABLES[[#This Row],[SEG4]]&gt;0,CABLES[[#This Row],[CABLE_DIAMETER]],0)</f>
        <v>0</v>
      </c>
      <c r="EC65" s="10">
        <f>IF(CABLES[[#This Row],[SEG5]]&gt;0,CABLES[[#This Row],[CABLE_DIAMETER]],0)</f>
        <v>0</v>
      </c>
      <c r="ED65" s="10">
        <f>IF(CABLES[[#This Row],[SEG6]]&gt;0,CABLES[[#This Row],[CABLE_DIAMETER]],0)</f>
        <v>0</v>
      </c>
      <c r="EE65" s="10">
        <f>IF(CABLES[[#This Row],[SEG7]]&gt;0,CABLES[[#This Row],[CABLE_DIAMETER]],0)</f>
        <v>0</v>
      </c>
      <c r="EF65" s="10">
        <f>IF(CABLES[[#This Row],[SEG9]]&gt;0,CABLES[[#This Row],[CABLE_DIAMETER]],0)</f>
        <v>0</v>
      </c>
      <c r="EG65" s="10">
        <f>IF(CABLES[[#This Row],[SEG9]]&gt;0,CABLES[[#This Row],[CABLE_DIAMETER]],0)</f>
        <v>0</v>
      </c>
      <c r="EH65" s="10">
        <f>IF(CABLES[[#This Row],[SEG10]]&gt;0,CABLES[[#This Row],[CABLE_DIAMETER]],0)</f>
        <v>0</v>
      </c>
      <c r="EI65" s="10">
        <f>IF(CABLES[[#This Row],[SEG11]]&gt;0,CABLES[[#This Row],[CABLE_DIAMETER]],0)</f>
        <v>0</v>
      </c>
      <c r="EJ65" s="10">
        <f>IF(CABLES[[#This Row],[SEG12]]&gt;0,CABLES[[#This Row],[CABLE_DIAMETER]],0)</f>
        <v>0</v>
      </c>
      <c r="EK65" s="10">
        <f>IF(CABLES[[#This Row],[SEG13]]&gt;0,CABLES[[#This Row],[CABLE_DIAMETER]],0)</f>
        <v>0</v>
      </c>
      <c r="EL65" s="10">
        <f>IF(CABLES[[#This Row],[SEG14]]&gt;0,CABLES[[#This Row],[CABLE_DIAMETER]],0)</f>
        <v>0</v>
      </c>
      <c r="EM65" s="10">
        <f>IF(CABLES[[#This Row],[SEG15]]&gt;0,CABLES[[#This Row],[CABLE_DIAMETER]],0)</f>
        <v>0</v>
      </c>
      <c r="EN65" s="10">
        <f>IF(CABLES[[#This Row],[SEG16]]&gt;0,CABLES[[#This Row],[CABLE_DIAMETER]],0)</f>
        <v>0</v>
      </c>
      <c r="EO65" s="10">
        <f>IF(CABLES[[#This Row],[SEG17]]&gt;0,CABLES[[#This Row],[CABLE_DIAMETER]],0)</f>
        <v>0</v>
      </c>
      <c r="EP65" s="10">
        <f>IF(CABLES[[#This Row],[SEG18]]&gt;0,CABLES[[#This Row],[CABLE_DIAMETER]],0)</f>
        <v>0</v>
      </c>
      <c r="EQ65" s="10">
        <f>IF(CABLES[[#This Row],[SEG19]]&gt;0,CABLES[[#This Row],[CABLE_DIAMETER]],0)</f>
        <v>0</v>
      </c>
      <c r="ER65" s="10">
        <f>IF(CABLES[[#This Row],[SEG20]]&gt;0,CABLES[[#This Row],[CABLE_DIAMETER]],0)</f>
        <v>0</v>
      </c>
      <c r="ES65" s="10">
        <f>IF(CABLES[[#This Row],[SEG21]]&gt;0,CABLES[[#This Row],[CABLE_DIAMETER]],0)</f>
        <v>0</v>
      </c>
      <c r="ET65" s="10">
        <f>IF(CABLES[[#This Row],[SEG22]]&gt;0,CABLES[[#This Row],[CABLE_DIAMETER]],0)</f>
        <v>0</v>
      </c>
      <c r="EU65" s="10">
        <f>IF(CABLES[[#This Row],[SEG23]]&gt;0,CABLES[[#This Row],[CABLE_DIAMETER]],0)</f>
        <v>0</v>
      </c>
      <c r="EV65" s="10">
        <f>IF(CABLES[[#This Row],[SEG24]]&gt;0,CABLES[[#This Row],[CABLE_DIAMETER]],0)</f>
        <v>0</v>
      </c>
      <c r="EW65" s="10">
        <f>IF(CABLES[[#This Row],[SEG25]]&gt;0,CABLES[[#This Row],[CABLE_DIAMETER]],0)</f>
        <v>0</v>
      </c>
      <c r="EX65" s="10">
        <f>IF(CABLES[[#This Row],[SEG26]]&gt;0,CABLES[[#This Row],[CABLE_DIAMETER]],0)</f>
        <v>0</v>
      </c>
      <c r="EY65" s="10">
        <f>IF(CABLES[[#This Row],[SEG27]]&gt;0,CABLES[[#This Row],[CABLE_DIAMETER]],0)</f>
        <v>0</v>
      </c>
      <c r="EZ65" s="10">
        <f>IF(CABLES[[#This Row],[SEG28]]&gt;0,CABLES[[#This Row],[CABLE_DIAMETER]],0)</f>
        <v>0</v>
      </c>
      <c r="FA65" s="10">
        <f>IF(CABLES[[#This Row],[SEG29]]&gt;0,CABLES[[#This Row],[CABLE_DIAMETER]],0)</f>
        <v>0</v>
      </c>
      <c r="FB65" s="10">
        <f>IF(CABLES[[#This Row],[SEG30]]&gt;0,CABLES[[#This Row],[CABLE_DIAMETER]],0)</f>
        <v>12</v>
      </c>
      <c r="FC65" s="10">
        <f>IF(CABLES[[#This Row],[SEG31]]&gt;0,CABLES[[#This Row],[CABLE_DIAMETER]],0)</f>
        <v>12</v>
      </c>
      <c r="FD65" s="10">
        <f>IF(CABLES[[#This Row],[SEG32]]&gt;0,CABLES[[#This Row],[CABLE_DIAMETER]],0)</f>
        <v>0</v>
      </c>
      <c r="FE65" s="10">
        <f>IF(CABLES[[#This Row],[SEG33]]&gt;0,CABLES[[#This Row],[CABLE_DIAMETER]],0)</f>
        <v>0</v>
      </c>
      <c r="FF65" s="10">
        <f>IF(CABLES[[#This Row],[SEG34]]&gt;0,CABLES[[#This Row],[CABLE_DIAMETER]],0)</f>
        <v>0</v>
      </c>
      <c r="FG65" s="10">
        <f>IF(CABLES[[#This Row],[SEG35]]&gt;0,CABLES[[#This Row],[CABLE_DIAMETER]],0)</f>
        <v>0</v>
      </c>
      <c r="FH65" s="10">
        <f>IF(CABLES[[#This Row],[SEG36]]&gt;0,CABLES[[#This Row],[CABLE_DIAMETER]],0)</f>
        <v>0</v>
      </c>
      <c r="FI65" s="10">
        <f>IF(CABLES[[#This Row],[SEG37]]&gt;0,CABLES[[#This Row],[CABLE_DIAMETER]],0)</f>
        <v>0</v>
      </c>
      <c r="FJ65" s="10">
        <f>IF(CABLES[[#This Row],[SEG38]]&gt;0,CABLES[[#This Row],[CABLE_DIAMETER]],0)</f>
        <v>0</v>
      </c>
      <c r="FK65" s="10">
        <f>IF(CABLES[[#This Row],[SEG39]]&gt;0,CABLES[[#This Row],[CABLE_DIAMETER]],0)</f>
        <v>12</v>
      </c>
      <c r="FL65" s="10">
        <f>IF(CABLES[[#This Row],[SEG40]]&gt;0,CABLES[[#This Row],[CABLE_DIAMETER]],0)</f>
        <v>0</v>
      </c>
      <c r="FM65" s="10">
        <f>IF(CABLES[[#This Row],[SEG41]]&gt;0,CABLES[[#This Row],[CABLE_DIAMETER]],0)</f>
        <v>12</v>
      </c>
      <c r="FN65" s="10">
        <f>IF(CABLES[[#This Row],[SEG42]]&gt;0,CABLES[[#This Row],[CABLE_DIAMETER]],0)</f>
        <v>0</v>
      </c>
      <c r="FO65" s="10">
        <f>IF(CABLES[[#This Row],[SEG43]]&gt;0,CABLES[[#This Row],[CABLE_DIAMETER]],0)</f>
        <v>0</v>
      </c>
      <c r="FP65" s="10">
        <f>IF(CABLES[[#This Row],[SEG44]]&gt;0,CABLES[[#This Row],[CABLE_DIAMETER]],0)</f>
        <v>0</v>
      </c>
      <c r="FQ65" s="10">
        <f>IF(CABLES[[#This Row],[SEG45]]&gt;0,CABLES[[#This Row],[CABLE_DIAMETER]],0)</f>
        <v>12</v>
      </c>
      <c r="FR65" s="10">
        <f>IF(CABLES[[#This Row],[SEG46]]&gt;0,CABLES[[#This Row],[CABLE_DIAMETER]],0)</f>
        <v>0</v>
      </c>
      <c r="FS65" s="10">
        <f>IF(CABLES[[#This Row],[SEG47]]&gt;0,CABLES[[#This Row],[CABLE_DIAMETER]],0)</f>
        <v>12</v>
      </c>
      <c r="FT65" s="10">
        <f>IF(CABLES[[#This Row],[SEG48]]&gt;0,CABLES[[#This Row],[CABLE_DIAMETER]],0)</f>
        <v>12</v>
      </c>
      <c r="FU65" s="10">
        <f>IF(CABLES[[#This Row],[SEG49]]&gt;0,CABLES[[#This Row],[CABLE_DIAMETER]],0)</f>
        <v>0</v>
      </c>
      <c r="FV65" s="10">
        <f>IF(CABLES[[#This Row],[SEG50]]&gt;0,CABLES[[#This Row],[CABLE_DIAMETER]],0)</f>
        <v>0</v>
      </c>
      <c r="FW65" s="10">
        <f>IF(CABLES[[#This Row],[SEG51]]&gt;0,CABLES[[#This Row],[CABLE_DIAMETER]],0)</f>
        <v>0</v>
      </c>
      <c r="FX65" s="10">
        <f>IF(CABLES[[#This Row],[SEG52]]&gt;0,CABLES[[#This Row],[CABLE_DIAMETER]],0)</f>
        <v>0</v>
      </c>
      <c r="FY65" s="10">
        <f>IF(CABLES[[#This Row],[SEG53]]&gt;0,CABLES[[#This Row],[CABLE_DIAMETER]],0)</f>
        <v>0</v>
      </c>
      <c r="FZ65" s="10">
        <f>IF(CABLES[[#This Row],[SEG54]]&gt;0,CABLES[[#This Row],[CABLE_DIAMETER]],0)</f>
        <v>0</v>
      </c>
      <c r="GA65" s="10">
        <f>IF(CABLES[[#This Row],[SEG55]]&gt;0,CABLES[[#This Row],[CABLE_DIAMETER]],0)</f>
        <v>0</v>
      </c>
      <c r="GB65" s="10">
        <f>IF(CABLES[[#This Row],[SEG56]]&gt;0,CABLES[[#This Row],[CABLE_DIAMETER]],0)</f>
        <v>0</v>
      </c>
      <c r="GC65" s="10">
        <f>IF(CABLES[[#This Row],[SEG57]]&gt;0,CABLES[[#This Row],[CABLE_DIAMETER]],0)</f>
        <v>0</v>
      </c>
      <c r="GD65" s="10">
        <f>IF(CABLES[[#This Row],[SEG58]]&gt;0,CABLES[[#This Row],[CABLE_DIAMETER]],0)</f>
        <v>0</v>
      </c>
      <c r="GE65" s="10">
        <f>IF(CABLES[[#This Row],[SEG59]]&gt;0,CABLES[[#This Row],[CABLE_DIAMETER]],0)</f>
        <v>0</v>
      </c>
      <c r="GF65" s="10">
        <f>IF(CABLES[[#This Row],[SEG60]]&gt;0,CABLES[[#This Row],[CABLE_DIAMETER]],0)</f>
        <v>0</v>
      </c>
      <c r="GG65" s="10">
        <f>IF(CABLES[[#This Row],[SEG1]]&gt;0,CABLES[[#This Row],[CABLE_MASS]],0)</f>
        <v>0</v>
      </c>
      <c r="GH65" s="10">
        <f>IF(CABLES[[#This Row],[SEG2]]&gt;0,CABLES[[#This Row],[CABLE_MASS]],0)</f>
        <v>0</v>
      </c>
      <c r="GI65" s="10">
        <f>IF(CABLES[[#This Row],[SEG3]]&gt;0,CABLES[[#This Row],[CABLE_MASS]],0)</f>
        <v>0</v>
      </c>
      <c r="GJ65" s="10">
        <f>IF(CABLES[[#This Row],[SEG4]]&gt;0,CABLES[[#This Row],[CABLE_MASS]],0)</f>
        <v>0</v>
      </c>
      <c r="GK65" s="10">
        <f>IF(CABLES[[#This Row],[SEG5]]&gt;0,CABLES[[#This Row],[CABLE_MASS]],0)</f>
        <v>0</v>
      </c>
      <c r="GL65" s="10">
        <f>IF(CABLES[[#This Row],[SEG6]]&gt;0,CABLES[[#This Row],[CABLE_MASS]],0)</f>
        <v>0</v>
      </c>
      <c r="GM65" s="10">
        <f>IF(CABLES[[#This Row],[SEG7]]&gt;0,CABLES[[#This Row],[CABLE_MASS]],0)</f>
        <v>0</v>
      </c>
      <c r="GN65" s="10">
        <f>IF(CABLES[[#This Row],[SEG8]]&gt;0,CABLES[[#This Row],[CABLE_MASS]],0)</f>
        <v>0</v>
      </c>
      <c r="GO65" s="10">
        <f>IF(CABLES[[#This Row],[SEG9]]&gt;0,CABLES[[#This Row],[CABLE_MASS]],0)</f>
        <v>0</v>
      </c>
      <c r="GP65" s="10">
        <f>IF(CABLES[[#This Row],[SEG10]]&gt;0,CABLES[[#This Row],[CABLE_MASS]],0)</f>
        <v>0</v>
      </c>
      <c r="GQ65" s="10">
        <f>IF(CABLES[[#This Row],[SEG11]]&gt;0,CABLES[[#This Row],[CABLE_MASS]],0)</f>
        <v>0</v>
      </c>
      <c r="GR65" s="10">
        <f>IF(CABLES[[#This Row],[SEG12]]&gt;0,CABLES[[#This Row],[CABLE_MASS]],0)</f>
        <v>0</v>
      </c>
      <c r="GS65" s="10">
        <f>IF(CABLES[[#This Row],[SEG13]]&gt;0,CABLES[[#This Row],[CABLE_MASS]],0)</f>
        <v>0</v>
      </c>
      <c r="GT65" s="10">
        <f>IF(CABLES[[#This Row],[SEG14]]&gt;0,CABLES[[#This Row],[CABLE_MASS]],0)</f>
        <v>0</v>
      </c>
      <c r="GU65" s="10">
        <f>IF(CABLES[[#This Row],[SEG15]]&gt;0,CABLES[[#This Row],[CABLE_MASS]],0)</f>
        <v>0</v>
      </c>
      <c r="GV65" s="10">
        <f>IF(CABLES[[#This Row],[SEG16]]&gt;0,CABLES[[#This Row],[CABLE_MASS]],0)</f>
        <v>0</v>
      </c>
      <c r="GW65" s="10">
        <f>IF(CABLES[[#This Row],[SEG17]]&gt;0,CABLES[[#This Row],[CABLE_MASS]],0)</f>
        <v>0</v>
      </c>
      <c r="GX65" s="10">
        <f>IF(CABLES[[#This Row],[SEG18]]&gt;0,CABLES[[#This Row],[CABLE_MASS]],0)</f>
        <v>0</v>
      </c>
      <c r="GY65" s="10">
        <f>IF(CABLES[[#This Row],[SEG19]]&gt;0,CABLES[[#This Row],[CABLE_MASS]],0)</f>
        <v>0</v>
      </c>
      <c r="GZ65" s="10">
        <f>IF(CABLES[[#This Row],[SEG20]]&gt;0,CABLES[[#This Row],[CABLE_MASS]],0)</f>
        <v>0</v>
      </c>
      <c r="HA65" s="10">
        <f>IF(CABLES[[#This Row],[SEG21]]&gt;0,CABLES[[#This Row],[CABLE_MASS]],0)</f>
        <v>0</v>
      </c>
      <c r="HB65" s="10">
        <f>IF(CABLES[[#This Row],[SEG22]]&gt;0,CABLES[[#This Row],[CABLE_MASS]],0)</f>
        <v>0</v>
      </c>
      <c r="HC65" s="10">
        <f>IF(CABLES[[#This Row],[SEG23]]&gt;0,CABLES[[#This Row],[CABLE_MASS]],0)</f>
        <v>0</v>
      </c>
      <c r="HD65" s="10">
        <f>IF(CABLES[[#This Row],[SEG24]]&gt;0,CABLES[[#This Row],[CABLE_MASS]],0)</f>
        <v>0</v>
      </c>
      <c r="HE65" s="10">
        <f>IF(CABLES[[#This Row],[SEG25]]&gt;0,CABLES[[#This Row],[CABLE_MASS]],0)</f>
        <v>0</v>
      </c>
      <c r="HF65" s="10">
        <f>IF(CABLES[[#This Row],[SEG26]]&gt;0,CABLES[[#This Row],[CABLE_MASS]],0)</f>
        <v>0</v>
      </c>
      <c r="HG65" s="10">
        <f>IF(CABLES[[#This Row],[SEG27]]&gt;0,CABLES[[#This Row],[CABLE_MASS]],0)</f>
        <v>0</v>
      </c>
      <c r="HH65" s="10">
        <f>IF(CABLES[[#This Row],[SEG28]]&gt;0,CABLES[[#This Row],[CABLE_MASS]],0)</f>
        <v>0</v>
      </c>
      <c r="HI65" s="10">
        <f>IF(CABLES[[#This Row],[SEG29]]&gt;0,CABLES[[#This Row],[CABLE_MASS]],0)</f>
        <v>0</v>
      </c>
      <c r="HJ65" s="10">
        <f>IF(CABLES[[#This Row],[SEG30]]&gt;0,CABLES[[#This Row],[CABLE_MASS]],0)</f>
        <v>0.21</v>
      </c>
      <c r="HK65" s="10">
        <f>IF(CABLES[[#This Row],[SEG31]]&gt;0,CABLES[[#This Row],[CABLE_MASS]],0)</f>
        <v>0.21</v>
      </c>
      <c r="HL65" s="10">
        <f>IF(CABLES[[#This Row],[SEG32]]&gt;0,CABLES[[#This Row],[CABLE_MASS]],0)</f>
        <v>0</v>
      </c>
      <c r="HM65" s="10">
        <f>IF(CABLES[[#This Row],[SEG33]]&gt;0,CABLES[[#This Row],[CABLE_MASS]],0)</f>
        <v>0</v>
      </c>
      <c r="HN65" s="10">
        <f>IF(CABLES[[#This Row],[SEG34]]&gt;0,CABLES[[#This Row],[CABLE_MASS]],0)</f>
        <v>0</v>
      </c>
      <c r="HO65" s="10">
        <f>IF(CABLES[[#This Row],[SEG35]]&gt;0,CABLES[[#This Row],[CABLE_MASS]],0)</f>
        <v>0</v>
      </c>
      <c r="HP65" s="10">
        <f>IF(CABLES[[#This Row],[SEG36]]&gt;0,CABLES[[#This Row],[CABLE_MASS]],0)</f>
        <v>0</v>
      </c>
      <c r="HQ65" s="10">
        <f>IF(CABLES[[#This Row],[SEG37]]&gt;0,CABLES[[#This Row],[CABLE_MASS]],0)</f>
        <v>0</v>
      </c>
      <c r="HR65" s="10">
        <f>IF(CABLES[[#This Row],[SEG38]]&gt;0,CABLES[[#This Row],[CABLE_MASS]],0)</f>
        <v>0</v>
      </c>
      <c r="HS65" s="10">
        <f>IF(CABLES[[#This Row],[SEG39]]&gt;0,CABLES[[#This Row],[CABLE_MASS]],0)</f>
        <v>0.21</v>
      </c>
      <c r="HT65" s="10">
        <f>IF(CABLES[[#This Row],[SEG40]]&gt;0,CABLES[[#This Row],[CABLE_MASS]],0)</f>
        <v>0</v>
      </c>
      <c r="HU65" s="10">
        <f>IF(CABLES[[#This Row],[SEG41]]&gt;0,CABLES[[#This Row],[CABLE_MASS]],0)</f>
        <v>0.21</v>
      </c>
      <c r="HV65" s="10">
        <f>IF(CABLES[[#This Row],[SEG42]]&gt;0,CABLES[[#This Row],[CABLE_MASS]],0)</f>
        <v>0</v>
      </c>
      <c r="HW65" s="10">
        <f>IF(CABLES[[#This Row],[SEG43]]&gt;0,CABLES[[#This Row],[CABLE_MASS]],0)</f>
        <v>0</v>
      </c>
      <c r="HX65" s="10">
        <f>IF(CABLES[[#This Row],[SEG44]]&gt;0,CABLES[[#This Row],[CABLE_MASS]],0)</f>
        <v>0</v>
      </c>
      <c r="HY65" s="10">
        <f>IF(CABLES[[#This Row],[SEG45]]&gt;0,CABLES[[#This Row],[CABLE_MASS]],0)</f>
        <v>0.21</v>
      </c>
      <c r="HZ65" s="10">
        <f>IF(CABLES[[#This Row],[SEG46]]&gt;0,CABLES[[#This Row],[CABLE_MASS]],0)</f>
        <v>0</v>
      </c>
      <c r="IA65" s="10">
        <f>IF(CABLES[[#This Row],[SEG47]]&gt;0,CABLES[[#This Row],[CABLE_MASS]],0)</f>
        <v>0.21</v>
      </c>
      <c r="IB65" s="10">
        <f>IF(CABLES[[#This Row],[SEG48]]&gt;0,CABLES[[#This Row],[CABLE_MASS]],0)</f>
        <v>0.21</v>
      </c>
      <c r="IC65" s="10">
        <f>IF(CABLES[[#This Row],[SEG49]]&gt;0,CABLES[[#This Row],[CABLE_MASS]],0)</f>
        <v>0</v>
      </c>
      <c r="ID65" s="10">
        <f>IF(CABLES[[#This Row],[SEG50]]&gt;0,CABLES[[#This Row],[CABLE_MASS]],0)</f>
        <v>0</v>
      </c>
      <c r="IE65" s="10">
        <f>IF(CABLES[[#This Row],[SEG51]]&gt;0,CABLES[[#This Row],[CABLE_MASS]],0)</f>
        <v>0</v>
      </c>
      <c r="IF65" s="10">
        <f>IF(CABLES[[#This Row],[SEG52]]&gt;0,CABLES[[#This Row],[CABLE_MASS]],0)</f>
        <v>0</v>
      </c>
      <c r="IG65" s="10">
        <f>IF(CABLES[[#This Row],[SEG53]]&gt;0,CABLES[[#This Row],[CABLE_MASS]],0)</f>
        <v>0</v>
      </c>
      <c r="IH65" s="10">
        <f>IF(CABLES[[#This Row],[SEG54]]&gt;0,CABLES[[#This Row],[CABLE_MASS]],0)</f>
        <v>0</v>
      </c>
      <c r="II65" s="10">
        <f>IF(CABLES[[#This Row],[SEG55]]&gt;0,CABLES[[#This Row],[CABLE_MASS]],0)</f>
        <v>0</v>
      </c>
      <c r="IJ65" s="10">
        <f>IF(CABLES[[#This Row],[SEG56]]&gt;0,CABLES[[#This Row],[CABLE_MASS]],0)</f>
        <v>0</v>
      </c>
      <c r="IK65" s="10">
        <f>IF(CABLES[[#This Row],[SEG57]]&gt;0,CABLES[[#This Row],[CABLE_MASS]],0)</f>
        <v>0</v>
      </c>
      <c r="IL65" s="10">
        <f>IF(CABLES[[#This Row],[SEG58]]&gt;0,CABLES[[#This Row],[CABLE_MASS]],0)</f>
        <v>0</v>
      </c>
      <c r="IM65" s="10">
        <f>IF(CABLES[[#This Row],[SEG59]]&gt;0,CABLES[[#This Row],[CABLE_MASS]],0)</f>
        <v>0</v>
      </c>
      <c r="IN65" s="10">
        <f>IF(CABLES[[#This Row],[SEG60]]&gt;0,CABLES[[#This Row],[CABLE_MASS]],0)</f>
        <v>0</v>
      </c>
      <c r="IO65" s="10">
        <f xml:space="preserve">  (CABLES[[#This Row],[LOAD_KW]]/(SQRT(3)*SYSTEM_VOLTAGE*POWER_FACTOR))*1000</f>
        <v>12.028130608117204</v>
      </c>
      <c r="IP65" s="10">
        <v>45</v>
      </c>
      <c r="IQ65" s="10">
        <f xml:space="preserve"> INDEX(AS3000_AMBIENTDERATE[], MATCH(CABLES[[#This Row],[AMBIENT]],AS3000_AMBIENTDERATE[AMBIENT],0), 2)</f>
        <v>0.94</v>
      </c>
      <c r="IR65" s="10">
        <f xml:space="preserve"> ROUNDUP( CABLES[[#This Row],[CALCULATED_AMPS]]/CABLES[[#This Row],[AMBIENT_DERATING]],1)</f>
        <v>12.799999999999999</v>
      </c>
      <c r="IS65" s="10" t="s">
        <v>531</v>
      </c>
      <c r="IT6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65" s="10">
        <f t="shared" si="1"/>
        <v>28.000000000000004</v>
      </c>
      <c r="IV65" s="10">
        <f>(1000*CABLES[[#This Row],[MAX_VDROP]])/(CABLES[[#This Row],[ESTIMATED_CABLE_LENGTH]]*CABLES[[#This Row],[AMP_RATING]])</f>
        <v>27.619949494949498</v>
      </c>
      <c r="IW65" s="10">
        <f xml:space="preserve"> INDEX(AS3000_VDROP[], MATCH(CABLES[[#This Row],[VC_CALC]],AS3000_VDROP[Vc],1),1)</f>
        <v>2.5</v>
      </c>
      <c r="IX65" s="10">
        <f>MAX(CABLES[[#This Row],[CABLESIZE_METHOD1]],CABLES[[#This Row],[CABLESIZE_METHOD2]])</f>
        <v>2.5</v>
      </c>
      <c r="IY65" s="10"/>
      <c r="IZ65" s="10">
        <f>IF(LEN(CABLES[[#This Row],[OVERRIDE_CABLESIZE]])&gt;0,CABLES[[#This Row],[OVERRIDE_CABLESIZE]],CABLES[[#This Row],[INITIAL_CABLESIZE]])</f>
        <v>2.5</v>
      </c>
      <c r="JA65" s="10">
        <f>INDEX(PROTECTIVE_DEVICE[DEVICE], MATCH(CABLES[[#This Row],[CALCULATED_AMPS]],PROTECTIVE_DEVICE[DEVICE],-1),1)</f>
        <v>16</v>
      </c>
      <c r="JB65" s="10"/>
      <c r="JC65" s="10">
        <f>IF(LEN(CABLES[[#This Row],[OVERRIDE_PDEVICE]])&gt;0, CABLES[[#This Row],[OVERRIDE_PDEVICE]],CABLES[[#This Row],[RECOMMEND_PDEVICE]])</f>
        <v>16</v>
      </c>
      <c r="JD65" s="10" t="s">
        <v>450</v>
      </c>
      <c r="JE65" s="10">
        <f xml:space="preserve"> CABLES[[#This Row],[SELECTED_PDEVICE]] * INDEX(DEVICE_CURVE[], MATCH(CABLES[[#This Row],[PDEVICE_CURVE]], DEVICE_CURVE[DEVICE_CURVE],0),2)</f>
        <v>104</v>
      </c>
      <c r="JF65" s="10" t="s">
        <v>458</v>
      </c>
      <c r="JG65" s="10">
        <f xml:space="preserve"> INDEX(CONDUCTOR_MATERIAL[], MATCH(CABLES[[#This Row],[CONDUCTOR_MATERIAL]],CONDUCTOR_MATERIAL[CONDUCTOR_MATERIAL],0),2)</f>
        <v>2.2499999999999999E-2</v>
      </c>
      <c r="JH65" s="10">
        <f>CABLES[[#This Row],[SELECTED_CABLESIZE]]</f>
        <v>2.5</v>
      </c>
      <c r="JI65" s="10">
        <f xml:space="preserve"> INDEX( EARTH_CONDUCTOR_SIZE[], MATCH(CABLES[[#This Row],[SPH]],EARTH_CONDUCTOR_SIZE[MM^2],-1), 2)</f>
        <v>2.5</v>
      </c>
      <c r="JJ65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65" s="10" t="str">
        <f>IF(CABLES[[#This Row],[LMAX]]&gt;CABLES[[#This Row],[ESTIMATED_CABLE_LENGTH]], "PASS", "ERROR")</f>
        <v>PASS</v>
      </c>
      <c r="JL6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6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65" s="6">
        <f xml:space="preserve"> ROUNDUP( CABLES[[#This Row],[CALCULATED_AMPS]],1)</f>
        <v>12.1</v>
      </c>
      <c r="JO65" s="6">
        <f>CABLES[[#This Row],[SELECTED_CABLESIZE]]</f>
        <v>2.5</v>
      </c>
      <c r="JP65" s="10">
        <f>CABLES[[#This Row],[ESTIMATED_CABLE_LENGTH]]</f>
        <v>79.2</v>
      </c>
      <c r="JQ65" s="6">
        <f>CABLES[[#This Row],[SELECTED_PDEVICE]]</f>
        <v>16</v>
      </c>
    </row>
    <row r="66" spans="1:277" x14ac:dyDescent="0.35">
      <c r="A66" s="5" t="s">
        <v>64</v>
      </c>
      <c r="B66" s="5" t="s">
        <v>113</v>
      </c>
      <c r="C66" s="10" t="s">
        <v>262</v>
      </c>
      <c r="D66" s="9">
        <v>0.37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1</v>
      </c>
      <c r="AI66" s="9">
        <v>1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</v>
      </c>
      <c r="AR66" s="9">
        <v>0</v>
      </c>
      <c r="AS66" s="9">
        <v>1</v>
      </c>
      <c r="AT66" s="9">
        <v>0</v>
      </c>
      <c r="AU66" s="9">
        <v>0</v>
      </c>
      <c r="AV66" s="9">
        <v>0</v>
      </c>
      <c r="AW66" s="9">
        <v>1</v>
      </c>
      <c r="AX66" s="9">
        <v>0</v>
      </c>
      <c r="AY66" s="9">
        <v>1</v>
      </c>
      <c r="AZ66" s="9">
        <v>1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f xml:space="preserve"> IF(CABLES[[#This Row],[SEG1]] &gt;0, INDEX(SEGMENTS[], MATCH(CABLES[[#Headers],[SEG1]],SEGMENTS[SEG_ID],0),4),0)</f>
        <v>0</v>
      </c>
      <c r="BN66" s="9">
        <f xml:space="preserve"> IF(CABLES[[#This Row],[SEG2]] &gt;0, INDEX(SEGMENTS[], MATCH(CABLES[[#Headers],[SEG2]],SEGMENTS[SEG_ID],0),4),0)</f>
        <v>0</v>
      </c>
      <c r="BO66" s="9">
        <f xml:space="preserve"> IF(CABLES[[#This Row],[SEG3]] &gt;0, INDEX(SEGMENTS[], MATCH(CABLES[[#Headers],[SEG3]],SEGMENTS[SEG_ID],0),4),0)</f>
        <v>0</v>
      </c>
      <c r="BP66" s="9">
        <f xml:space="preserve"> IF(CABLES[[#This Row],[SEG4]] &gt;0, INDEX(SEGMENTS[], MATCH(CABLES[[#Headers],[SEG4]],SEGMENTS[SEG_ID],0),4),0)</f>
        <v>0</v>
      </c>
      <c r="BQ66" s="9">
        <f xml:space="preserve"> IF(CABLES[[#This Row],[SEG5]] &gt;0,INDEX(SEGMENTS[], MATCH(CABLES[[#Headers],[SEG5]],SEGMENTS[SEG_ID],0),4),0)</f>
        <v>0</v>
      </c>
      <c r="BR66" s="9">
        <f xml:space="preserve"> IF(CABLES[[#This Row],[SEG6]] &gt;0,INDEX(SEGMENTS[], MATCH(CABLES[[#Headers],[SEG6]],SEGMENTS[SEG_ID],0),4),0)</f>
        <v>0</v>
      </c>
      <c r="BS66" s="9">
        <f xml:space="preserve"> IF(CABLES[[#This Row],[SEG7]] &gt;0,INDEX(SEGMENTS[], MATCH(CABLES[[#Headers],[SEG7]],SEGMENTS[SEG_ID],0),4),0)</f>
        <v>0</v>
      </c>
      <c r="BT66" s="9">
        <f xml:space="preserve"> IF(CABLES[[#This Row],[SEG8]] &gt;0,INDEX(SEGMENTS[], MATCH(CABLES[[#Headers],[SEG8]],SEGMENTS[SEG_ID],0),4),0)</f>
        <v>0</v>
      </c>
      <c r="BU66" s="9">
        <f xml:space="preserve"> IF(CABLES[[#This Row],[SEG9]] &gt;0,INDEX(SEGMENTS[], MATCH(CABLES[[#Headers],[SEG9]],SEGMENTS[SEG_ID],0),4),0)</f>
        <v>0</v>
      </c>
      <c r="BV66" s="9">
        <f xml:space="preserve"> IF(CABLES[[#This Row],[SEG10]] &gt;0,INDEX(SEGMENTS[], MATCH(CABLES[[#Headers],[SEG10]],SEGMENTS[SEG_ID],0),4),0)</f>
        <v>0</v>
      </c>
      <c r="BW66" s="9">
        <f xml:space="preserve"> IF(CABLES[[#This Row],[SEG11]] &gt;0,INDEX(SEGMENTS[], MATCH(CABLES[[#Headers],[SEG11]],SEGMENTS[SEG_ID],0),4),0)</f>
        <v>0</v>
      </c>
      <c r="BX66" s="9">
        <f>IF(CABLES[[#This Row],[SEG12]] &gt;0, INDEX(SEGMENTS[], MATCH(CABLES[[#Headers],[SEG12]],SEGMENTS[SEG_ID],0),4),0)</f>
        <v>0</v>
      </c>
      <c r="BY66" s="9">
        <f xml:space="preserve"> IF(CABLES[[#This Row],[SEG13]] &gt;0,INDEX(SEGMENTS[], MATCH(CABLES[[#Headers],[SEG13]],SEGMENTS[SEG_ID],0),4),0)</f>
        <v>0</v>
      </c>
      <c r="BZ66" s="9">
        <f xml:space="preserve"> IF(CABLES[[#This Row],[SEG14]] &gt;0,INDEX(SEGMENTS[], MATCH(CABLES[[#Headers],[SEG14]],SEGMENTS[SEG_ID],0),4),0)</f>
        <v>0</v>
      </c>
      <c r="CA66" s="9">
        <f xml:space="preserve"> IF(CABLES[[#This Row],[SEG15]] &gt;0,INDEX(SEGMENTS[], MATCH(CABLES[[#Headers],[SEG15]],SEGMENTS[SEG_ID],0),4),0)</f>
        <v>0</v>
      </c>
      <c r="CB66" s="9">
        <f xml:space="preserve"> IF(CABLES[[#This Row],[SEG16]] &gt;0,INDEX(SEGMENTS[], MATCH(CABLES[[#Headers],[SEG16]],SEGMENTS[SEG_ID],0),4),0)</f>
        <v>0</v>
      </c>
      <c r="CC66" s="9">
        <f xml:space="preserve"> IF(CABLES[[#This Row],[SEG17]] &gt;0,INDEX(SEGMENTS[], MATCH(CABLES[[#Headers],[SEG17]],SEGMENTS[SEG_ID],0),4),0)</f>
        <v>0</v>
      </c>
      <c r="CD66" s="9">
        <f xml:space="preserve"> IF(CABLES[[#This Row],[SEG18]] &gt;0,INDEX(SEGMENTS[], MATCH(CABLES[[#Headers],[SEG18]],SEGMENTS[SEG_ID],0),4),0)</f>
        <v>0</v>
      </c>
      <c r="CE66" s="9">
        <f>IF(CABLES[[#This Row],[SEG19]] &gt;0, INDEX(SEGMENTS[], MATCH(CABLES[[#Headers],[SEG19]],SEGMENTS[SEG_ID],0),4),0)</f>
        <v>0</v>
      </c>
      <c r="CF66" s="9">
        <f>IF(CABLES[[#This Row],[SEG20]] &gt;0, INDEX(SEGMENTS[], MATCH(CABLES[[#Headers],[SEG20]],SEGMENTS[SEG_ID],0),4),0)</f>
        <v>0</v>
      </c>
      <c r="CG66" s="9">
        <f xml:space="preserve"> IF(CABLES[[#This Row],[SEG21]] &gt;0,INDEX(SEGMENTS[], MATCH(CABLES[[#Headers],[SEG21]],SEGMENTS[SEG_ID],0),4),0)</f>
        <v>0</v>
      </c>
      <c r="CH66" s="9">
        <f xml:space="preserve"> IF(CABLES[[#This Row],[SEG22]] &gt;0,INDEX(SEGMENTS[], MATCH(CABLES[[#Headers],[SEG22]],SEGMENTS[SEG_ID],0),4),0)</f>
        <v>0</v>
      </c>
      <c r="CI66" s="9">
        <f>IF(CABLES[[#This Row],[SEG23]] &gt;0, INDEX(SEGMENTS[], MATCH(CABLES[[#Headers],[SEG23]],SEGMENTS[SEG_ID],0),4),0)</f>
        <v>0</v>
      </c>
      <c r="CJ66" s="9">
        <f xml:space="preserve"> IF(CABLES[[#This Row],[SEG24]] &gt;0,INDEX(SEGMENTS[], MATCH(CABLES[[#Headers],[SEG24]],SEGMENTS[SEG_ID],0),4),0)</f>
        <v>0</v>
      </c>
      <c r="CK66" s="9">
        <f>IF(CABLES[[#This Row],[SEG25]] &gt;0, INDEX(SEGMENTS[], MATCH(CABLES[[#Headers],[SEG25]],SEGMENTS[SEG_ID],0),4),0)</f>
        <v>0</v>
      </c>
      <c r="CL66" s="9">
        <f>IF(CABLES[[#This Row],[SEG26]] &gt;0, INDEX(SEGMENTS[], MATCH(CABLES[[#Headers],[SEG26]],SEGMENTS[SEG_ID],0),4),0)</f>
        <v>0</v>
      </c>
      <c r="CM66" s="9">
        <f xml:space="preserve"> IF(CABLES[[#This Row],[SEG27]] &gt;0,INDEX(SEGMENTS[], MATCH(CABLES[[#Headers],[SEG27]],SEGMENTS[SEG_ID],0),4),0)</f>
        <v>0</v>
      </c>
      <c r="CN66" s="9">
        <f xml:space="preserve"> IF(CABLES[[#This Row],[SEG28]] &gt;0,INDEX(SEGMENTS[], MATCH(CABLES[[#Headers],[SEG28]],SEGMENTS[SEG_ID],0),4),0)</f>
        <v>0</v>
      </c>
      <c r="CO66" s="9">
        <f xml:space="preserve"> IF(CABLES[[#This Row],[SEG29]] &gt;0,INDEX(SEGMENTS[], MATCH(CABLES[[#Headers],[SEG29]],SEGMENTS[SEG_ID],0),4),0)</f>
        <v>0</v>
      </c>
      <c r="CP66" s="9">
        <f xml:space="preserve"> IF(CABLES[[#This Row],[SEG30]] &gt;0,INDEX(SEGMENTS[], MATCH(CABLES[[#Headers],[SEG30]],SEGMENTS[SEG_ID],0),4),0)</f>
        <v>6</v>
      </c>
      <c r="CQ66" s="9">
        <f>IF(CABLES[[#This Row],[SEG31]] &gt;0, INDEX(SEGMENTS[], MATCH(CABLES[[#Headers],[SEG31]],SEGMENTS[SEG_ID],0),4),0)</f>
        <v>3</v>
      </c>
      <c r="CR66" s="9">
        <f xml:space="preserve"> IF(CABLES[[#This Row],[SEG32]] &gt;0,INDEX(SEGMENTS[], MATCH(CABLES[[#Headers],[SEG32]],SEGMENTS[SEG_ID],0),4),0)</f>
        <v>0</v>
      </c>
      <c r="CS66" s="9">
        <f xml:space="preserve"> IF(CABLES[[#This Row],[SEG33]] &gt;0,INDEX(SEGMENTS[], MATCH(CABLES[[#Headers],[SEG33]],SEGMENTS[SEG_ID],0),4),0)</f>
        <v>0</v>
      </c>
      <c r="CT66" s="9">
        <f>IF(CABLES[[#This Row],[SEG34]] &gt;0, INDEX(SEGMENTS[], MATCH(CABLES[[#Headers],[SEG34]],SEGMENTS[SEG_ID],0),4),0)</f>
        <v>0</v>
      </c>
      <c r="CU66" s="9">
        <f xml:space="preserve"> IF(CABLES[[#This Row],[SEG35]] &gt;0,INDEX(SEGMENTS[], MATCH(CABLES[[#Headers],[SEG35]],SEGMENTS[SEG_ID],0),4),0)</f>
        <v>0</v>
      </c>
      <c r="CV66" s="9">
        <f xml:space="preserve"> IF(CABLES[[#This Row],[SEG36]] &gt;0,INDEX(SEGMENTS[], MATCH(CABLES[[#Headers],[SEG36]],SEGMENTS[SEG_ID],0),4),0)</f>
        <v>0</v>
      </c>
      <c r="CW66" s="9">
        <f xml:space="preserve"> IF(CABLES[[#This Row],[SEG37]] &gt;0,INDEX(SEGMENTS[], MATCH(CABLES[[#Headers],[SEG37]],SEGMENTS[SEG_ID],0),4),0)</f>
        <v>0</v>
      </c>
      <c r="CX66" s="9">
        <f xml:space="preserve"> IF(CABLES[[#This Row],[SEG38]] &gt;0,INDEX(SEGMENTS[], MATCH(CABLES[[#Headers],[SEG38]],SEGMENTS[SEG_ID],0),4),0)</f>
        <v>0</v>
      </c>
      <c r="CY66" s="9">
        <f xml:space="preserve"> IF(CABLES[[#This Row],[SEG39]] &gt;0,INDEX(SEGMENTS[], MATCH(CABLES[[#Headers],[SEG39]],SEGMENTS[SEG_ID],0),4),0)</f>
        <v>8</v>
      </c>
      <c r="CZ66" s="9">
        <f xml:space="preserve"> IF(CABLES[[#This Row],[SEG40]] &gt;0,INDEX(SEGMENTS[], MATCH(CABLES[[#Headers],[SEG40]],SEGMENTS[SEG_ID],0),4),0)</f>
        <v>0</v>
      </c>
      <c r="DA66" s="9">
        <f xml:space="preserve"> IF(CABLES[[#This Row],[SEG41]] &gt;0,INDEX(SEGMENTS[], MATCH(CABLES[[#Headers],[SEG41]],SEGMENTS[SEG_ID],0),4),0)</f>
        <v>8</v>
      </c>
      <c r="DB66" s="9">
        <f xml:space="preserve"> IF(CABLES[[#This Row],[SEG42]] &gt;0,INDEX(SEGMENTS[], MATCH(CABLES[[#Headers],[SEG42]],SEGMENTS[SEG_ID],0),4),0)</f>
        <v>0</v>
      </c>
      <c r="DC66" s="9">
        <f xml:space="preserve"> IF(CABLES[[#This Row],[SEG43]] &gt;0,INDEX(SEGMENTS[], MATCH(CABLES[[#Headers],[SEG43]],SEGMENTS[SEG_ID],0),4),0)</f>
        <v>0</v>
      </c>
      <c r="DD66" s="9">
        <f xml:space="preserve"> IF(CABLES[[#This Row],[SEG44]] &gt;0,INDEX(SEGMENTS[], MATCH(CABLES[[#Headers],[SEG44]],SEGMENTS[SEG_ID],0),4),0)</f>
        <v>0</v>
      </c>
      <c r="DE66" s="9">
        <f xml:space="preserve"> IF(CABLES[[#This Row],[SEG45]] &gt;0,INDEX(SEGMENTS[], MATCH(CABLES[[#Headers],[SEG45]],SEGMENTS[SEG_ID],0),4),0)</f>
        <v>9</v>
      </c>
      <c r="DF66" s="9">
        <f xml:space="preserve"> IF(CABLES[[#This Row],[SEG46]] &gt;0,INDEX(SEGMENTS[], MATCH(CABLES[[#Headers],[SEG46]],SEGMENTS[SEG_ID],0),4),0)</f>
        <v>0</v>
      </c>
      <c r="DG66" s="9">
        <f xml:space="preserve"> IF(CABLES[[#This Row],[SEG47]] &gt;0,INDEX(SEGMENTS[], MATCH(CABLES[[#Headers],[SEG47]],SEGMENTS[SEG_ID],0),4),0)</f>
        <v>12</v>
      </c>
      <c r="DH66" s="9">
        <f xml:space="preserve"> IF(CABLES[[#This Row],[SEG48]] &gt;0,INDEX(SEGMENTS[], MATCH(CABLES[[#Headers],[SEG48]],SEGMENTS[SEG_ID],0),4),0)</f>
        <v>15</v>
      </c>
      <c r="DI66" s="9">
        <f xml:space="preserve"> IF(CABLES[[#This Row],[SEG49]] &gt;0,INDEX(SEGMENTS[], MATCH(CABLES[[#Headers],[SEG49]],SEGMENTS[SEG_ID],0),4),0)</f>
        <v>0</v>
      </c>
      <c r="DJ66" s="9">
        <f xml:space="preserve"> IF(CABLES[[#This Row],[SEG50]] &gt;0,INDEX(SEGMENTS[], MATCH(CABLES[[#Headers],[SEG50]],SEGMENTS[SEG_ID],0),4),0)</f>
        <v>0</v>
      </c>
      <c r="DK66" s="9">
        <f xml:space="preserve"> IF(CABLES[[#This Row],[SEG51]] &gt;0,INDEX(SEGMENTS[], MATCH(CABLES[[#Headers],[SEG51]],SEGMENTS[SEG_ID],0),4),0)</f>
        <v>0</v>
      </c>
      <c r="DL66" s="9">
        <f xml:space="preserve"> IF(CABLES[[#This Row],[SEG52]] &gt;0,INDEX(SEGMENTS[], MATCH(CABLES[[#Headers],[SEG52]],SEGMENTS[SEG_ID],0),4),0)</f>
        <v>0</v>
      </c>
      <c r="DM66" s="9">
        <f xml:space="preserve"> IF(CABLES[[#This Row],[SEG53]] &gt;0,INDEX(SEGMENTS[], MATCH(CABLES[[#Headers],[SEG53]],SEGMENTS[SEG_ID],0),4),0)</f>
        <v>0</v>
      </c>
      <c r="DN66" s="9">
        <f xml:space="preserve"> IF(CABLES[[#This Row],[SEG54]] &gt;0,INDEX(SEGMENTS[], MATCH(CABLES[[#Headers],[SEG54]],SEGMENTS[SEG_ID],0),4),0)</f>
        <v>0</v>
      </c>
      <c r="DO66" s="9">
        <f xml:space="preserve"> IF(CABLES[[#This Row],[SEG55]] &gt;0,INDEX(SEGMENTS[], MATCH(CABLES[[#Headers],[SEG55]],SEGMENTS[SEG_ID],0),4),0)</f>
        <v>0</v>
      </c>
      <c r="DP66" s="9">
        <f xml:space="preserve"> IF(CABLES[[#This Row],[SEG56]] &gt;0,INDEX(SEGMENTS[], MATCH(CABLES[[#Headers],[SEG56]],SEGMENTS[SEG_ID],0),4),0)</f>
        <v>0</v>
      </c>
      <c r="DQ66" s="9">
        <f xml:space="preserve"> IF(CABLES[[#This Row],[SEG57]] &gt;0,INDEX(SEGMENTS[], MATCH(CABLES[[#Headers],[SEG57]],SEGMENTS[SEG_ID],0),4),0)</f>
        <v>0</v>
      </c>
      <c r="DR66" s="9">
        <f xml:space="preserve"> IF(CABLES[[#This Row],[SEG58]] &gt;0,INDEX(SEGMENTS[], MATCH(CABLES[[#Headers],[SEG58]],SEGMENTS[SEG_ID],0),4),0)</f>
        <v>0</v>
      </c>
      <c r="DS66" s="9">
        <f xml:space="preserve"> IF(CABLES[[#This Row],[SEG59]] &gt;0,INDEX(SEGMENTS[], MATCH(CABLES[[#Headers],[SEG59]],SEGMENTS[SEG_ID],0),4),0)</f>
        <v>0</v>
      </c>
      <c r="DT66" s="9">
        <f xml:space="preserve"> IF(CABLES[[#This Row],[SEG60]] &gt;0,INDEX(SEGMENTS[], MATCH(CABLES[[#Headers],[SEG60]],SEGMENTS[SEG_ID],0),4),0)</f>
        <v>0</v>
      </c>
      <c r="DU66" s="10">
        <f>SUM(CABLES[[#This Row],[SEGL1]:[SEGL60]])</f>
        <v>61</v>
      </c>
      <c r="DV66" s="10">
        <v>5</v>
      </c>
      <c r="DW66" s="10">
        <v>1.2</v>
      </c>
      <c r="DX66" s="10">
        <f xml:space="preserve"> IF(CABLES[[#This Row],[SEGL_TOTAL]]&gt;0, (CABLES[[#This Row],[SEGL_TOTAL]] + CABLES[[#This Row],[FITOFF]]) *CABLES[[#This Row],[XCAPACITY]],0)</f>
        <v>79.2</v>
      </c>
      <c r="DY66" s="10">
        <f>IF(CABLES[[#This Row],[SEG1]]&gt;0,CABLES[[#This Row],[CABLE_DIAMETER]],0)</f>
        <v>0</v>
      </c>
      <c r="DZ66" s="10">
        <f>IF(CABLES[[#This Row],[SEG2]]&gt;0,CABLES[[#This Row],[CABLE_DIAMETER]],0)</f>
        <v>0</v>
      </c>
      <c r="EA66" s="10">
        <f>IF(CABLES[[#This Row],[SEG3]]&gt;0,CABLES[[#This Row],[CABLE_DIAMETER]],0)</f>
        <v>0</v>
      </c>
      <c r="EB66" s="10">
        <f>IF(CABLES[[#This Row],[SEG4]]&gt;0,CABLES[[#This Row],[CABLE_DIAMETER]],0)</f>
        <v>0</v>
      </c>
      <c r="EC66" s="10">
        <f>IF(CABLES[[#This Row],[SEG5]]&gt;0,CABLES[[#This Row],[CABLE_DIAMETER]],0)</f>
        <v>0</v>
      </c>
      <c r="ED66" s="10">
        <f>IF(CABLES[[#This Row],[SEG6]]&gt;0,CABLES[[#This Row],[CABLE_DIAMETER]],0)</f>
        <v>0</v>
      </c>
      <c r="EE66" s="10">
        <f>IF(CABLES[[#This Row],[SEG7]]&gt;0,CABLES[[#This Row],[CABLE_DIAMETER]],0)</f>
        <v>0</v>
      </c>
      <c r="EF66" s="10">
        <f>IF(CABLES[[#This Row],[SEG9]]&gt;0,CABLES[[#This Row],[CABLE_DIAMETER]],0)</f>
        <v>0</v>
      </c>
      <c r="EG66" s="10">
        <f>IF(CABLES[[#This Row],[SEG9]]&gt;0,CABLES[[#This Row],[CABLE_DIAMETER]],0)</f>
        <v>0</v>
      </c>
      <c r="EH66" s="10">
        <f>IF(CABLES[[#This Row],[SEG10]]&gt;0,CABLES[[#This Row],[CABLE_DIAMETER]],0)</f>
        <v>0</v>
      </c>
      <c r="EI66" s="10">
        <f>IF(CABLES[[#This Row],[SEG11]]&gt;0,CABLES[[#This Row],[CABLE_DIAMETER]],0)</f>
        <v>0</v>
      </c>
      <c r="EJ66" s="10">
        <f>IF(CABLES[[#This Row],[SEG12]]&gt;0,CABLES[[#This Row],[CABLE_DIAMETER]],0)</f>
        <v>0</v>
      </c>
      <c r="EK66" s="10">
        <f>IF(CABLES[[#This Row],[SEG13]]&gt;0,CABLES[[#This Row],[CABLE_DIAMETER]],0)</f>
        <v>0</v>
      </c>
      <c r="EL66" s="10">
        <f>IF(CABLES[[#This Row],[SEG14]]&gt;0,CABLES[[#This Row],[CABLE_DIAMETER]],0)</f>
        <v>0</v>
      </c>
      <c r="EM66" s="10">
        <f>IF(CABLES[[#This Row],[SEG15]]&gt;0,CABLES[[#This Row],[CABLE_DIAMETER]],0)</f>
        <v>0</v>
      </c>
      <c r="EN66" s="10">
        <f>IF(CABLES[[#This Row],[SEG16]]&gt;0,CABLES[[#This Row],[CABLE_DIAMETER]],0)</f>
        <v>0</v>
      </c>
      <c r="EO66" s="10">
        <f>IF(CABLES[[#This Row],[SEG17]]&gt;0,CABLES[[#This Row],[CABLE_DIAMETER]],0)</f>
        <v>0</v>
      </c>
      <c r="EP66" s="10">
        <f>IF(CABLES[[#This Row],[SEG18]]&gt;0,CABLES[[#This Row],[CABLE_DIAMETER]],0)</f>
        <v>0</v>
      </c>
      <c r="EQ66" s="10">
        <f>IF(CABLES[[#This Row],[SEG19]]&gt;0,CABLES[[#This Row],[CABLE_DIAMETER]],0)</f>
        <v>0</v>
      </c>
      <c r="ER66" s="10">
        <f>IF(CABLES[[#This Row],[SEG20]]&gt;0,CABLES[[#This Row],[CABLE_DIAMETER]],0)</f>
        <v>0</v>
      </c>
      <c r="ES66" s="10">
        <f>IF(CABLES[[#This Row],[SEG21]]&gt;0,CABLES[[#This Row],[CABLE_DIAMETER]],0)</f>
        <v>0</v>
      </c>
      <c r="ET66" s="10">
        <f>IF(CABLES[[#This Row],[SEG22]]&gt;0,CABLES[[#This Row],[CABLE_DIAMETER]],0)</f>
        <v>0</v>
      </c>
      <c r="EU66" s="10">
        <f>IF(CABLES[[#This Row],[SEG23]]&gt;0,CABLES[[#This Row],[CABLE_DIAMETER]],0)</f>
        <v>0</v>
      </c>
      <c r="EV66" s="10">
        <f>IF(CABLES[[#This Row],[SEG24]]&gt;0,CABLES[[#This Row],[CABLE_DIAMETER]],0)</f>
        <v>0</v>
      </c>
      <c r="EW66" s="10">
        <f>IF(CABLES[[#This Row],[SEG25]]&gt;0,CABLES[[#This Row],[CABLE_DIAMETER]],0)</f>
        <v>0</v>
      </c>
      <c r="EX66" s="10">
        <f>IF(CABLES[[#This Row],[SEG26]]&gt;0,CABLES[[#This Row],[CABLE_DIAMETER]],0)</f>
        <v>0</v>
      </c>
      <c r="EY66" s="10">
        <f>IF(CABLES[[#This Row],[SEG27]]&gt;0,CABLES[[#This Row],[CABLE_DIAMETER]],0)</f>
        <v>0</v>
      </c>
      <c r="EZ66" s="10">
        <f>IF(CABLES[[#This Row],[SEG28]]&gt;0,CABLES[[#This Row],[CABLE_DIAMETER]],0)</f>
        <v>0</v>
      </c>
      <c r="FA66" s="10">
        <f>IF(CABLES[[#This Row],[SEG29]]&gt;0,CABLES[[#This Row],[CABLE_DIAMETER]],0)</f>
        <v>0</v>
      </c>
      <c r="FB66" s="10">
        <f>IF(CABLES[[#This Row],[SEG30]]&gt;0,CABLES[[#This Row],[CABLE_DIAMETER]],0)</f>
        <v>12</v>
      </c>
      <c r="FC66" s="10">
        <f>IF(CABLES[[#This Row],[SEG31]]&gt;0,CABLES[[#This Row],[CABLE_DIAMETER]],0)</f>
        <v>12</v>
      </c>
      <c r="FD66" s="10">
        <f>IF(CABLES[[#This Row],[SEG32]]&gt;0,CABLES[[#This Row],[CABLE_DIAMETER]],0)</f>
        <v>0</v>
      </c>
      <c r="FE66" s="10">
        <f>IF(CABLES[[#This Row],[SEG33]]&gt;0,CABLES[[#This Row],[CABLE_DIAMETER]],0)</f>
        <v>0</v>
      </c>
      <c r="FF66" s="10">
        <f>IF(CABLES[[#This Row],[SEG34]]&gt;0,CABLES[[#This Row],[CABLE_DIAMETER]],0)</f>
        <v>0</v>
      </c>
      <c r="FG66" s="10">
        <f>IF(CABLES[[#This Row],[SEG35]]&gt;0,CABLES[[#This Row],[CABLE_DIAMETER]],0)</f>
        <v>0</v>
      </c>
      <c r="FH66" s="10">
        <f>IF(CABLES[[#This Row],[SEG36]]&gt;0,CABLES[[#This Row],[CABLE_DIAMETER]],0)</f>
        <v>0</v>
      </c>
      <c r="FI66" s="10">
        <f>IF(CABLES[[#This Row],[SEG37]]&gt;0,CABLES[[#This Row],[CABLE_DIAMETER]],0)</f>
        <v>0</v>
      </c>
      <c r="FJ66" s="10">
        <f>IF(CABLES[[#This Row],[SEG38]]&gt;0,CABLES[[#This Row],[CABLE_DIAMETER]],0)</f>
        <v>0</v>
      </c>
      <c r="FK66" s="10">
        <f>IF(CABLES[[#This Row],[SEG39]]&gt;0,CABLES[[#This Row],[CABLE_DIAMETER]],0)</f>
        <v>12</v>
      </c>
      <c r="FL66" s="10">
        <f>IF(CABLES[[#This Row],[SEG40]]&gt;0,CABLES[[#This Row],[CABLE_DIAMETER]],0)</f>
        <v>0</v>
      </c>
      <c r="FM66" s="10">
        <f>IF(CABLES[[#This Row],[SEG41]]&gt;0,CABLES[[#This Row],[CABLE_DIAMETER]],0)</f>
        <v>12</v>
      </c>
      <c r="FN66" s="10">
        <f>IF(CABLES[[#This Row],[SEG42]]&gt;0,CABLES[[#This Row],[CABLE_DIAMETER]],0)</f>
        <v>0</v>
      </c>
      <c r="FO66" s="10">
        <f>IF(CABLES[[#This Row],[SEG43]]&gt;0,CABLES[[#This Row],[CABLE_DIAMETER]],0)</f>
        <v>0</v>
      </c>
      <c r="FP66" s="10">
        <f>IF(CABLES[[#This Row],[SEG44]]&gt;0,CABLES[[#This Row],[CABLE_DIAMETER]],0)</f>
        <v>0</v>
      </c>
      <c r="FQ66" s="10">
        <f>IF(CABLES[[#This Row],[SEG45]]&gt;0,CABLES[[#This Row],[CABLE_DIAMETER]],0)</f>
        <v>12</v>
      </c>
      <c r="FR66" s="10">
        <f>IF(CABLES[[#This Row],[SEG46]]&gt;0,CABLES[[#This Row],[CABLE_DIAMETER]],0)</f>
        <v>0</v>
      </c>
      <c r="FS66" s="10">
        <f>IF(CABLES[[#This Row],[SEG47]]&gt;0,CABLES[[#This Row],[CABLE_DIAMETER]],0)</f>
        <v>12</v>
      </c>
      <c r="FT66" s="10">
        <f>IF(CABLES[[#This Row],[SEG48]]&gt;0,CABLES[[#This Row],[CABLE_DIAMETER]],0)</f>
        <v>12</v>
      </c>
      <c r="FU66" s="10">
        <f>IF(CABLES[[#This Row],[SEG49]]&gt;0,CABLES[[#This Row],[CABLE_DIAMETER]],0)</f>
        <v>0</v>
      </c>
      <c r="FV66" s="10">
        <f>IF(CABLES[[#This Row],[SEG50]]&gt;0,CABLES[[#This Row],[CABLE_DIAMETER]],0)</f>
        <v>0</v>
      </c>
      <c r="FW66" s="10">
        <f>IF(CABLES[[#This Row],[SEG51]]&gt;0,CABLES[[#This Row],[CABLE_DIAMETER]],0)</f>
        <v>0</v>
      </c>
      <c r="FX66" s="10">
        <f>IF(CABLES[[#This Row],[SEG52]]&gt;0,CABLES[[#This Row],[CABLE_DIAMETER]],0)</f>
        <v>0</v>
      </c>
      <c r="FY66" s="10">
        <f>IF(CABLES[[#This Row],[SEG53]]&gt;0,CABLES[[#This Row],[CABLE_DIAMETER]],0)</f>
        <v>0</v>
      </c>
      <c r="FZ66" s="10">
        <f>IF(CABLES[[#This Row],[SEG54]]&gt;0,CABLES[[#This Row],[CABLE_DIAMETER]],0)</f>
        <v>0</v>
      </c>
      <c r="GA66" s="10">
        <f>IF(CABLES[[#This Row],[SEG55]]&gt;0,CABLES[[#This Row],[CABLE_DIAMETER]],0)</f>
        <v>0</v>
      </c>
      <c r="GB66" s="10">
        <f>IF(CABLES[[#This Row],[SEG56]]&gt;0,CABLES[[#This Row],[CABLE_DIAMETER]],0)</f>
        <v>0</v>
      </c>
      <c r="GC66" s="10">
        <f>IF(CABLES[[#This Row],[SEG57]]&gt;0,CABLES[[#This Row],[CABLE_DIAMETER]],0)</f>
        <v>0</v>
      </c>
      <c r="GD66" s="10">
        <f>IF(CABLES[[#This Row],[SEG58]]&gt;0,CABLES[[#This Row],[CABLE_DIAMETER]],0)</f>
        <v>0</v>
      </c>
      <c r="GE66" s="10">
        <f>IF(CABLES[[#This Row],[SEG59]]&gt;0,CABLES[[#This Row],[CABLE_DIAMETER]],0)</f>
        <v>0</v>
      </c>
      <c r="GF66" s="10">
        <f>IF(CABLES[[#This Row],[SEG60]]&gt;0,CABLES[[#This Row],[CABLE_DIAMETER]],0)</f>
        <v>0</v>
      </c>
      <c r="GG66" s="10">
        <f>IF(CABLES[[#This Row],[SEG1]]&gt;0,CABLES[[#This Row],[CABLE_MASS]],0)</f>
        <v>0</v>
      </c>
      <c r="GH66" s="10">
        <f>IF(CABLES[[#This Row],[SEG2]]&gt;0,CABLES[[#This Row],[CABLE_MASS]],0)</f>
        <v>0</v>
      </c>
      <c r="GI66" s="10">
        <f>IF(CABLES[[#This Row],[SEG3]]&gt;0,CABLES[[#This Row],[CABLE_MASS]],0)</f>
        <v>0</v>
      </c>
      <c r="GJ66" s="10">
        <f>IF(CABLES[[#This Row],[SEG4]]&gt;0,CABLES[[#This Row],[CABLE_MASS]],0)</f>
        <v>0</v>
      </c>
      <c r="GK66" s="10">
        <f>IF(CABLES[[#This Row],[SEG5]]&gt;0,CABLES[[#This Row],[CABLE_MASS]],0)</f>
        <v>0</v>
      </c>
      <c r="GL66" s="10">
        <f>IF(CABLES[[#This Row],[SEG6]]&gt;0,CABLES[[#This Row],[CABLE_MASS]],0)</f>
        <v>0</v>
      </c>
      <c r="GM66" s="10">
        <f>IF(CABLES[[#This Row],[SEG7]]&gt;0,CABLES[[#This Row],[CABLE_MASS]],0)</f>
        <v>0</v>
      </c>
      <c r="GN66" s="10">
        <f>IF(CABLES[[#This Row],[SEG8]]&gt;0,CABLES[[#This Row],[CABLE_MASS]],0)</f>
        <v>0</v>
      </c>
      <c r="GO66" s="10">
        <f>IF(CABLES[[#This Row],[SEG9]]&gt;0,CABLES[[#This Row],[CABLE_MASS]],0)</f>
        <v>0</v>
      </c>
      <c r="GP66" s="10">
        <f>IF(CABLES[[#This Row],[SEG10]]&gt;0,CABLES[[#This Row],[CABLE_MASS]],0)</f>
        <v>0</v>
      </c>
      <c r="GQ66" s="10">
        <f>IF(CABLES[[#This Row],[SEG11]]&gt;0,CABLES[[#This Row],[CABLE_MASS]],0)</f>
        <v>0</v>
      </c>
      <c r="GR66" s="10">
        <f>IF(CABLES[[#This Row],[SEG12]]&gt;0,CABLES[[#This Row],[CABLE_MASS]],0)</f>
        <v>0</v>
      </c>
      <c r="GS66" s="10">
        <f>IF(CABLES[[#This Row],[SEG13]]&gt;0,CABLES[[#This Row],[CABLE_MASS]],0)</f>
        <v>0</v>
      </c>
      <c r="GT66" s="10">
        <f>IF(CABLES[[#This Row],[SEG14]]&gt;0,CABLES[[#This Row],[CABLE_MASS]],0)</f>
        <v>0</v>
      </c>
      <c r="GU66" s="10">
        <f>IF(CABLES[[#This Row],[SEG15]]&gt;0,CABLES[[#This Row],[CABLE_MASS]],0)</f>
        <v>0</v>
      </c>
      <c r="GV66" s="10">
        <f>IF(CABLES[[#This Row],[SEG16]]&gt;0,CABLES[[#This Row],[CABLE_MASS]],0)</f>
        <v>0</v>
      </c>
      <c r="GW66" s="10">
        <f>IF(CABLES[[#This Row],[SEG17]]&gt;0,CABLES[[#This Row],[CABLE_MASS]],0)</f>
        <v>0</v>
      </c>
      <c r="GX66" s="10">
        <f>IF(CABLES[[#This Row],[SEG18]]&gt;0,CABLES[[#This Row],[CABLE_MASS]],0)</f>
        <v>0</v>
      </c>
      <c r="GY66" s="10">
        <f>IF(CABLES[[#This Row],[SEG19]]&gt;0,CABLES[[#This Row],[CABLE_MASS]],0)</f>
        <v>0</v>
      </c>
      <c r="GZ66" s="10">
        <f>IF(CABLES[[#This Row],[SEG20]]&gt;0,CABLES[[#This Row],[CABLE_MASS]],0)</f>
        <v>0</v>
      </c>
      <c r="HA66" s="10">
        <f>IF(CABLES[[#This Row],[SEG21]]&gt;0,CABLES[[#This Row],[CABLE_MASS]],0)</f>
        <v>0</v>
      </c>
      <c r="HB66" s="10">
        <f>IF(CABLES[[#This Row],[SEG22]]&gt;0,CABLES[[#This Row],[CABLE_MASS]],0)</f>
        <v>0</v>
      </c>
      <c r="HC66" s="10">
        <f>IF(CABLES[[#This Row],[SEG23]]&gt;0,CABLES[[#This Row],[CABLE_MASS]],0)</f>
        <v>0</v>
      </c>
      <c r="HD66" s="10">
        <f>IF(CABLES[[#This Row],[SEG24]]&gt;0,CABLES[[#This Row],[CABLE_MASS]],0)</f>
        <v>0</v>
      </c>
      <c r="HE66" s="10">
        <f>IF(CABLES[[#This Row],[SEG25]]&gt;0,CABLES[[#This Row],[CABLE_MASS]],0)</f>
        <v>0</v>
      </c>
      <c r="HF66" s="10">
        <f>IF(CABLES[[#This Row],[SEG26]]&gt;0,CABLES[[#This Row],[CABLE_MASS]],0)</f>
        <v>0</v>
      </c>
      <c r="HG66" s="10">
        <f>IF(CABLES[[#This Row],[SEG27]]&gt;0,CABLES[[#This Row],[CABLE_MASS]],0)</f>
        <v>0</v>
      </c>
      <c r="HH66" s="10">
        <f>IF(CABLES[[#This Row],[SEG28]]&gt;0,CABLES[[#This Row],[CABLE_MASS]],0)</f>
        <v>0</v>
      </c>
      <c r="HI66" s="10">
        <f>IF(CABLES[[#This Row],[SEG29]]&gt;0,CABLES[[#This Row],[CABLE_MASS]],0)</f>
        <v>0</v>
      </c>
      <c r="HJ66" s="10">
        <f>IF(CABLES[[#This Row],[SEG30]]&gt;0,CABLES[[#This Row],[CABLE_MASS]],0)</f>
        <v>0.21</v>
      </c>
      <c r="HK66" s="10">
        <f>IF(CABLES[[#This Row],[SEG31]]&gt;0,CABLES[[#This Row],[CABLE_MASS]],0)</f>
        <v>0.21</v>
      </c>
      <c r="HL66" s="10">
        <f>IF(CABLES[[#This Row],[SEG32]]&gt;0,CABLES[[#This Row],[CABLE_MASS]],0)</f>
        <v>0</v>
      </c>
      <c r="HM66" s="10">
        <f>IF(CABLES[[#This Row],[SEG33]]&gt;0,CABLES[[#This Row],[CABLE_MASS]],0)</f>
        <v>0</v>
      </c>
      <c r="HN66" s="10">
        <f>IF(CABLES[[#This Row],[SEG34]]&gt;0,CABLES[[#This Row],[CABLE_MASS]],0)</f>
        <v>0</v>
      </c>
      <c r="HO66" s="10">
        <f>IF(CABLES[[#This Row],[SEG35]]&gt;0,CABLES[[#This Row],[CABLE_MASS]],0)</f>
        <v>0</v>
      </c>
      <c r="HP66" s="10">
        <f>IF(CABLES[[#This Row],[SEG36]]&gt;0,CABLES[[#This Row],[CABLE_MASS]],0)</f>
        <v>0</v>
      </c>
      <c r="HQ66" s="10">
        <f>IF(CABLES[[#This Row],[SEG37]]&gt;0,CABLES[[#This Row],[CABLE_MASS]],0)</f>
        <v>0</v>
      </c>
      <c r="HR66" s="10">
        <f>IF(CABLES[[#This Row],[SEG38]]&gt;0,CABLES[[#This Row],[CABLE_MASS]],0)</f>
        <v>0</v>
      </c>
      <c r="HS66" s="10">
        <f>IF(CABLES[[#This Row],[SEG39]]&gt;0,CABLES[[#This Row],[CABLE_MASS]],0)</f>
        <v>0.21</v>
      </c>
      <c r="HT66" s="10">
        <f>IF(CABLES[[#This Row],[SEG40]]&gt;0,CABLES[[#This Row],[CABLE_MASS]],0)</f>
        <v>0</v>
      </c>
      <c r="HU66" s="10">
        <f>IF(CABLES[[#This Row],[SEG41]]&gt;0,CABLES[[#This Row],[CABLE_MASS]],0)</f>
        <v>0.21</v>
      </c>
      <c r="HV66" s="10">
        <f>IF(CABLES[[#This Row],[SEG42]]&gt;0,CABLES[[#This Row],[CABLE_MASS]],0)</f>
        <v>0</v>
      </c>
      <c r="HW66" s="10">
        <f>IF(CABLES[[#This Row],[SEG43]]&gt;0,CABLES[[#This Row],[CABLE_MASS]],0)</f>
        <v>0</v>
      </c>
      <c r="HX66" s="10">
        <f>IF(CABLES[[#This Row],[SEG44]]&gt;0,CABLES[[#This Row],[CABLE_MASS]],0)</f>
        <v>0</v>
      </c>
      <c r="HY66" s="10">
        <f>IF(CABLES[[#This Row],[SEG45]]&gt;0,CABLES[[#This Row],[CABLE_MASS]],0)</f>
        <v>0.21</v>
      </c>
      <c r="HZ66" s="10">
        <f>IF(CABLES[[#This Row],[SEG46]]&gt;0,CABLES[[#This Row],[CABLE_MASS]],0)</f>
        <v>0</v>
      </c>
      <c r="IA66" s="10">
        <f>IF(CABLES[[#This Row],[SEG47]]&gt;0,CABLES[[#This Row],[CABLE_MASS]],0)</f>
        <v>0.21</v>
      </c>
      <c r="IB66" s="10">
        <f>IF(CABLES[[#This Row],[SEG48]]&gt;0,CABLES[[#This Row],[CABLE_MASS]],0)</f>
        <v>0.21</v>
      </c>
      <c r="IC66" s="10">
        <f>IF(CABLES[[#This Row],[SEG49]]&gt;0,CABLES[[#This Row],[CABLE_MASS]],0)</f>
        <v>0</v>
      </c>
      <c r="ID66" s="10">
        <f>IF(CABLES[[#This Row],[SEG50]]&gt;0,CABLES[[#This Row],[CABLE_MASS]],0)</f>
        <v>0</v>
      </c>
      <c r="IE66" s="10">
        <f>IF(CABLES[[#This Row],[SEG51]]&gt;0,CABLES[[#This Row],[CABLE_MASS]],0)</f>
        <v>0</v>
      </c>
      <c r="IF66" s="10">
        <f>IF(CABLES[[#This Row],[SEG52]]&gt;0,CABLES[[#This Row],[CABLE_MASS]],0)</f>
        <v>0</v>
      </c>
      <c r="IG66" s="10">
        <f>IF(CABLES[[#This Row],[SEG53]]&gt;0,CABLES[[#This Row],[CABLE_MASS]],0)</f>
        <v>0</v>
      </c>
      <c r="IH66" s="10">
        <f>IF(CABLES[[#This Row],[SEG54]]&gt;0,CABLES[[#This Row],[CABLE_MASS]],0)</f>
        <v>0</v>
      </c>
      <c r="II66" s="10">
        <f>IF(CABLES[[#This Row],[SEG55]]&gt;0,CABLES[[#This Row],[CABLE_MASS]],0)</f>
        <v>0</v>
      </c>
      <c r="IJ66" s="10">
        <f>IF(CABLES[[#This Row],[SEG56]]&gt;0,CABLES[[#This Row],[CABLE_MASS]],0)</f>
        <v>0</v>
      </c>
      <c r="IK66" s="10">
        <f>IF(CABLES[[#This Row],[SEG57]]&gt;0,CABLES[[#This Row],[CABLE_MASS]],0)</f>
        <v>0</v>
      </c>
      <c r="IL66" s="10">
        <f>IF(CABLES[[#This Row],[SEG58]]&gt;0,CABLES[[#This Row],[CABLE_MASS]],0)</f>
        <v>0</v>
      </c>
      <c r="IM66" s="10">
        <f>IF(CABLES[[#This Row],[SEG59]]&gt;0,CABLES[[#This Row],[CABLE_MASS]],0)</f>
        <v>0</v>
      </c>
      <c r="IN66" s="10">
        <f>IF(CABLES[[#This Row],[SEG60]]&gt;0,CABLES[[#This Row],[CABLE_MASS]],0)</f>
        <v>0</v>
      </c>
      <c r="IO66" s="10">
        <f xml:space="preserve">  (CABLES[[#This Row],[LOAD_KW]]/(SQRT(3)*SYSTEM_VOLTAGE*POWER_FACTOR))*1000</f>
        <v>0.59338777666711529</v>
      </c>
      <c r="IP66" s="10">
        <v>45</v>
      </c>
      <c r="IQ66" s="10">
        <f xml:space="preserve"> INDEX(AS3000_AMBIENTDERATE[], MATCH(CABLES[[#This Row],[AMBIENT]],AS3000_AMBIENTDERATE[AMBIENT],0), 2)</f>
        <v>0.94</v>
      </c>
      <c r="IR66" s="10">
        <f xml:space="preserve"> ROUNDUP( CABLES[[#This Row],[CALCULATED_AMPS]]/CABLES[[#This Row],[AMBIENT_DERATING]],1)</f>
        <v>0.7</v>
      </c>
      <c r="IS66" s="10" t="s">
        <v>531</v>
      </c>
      <c r="IT6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6" s="10">
        <f t="shared" si="1"/>
        <v>28.000000000000004</v>
      </c>
      <c r="IV66" s="10">
        <f>(1000*CABLES[[#This Row],[MAX_VDROP]])/(CABLES[[#This Row],[ESTIMATED_CABLE_LENGTH]]*CABLES[[#This Row],[AMP_RATING]])</f>
        <v>505.05050505050514</v>
      </c>
      <c r="IW66" s="10">
        <f xml:space="preserve"> INDEX(AS3000_VDROP[], MATCH(CABLES[[#This Row],[VC_CALC]],AS3000_VDROP[Vc],1),1)</f>
        <v>2.5</v>
      </c>
      <c r="IX66" s="10">
        <f>MAX(CABLES[[#This Row],[CABLESIZE_METHOD1]],CABLES[[#This Row],[CABLESIZE_METHOD2]])</f>
        <v>2.5</v>
      </c>
      <c r="IY66" s="10"/>
      <c r="IZ66" s="10">
        <f>IF(LEN(CABLES[[#This Row],[OVERRIDE_CABLESIZE]])&gt;0,CABLES[[#This Row],[OVERRIDE_CABLESIZE]],CABLES[[#This Row],[INITIAL_CABLESIZE]])</f>
        <v>2.5</v>
      </c>
      <c r="JA66" s="10">
        <f>INDEX(PROTECTIVE_DEVICE[DEVICE], MATCH(CABLES[[#This Row],[CALCULATED_AMPS]],PROTECTIVE_DEVICE[DEVICE],-1),1)</f>
        <v>6</v>
      </c>
      <c r="JB66" s="10"/>
      <c r="JC66" s="10">
        <f>IF(LEN(CABLES[[#This Row],[OVERRIDE_PDEVICE]])&gt;0, CABLES[[#This Row],[OVERRIDE_PDEVICE]],CABLES[[#This Row],[RECOMMEND_PDEVICE]])</f>
        <v>6</v>
      </c>
      <c r="JD66" s="10" t="s">
        <v>450</v>
      </c>
      <c r="JE66" s="10">
        <f xml:space="preserve"> CABLES[[#This Row],[SELECTED_PDEVICE]] * INDEX(DEVICE_CURVE[], MATCH(CABLES[[#This Row],[PDEVICE_CURVE]], DEVICE_CURVE[DEVICE_CURVE],0),2)</f>
        <v>39</v>
      </c>
      <c r="JF66" s="10" t="s">
        <v>458</v>
      </c>
      <c r="JG66" s="10">
        <f xml:space="preserve"> INDEX(CONDUCTOR_MATERIAL[], MATCH(CABLES[[#This Row],[CONDUCTOR_MATERIAL]],CONDUCTOR_MATERIAL[CONDUCTOR_MATERIAL],0),2)</f>
        <v>2.2499999999999999E-2</v>
      </c>
      <c r="JH66" s="10">
        <f>CABLES[[#This Row],[SELECTED_CABLESIZE]]</f>
        <v>2.5</v>
      </c>
      <c r="JI66" s="10">
        <f xml:space="preserve"> INDEX( EARTH_CONDUCTOR_SIZE[], MATCH(CABLES[[#This Row],[SPH]],EARTH_CONDUCTOR_SIZE[MM^2],-1), 2)</f>
        <v>2.5</v>
      </c>
      <c r="JJ66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66" s="10" t="str">
        <f>IF(CABLES[[#This Row],[LMAX]]&gt;CABLES[[#This Row],[ESTIMATED_CABLE_LENGTH]], "PASS", "ERROR")</f>
        <v>PASS</v>
      </c>
      <c r="JL6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6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66" s="6">
        <f xml:space="preserve"> ROUNDUP( CABLES[[#This Row],[CALCULATED_AMPS]],1)</f>
        <v>0.6</v>
      </c>
      <c r="JO66" s="6">
        <f>CABLES[[#This Row],[SELECTED_CABLESIZE]]</f>
        <v>2.5</v>
      </c>
      <c r="JP66" s="10">
        <f>CABLES[[#This Row],[ESTIMATED_CABLE_LENGTH]]</f>
        <v>79.2</v>
      </c>
      <c r="JQ66" s="6">
        <f>CABLES[[#This Row],[SELECTED_PDEVICE]]</f>
        <v>6</v>
      </c>
    </row>
    <row r="67" spans="1:277" x14ac:dyDescent="0.35">
      <c r="A67" s="5" t="s">
        <v>505</v>
      </c>
      <c r="B67" s="5" t="s">
        <v>520</v>
      </c>
      <c r="C67" s="10" t="s">
        <v>262</v>
      </c>
      <c r="D67" s="9">
        <v>0.37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1</v>
      </c>
      <c r="AI67" s="9">
        <v>1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1</v>
      </c>
      <c r="AR67" s="9">
        <v>0</v>
      </c>
      <c r="AS67" s="9">
        <v>1</v>
      </c>
      <c r="AT67" s="9">
        <v>0</v>
      </c>
      <c r="AU67" s="9">
        <v>0</v>
      </c>
      <c r="AV67" s="9">
        <v>0</v>
      </c>
      <c r="AW67" s="9">
        <v>1</v>
      </c>
      <c r="AX67" s="9">
        <v>0</v>
      </c>
      <c r="AY67" s="9">
        <v>1</v>
      </c>
      <c r="AZ67" s="9">
        <v>1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f xml:space="preserve"> IF(CABLES[[#This Row],[SEG1]] &gt;0, INDEX(SEGMENTS[], MATCH(CABLES[[#Headers],[SEG1]],SEGMENTS[SEG_ID],0),4),0)</f>
        <v>0</v>
      </c>
      <c r="BN67" s="10">
        <f xml:space="preserve"> IF(CABLES[[#This Row],[SEG2]] &gt;0, INDEX(SEGMENTS[], MATCH(CABLES[[#Headers],[SEG2]],SEGMENTS[SEG_ID],0),4),0)</f>
        <v>0</v>
      </c>
      <c r="BO67" s="10">
        <f xml:space="preserve"> IF(CABLES[[#This Row],[SEG3]] &gt;0, INDEX(SEGMENTS[], MATCH(CABLES[[#Headers],[SEG3]],SEGMENTS[SEG_ID],0),4),0)</f>
        <v>0</v>
      </c>
      <c r="BP67" s="10">
        <f xml:space="preserve"> IF(CABLES[[#This Row],[SEG4]] &gt;0, INDEX(SEGMENTS[], MATCH(CABLES[[#Headers],[SEG4]],SEGMENTS[SEG_ID],0),4),0)</f>
        <v>0</v>
      </c>
      <c r="BQ67" s="10">
        <f xml:space="preserve"> IF(CABLES[[#This Row],[SEG5]] &gt;0,INDEX(SEGMENTS[], MATCH(CABLES[[#Headers],[SEG5]],SEGMENTS[SEG_ID],0),4),0)</f>
        <v>0</v>
      </c>
      <c r="BR67" s="10">
        <f xml:space="preserve"> IF(CABLES[[#This Row],[SEG6]] &gt;0,INDEX(SEGMENTS[], MATCH(CABLES[[#Headers],[SEG6]],SEGMENTS[SEG_ID],0),4),0)</f>
        <v>0</v>
      </c>
      <c r="BS67" s="10">
        <f xml:space="preserve"> IF(CABLES[[#This Row],[SEG7]] &gt;0,INDEX(SEGMENTS[], MATCH(CABLES[[#Headers],[SEG7]],SEGMENTS[SEG_ID],0),4),0)</f>
        <v>0</v>
      </c>
      <c r="BT67" s="10">
        <f xml:space="preserve"> IF(CABLES[[#This Row],[SEG8]] &gt;0,INDEX(SEGMENTS[], MATCH(CABLES[[#Headers],[SEG8]],SEGMENTS[SEG_ID],0),4),0)</f>
        <v>0</v>
      </c>
      <c r="BU67" s="10">
        <f xml:space="preserve"> IF(CABLES[[#This Row],[SEG9]] &gt;0,INDEX(SEGMENTS[], MATCH(CABLES[[#Headers],[SEG9]],SEGMENTS[SEG_ID],0),4),0)</f>
        <v>0</v>
      </c>
      <c r="BV67" s="10">
        <f xml:space="preserve"> IF(CABLES[[#This Row],[SEG10]] &gt;0,INDEX(SEGMENTS[], MATCH(CABLES[[#Headers],[SEG10]],SEGMENTS[SEG_ID],0),4),0)</f>
        <v>0</v>
      </c>
      <c r="BW67" s="10">
        <f xml:space="preserve"> IF(CABLES[[#This Row],[SEG11]] &gt;0,INDEX(SEGMENTS[], MATCH(CABLES[[#Headers],[SEG11]],SEGMENTS[SEG_ID],0),4),0)</f>
        <v>0</v>
      </c>
      <c r="BX67" s="10">
        <f>IF(CABLES[[#This Row],[SEG12]] &gt;0, INDEX(SEGMENTS[], MATCH(CABLES[[#Headers],[SEG12]],SEGMENTS[SEG_ID],0),4),0)</f>
        <v>0</v>
      </c>
      <c r="BY67" s="10">
        <f xml:space="preserve"> IF(CABLES[[#This Row],[SEG13]] &gt;0,INDEX(SEGMENTS[], MATCH(CABLES[[#Headers],[SEG13]],SEGMENTS[SEG_ID],0),4),0)</f>
        <v>0</v>
      </c>
      <c r="BZ67" s="10">
        <f xml:space="preserve"> IF(CABLES[[#This Row],[SEG14]] &gt;0,INDEX(SEGMENTS[], MATCH(CABLES[[#Headers],[SEG14]],SEGMENTS[SEG_ID],0),4),0)</f>
        <v>0</v>
      </c>
      <c r="CA67" s="10">
        <f xml:space="preserve"> IF(CABLES[[#This Row],[SEG15]] &gt;0,INDEX(SEGMENTS[], MATCH(CABLES[[#Headers],[SEG15]],SEGMENTS[SEG_ID],0),4),0)</f>
        <v>0</v>
      </c>
      <c r="CB67" s="10">
        <f xml:space="preserve"> IF(CABLES[[#This Row],[SEG16]] &gt;0,INDEX(SEGMENTS[], MATCH(CABLES[[#Headers],[SEG16]],SEGMENTS[SEG_ID],0),4),0)</f>
        <v>0</v>
      </c>
      <c r="CC67" s="10">
        <f xml:space="preserve"> IF(CABLES[[#This Row],[SEG17]] &gt;0,INDEX(SEGMENTS[], MATCH(CABLES[[#Headers],[SEG17]],SEGMENTS[SEG_ID],0),4),0)</f>
        <v>0</v>
      </c>
      <c r="CD67" s="10">
        <f xml:space="preserve"> IF(CABLES[[#This Row],[SEG18]] &gt;0,INDEX(SEGMENTS[], MATCH(CABLES[[#Headers],[SEG18]],SEGMENTS[SEG_ID],0),4),0)</f>
        <v>0</v>
      </c>
      <c r="CE67" s="10">
        <f>IF(CABLES[[#This Row],[SEG19]] &gt;0, INDEX(SEGMENTS[], MATCH(CABLES[[#Headers],[SEG19]],SEGMENTS[SEG_ID],0),4),0)</f>
        <v>0</v>
      </c>
      <c r="CF67" s="10">
        <f>IF(CABLES[[#This Row],[SEG20]] &gt;0, INDEX(SEGMENTS[], MATCH(CABLES[[#Headers],[SEG20]],SEGMENTS[SEG_ID],0),4),0)</f>
        <v>0</v>
      </c>
      <c r="CG67" s="10">
        <f xml:space="preserve"> IF(CABLES[[#This Row],[SEG21]] &gt;0,INDEX(SEGMENTS[], MATCH(CABLES[[#Headers],[SEG21]],SEGMENTS[SEG_ID],0),4),0)</f>
        <v>0</v>
      </c>
      <c r="CH67" s="10">
        <f xml:space="preserve"> IF(CABLES[[#This Row],[SEG22]] &gt;0,INDEX(SEGMENTS[], MATCH(CABLES[[#Headers],[SEG22]],SEGMENTS[SEG_ID],0),4),0)</f>
        <v>0</v>
      </c>
      <c r="CI67" s="10">
        <f>IF(CABLES[[#This Row],[SEG23]] &gt;0, INDEX(SEGMENTS[], MATCH(CABLES[[#Headers],[SEG23]],SEGMENTS[SEG_ID],0),4),0)</f>
        <v>0</v>
      </c>
      <c r="CJ67" s="10">
        <f xml:space="preserve"> IF(CABLES[[#This Row],[SEG24]] &gt;0,INDEX(SEGMENTS[], MATCH(CABLES[[#Headers],[SEG24]],SEGMENTS[SEG_ID],0),4),0)</f>
        <v>0</v>
      </c>
      <c r="CK67" s="10">
        <f>IF(CABLES[[#This Row],[SEG25]] &gt;0, INDEX(SEGMENTS[], MATCH(CABLES[[#Headers],[SEG25]],SEGMENTS[SEG_ID],0),4),0)</f>
        <v>0</v>
      </c>
      <c r="CL67" s="10">
        <f>IF(CABLES[[#This Row],[SEG26]] &gt;0, INDEX(SEGMENTS[], MATCH(CABLES[[#Headers],[SEG26]],SEGMENTS[SEG_ID],0),4),0)</f>
        <v>0</v>
      </c>
      <c r="CM67" s="10">
        <f xml:space="preserve"> IF(CABLES[[#This Row],[SEG27]] &gt;0,INDEX(SEGMENTS[], MATCH(CABLES[[#Headers],[SEG27]],SEGMENTS[SEG_ID],0),4),0)</f>
        <v>0</v>
      </c>
      <c r="CN67" s="10">
        <f xml:space="preserve"> IF(CABLES[[#This Row],[SEG28]] &gt;0,INDEX(SEGMENTS[], MATCH(CABLES[[#Headers],[SEG28]],SEGMENTS[SEG_ID],0),4),0)</f>
        <v>0</v>
      </c>
      <c r="CO67" s="10">
        <f xml:space="preserve"> IF(CABLES[[#This Row],[SEG29]] &gt;0,INDEX(SEGMENTS[], MATCH(CABLES[[#Headers],[SEG29]],SEGMENTS[SEG_ID],0),4),0)</f>
        <v>0</v>
      </c>
      <c r="CP67" s="10">
        <f xml:space="preserve"> IF(CABLES[[#This Row],[SEG30]] &gt;0,INDEX(SEGMENTS[], MATCH(CABLES[[#Headers],[SEG30]],SEGMENTS[SEG_ID],0),4),0)</f>
        <v>6</v>
      </c>
      <c r="CQ67" s="10">
        <f>IF(CABLES[[#This Row],[SEG31]] &gt;0, INDEX(SEGMENTS[], MATCH(CABLES[[#Headers],[SEG31]],SEGMENTS[SEG_ID],0),4),0)</f>
        <v>3</v>
      </c>
      <c r="CR67" s="10">
        <f xml:space="preserve"> IF(CABLES[[#This Row],[SEG32]] &gt;0,INDEX(SEGMENTS[], MATCH(CABLES[[#Headers],[SEG32]],SEGMENTS[SEG_ID],0),4),0)</f>
        <v>0</v>
      </c>
      <c r="CS67" s="10">
        <f xml:space="preserve"> IF(CABLES[[#This Row],[SEG33]] &gt;0,INDEX(SEGMENTS[], MATCH(CABLES[[#Headers],[SEG33]],SEGMENTS[SEG_ID],0),4),0)</f>
        <v>0</v>
      </c>
      <c r="CT67" s="10">
        <f>IF(CABLES[[#This Row],[SEG34]] &gt;0, INDEX(SEGMENTS[], MATCH(CABLES[[#Headers],[SEG34]],SEGMENTS[SEG_ID],0),4),0)</f>
        <v>0</v>
      </c>
      <c r="CU67" s="10">
        <f xml:space="preserve"> IF(CABLES[[#This Row],[SEG35]] &gt;0,INDEX(SEGMENTS[], MATCH(CABLES[[#Headers],[SEG35]],SEGMENTS[SEG_ID],0),4),0)</f>
        <v>0</v>
      </c>
      <c r="CV67" s="10">
        <f xml:space="preserve"> IF(CABLES[[#This Row],[SEG36]] &gt;0,INDEX(SEGMENTS[], MATCH(CABLES[[#Headers],[SEG36]],SEGMENTS[SEG_ID],0),4),0)</f>
        <v>0</v>
      </c>
      <c r="CW67" s="10">
        <f xml:space="preserve"> IF(CABLES[[#This Row],[SEG37]] &gt;0,INDEX(SEGMENTS[], MATCH(CABLES[[#Headers],[SEG37]],SEGMENTS[SEG_ID],0),4),0)</f>
        <v>0</v>
      </c>
      <c r="CX67" s="10">
        <f xml:space="preserve"> IF(CABLES[[#This Row],[SEG38]] &gt;0,INDEX(SEGMENTS[], MATCH(CABLES[[#Headers],[SEG38]],SEGMENTS[SEG_ID],0),4),0)</f>
        <v>0</v>
      </c>
      <c r="CY67" s="10">
        <f xml:space="preserve"> IF(CABLES[[#This Row],[SEG39]] &gt;0,INDEX(SEGMENTS[], MATCH(CABLES[[#Headers],[SEG39]],SEGMENTS[SEG_ID],0),4),0)</f>
        <v>8</v>
      </c>
      <c r="CZ67" s="10">
        <f xml:space="preserve"> IF(CABLES[[#This Row],[SEG40]] &gt;0,INDEX(SEGMENTS[], MATCH(CABLES[[#Headers],[SEG40]],SEGMENTS[SEG_ID],0),4),0)</f>
        <v>0</v>
      </c>
      <c r="DA67" s="10">
        <f xml:space="preserve"> IF(CABLES[[#This Row],[SEG41]] &gt;0,INDEX(SEGMENTS[], MATCH(CABLES[[#Headers],[SEG41]],SEGMENTS[SEG_ID],0),4),0)</f>
        <v>8</v>
      </c>
      <c r="DB67" s="10">
        <f xml:space="preserve"> IF(CABLES[[#This Row],[SEG42]] &gt;0,INDEX(SEGMENTS[], MATCH(CABLES[[#Headers],[SEG42]],SEGMENTS[SEG_ID],0),4),0)</f>
        <v>0</v>
      </c>
      <c r="DC67" s="10">
        <f xml:space="preserve"> IF(CABLES[[#This Row],[SEG43]] &gt;0,INDEX(SEGMENTS[], MATCH(CABLES[[#Headers],[SEG43]],SEGMENTS[SEG_ID],0),4),0)</f>
        <v>0</v>
      </c>
      <c r="DD67" s="10">
        <f xml:space="preserve"> IF(CABLES[[#This Row],[SEG44]] &gt;0,INDEX(SEGMENTS[], MATCH(CABLES[[#Headers],[SEG44]],SEGMENTS[SEG_ID],0),4),0)</f>
        <v>0</v>
      </c>
      <c r="DE67" s="10">
        <f xml:space="preserve"> IF(CABLES[[#This Row],[SEG45]] &gt;0,INDEX(SEGMENTS[], MATCH(CABLES[[#Headers],[SEG45]],SEGMENTS[SEG_ID],0),4),0)</f>
        <v>9</v>
      </c>
      <c r="DF67" s="10">
        <f xml:space="preserve"> IF(CABLES[[#This Row],[SEG46]] &gt;0,INDEX(SEGMENTS[], MATCH(CABLES[[#Headers],[SEG46]],SEGMENTS[SEG_ID],0),4),0)</f>
        <v>0</v>
      </c>
      <c r="DG67" s="10">
        <f xml:space="preserve"> IF(CABLES[[#This Row],[SEG47]] &gt;0,INDEX(SEGMENTS[], MATCH(CABLES[[#Headers],[SEG47]],SEGMENTS[SEG_ID],0),4),0)</f>
        <v>12</v>
      </c>
      <c r="DH67" s="10">
        <f xml:space="preserve"> IF(CABLES[[#This Row],[SEG48]] &gt;0,INDEX(SEGMENTS[], MATCH(CABLES[[#Headers],[SEG48]],SEGMENTS[SEG_ID],0),4),0)</f>
        <v>15</v>
      </c>
      <c r="DI67" s="10">
        <f xml:space="preserve"> IF(CABLES[[#This Row],[SEG49]] &gt;0,INDEX(SEGMENTS[], MATCH(CABLES[[#Headers],[SEG49]],SEGMENTS[SEG_ID],0),4),0)</f>
        <v>0</v>
      </c>
      <c r="DJ67" s="10">
        <f xml:space="preserve"> IF(CABLES[[#This Row],[SEG50]] &gt;0,INDEX(SEGMENTS[], MATCH(CABLES[[#Headers],[SEG50]],SEGMENTS[SEG_ID],0),4),0)</f>
        <v>0</v>
      </c>
      <c r="DK67" s="10">
        <f xml:space="preserve"> IF(CABLES[[#This Row],[SEG51]] &gt;0,INDEX(SEGMENTS[], MATCH(CABLES[[#Headers],[SEG51]],SEGMENTS[SEG_ID],0),4),0)</f>
        <v>0</v>
      </c>
      <c r="DL67" s="10">
        <f xml:space="preserve"> IF(CABLES[[#This Row],[SEG52]] &gt;0,INDEX(SEGMENTS[], MATCH(CABLES[[#Headers],[SEG52]],SEGMENTS[SEG_ID],0),4),0)</f>
        <v>0</v>
      </c>
      <c r="DM67" s="10">
        <f xml:space="preserve"> IF(CABLES[[#This Row],[SEG53]] &gt;0,INDEX(SEGMENTS[], MATCH(CABLES[[#Headers],[SEG53]],SEGMENTS[SEG_ID],0),4),0)</f>
        <v>0</v>
      </c>
      <c r="DN67" s="10">
        <f xml:space="preserve"> IF(CABLES[[#This Row],[SEG54]] &gt;0,INDEX(SEGMENTS[], MATCH(CABLES[[#Headers],[SEG54]],SEGMENTS[SEG_ID],0),4),0)</f>
        <v>0</v>
      </c>
      <c r="DO67" s="10">
        <f xml:space="preserve"> IF(CABLES[[#This Row],[SEG55]] &gt;0,INDEX(SEGMENTS[], MATCH(CABLES[[#Headers],[SEG55]],SEGMENTS[SEG_ID],0),4),0)</f>
        <v>0</v>
      </c>
      <c r="DP67" s="10">
        <f xml:space="preserve"> IF(CABLES[[#This Row],[SEG56]] &gt;0,INDEX(SEGMENTS[], MATCH(CABLES[[#Headers],[SEG56]],SEGMENTS[SEG_ID],0),4),0)</f>
        <v>0</v>
      </c>
      <c r="DQ67" s="10">
        <f xml:space="preserve"> IF(CABLES[[#This Row],[SEG57]] &gt;0,INDEX(SEGMENTS[], MATCH(CABLES[[#Headers],[SEG57]],SEGMENTS[SEG_ID],0),4),0)</f>
        <v>0</v>
      </c>
      <c r="DR67" s="10">
        <f xml:space="preserve"> IF(CABLES[[#This Row],[SEG58]] &gt;0,INDEX(SEGMENTS[], MATCH(CABLES[[#Headers],[SEG58]],SEGMENTS[SEG_ID],0),4),0)</f>
        <v>0</v>
      </c>
      <c r="DS67" s="10">
        <f xml:space="preserve"> IF(CABLES[[#This Row],[SEG59]] &gt;0,INDEX(SEGMENTS[], MATCH(CABLES[[#Headers],[SEG59]],SEGMENTS[SEG_ID],0),4),0)</f>
        <v>0</v>
      </c>
      <c r="DT67" s="10">
        <f xml:space="preserve"> IF(CABLES[[#This Row],[SEG60]] &gt;0,INDEX(SEGMENTS[], MATCH(CABLES[[#Headers],[SEG60]],SEGMENTS[SEG_ID],0),4),0)</f>
        <v>0</v>
      </c>
      <c r="DU67" s="10">
        <f>SUM(CABLES[[#This Row],[SEGL1]:[SEGL60]])</f>
        <v>61</v>
      </c>
      <c r="DV67" s="10">
        <v>5</v>
      </c>
      <c r="DW67" s="10">
        <v>1.2</v>
      </c>
      <c r="DX67" s="10">
        <f xml:space="preserve"> IF(CABLES[[#This Row],[SEGL_TOTAL]]&gt;0, (CABLES[[#This Row],[SEGL_TOTAL]] + CABLES[[#This Row],[FITOFF]]) *CABLES[[#This Row],[XCAPACITY]],0)</f>
        <v>79.2</v>
      </c>
      <c r="DY67" s="10">
        <f>IF(CABLES[[#This Row],[SEG1]]&gt;0,CABLES[[#This Row],[CABLE_DIAMETER]],0)</f>
        <v>0</v>
      </c>
      <c r="DZ67" s="10">
        <f>IF(CABLES[[#This Row],[SEG2]]&gt;0,CABLES[[#This Row],[CABLE_DIAMETER]],0)</f>
        <v>0</v>
      </c>
      <c r="EA67" s="10">
        <f>IF(CABLES[[#This Row],[SEG3]]&gt;0,CABLES[[#This Row],[CABLE_DIAMETER]],0)</f>
        <v>0</v>
      </c>
      <c r="EB67" s="10">
        <f>IF(CABLES[[#This Row],[SEG4]]&gt;0,CABLES[[#This Row],[CABLE_DIAMETER]],0)</f>
        <v>0</v>
      </c>
      <c r="EC67" s="10">
        <f>IF(CABLES[[#This Row],[SEG5]]&gt;0,CABLES[[#This Row],[CABLE_DIAMETER]],0)</f>
        <v>0</v>
      </c>
      <c r="ED67" s="10">
        <f>IF(CABLES[[#This Row],[SEG6]]&gt;0,CABLES[[#This Row],[CABLE_DIAMETER]],0)</f>
        <v>0</v>
      </c>
      <c r="EE67" s="10">
        <f>IF(CABLES[[#This Row],[SEG7]]&gt;0,CABLES[[#This Row],[CABLE_DIAMETER]],0)</f>
        <v>0</v>
      </c>
      <c r="EF67" s="10">
        <f>IF(CABLES[[#This Row],[SEG9]]&gt;0,CABLES[[#This Row],[CABLE_DIAMETER]],0)</f>
        <v>0</v>
      </c>
      <c r="EG67" s="10">
        <f>IF(CABLES[[#This Row],[SEG9]]&gt;0,CABLES[[#This Row],[CABLE_DIAMETER]],0)</f>
        <v>0</v>
      </c>
      <c r="EH67" s="10">
        <f>IF(CABLES[[#This Row],[SEG10]]&gt;0,CABLES[[#This Row],[CABLE_DIAMETER]],0)</f>
        <v>0</v>
      </c>
      <c r="EI67" s="10">
        <f>IF(CABLES[[#This Row],[SEG11]]&gt;0,CABLES[[#This Row],[CABLE_DIAMETER]],0)</f>
        <v>0</v>
      </c>
      <c r="EJ67" s="10">
        <f>IF(CABLES[[#This Row],[SEG12]]&gt;0,CABLES[[#This Row],[CABLE_DIAMETER]],0)</f>
        <v>0</v>
      </c>
      <c r="EK67" s="10">
        <f>IF(CABLES[[#This Row],[SEG13]]&gt;0,CABLES[[#This Row],[CABLE_DIAMETER]],0)</f>
        <v>0</v>
      </c>
      <c r="EL67" s="10">
        <f>IF(CABLES[[#This Row],[SEG14]]&gt;0,CABLES[[#This Row],[CABLE_DIAMETER]],0)</f>
        <v>0</v>
      </c>
      <c r="EM67" s="10">
        <f>IF(CABLES[[#This Row],[SEG15]]&gt;0,CABLES[[#This Row],[CABLE_DIAMETER]],0)</f>
        <v>0</v>
      </c>
      <c r="EN67" s="10">
        <f>IF(CABLES[[#This Row],[SEG16]]&gt;0,CABLES[[#This Row],[CABLE_DIAMETER]],0)</f>
        <v>0</v>
      </c>
      <c r="EO67" s="10">
        <f>IF(CABLES[[#This Row],[SEG17]]&gt;0,CABLES[[#This Row],[CABLE_DIAMETER]],0)</f>
        <v>0</v>
      </c>
      <c r="EP67" s="10">
        <f>IF(CABLES[[#This Row],[SEG18]]&gt;0,CABLES[[#This Row],[CABLE_DIAMETER]],0)</f>
        <v>0</v>
      </c>
      <c r="EQ67" s="10">
        <f>IF(CABLES[[#This Row],[SEG19]]&gt;0,CABLES[[#This Row],[CABLE_DIAMETER]],0)</f>
        <v>0</v>
      </c>
      <c r="ER67" s="10">
        <f>IF(CABLES[[#This Row],[SEG20]]&gt;0,CABLES[[#This Row],[CABLE_DIAMETER]],0)</f>
        <v>0</v>
      </c>
      <c r="ES67" s="10">
        <f>IF(CABLES[[#This Row],[SEG21]]&gt;0,CABLES[[#This Row],[CABLE_DIAMETER]],0)</f>
        <v>0</v>
      </c>
      <c r="ET67" s="10">
        <f>IF(CABLES[[#This Row],[SEG22]]&gt;0,CABLES[[#This Row],[CABLE_DIAMETER]],0)</f>
        <v>0</v>
      </c>
      <c r="EU67" s="10">
        <f>IF(CABLES[[#This Row],[SEG23]]&gt;0,CABLES[[#This Row],[CABLE_DIAMETER]],0)</f>
        <v>0</v>
      </c>
      <c r="EV67" s="10">
        <f>IF(CABLES[[#This Row],[SEG24]]&gt;0,CABLES[[#This Row],[CABLE_DIAMETER]],0)</f>
        <v>0</v>
      </c>
      <c r="EW67" s="10">
        <f>IF(CABLES[[#This Row],[SEG25]]&gt;0,CABLES[[#This Row],[CABLE_DIAMETER]],0)</f>
        <v>0</v>
      </c>
      <c r="EX67" s="10">
        <f>IF(CABLES[[#This Row],[SEG26]]&gt;0,CABLES[[#This Row],[CABLE_DIAMETER]],0)</f>
        <v>0</v>
      </c>
      <c r="EY67" s="10">
        <f>IF(CABLES[[#This Row],[SEG27]]&gt;0,CABLES[[#This Row],[CABLE_DIAMETER]],0)</f>
        <v>0</v>
      </c>
      <c r="EZ67" s="10">
        <f>IF(CABLES[[#This Row],[SEG28]]&gt;0,CABLES[[#This Row],[CABLE_DIAMETER]],0)</f>
        <v>0</v>
      </c>
      <c r="FA67" s="10">
        <f>IF(CABLES[[#This Row],[SEG29]]&gt;0,CABLES[[#This Row],[CABLE_DIAMETER]],0)</f>
        <v>0</v>
      </c>
      <c r="FB67" s="10">
        <f>IF(CABLES[[#This Row],[SEG30]]&gt;0,CABLES[[#This Row],[CABLE_DIAMETER]],0)</f>
        <v>12</v>
      </c>
      <c r="FC67" s="10">
        <f>IF(CABLES[[#This Row],[SEG31]]&gt;0,CABLES[[#This Row],[CABLE_DIAMETER]],0)</f>
        <v>12</v>
      </c>
      <c r="FD67" s="10">
        <f>IF(CABLES[[#This Row],[SEG32]]&gt;0,CABLES[[#This Row],[CABLE_DIAMETER]],0)</f>
        <v>0</v>
      </c>
      <c r="FE67" s="10">
        <f>IF(CABLES[[#This Row],[SEG33]]&gt;0,CABLES[[#This Row],[CABLE_DIAMETER]],0)</f>
        <v>0</v>
      </c>
      <c r="FF67" s="10">
        <f>IF(CABLES[[#This Row],[SEG34]]&gt;0,CABLES[[#This Row],[CABLE_DIAMETER]],0)</f>
        <v>0</v>
      </c>
      <c r="FG67" s="10">
        <f>IF(CABLES[[#This Row],[SEG35]]&gt;0,CABLES[[#This Row],[CABLE_DIAMETER]],0)</f>
        <v>0</v>
      </c>
      <c r="FH67" s="10">
        <f>IF(CABLES[[#This Row],[SEG36]]&gt;0,CABLES[[#This Row],[CABLE_DIAMETER]],0)</f>
        <v>0</v>
      </c>
      <c r="FI67" s="10">
        <f>IF(CABLES[[#This Row],[SEG37]]&gt;0,CABLES[[#This Row],[CABLE_DIAMETER]],0)</f>
        <v>0</v>
      </c>
      <c r="FJ67" s="10">
        <f>IF(CABLES[[#This Row],[SEG38]]&gt;0,CABLES[[#This Row],[CABLE_DIAMETER]],0)</f>
        <v>0</v>
      </c>
      <c r="FK67" s="10">
        <f>IF(CABLES[[#This Row],[SEG39]]&gt;0,CABLES[[#This Row],[CABLE_DIAMETER]],0)</f>
        <v>12</v>
      </c>
      <c r="FL67" s="10">
        <f>IF(CABLES[[#This Row],[SEG40]]&gt;0,CABLES[[#This Row],[CABLE_DIAMETER]],0)</f>
        <v>0</v>
      </c>
      <c r="FM67" s="10">
        <f>IF(CABLES[[#This Row],[SEG41]]&gt;0,CABLES[[#This Row],[CABLE_DIAMETER]],0)</f>
        <v>12</v>
      </c>
      <c r="FN67" s="10">
        <f>IF(CABLES[[#This Row],[SEG42]]&gt;0,CABLES[[#This Row],[CABLE_DIAMETER]],0)</f>
        <v>0</v>
      </c>
      <c r="FO67" s="10">
        <f>IF(CABLES[[#This Row],[SEG43]]&gt;0,CABLES[[#This Row],[CABLE_DIAMETER]],0)</f>
        <v>0</v>
      </c>
      <c r="FP67" s="10">
        <f>IF(CABLES[[#This Row],[SEG44]]&gt;0,CABLES[[#This Row],[CABLE_DIAMETER]],0)</f>
        <v>0</v>
      </c>
      <c r="FQ67" s="10">
        <f>IF(CABLES[[#This Row],[SEG45]]&gt;0,CABLES[[#This Row],[CABLE_DIAMETER]],0)</f>
        <v>12</v>
      </c>
      <c r="FR67" s="10">
        <f>IF(CABLES[[#This Row],[SEG46]]&gt;0,CABLES[[#This Row],[CABLE_DIAMETER]],0)</f>
        <v>0</v>
      </c>
      <c r="FS67" s="10">
        <f>IF(CABLES[[#This Row],[SEG47]]&gt;0,CABLES[[#This Row],[CABLE_DIAMETER]],0)</f>
        <v>12</v>
      </c>
      <c r="FT67" s="10">
        <f>IF(CABLES[[#This Row],[SEG48]]&gt;0,CABLES[[#This Row],[CABLE_DIAMETER]],0)</f>
        <v>12</v>
      </c>
      <c r="FU67" s="10">
        <f>IF(CABLES[[#This Row],[SEG49]]&gt;0,CABLES[[#This Row],[CABLE_DIAMETER]],0)</f>
        <v>0</v>
      </c>
      <c r="FV67" s="10">
        <f>IF(CABLES[[#This Row],[SEG50]]&gt;0,CABLES[[#This Row],[CABLE_DIAMETER]],0)</f>
        <v>0</v>
      </c>
      <c r="FW67" s="10">
        <f>IF(CABLES[[#This Row],[SEG51]]&gt;0,CABLES[[#This Row],[CABLE_DIAMETER]],0)</f>
        <v>0</v>
      </c>
      <c r="FX67" s="10">
        <f>IF(CABLES[[#This Row],[SEG52]]&gt;0,CABLES[[#This Row],[CABLE_DIAMETER]],0)</f>
        <v>0</v>
      </c>
      <c r="FY67" s="10">
        <f>IF(CABLES[[#This Row],[SEG53]]&gt;0,CABLES[[#This Row],[CABLE_DIAMETER]],0)</f>
        <v>0</v>
      </c>
      <c r="FZ67" s="10">
        <f>IF(CABLES[[#This Row],[SEG54]]&gt;0,CABLES[[#This Row],[CABLE_DIAMETER]],0)</f>
        <v>0</v>
      </c>
      <c r="GA67" s="10">
        <f>IF(CABLES[[#This Row],[SEG55]]&gt;0,CABLES[[#This Row],[CABLE_DIAMETER]],0)</f>
        <v>0</v>
      </c>
      <c r="GB67" s="10">
        <f>IF(CABLES[[#This Row],[SEG56]]&gt;0,CABLES[[#This Row],[CABLE_DIAMETER]],0)</f>
        <v>0</v>
      </c>
      <c r="GC67" s="10">
        <f>IF(CABLES[[#This Row],[SEG57]]&gt;0,CABLES[[#This Row],[CABLE_DIAMETER]],0)</f>
        <v>0</v>
      </c>
      <c r="GD67" s="10">
        <f>IF(CABLES[[#This Row],[SEG58]]&gt;0,CABLES[[#This Row],[CABLE_DIAMETER]],0)</f>
        <v>0</v>
      </c>
      <c r="GE67" s="10">
        <f>IF(CABLES[[#This Row],[SEG59]]&gt;0,CABLES[[#This Row],[CABLE_DIAMETER]],0)</f>
        <v>0</v>
      </c>
      <c r="GF67" s="10">
        <f>IF(CABLES[[#This Row],[SEG60]]&gt;0,CABLES[[#This Row],[CABLE_DIAMETER]],0)</f>
        <v>0</v>
      </c>
      <c r="GG67" s="10">
        <f>IF(CABLES[[#This Row],[SEG1]]&gt;0,CABLES[[#This Row],[CABLE_MASS]],0)</f>
        <v>0</v>
      </c>
      <c r="GH67" s="10">
        <f>IF(CABLES[[#This Row],[SEG2]]&gt;0,CABLES[[#This Row],[CABLE_MASS]],0)</f>
        <v>0</v>
      </c>
      <c r="GI67" s="10">
        <f>IF(CABLES[[#This Row],[SEG3]]&gt;0,CABLES[[#This Row],[CABLE_MASS]],0)</f>
        <v>0</v>
      </c>
      <c r="GJ67" s="10">
        <f>IF(CABLES[[#This Row],[SEG4]]&gt;0,CABLES[[#This Row],[CABLE_MASS]],0)</f>
        <v>0</v>
      </c>
      <c r="GK67" s="10">
        <f>IF(CABLES[[#This Row],[SEG5]]&gt;0,CABLES[[#This Row],[CABLE_MASS]],0)</f>
        <v>0</v>
      </c>
      <c r="GL67" s="10">
        <f>IF(CABLES[[#This Row],[SEG6]]&gt;0,CABLES[[#This Row],[CABLE_MASS]],0)</f>
        <v>0</v>
      </c>
      <c r="GM67" s="10">
        <f>IF(CABLES[[#This Row],[SEG7]]&gt;0,CABLES[[#This Row],[CABLE_MASS]],0)</f>
        <v>0</v>
      </c>
      <c r="GN67" s="10">
        <f>IF(CABLES[[#This Row],[SEG8]]&gt;0,CABLES[[#This Row],[CABLE_MASS]],0)</f>
        <v>0</v>
      </c>
      <c r="GO67" s="10">
        <f>IF(CABLES[[#This Row],[SEG9]]&gt;0,CABLES[[#This Row],[CABLE_MASS]],0)</f>
        <v>0</v>
      </c>
      <c r="GP67" s="10">
        <f>IF(CABLES[[#This Row],[SEG10]]&gt;0,CABLES[[#This Row],[CABLE_MASS]],0)</f>
        <v>0</v>
      </c>
      <c r="GQ67" s="10">
        <f>IF(CABLES[[#This Row],[SEG11]]&gt;0,CABLES[[#This Row],[CABLE_MASS]],0)</f>
        <v>0</v>
      </c>
      <c r="GR67" s="10">
        <f>IF(CABLES[[#This Row],[SEG12]]&gt;0,CABLES[[#This Row],[CABLE_MASS]],0)</f>
        <v>0</v>
      </c>
      <c r="GS67" s="10">
        <f>IF(CABLES[[#This Row],[SEG13]]&gt;0,CABLES[[#This Row],[CABLE_MASS]],0)</f>
        <v>0</v>
      </c>
      <c r="GT67" s="10">
        <f>IF(CABLES[[#This Row],[SEG14]]&gt;0,CABLES[[#This Row],[CABLE_MASS]],0)</f>
        <v>0</v>
      </c>
      <c r="GU67" s="10">
        <f>IF(CABLES[[#This Row],[SEG15]]&gt;0,CABLES[[#This Row],[CABLE_MASS]],0)</f>
        <v>0</v>
      </c>
      <c r="GV67" s="10">
        <f>IF(CABLES[[#This Row],[SEG16]]&gt;0,CABLES[[#This Row],[CABLE_MASS]],0)</f>
        <v>0</v>
      </c>
      <c r="GW67" s="10">
        <f>IF(CABLES[[#This Row],[SEG17]]&gt;0,CABLES[[#This Row],[CABLE_MASS]],0)</f>
        <v>0</v>
      </c>
      <c r="GX67" s="10">
        <f>IF(CABLES[[#This Row],[SEG18]]&gt;0,CABLES[[#This Row],[CABLE_MASS]],0)</f>
        <v>0</v>
      </c>
      <c r="GY67" s="10">
        <f>IF(CABLES[[#This Row],[SEG19]]&gt;0,CABLES[[#This Row],[CABLE_MASS]],0)</f>
        <v>0</v>
      </c>
      <c r="GZ67" s="10">
        <f>IF(CABLES[[#This Row],[SEG20]]&gt;0,CABLES[[#This Row],[CABLE_MASS]],0)</f>
        <v>0</v>
      </c>
      <c r="HA67" s="10">
        <f>IF(CABLES[[#This Row],[SEG21]]&gt;0,CABLES[[#This Row],[CABLE_MASS]],0)</f>
        <v>0</v>
      </c>
      <c r="HB67" s="10">
        <f>IF(CABLES[[#This Row],[SEG22]]&gt;0,CABLES[[#This Row],[CABLE_MASS]],0)</f>
        <v>0</v>
      </c>
      <c r="HC67" s="10">
        <f>IF(CABLES[[#This Row],[SEG23]]&gt;0,CABLES[[#This Row],[CABLE_MASS]],0)</f>
        <v>0</v>
      </c>
      <c r="HD67" s="10">
        <f>IF(CABLES[[#This Row],[SEG24]]&gt;0,CABLES[[#This Row],[CABLE_MASS]],0)</f>
        <v>0</v>
      </c>
      <c r="HE67" s="10">
        <f>IF(CABLES[[#This Row],[SEG25]]&gt;0,CABLES[[#This Row],[CABLE_MASS]],0)</f>
        <v>0</v>
      </c>
      <c r="HF67" s="10">
        <f>IF(CABLES[[#This Row],[SEG26]]&gt;0,CABLES[[#This Row],[CABLE_MASS]],0)</f>
        <v>0</v>
      </c>
      <c r="HG67" s="10">
        <f>IF(CABLES[[#This Row],[SEG27]]&gt;0,CABLES[[#This Row],[CABLE_MASS]],0)</f>
        <v>0</v>
      </c>
      <c r="HH67" s="10">
        <f>IF(CABLES[[#This Row],[SEG28]]&gt;0,CABLES[[#This Row],[CABLE_MASS]],0)</f>
        <v>0</v>
      </c>
      <c r="HI67" s="10">
        <f>IF(CABLES[[#This Row],[SEG29]]&gt;0,CABLES[[#This Row],[CABLE_MASS]],0)</f>
        <v>0</v>
      </c>
      <c r="HJ67" s="10">
        <f>IF(CABLES[[#This Row],[SEG30]]&gt;0,CABLES[[#This Row],[CABLE_MASS]],0)</f>
        <v>0.21</v>
      </c>
      <c r="HK67" s="10">
        <f>IF(CABLES[[#This Row],[SEG31]]&gt;0,CABLES[[#This Row],[CABLE_MASS]],0)</f>
        <v>0.21</v>
      </c>
      <c r="HL67" s="10">
        <f>IF(CABLES[[#This Row],[SEG32]]&gt;0,CABLES[[#This Row],[CABLE_MASS]],0)</f>
        <v>0</v>
      </c>
      <c r="HM67" s="10">
        <f>IF(CABLES[[#This Row],[SEG33]]&gt;0,CABLES[[#This Row],[CABLE_MASS]],0)</f>
        <v>0</v>
      </c>
      <c r="HN67" s="10">
        <f>IF(CABLES[[#This Row],[SEG34]]&gt;0,CABLES[[#This Row],[CABLE_MASS]],0)</f>
        <v>0</v>
      </c>
      <c r="HO67" s="10">
        <f>IF(CABLES[[#This Row],[SEG35]]&gt;0,CABLES[[#This Row],[CABLE_MASS]],0)</f>
        <v>0</v>
      </c>
      <c r="HP67" s="10">
        <f>IF(CABLES[[#This Row],[SEG36]]&gt;0,CABLES[[#This Row],[CABLE_MASS]],0)</f>
        <v>0</v>
      </c>
      <c r="HQ67" s="10">
        <f>IF(CABLES[[#This Row],[SEG37]]&gt;0,CABLES[[#This Row],[CABLE_MASS]],0)</f>
        <v>0</v>
      </c>
      <c r="HR67" s="10">
        <f>IF(CABLES[[#This Row],[SEG38]]&gt;0,CABLES[[#This Row],[CABLE_MASS]],0)</f>
        <v>0</v>
      </c>
      <c r="HS67" s="10">
        <f>IF(CABLES[[#This Row],[SEG39]]&gt;0,CABLES[[#This Row],[CABLE_MASS]],0)</f>
        <v>0.21</v>
      </c>
      <c r="HT67" s="10">
        <f>IF(CABLES[[#This Row],[SEG40]]&gt;0,CABLES[[#This Row],[CABLE_MASS]],0)</f>
        <v>0</v>
      </c>
      <c r="HU67" s="10">
        <f>IF(CABLES[[#This Row],[SEG41]]&gt;0,CABLES[[#This Row],[CABLE_MASS]],0)</f>
        <v>0.21</v>
      </c>
      <c r="HV67" s="10">
        <f>IF(CABLES[[#This Row],[SEG42]]&gt;0,CABLES[[#This Row],[CABLE_MASS]],0)</f>
        <v>0</v>
      </c>
      <c r="HW67" s="10">
        <f>IF(CABLES[[#This Row],[SEG43]]&gt;0,CABLES[[#This Row],[CABLE_MASS]],0)</f>
        <v>0</v>
      </c>
      <c r="HX67" s="10">
        <f>IF(CABLES[[#This Row],[SEG44]]&gt;0,CABLES[[#This Row],[CABLE_MASS]],0)</f>
        <v>0</v>
      </c>
      <c r="HY67" s="10">
        <f>IF(CABLES[[#This Row],[SEG45]]&gt;0,CABLES[[#This Row],[CABLE_MASS]],0)</f>
        <v>0.21</v>
      </c>
      <c r="HZ67" s="10">
        <f>IF(CABLES[[#This Row],[SEG46]]&gt;0,CABLES[[#This Row],[CABLE_MASS]],0)</f>
        <v>0</v>
      </c>
      <c r="IA67" s="10">
        <f>IF(CABLES[[#This Row],[SEG47]]&gt;0,CABLES[[#This Row],[CABLE_MASS]],0)</f>
        <v>0.21</v>
      </c>
      <c r="IB67" s="10">
        <f>IF(CABLES[[#This Row],[SEG48]]&gt;0,CABLES[[#This Row],[CABLE_MASS]],0)</f>
        <v>0.21</v>
      </c>
      <c r="IC67" s="10">
        <f>IF(CABLES[[#This Row],[SEG49]]&gt;0,CABLES[[#This Row],[CABLE_MASS]],0)</f>
        <v>0</v>
      </c>
      <c r="ID67" s="10">
        <f>IF(CABLES[[#This Row],[SEG50]]&gt;0,CABLES[[#This Row],[CABLE_MASS]],0)</f>
        <v>0</v>
      </c>
      <c r="IE67" s="10">
        <f>IF(CABLES[[#This Row],[SEG51]]&gt;0,CABLES[[#This Row],[CABLE_MASS]],0)</f>
        <v>0</v>
      </c>
      <c r="IF67" s="10">
        <f>IF(CABLES[[#This Row],[SEG52]]&gt;0,CABLES[[#This Row],[CABLE_MASS]],0)</f>
        <v>0</v>
      </c>
      <c r="IG67" s="10">
        <f>IF(CABLES[[#This Row],[SEG53]]&gt;0,CABLES[[#This Row],[CABLE_MASS]],0)</f>
        <v>0</v>
      </c>
      <c r="IH67" s="10">
        <f>IF(CABLES[[#This Row],[SEG54]]&gt;0,CABLES[[#This Row],[CABLE_MASS]],0)</f>
        <v>0</v>
      </c>
      <c r="II67" s="10">
        <f>IF(CABLES[[#This Row],[SEG55]]&gt;0,CABLES[[#This Row],[CABLE_MASS]],0)</f>
        <v>0</v>
      </c>
      <c r="IJ67" s="10">
        <f>IF(CABLES[[#This Row],[SEG56]]&gt;0,CABLES[[#This Row],[CABLE_MASS]],0)</f>
        <v>0</v>
      </c>
      <c r="IK67" s="10">
        <f>IF(CABLES[[#This Row],[SEG57]]&gt;0,CABLES[[#This Row],[CABLE_MASS]],0)</f>
        <v>0</v>
      </c>
      <c r="IL67" s="10">
        <f>IF(CABLES[[#This Row],[SEG58]]&gt;0,CABLES[[#This Row],[CABLE_MASS]],0)</f>
        <v>0</v>
      </c>
      <c r="IM67" s="10">
        <f>IF(CABLES[[#This Row],[SEG59]]&gt;0,CABLES[[#This Row],[CABLE_MASS]],0)</f>
        <v>0</v>
      </c>
      <c r="IN67" s="10">
        <f>IF(CABLES[[#This Row],[SEG60]]&gt;0,CABLES[[#This Row],[CABLE_MASS]],0)</f>
        <v>0</v>
      </c>
      <c r="IO67" s="10">
        <f xml:space="preserve">  (CABLES[[#This Row],[LOAD_KW]]/(SQRT(3)*SYSTEM_VOLTAGE*POWER_FACTOR))*1000</f>
        <v>0.59338777666711529</v>
      </c>
      <c r="IP67" s="10">
        <v>45</v>
      </c>
      <c r="IQ67" s="10">
        <f xml:space="preserve"> INDEX(AS3000_AMBIENTDERATE[], MATCH(CABLES[[#This Row],[AMBIENT]],AS3000_AMBIENTDERATE[AMBIENT],0), 2)</f>
        <v>0.94</v>
      </c>
      <c r="IR67" s="10">
        <f xml:space="preserve"> ROUNDUP( CABLES[[#This Row],[CALCULATED_AMPS]]/CABLES[[#This Row],[AMBIENT_DERATING]],1)</f>
        <v>0.7</v>
      </c>
      <c r="IS67" s="10" t="s">
        <v>531</v>
      </c>
      <c r="IT6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7" s="10">
        <f>SYSTEM_VOLTAGE * MAX_VDROP_PERCENT</f>
        <v>28.000000000000004</v>
      </c>
      <c r="IV67" s="10">
        <f>(1000*CABLES[[#This Row],[MAX_VDROP]])/(CABLES[[#This Row],[ESTIMATED_CABLE_LENGTH]]*CABLES[[#This Row],[AMP_RATING]])</f>
        <v>505.05050505050514</v>
      </c>
      <c r="IW67" s="10">
        <f xml:space="preserve"> INDEX(AS3000_VDROP[], MATCH(CABLES[[#This Row],[VC_CALC]],AS3000_VDROP[Vc],1),1)</f>
        <v>2.5</v>
      </c>
      <c r="IX67" s="10">
        <f>MAX(CABLES[[#This Row],[CABLESIZE_METHOD1]],CABLES[[#This Row],[CABLESIZE_METHOD2]])</f>
        <v>2.5</v>
      </c>
      <c r="IY67" s="10"/>
      <c r="IZ67" s="10">
        <f>IF(LEN(CABLES[[#This Row],[OVERRIDE_CABLESIZE]])&gt;0,CABLES[[#This Row],[OVERRIDE_CABLESIZE]],CABLES[[#This Row],[INITIAL_CABLESIZE]])</f>
        <v>2.5</v>
      </c>
      <c r="JA67" s="10">
        <f>INDEX(PROTECTIVE_DEVICE[DEVICE], MATCH(CABLES[[#This Row],[CALCULATED_AMPS]],PROTECTIVE_DEVICE[DEVICE],-1),1)</f>
        <v>6</v>
      </c>
      <c r="JB67" s="10"/>
      <c r="JC67" s="10">
        <f>IF(LEN(CABLES[[#This Row],[OVERRIDE_PDEVICE]])&gt;0, CABLES[[#This Row],[OVERRIDE_PDEVICE]],CABLES[[#This Row],[RECOMMEND_PDEVICE]])</f>
        <v>6</v>
      </c>
      <c r="JD67" s="10" t="s">
        <v>450</v>
      </c>
      <c r="JE67" s="10">
        <f xml:space="preserve"> CABLES[[#This Row],[SELECTED_PDEVICE]] * INDEX(DEVICE_CURVE[], MATCH(CABLES[[#This Row],[PDEVICE_CURVE]], DEVICE_CURVE[DEVICE_CURVE],0),2)</f>
        <v>39</v>
      </c>
      <c r="JF67" s="10" t="s">
        <v>458</v>
      </c>
      <c r="JG67" s="10">
        <f xml:space="preserve"> INDEX(CONDUCTOR_MATERIAL[], MATCH(CABLES[[#This Row],[CONDUCTOR_MATERIAL]],CONDUCTOR_MATERIAL[CONDUCTOR_MATERIAL],0),2)</f>
        <v>2.2499999999999999E-2</v>
      </c>
      <c r="JH67" s="10">
        <f>CABLES[[#This Row],[SELECTED_CABLESIZE]]</f>
        <v>2.5</v>
      </c>
      <c r="JI67" s="10">
        <f xml:space="preserve"> INDEX( EARTH_CONDUCTOR_SIZE[], MATCH(CABLES[[#This Row],[SPH]],EARTH_CONDUCTOR_SIZE[MM^2],-1), 2)</f>
        <v>2.5</v>
      </c>
      <c r="JJ67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67" s="10" t="str">
        <f>IF(CABLES[[#This Row],[LMAX]]&gt;CABLES[[#This Row],[ESTIMATED_CABLE_LENGTH]], "PASS", "ERROR")</f>
        <v>PASS</v>
      </c>
      <c r="JL6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6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67" s="6">
        <f xml:space="preserve"> ROUNDUP( CABLES[[#This Row],[CALCULATED_AMPS]],1)</f>
        <v>0.6</v>
      </c>
      <c r="JO67" s="6">
        <f>CABLES[[#This Row],[SELECTED_CABLESIZE]]</f>
        <v>2.5</v>
      </c>
      <c r="JP67" s="10">
        <f>CABLES[[#This Row],[ESTIMATED_CABLE_LENGTH]]</f>
        <v>79.2</v>
      </c>
      <c r="JQ67" s="6">
        <f>CABLES[[#This Row],[SELECTED_PDEVICE]]</f>
        <v>6</v>
      </c>
    </row>
    <row r="68" spans="1:277" x14ac:dyDescent="0.35">
      <c r="A68" s="5" t="s">
        <v>65</v>
      </c>
      <c r="B68" s="5" t="s">
        <v>506</v>
      </c>
      <c r="C68" s="10" t="s">
        <v>261</v>
      </c>
      <c r="D68" s="9">
        <v>5.5</v>
      </c>
      <c r="E68" s="9">
        <v>1</v>
      </c>
      <c r="F68" s="9">
        <v>1</v>
      </c>
      <c r="G68" s="9">
        <v>0</v>
      </c>
      <c r="H68" s="9">
        <v>1</v>
      </c>
      <c r="I68" s="9">
        <v>0</v>
      </c>
      <c r="J68" s="9">
        <v>1</v>
      </c>
      <c r="K68" s="9">
        <v>0</v>
      </c>
      <c r="L68" s="9">
        <v>1</v>
      </c>
      <c r="M68" s="9">
        <v>0</v>
      </c>
      <c r="N68" s="9">
        <v>1</v>
      </c>
      <c r="O68" s="9">
        <v>0</v>
      </c>
      <c r="P68" s="9">
        <v>0</v>
      </c>
      <c r="Q68" s="9">
        <v>1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1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f xml:space="preserve"> IF(CABLES[[#This Row],[SEG1]] &gt;0, INDEX(SEGMENTS[], MATCH(CABLES[[#Headers],[SEG1]],SEGMENTS[SEG_ID],0),4),0)</f>
        <v>13</v>
      </c>
      <c r="BN68" s="9">
        <f xml:space="preserve"> IF(CABLES[[#This Row],[SEG2]] &gt;0, INDEX(SEGMENTS[], MATCH(CABLES[[#Headers],[SEG2]],SEGMENTS[SEG_ID],0),4),0)</f>
        <v>2</v>
      </c>
      <c r="BO68" s="9">
        <f xml:space="preserve"> IF(CABLES[[#This Row],[SEG3]] &gt;0, INDEX(SEGMENTS[], MATCH(CABLES[[#Headers],[SEG3]],SEGMENTS[SEG_ID],0),4),0)</f>
        <v>0</v>
      </c>
      <c r="BP68" s="9">
        <f xml:space="preserve"> IF(CABLES[[#This Row],[SEG4]] &gt;0, INDEX(SEGMENTS[], MATCH(CABLES[[#Headers],[SEG4]],SEGMENTS[SEG_ID],0),4),0)</f>
        <v>14</v>
      </c>
      <c r="BQ68" s="9">
        <f xml:space="preserve"> IF(CABLES[[#This Row],[SEG5]] &gt;0,INDEX(SEGMENTS[], MATCH(CABLES[[#Headers],[SEG5]],SEGMENTS[SEG_ID],0),4),0)</f>
        <v>0</v>
      </c>
      <c r="BR68" s="9">
        <f xml:space="preserve"> IF(CABLES[[#This Row],[SEG6]] &gt;0,INDEX(SEGMENTS[], MATCH(CABLES[[#Headers],[SEG6]],SEGMENTS[SEG_ID],0),4),0)</f>
        <v>2</v>
      </c>
      <c r="BS68" s="9">
        <f xml:space="preserve"> IF(CABLES[[#This Row],[SEG7]] &gt;0,INDEX(SEGMENTS[], MATCH(CABLES[[#Headers],[SEG7]],SEGMENTS[SEG_ID],0),4),0)</f>
        <v>0</v>
      </c>
      <c r="BT68" s="9">
        <f xml:space="preserve"> IF(CABLES[[#This Row],[SEG8]] &gt;0,INDEX(SEGMENTS[], MATCH(CABLES[[#Headers],[SEG8]],SEGMENTS[SEG_ID],0),4),0)</f>
        <v>3</v>
      </c>
      <c r="BU68" s="9">
        <f xml:space="preserve"> IF(CABLES[[#This Row],[SEG9]] &gt;0,INDEX(SEGMENTS[], MATCH(CABLES[[#Headers],[SEG9]],SEGMENTS[SEG_ID],0),4),0)</f>
        <v>0</v>
      </c>
      <c r="BV68" s="9">
        <f xml:space="preserve"> IF(CABLES[[#This Row],[SEG10]] &gt;0,INDEX(SEGMENTS[], MATCH(CABLES[[#Headers],[SEG10]],SEGMENTS[SEG_ID],0),4),0)</f>
        <v>9</v>
      </c>
      <c r="BW68" s="9">
        <f xml:space="preserve"> IF(CABLES[[#This Row],[SEG11]] &gt;0,INDEX(SEGMENTS[], MATCH(CABLES[[#Headers],[SEG11]],SEGMENTS[SEG_ID],0),4),0)</f>
        <v>0</v>
      </c>
      <c r="BX68" s="9">
        <f>IF(CABLES[[#This Row],[SEG12]] &gt;0, INDEX(SEGMENTS[], MATCH(CABLES[[#Headers],[SEG12]],SEGMENTS[SEG_ID],0),4),0)</f>
        <v>0</v>
      </c>
      <c r="BY68" s="9">
        <f xml:space="preserve"> IF(CABLES[[#This Row],[SEG13]] &gt;0,INDEX(SEGMENTS[], MATCH(CABLES[[#Headers],[SEG13]],SEGMENTS[SEG_ID],0),4),0)</f>
        <v>3</v>
      </c>
      <c r="BZ68" s="9">
        <f xml:space="preserve"> IF(CABLES[[#This Row],[SEG14]] &gt;0,INDEX(SEGMENTS[], MATCH(CABLES[[#Headers],[SEG14]],SEGMENTS[SEG_ID],0),4),0)</f>
        <v>0</v>
      </c>
      <c r="CA68" s="9">
        <f xml:space="preserve"> IF(CABLES[[#This Row],[SEG15]] &gt;0,INDEX(SEGMENTS[], MATCH(CABLES[[#Headers],[SEG15]],SEGMENTS[SEG_ID],0),4),0)</f>
        <v>0</v>
      </c>
      <c r="CB68" s="9">
        <f xml:space="preserve"> IF(CABLES[[#This Row],[SEG16]] &gt;0,INDEX(SEGMENTS[], MATCH(CABLES[[#Headers],[SEG16]],SEGMENTS[SEG_ID],0),4),0)</f>
        <v>0</v>
      </c>
      <c r="CC68" s="9">
        <f xml:space="preserve"> IF(CABLES[[#This Row],[SEG17]] &gt;0,INDEX(SEGMENTS[], MATCH(CABLES[[#Headers],[SEG17]],SEGMENTS[SEG_ID],0),4),0)</f>
        <v>0</v>
      </c>
      <c r="CD68" s="9">
        <f xml:space="preserve"> IF(CABLES[[#This Row],[SEG18]] &gt;0,INDEX(SEGMENTS[], MATCH(CABLES[[#Headers],[SEG18]],SEGMENTS[SEG_ID],0),4),0)</f>
        <v>0</v>
      </c>
      <c r="CE68" s="9">
        <f>IF(CABLES[[#This Row],[SEG19]] &gt;0, INDEX(SEGMENTS[], MATCH(CABLES[[#Headers],[SEG19]],SEGMENTS[SEG_ID],0),4),0)</f>
        <v>0</v>
      </c>
      <c r="CF68" s="9">
        <f>IF(CABLES[[#This Row],[SEG20]] &gt;0, INDEX(SEGMENTS[], MATCH(CABLES[[#Headers],[SEG20]],SEGMENTS[SEG_ID],0),4),0)</f>
        <v>0</v>
      </c>
      <c r="CG68" s="9">
        <f xml:space="preserve"> IF(CABLES[[#This Row],[SEG21]] &gt;0,INDEX(SEGMENTS[], MATCH(CABLES[[#Headers],[SEG21]],SEGMENTS[SEG_ID],0),4),0)</f>
        <v>0</v>
      </c>
      <c r="CH68" s="9">
        <f xml:space="preserve"> IF(CABLES[[#This Row],[SEG22]] &gt;0,INDEX(SEGMENTS[], MATCH(CABLES[[#Headers],[SEG22]],SEGMENTS[SEG_ID],0),4),0)</f>
        <v>0</v>
      </c>
      <c r="CI68" s="9">
        <f>IF(CABLES[[#This Row],[SEG23]] &gt;0, INDEX(SEGMENTS[], MATCH(CABLES[[#Headers],[SEG23]],SEGMENTS[SEG_ID],0),4),0)</f>
        <v>8</v>
      </c>
      <c r="CJ68" s="9">
        <f xml:space="preserve"> IF(CABLES[[#This Row],[SEG24]] &gt;0,INDEX(SEGMENTS[], MATCH(CABLES[[#Headers],[SEG24]],SEGMENTS[SEG_ID],0),4),0)</f>
        <v>0</v>
      </c>
      <c r="CK68" s="9">
        <f>IF(CABLES[[#This Row],[SEG25]] &gt;0, INDEX(SEGMENTS[], MATCH(CABLES[[#Headers],[SEG25]],SEGMENTS[SEG_ID],0),4),0)</f>
        <v>0</v>
      </c>
      <c r="CL68" s="9">
        <f>IF(CABLES[[#This Row],[SEG26]] &gt;0, INDEX(SEGMENTS[], MATCH(CABLES[[#Headers],[SEG26]],SEGMENTS[SEG_ID],0),4),0)</f>
        <v>0</v>
      </c>
      <c r="CM68" s="9">
        <f xml:space="preserve"> IF(CABLES[[#This Row],[SEG27]] &gt;0,INDEX(SEGMENTS[], MATCH(CABLES[[#Headers],[SEG27]],SEGMENTS[SEG_ID],0),4),0)</f>
        <v>0</v>
      </c>
      <c r="CN68" s="9">
        <f xml:space="preserve"> IF(CABLES[[#This Row],[SEG28]] &gt;0,INDEX(SEGMENTS[], MATCH(CABLES[[#Headers],[SEG28]],SEGMENTS[SEG_ID],0),4),0)</f>
        <v>0</v>
      </c>
      <c r="CO68" s="9">
        <f xml:space="preserve"> IF(CABLES[[#This Row],[SEG29]] &gt;0,INDEX(SEGMENTS[], MATCH(CABLES[[#Headers],[SEG29]],SEGMENTS[SEG_ID],0),4),0)</f>
        <v>0</v>
      </c>
      <c r="CP68" s="9">
        <f xml:space="preserve"> IF(CABLES[[#This Row],[SEG30]] &gt;0,INDEX(SEGMENTS[], MATCH(CABLES[[#Headers],[SEG30]],SEGMENTS[SEG_ID],0),4),0)</f>
        <v>0</v>
      </c>
      <c r="CQ68" s="9">
        <f>IF(CABLES[[#This Row],[SEG31]] &gt;0, INDEX(SEGMENTS[], MATCH(CABLES[[#Headers],[SEG31]],SEGMENTS[SEG_ID],0),4),0)</f>
        <v>0</v>
      </c>
      <c r="CR68" s="9">
        <f xml:space="preserve"> IF(CABLES[[#This Row],[SEG32]] &gt;0,INDEX(SEGMENTS[], MATCH(CABLES[[#Headers],[SEG32]],SEGMENTS[SEG_ID],0),4),0)</f>
        <v>0</v>
      </c>
      <c r="CS68" s="9">
        <f xml:space="preserve"> IF(CABLES[[#This Row],[SEG33]] &gt;0,INDEX(SEGMENTS[], MATCH(CABLES[[#Headers],[SEG33]],SEGMENTS[SEG_ID],0),4),0)</f>
        <v>0</v>
      </c>
      <c r="CT68" s="9">
        <f>IF(CABLES[[#This Row],[SEG34]] &gt;0, INDEX(SEGMENTS[], MATCH(CABLES[[#Headers],[SEG34]],SEGMENTS[SEG_ID],0),4),0)</f>
        <v>0</v>
      </c>
      <c r="CU68" s="9">
        <f xml:space="preserve"> IF(CABLES[[#This Row],[SEG35]] &gt;0,INDEX(SEGMENTS[], MATCH(CABLES[[#Headers],[SEG35]],SEGMENTS[SEG_ID],0),4),0)</f>
        <v>0</v>
      </c>
      <c r="CV68" s="9">
        <f xml:space="preserve"> IF(CABLES[[#This Row],[SEG36]] &gt;0,INDEX(SEGMENTS[], MATCH(CABLES[[#Headers],[SEG36]],SEGMENTS[SEG_ID],0),4),0)</f>
        <v>0</v>
      </c>
      <c r="CW68" s="9">
        <f xml:space="preserve"> IF(CABLES[[#This Row],[SEG37]] &gt;0,INDEX(SEGMENTS[], MATCH(CABLES[[#Headers],[SEG37]],SEGMENTS[SEG_ID],0),4),0)</f>
        <v>0</v>
      </c>
      <c r="CX68" s="9">
        <f xml:space="preserve"> IF(CABLES[[#This Row],[SEG38]] &gt;0,INDEX(SEGMENTS[], MATCH(CABLES[[#Headers],[SEG38]],SEGMENTS[SEG_ID],0),4),0)</f>
        <v>0</v>
      </c>
      <c r="CY68" s="9">
        <f xml:space="preserve"> IF(CABLES[[#This Row],[SEG39]] &gt;0,INDEX(SEGMENTS[], MATCH(CABLES[[#Headers],[SEG39]],SEGMENTS[SEG_ID],0),4),0)</f>
        <v>0</v>
      </c>
      <c r="CZ68" s="9">
        <f xml:space="preserve"> IF(CABLES[[#This Row],[SEG40]] &gt;0,INDEX(SEGMENTS[], MATCH(CABLES[[#Headers],[SEG40]],SEGMENTS[SEG_ID],0),4),0)</f>
        <v>0</v>
      </c>
      <c r="DA68" s="9">
        <f xml:space="preserve"> IF(CABLES[[#This Row],[SEG41]] &gt;0,INDEX(SEGMENTS[], MATCH(CABLES[[#Headers],[SEG41]],SEGMENTS[SEG_ID],0),4),0)</f>
        <v>0</v>
      </c>
      <c r="DB68" s="9">
        <f xml:space="preserve"> IF(CABLES[[#This Row],[SEG42]] &gt;0,INDEX(SEGMENTS[], MATCH(CABLES[[#Headers],[SEG42]],SEGMENTS[SEG_ID],0),4),0)</f>
        <v>0</v>
      </c>
      <c r="DC68" s="9">
        <f xml:space="preserve"> IF(CABLES[[#This Row],[SEG43]] &gt;0,INDEX(SEGMENTS[], MATCH(CABLES[[#Headers],[SEG43]],SEGMENTS[SEG_ID],0),4),0)</f>
        <v>0</v>
      </c>
      <c r="DD68" s="9">
        <f xml:space="preserve"> IF(CABLES[[#This Row],[SEG44]] &gt;0,INDEX(SEGMENTS[], MATCH(CABLES[[#Headers],[SEG44]],SEGMENTS[SEG_ID],0),4),0)</f>
        <v>0</v>
      </c>
      <c r="DE68" s="9">
        <f xml:space="preserve"> IF(CABLES[[#This Row],[SEG45]] &gt;0,INDEX(SEGMENTS[], MATCH(CABLES[[#Headers],[SEG45]],SEGMENTS[SEG_ID],0),4),0)</f>
        <v>0</v>
      </c>
      <c r="DF68" s="9">
        <f xml:space="preserve"> IF(CABLES[[#This Row],[SEG46]] &gt;0,INDEX(SEGMENTS[], MATCH(CABLES[[#Headers],[SEG46]],SEGMENTS[SEG_ID],0),4),0)</f>
        <v>0</v>
      </c>
      <c r="DG68" s="9">
        <f xml:space="preserve"> IF(CABLES[[#This Row],[SEG47]] &gt;0,INDEX(SEGMENTS[], MATCH(CABLES[[#Headers],[SEG47]],SEGMENTS[SEG_ID],0),4),0)</f>
        <v>0</v>
      </c>
      <c r="DH68" s="9">
        <f xml:space="preserve"> IF(CABLES[[#This Row],[SEG48]] &gt;0,INDEX(SEGMENTS[], MATCH(CABLES[[#Headers],[SEG48]],SEGMENTS[SEG_ID],0),4),0)</f>
        <v>0</v>
      </c>
      <c r="DI68" s="9">
        <f xml:space="preserve"> IF(CABLES[[#This Row],[SEG49]] &gt;0,INDEX(SEGMENTS[], MATCH(CABLES[[#Headers],[SEG49]],SEGMENTS[SEG_ID],0),4),0)</f>
        <v>0</v>
      </c>
      <c r="DJ68" s="9">
        <f xml:space="preserve"> IF(CABLES[[#This Row],[SEG50]] &gt;0,INDEX(SEGMENTS[], MATCH(CABLES[[#Headers],[SEG50]],SEGMENTS[SEG_ID],0),4),0)</f>
        <v>0</v>
      </c>
      <c r="DK68" s="9">
        <f xml:space="preserve"> IF(CABLES[[#This Row],[SEG51]] &gt;0,INDEX(SEGMENTS[], MATCH(CABLES[[#Headers],[SEG51]],SEGMENTS[SEG_ID],0),4),0)</f>
        <v>0</v>
      </c>
      <c r="DL68" s="9">
        <f xml:space="preserve"> IF(CABLES[[#This Row],[SEG52]] &gt;0,INDEX(SEGMENTS[], MATCH(CABLES[[#Headers],[SEG52]],SEGMENTS[SEG_ID],0),4),0)</f>
        <v>0</v>
      </c>
      <c r="DM68" s="9">
        <f xml:space="preserve"> IF(CABLES[[#This Row],[SEG53]] &gt;0,INDEX(SEGMENTS[], MATCH(CABLES[[#Headers],[SEG53]],SEGMENTS[SEG_ID],0),4),0)</f>
        <v>0</v>
      </c>
      <c r="DN68" s="9">
        <f xml:space="preserve"> IF(CABLES[[#This Row],[SEG54]] &gt;0,INDEX(SEGMENTS[], MATCH(CABLES[[#Headers],[SEG54]],SEGMENTS[SEG_ID],0),4),0)</f>
        <v>0</v>
      </c>
      <c r="DO68" s="9">
        <f xml:space="preserve"> IF(CABLES[[#This Row],[SEG55]] &gt;0,INDEX(SEGMENTS[], MATCH(CABLES[[#Headers],[SEG55]],SEGMENTS[SEG_ID],0),4),0)</f>
        <v>0</v>
      </c>
      <c r="DP68" s="9">
        <f xml:space="preserve"> IF(CABLES[[#This Row],[SEG56]] &gt;0,INDEX(SEGMENTS[], MATCH(CABLES[[#Headers],[SEG56]],SEGMENTS[SEG_ID],0),4),0)</f>
        <v>0</v>
      </c>
      <c r="DQ68" s="9">
        <f xml:space="preserve"> IF(CABLES[[#This Row],[SEG57]] &gt;0,INDEX(SEGMENTS[], MATCH(CABLES[[#Headers],[SEG57]],SEGMENTS[SEG_ID],0),4),0)</f>
        <v>0</v>
      </c>
      <c r="DR68" s="9">
        <f xml:space="preserve"> IF(CABLES[[#This Row],[SEG58]] &gt;0,INDEX(SEGMENTS[], MATCH(CABLES[[#Headers],[SEG58]],SEGMENTS[SEG_ID],0),4),0)</f>
        <v>0</v>
      </c>
      <c r="DS68" s="9">
        <f xml:space="preserve"> IF(CABLES[[#This Row],[SEG59]] &gt;0,INDEX(SEGMENTS[], MATCH(CABLES[[#Headers],[SEG59]],SEGMENTS[SEG_ID],0),4),0)</f>
        <v>0</v>
      </c>
      <c r="DT68" s="9">
        <f xml:space="preserve"> IF(CABLES[[#This Row],[SEG60]] &gt;0,INDEX(SEGMENTS[], MATCH(CABLES[[#Headers],[SEG60]],SEGMENTS[SEG_ID],0),4),0)</f>
        <v>0</v>
      </c>
      <c r="DU68" s="10">
        <f>SUM(CABLES[[#This Row],[SEGL1]:[SEGL60]])</f>
        <v>54</v>
      </c>
      <c r="DV68" s="10">
        <v>5</v>
      </c>
      <c r="DW68" s="10">
        <v>1.2</v>
      </c>
      <c r="DX68" s="10">
        <f xml:space="preserve"> IF(CABLES[[#This Row],[SEGL_TOTAL]]&gt;0, (CABLES[[#This Row],[SEGL_TOTAL]] + CABLES[[#This Row],[FITOFF]]) *CABLES[[#This Row],[XCAPACITY]],0)</f>
        <v>70.8</v>
      </c>
      <c r="DY68" s="10">
        <f>IF(CABLES[[#This Row],[SEG1]]&gt;0,CABLES[[#This Row],[CABLE_DIAMETER]],0)</f>
        <v>14.5</v>
      </c>
      <c r="DZ68" s="10">
        <f>IF(CABLES[[#This Row],[SEG2]]&gt;0,CABLES[[#This Row],[CABLE_DIAMETER]],0)</f>
        <v>14.5</v>
      </c>
      <c r="EA68" s="10">
        <f>IF(CABLES[[#This Row],[SEG3]]&gt;0,CABLES[[#This Row],[CABLE_DIAMETER]],0)</f>
        <v>0</v>
      </c>
      <c r="EB68" s="10">
        <f>IF(CABLES[[#This Row],[SEG4]]&gt;0,CABLES[[#This Row],[CABLE_DIAMETER]],0)</f>
        <v>14.5</v>
      </c>
      <c r="EC68" s="10">
        <f>IF(CABLES[[#This Row],[SEG5]]&gt;0,CABLES[[#This Row],[CABLE_DIAMETER]],0)</f>
        <v>0</v>
      </c>
      <c r="ED68" s="10">
        <f>IF(CABLES[[#This Row],[SEG6]]&gt;0,CABLES[[#This Row],[CABLE_DIAMETER]],0)</f>
        <v>14.5</v>
      </c>
      <c r="EE68" s="10">
        <f>IF(CABLES[[#This Row],[SEG7]]&gt;0,CABLES[[#This Row],[CABLE_DIAMETER]],0)</f>
        <v>0</v>
      </c>
      <c r="EF68" s="10">
        <f>IF(CABLES[[#This Row],[SEG9]]&gt;0,CABLES[[#This Row],[CABLE_DIAMETER]],0)</f>
        <v>0</v>
      </c>
      <c r="EG68" s="10">
        <f>IF(CABLES[[#This Row],[SEG9]]&gt;0,CABLES[[#This Row],[CABLE_DIAMETER]],0)</f>
        <v>0</v>
      </c>
      <c r="EH68" s="10">
        <f>IF(CABLES[[#This Row],[SEG10]]&gt;0,CABLES[[#This Row],[CABLE_DIAMETER]],0)</f>
        <v>14.5</v>
      </c>
      <c r="EI68" s="10">
        <f>IF(CABLES[[#This Row],[SEG11]]&gt;0,CABLES[[#This Row],[CABLE_DIAMETER]],0)</f>
        <v>0</v>
      </c>
      <c r="EJ68" s="10">
        <f>IF(CABLES[[#This Row],[SEG12]]&gt;0,CABLES[[#This Row],[CABLE_DIAMETER]],0)</f>
        <v>0</v>
      </c>
      <c r="EK68" s="10">
        <f>IF(CABLES[[#This Row],[SEG13]]&gt;0,CABLES[[#This Row],[CABLE_DIAMETER]],0)</f>
        <v>14.5</v>
      </c>
      <c r="EL68" s="10">
        <f>IF(CABLES[[#This Row],[SEG14]]&gt;0,CABLES[[#This Row],[CABLE_DIAMETER]],0)</f>
        <v>0</v>
      </c>
      <c r="EM68" s="10">
        <f>IF(CABLES[[#This Row],[SEG15]]&gt;0,CABLES[[#This Row],[CABLE_DIAMETER]],0)</f>
        <v>0</v>
      </c>
      <c r="EN68" s="10">
        <f>IF(CABLES[[#This Row],[SEG16]]&gt;0,CABLES[[#This Row],[CABLE_DIAMETER]],0)</f>
        <v>0</v>
      </c>
      <c r="EO68" s="10">
        <f>IF(CABLES[[#This Row],[SEG17]]&gt;0,CABLES[[#This Row],[CABLE_DIAMETER]],0)</f>
        <v>0</v>
      </c>
      <c r="EP68" s="10">
        <f>IF(CABLES[[#This Row],[SEG18]]&gt;0,CABLES[[#This Row],[CABLE_DIAMETER]],0)</f>
        <v>0</v>
      </c>
      <c r="EQ68" s="10">
        <f>IF(CABLES[[#This Row],[SEG19]]&gt;0,CABLES[[#This Row],[CABLE_DIAMETER]],0)</f>
        <v>0</v>
      </c>
      <c r="ER68" s="10">
        <f>IF(CABLES[[#This Row],[SEG20]]&gt;0,CABLES[[#This Row],[CABLE_DIAMETER]],0)</f>
        <v>0</v>
      </c>
      <c r="ES68" s="10">
        <f>IF(CABLES[[#This Row],[SEG21]]&gt;0,CABLES[[#This Row],[CABLE_DIAMETER]],0)</f>
        <v>0</v>
      </c>
      <c r="ET68" s="10">
        <f>IF(CABLES[[#This Row],[SEG22]]&gt;0,CABLES[[#This Row],[CABLE_DIAMETER]],0)</f>
        <v>0</v>
      </c>
      <c r="EU68" s="10">
        <f>IF(CABLES[[#This Row],[SEG23]]&gt;0,CABLES[[#This Row],[CABLE_DIAMETER]],0)</f>
        <v>14.5</v>
      </c>
      <c r="EV68" s="10">
        <f>IF(CABLES[[#This Row],[SEG24]]&gt;0,CABLES[[#This Row],[CABLE_DIAMETER]],0)</f>
        <v>0</v>
      </c>
      <c r="EW68" s="10">
        <f>IF(CABLES[[#This Row],[SEG25]]&gt;0,CABLES[[#This Row],[CABLE_DIAMETER]],0)</f>
        <v>0</v>
      </c>
      <c r="EX68" s="10">
        <f>IF(CABLES[[#This Row],[SEG26]]&gt;0,CABLES[[#This Row],[CABLE_DIAMETER]],0)</f>
        <v>0</v>
      </c>
      <c r="EY68" s="10">
        <f>IF(CABLES[[#This Row],[SEG27]]&gt;0,CABLES[[#This Row],[CABLE_DIAMETER]],0)</f>
        <v>0</v>
      </c>
      <c r="EZ68" s="10">
        <f>IF(CABLES[[#This Row],[SEG28]]&gt;0,CABLES[[#This Row],[CABLE_DIAMETER]],0)</f>
        <v>0</v>
      </c>
      <c r="FA68" s="10">
        <f>IF(CABLES[[#This Row],[SEG29]]&gt;0,CABLES[[#This Row],[CABLE_DIAMETER]],0)</f>
        <v>0</v>
      </c>
      <c r="FB68" s="10">
        <f>IF(CABLES[[#This Row],[SEG30]]&gt;0,CABLES[[#This Row],[CABLE_DIAMETER]],0)</f>
        <v>0</v>
      </c>
      <c r="FC68" s="10">
        <f>IF(CABLES[[#This Row],[SEG31]]&gt;0,CABLES[[#This Row],[CABLE_DIAMETER]],0)</f>
        <v>0</v>
      </c>
      <c r="FD68" s="10">
        <f>IF(CABLES[[#This Row],[SEG32]]&gt;0,CABLES[[#This Row],[CABLE_DIAMETER]],0)</f>
        <v>0</v>
      </c>
      <c r="FE68" s="10">
        <f>IF(CABLES[[#This Row],[SEG33]]&gt;0,CABLES[[#This Row],[CABLE_DIAMETER]],0)</f>
        <v>0</v>
      </c>
      <c r="FF68" s="10">
        <f>IF(CABLES[[#This Row],[SEG34]]&gt;0,CABLES[[#This Row],[CABLE_DIAMETER]],0)</f>
        <v>0</v>
      </c>
      <c r="FG68" s="10">
        <f>IF(CABLES[[#This Row],[SEG35]]&gt;0,CABLES[[#This Row],[CABLE_DIAMETER]],0)</f>
        <v>0</v>
      </c>
      <c r="FH68" s="10">
        <f>IF(CABLES[[#This Row],[SEG36]]&gt;0,CABLES[[#This Row],[CABLE_DIAMETER]],0)</f>
        <v>0</v>
      </c>
      <c r="FI68" s="10">
        <f>IF(CABLES[[#This Row],[SEG37]]&gt;0,CABLES[[#This Row],[CABLE_DIAMETER]],0)</f>
        <v>0</v>
      </c>
      <c r="FJ68" s="10">
        <f>IF(CABLES[[#This Row],[SEG38]]&gt;0,CABLES[[#This Row],[CABLE_DIAMETER]],0)</f>
        <v>0</v>
      </c>
      <c r="FK68" s="10">
        <f>IF(CABLES[[#This Row],[SEG39]]&gt;0,CABLES[[#This Row],[CABLE_DIAMETER]],0)</f>
        <v>0</v>
      </c>
      <c r="FL68" s="10">
        <f>IF(CABLES[[#This Row],[SEG40]]&gt;0,CABLES[[#This Row],[CABLE_DIAMETER]],0)</f>
        <v>0</v>
      </c>
      <c r="FM68" s="10">
        <f>IF(CABLES[[#This Row],[SEG41]]&gt;0,CABLES[[#This Row],[CABLE_DIAMETER]],0)</f>
        <v>0</v>
      </c>
      <c r="FN68" s="10">
        <f>IF(CABLES[[#This Row],[SEG42]]&gt;0,CABLES[[#This Row],[CABLE_DIAMETER]],0)</f>
        <v>0</v>
      </c>
      <c r="FO68" s="10">
        <f>IF(CABLES[[#This Row],[SEG43]]&gt;0,CABLES[[#This Row],[CABLE_DIAMETER]],0)</f>
        <v>0</v>
      </c>
      <c r="FP68" s="10">
        <f>IF(CABLES[[#This Row],[SEG44]]&gt;0,CABLES[[#This Row],[CABLE_DIAMETER]],0)</f>
        <v>0</v>
      </c>
      <c r="FQ68" s="10">
        <f>IF(CABLES[[#This Row],[SEG45]]&gt;0,CABLES[[#This Row],[CABLE_DIAMETER]],0)</f>
        <v>0</v>
      </c>
      <c r="FR68" s="10">
        <f>IF(CABLES[[#This Row],[SEG46]]&gt;0,CABLES[[#This Row],[CABLE_DIAMETER]],0)</f>
        <v>0</v>
      </c>
      <c r="FS68" s="10">
        <f>IF(CABLES[[#This Row],[SEG47]]&gt;0,CABLES[[#This Row],[CABLE_DIAMETER]],0)</f>
        <v>0</v>
      </c>
      <c r="FT68" s="10">
        <f>IF(CABLES[[#This Row],[SEG48]]&gt;0,CABLES[[#This Row],[CABLE_DIAMETER]],0)</f>
        <v>0</v>
      </c>
      <c r="FU68" s="10">
        <f>IF(CABLES[[#This Row],[SEG49]]&gt;0,CABLES[[#This Row],[CABLE_DIAMETER]],0)</f>
        <v>0</v>
      </c>
      <c r="FV68" s="10">
        <f>IF(CABLES[[#This Row],[SEG50]]&gt;0,CABLES[[#This Row],[CABLE_DIAMETER]],0)</f>
        <v>0</v>
      </c>
      <c r="FW68" s="10">
        <f>IF(CABLES[[#This Row],[SEG51]]&gt;0,CABLES[[#This Row],[CABLE_DIAMETER]],0)</f>
        <v>0</v>
      </c>
      <c r="FX68" s="10">
        <f>IF(CABLES[[#This Row],[SEG52]]&gt;0,CABLES[[#This Row],[CABLE_DIAMETER]],0)</f>
        <v>0</v>
      </c>
      <c r="FY68" s="10">
        <f>IF(CABLES[[#This Row],[SEG53]]&gt;0,CABLES[[#This Row],[CABLE_DIAMETER]],0)</f>
        <v>0</v>
      </c>
      <c r="FZ68" s="10">
        <f>IF(CABLES[[#This Row],[SEG54]]&gt;0,CABLES[[#This Row],[CABLE_DIAMETER]],0)</f>
        <v>0</v>
      </c>
      <c r="GA68" s="10">
        <f>IF(CABLES[[#This Row],[SEG55]]&gt;0,CABLES[[#This Row],[CABLE_DIAMETER]],0)</f>
        <v>0</v>
      </c>
      <c r="GB68" s="10">
        <f>IF(CABLES[[#This Row],[SEG56]]&gt;0,CABLES[[#This Row],[CABLE_DIAMETER]],0)</f>
        <v>0</v>
      </c>
      <c r="GC68" s="10">
        <f>IF(CABLES[[#This Row],[SEG57]]&gt;0,CABLES[[#This Row],[CABLE_DIAMETER]],0)</f>
        <v>0</v>
      </c>
      <c r="GD68" s="10">
        <f>IF(CABLES[[#This Row],[SEG58]]&gt;0,CABLES[[#This Row],[CABLE_DIAMETER]],0)</f>
        <v>0</v>
      </c>
      <c r="GE68" s="10">
        <f>IF(CABLES[[#This Row],[SEG59]]&gt;0,CABLES[[#This Row],[CABLE_DIAMETER]],0)</f>
        <v>0</v>
      </c>
      <c r="GF68" s="10">
        <f>IF(CABLES[[#This Row],[SEG60]]&gt;0,CABLES[[#This Row],[CABLE_DIAMETER]],0)</f>
        <v>0</v>
      </c>
      <c r="GG68" s="10">
        <f>IF(CABLES[[#This Row],[SEG1]]&gt;0,CABLES[[#This Row],[CABLE_MASS]],0)</f>
        <v>0.33</v>
      </c>
      <c r="GH68" s="10">
        <f>IF(CABLES[[#This Row],[SEG2]]&gt;0,CABLES[[#This Row],[CABLE_MASS]],0)</f>
        <v>0.33</v>
      </c>
      <c r="GI68" s="10">
        <f>IF(CABLES[[#This Row],[SEG3]]&gt;0,CABLES[[#This Row],[CABLE_MASS]],0)</f>
        <v>0</v>
      </c>
      <c r="GJ68" s="10">
        <f>IF(CABLES[[#This Row],[SEG4]]&gt;0,CABLES[[#This Row],[CABLE_MASS]],0)</f>
        <v>0.33</v>
      </c>
      <c r="GK68" s="10">
        <f>IF(CABLES[[#This Row],[SEG5]]&gt;0,CABLES[[#This Row],[CABLE_MASS]],0)</f>
        <v>0</v>
      </c>
      <c r="GL68" s="10">
        <f>IF(CABLES[[#This Row],[SEG6]]&gt;0,CABLES[[#This Row],[CABLE_MASS]],0)</f>
        <v>0.33</v>
      </c>
      <c r="GM68" s="10">
        <f>IF(CABLES[[#This Row],[SEG7]]&gt;0,CABLES[[#This Row],[CABLE_MASS]],0)</f>
        <v>0</v>
      </c>
      <c r="GN68" s="10">
        <f>IF(CABLES[[#This Row],[SEG8]]&gt;0,CABLES[[#This Row],[CABLE_MASS]],0)</f>
        <v>0.33</v>
      </c>
      <c r="GO68" s="10">
        <f>IF(CABLES[[#This Row],[SEG9]]&gt;0,CABLES[[#This Row],[CABLE_MASS]],0)</f>
        <v>0</v>
      </c>
      <c r="GP68" s="10">
        <f>IF(CABLES[[#This Row],[SEG10]]&gt;0,CABLES[[#This Row],[CABLE_MASS]],0)</f>
        <v>0.33</v>
      </c>
      <c r="GQ68" s="10">
        <f>IF(CABLES[[#This Row],[SEG11]]&gt;0,CABLES[[#This Row],[CABLE_MASS]],0)</f>
        <v>0</v>
      </c>
      <c r="GR68" s="10">
        <f>IF(CABLES[[#This Row],[SEG12]]&gt;0,CABLES[[#This Row],[CABLE_MASS]],0)</f>
        <v>0</v>
      </c>
      <c r="GS68" s="10">
        <f>IF(CABLES[[#This Row],[SEG13]]&gt;0,CABLES[[#This Row],[CABLE_MASS]],0)</f>
        <v>0.33</v>
      </c>
      <c r="GT68" s="10">
        <f>IF(CABLES[[#This Row],[SEG14]]&gt;0,CABLES[[#This Row],[CABLE_MASS]],0)</f>
        <v>0</v>
      </c>
      <c r="GU68" s="10">
        <f>IF(CABLES[[#This Row],[SEG15]]&gt;0,CABLES[[#This Row],[CABLE_MASS]],0)</f>
        <v>0</v>
      </c>
      <c r="GV68" s="10">
        <f>IF(CABLES[[#This Row],[SEG16]]&gt;0,CABLES[[#This Row],[CABLE_MASS]],0)</f>
        <v>0</v>
      </c>
      <c r="GW68" s="10">
        <f>IF(CABLES[[#This Row],[SEG17]]&gt;0,CABLES[[#This Row],[CABLE_MASS]],0)</f>
        <v>0</v>
      </c>
      <c r="GX68" s="10">
        <f>IF(CABLES[[#This Row],[SEG18]]&gt;0,CABLES[[#This Row],[CABLE_MASS]],0)</f>
        <v>0</v>
      </c>
      <c r="GY68" s="10">
        <f>IF(CABLES[[#This Row],[SEG19]]&gt;0,CABLES[[#This Row],[CABLE_MASS]],0)</f>
        <v>0</v>
      </c>
      <c r="GZ68" s="10">
        <f>IF(CABLES[[#This Row],[SEG20]]&gt;0,CABLES[[#This Row],[CABLE_MASS]],0)</f>
        <v>0</v>
      </c>
      <c r="HA68" s="10">
        <f>IF(CABLES[[#This Row],[SEG21]]&gt;0,CABLES[[#This Row],[CABLE_MASS]],0)</f>
        <v>0</v>
      </c>
      <c r="HB68" s="10">
        <f>IF(CABLES[[#This Row],[SEG22]]&gt;0,CABLES[[#This Row],[CABLE_MASS]],0)</f>
        <v>0</v>
      </c>
      <c r="HC68" s="10">
        <f>IF(CABLES[[#This Row],[SEG23]]&gt;0,CABLES[[#This Row],[CABLE_MASS]],0)</f>
        <v>0.33</v>
      </c>
      <c r="HD68" s="10">
        <f>IF(CABLES[[#This Row],[SEG24]]&gt;0,CABLES[[#This Row],[CABLE_MASS]],0)</f>
        <v>0</v>
      </c>
      <c r="HE68" s="10">
        <f>IF(CABLES[[#This Row],[SEG25]]&gt;0,CABLES[[#This Row],[CABLE_MASS]],0)</f>
        <v>0</v>
      </c>
      <c r="HF68" s="10">
        <f>IF(CABLES[[#This Row],[SEG26]]&gt;0,CABLES[[#This Row],[CABLE_MASS]],0)</f>
        <v>0</v>
      </c>
      <c r="HG68" s="10">
        <f>IF(CABLES[[#This Row],[SEG27]]&gt;0,CABLES[[#This Row],[CABLE_MASS]],0)</f>
        <v>0</v>
      </c>
      <c r="HH68" s="10">
        <f>IF(CABLES[[#This Row],[SEG28]]&gt;0,CABLES[[#This Row],[CABLE_MASS]],0)</f>
        <v>0</v>
      </c>
      <c r="HI68" s="10">
        <f>IF(CABLES[[#This Row],[SEG29]]&gt;0,CABLES[[#This Row],[CABLE_MASS]],0)</f>
        <v>0</v>
      </c>
      <c r="HJ68" s="10">
        <f>IF(CABLES[[#This Row],[SEG30]]&gt;0,CABLES[[#This Row],[CABLE_MASS]],0)</f>
        <v>0</v>
      </c>
      <c r="HK68" s="10">
        <f>IF(CABLES[[#This Row],[SEG31]]&gt;0,CABLES[[#This Row],[CABLE_MASS]],0)</f>
        <v>0</v>
      </c>
      <c r="HL68" s="10">
        <f>IF(CABLES[[#This Row],[SEG32]]&gt;0,CABLES[[#This Row],[CABLE_MASS]],0)</f>
        <v>0</v>
      </c>
      <c r="HM68" s="10">
        <f>IF(CABLES[[#This Row],[SEG33]]&gt;0,CABLES[[#This Row],[CABLE_MASS]],0)</f>
        <v>0</v>
      </c>
      <c r="HN68" s="10">
        <f>IF(CABLES[[#This Row],[SEG34]]&gt;0,CABLES[[#This Row],[CABLE_MASS]],0)</f>
        <v>0</v>
      </c>
      <c r="HO68" s="10">
        <f>IF(CABLES[[#This Row],[SEG35]]&gt;0,CABLES[[#This Row],[CABLE_MASS]],0)</f>
        <v>0</v>
      </c>
      <c r="HP68" s="10">
        <f>IF(CABLES[[#This Row],[SEG36]]&gt;0,CABLES[[#This Row],[CABLE_MASS]],0)</f>
        <v>0</v>
      </c>
      <c r="HQ68" s="10">
        <f>IF(CABLES[[#This Row],[SEG37]]&gt;0,CABLES[[#This Row],[CABLE_MASS]],0)</f>
        <v>0</v>
      </c>
      <c r="HR68" s="10">
        <f>IF(CABLES[[#This Row],[SEG38]]&gt;0,CABLES[[#This Row],[CABLE_MASS]],0)</f>
        <v>0</v>
      </c>
      <c r="HS68" s="10">
        <f>IF(CABLES[[#This Row],[SEG39]]&gt;0,CABLES[[#This Row],[CABLE_MASS]],0)</f>
        <v>0</v>
      </c>
      <c r="HT68" s="10">
        <f>IF(CABLES[[#This Row],[SEG40]]&gt;0,CABLES[[#This Row],[CABLE_MASS]],0)</f>
        <v>0</v>
      </c>
      <c r="HU68" s="10">
        <f>IF(CABLES[[#This Row],[SEG41]]&gt;0,CABLES[[#This Row],[CABLE_MASS]],0)</f>
        <v>0</v>
      </c>
      <c r="HV68" s="10">
        <f>IF(CABLES[[#This Row],[SEG42]]&gt;0,CABLES[[#This Row],[CABLE_MASS]],0)</f>
        <v>0</v>
      </c>
      <c r="HW68" s="10">
        <f>IF(CABLES[[#This Row],[SEG43]]&gt;0,CABLES[[#This Row],[CABLE_MASS]],0)</f>
        <v>0</v>
      </c>
      <c r="HX68" s="10">
        <f>IF(CABLES[[#This Row],[SEG44]]&gt;0,CABLES[[#This Row],[CABLE_MASS]],0)</f>
        <v>0</v>
      </c>
      <c r="HY68" s="10">
        <f>IF(CABLES[[#This Row],[SEG45]]&gt;0,CABLES[[#This Row],[CABLE_MASS]],0)</f>
        <v>0</v>
      </c>
      <c r="HZ68" s="10">
        <f>IF(CABLES[[#This Row],[SEG46]]&gt;0,CABLES[[#This Row],[CABLE_MASS]],0)</f>
        <v>0</v>
      </c>
      <c r="IA68" s="10">
        <f>IF(CABLES[[#This Row],[SEG47]]&gt;0,CABLES[[#This Row],[CABLE_MASS]],0)</f>
        <v>0</v>
      </c>
      <c r="IB68" s="10">
        <f>IF(CABLES[[#This Row],[SEG48]]&gt;0,CABLES[[#This Row],[CABLE_MASS]],0)</f>
        <v>0</v>
      </c>
      <c r="IC68" s="10">
        <f>IF(CABLES[[#This Row],[SEG49]]&gt;0,CABLES[[#This Row],[CABLE_MASS]],0)</f>
        <v>0</v>
      </c>
      <c r="ID68" s="10">
        <f>IF(CABLES[[#This Row],[SEG50]]&gt;0,CABLES[[#This Row],[CABLE_MASS]],0)</f>
        <v>0</v>
      </c>
      <c r="IE68" s="10">
        <f>IF(CABLES[[#This Row],[SEG51]]&gt;0,CABLES[[#This Row],[CABLE_MASS]],0)</f>
        <v>0</v>
      </c>
      <c r="IF68" s="10">
        <f>IF(CABLES[[#This Row],[SEG52]]&gt;0,CABLES[[#This Row],[CABLE_MASS]],0)</f>
        <v>0</v>
      </c>
      <c r="IG68" s="10">
        <f>IF(CABLES[[#This Row],[SEG53]]&gt;0,CABLES[[#This Row],[CABLE_MASS]],0)</f>
        <v>0</v>
      </c>
      <c r="IH68" s="10">
        <f>IF(CABLES[[#This Row],[SEG54]]&gt;0,CABLES[[#This Row],[CABLE_MASS]],0)</f>
        <v>0</v>
      </c>
      <c r="II68" s="10">
        <f>IF(CABLES[[#This Row],[SEG55]]&gt;0,CABLES[[#This Row],[CABLE_MASS]],0)</f>
        <v>0</v>
      </c>
      <c r="IJ68" s="10">
        <f>IF(CABLES[[#This Row],[SEG56]]&gt;0,CABLES[[#This Row],[CABLE_MASS]],0)</f>
        <v>0</v>
      </c>
      <c r="IK68" s="10">
        <f>IF(CABLES[[#This Row],[SEG57]]&gt;0,CABLES[[#This Row],[CABLE_MASS]],0)</f>
        <v>0</v>
      </c>
      <c r="IL68" s="10">
        <f>IF(CABLES[[#This Row],[SEG58]]&gt;0,CABLES[[#This Row],[CABLE_MASS]],0)</f>
        <v>0</v>
      </c>
      <c r="IM68" s="10">
        <f>IF(CABLES[[#This Row],[SEG59]]&gt;0,CABLES[[#This Row],[CABLE_MASS]],0)</f>
        <v>0</v>
      </c>
      <c r="IN68" s="10">
        <f>IF(CABLES[[#This Row],[SEG60]]&gt;0,CABLES[[#This Row],[CABLE_MASS]],0)</f>
        <v>0</v>
      </c>
      <c r="IO68" s="10">
        <f xml:space="preserve">  (CABLES[[#This Row],[LOAD_KW]]/(SQRT(3)*SYSTEM_VOLTAGE*POWER_FACTOR))*1000</f>
        <v>8.8206291126192813</v>
      </c>
      <c r="IP68" s="10">
        <v>45</v>
      </c>
      <c r="IQ68" s="10">
        <f xml:space="preserve"> INDEX(AS3000_AMBIENTDERATE[], MATCH(CABLES[[#This Row],[AMBIENT]],AS3000_AMBIENTDERATE[AMBIENT],0), 2)</f>
        <v>0.94</v>
      </c>
      <c r="IR68" s="10">
        <f xml:space="preserve"> ROUNDUP( CABLES[[#This Row],[CALCULATED_AMPS]]/CABLES[[#This Row],[AMBIENT_DERATING]],1)</f>
        <v>9.4</v>
      </c>
      <c r="IS68" s="10" t="s">
        <v>531</v>
      </c>
      <c r="IT6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8" s="10">
        <f t="shared" ref="IU68:IU84" si="2">SYSTEM_VOLTAGE * MAX_VDROP_PERCENT</f>
        <v>28.000000000000004</v>
      </c>
      <c r="IV68" s="10">
        <f>(1000*CABLES[[#This Row],[MAX_VDROP]])/(CABLES[[#This Row],[ESTIMATED_CABLE_LENGTH]]*CABLES[[#This Row],[AMP_RATING]])</f>
        <v>42.072364466883045</v>
      </c>
      <c r="IW68" s="10">
        <f xml:space="preserve"> INDEX(AS3000_VDROP[], MATCH(CABLES[[#This Row],[VC_CALC]],AS3000_VDROP[Vc],1),1)</f>
        <v>2.5</v>
      </c>
      <c r="IX68" s="10">
        <f>MAX(CABLES[[#This Row],[CABLESIZE_METHOD1]],CABLES[[#This Row],[CABLESIZE_METHOD2]])</f>
        <v>2.5</v>
      </c>
      <c r="IY68" s="10"/>
      <c r="IZ68" s="10">
        <f>IF(LEN(CABLES[[#This Row],[OVERRIDE_CABLESIZE]])&gt;0,CABLES[[#This Row],[OVERRIDE_CABLESIZE]],CABLES[[#This Row],[INITIAL_CABLESIZE]])</f>
        <v>2.5</v>
      </c>
      <c r="JA68" s="10">
        <f>INDEX(PROTECTIVE_DEVICE[DEVICE], MATCH(CABLES[[#This Row],[CALCULATED_AMPS]],PROTECTIVE_DEVICE[DEVICE],-1),1)</f>
        <v>10</v>
      </c>
      <c r="JB68" s="10"/>
      <c r="JC68" s="10">
        <f>IF(LEN(CABLES[[#This Row],[OVERRIDE_PDEVICE]])&gt;0, CABLES[[#This Row],[OVERRIDE_PDEVICE]],CABLES[[#This Row],[RECOMMEND_PDEVICE]])</f>
        <v>10</v>
      </c>
      <c r="JD68" s="10" t="s">
        <v>450</v>
      </c>
      <c r="JE68" s="10">
        <f xml:space="preserve"> CABLES[[#This Row],[SELECTED_PDEVICE]] * INDEX(DEVICE_CURVE[], MATCH(CABLES[[#This Row],[PDEVICE_CURVE]], DEVICE_CURVE[DEVICE_CURVE],0),2)</f>
        <v>65</v>
      </c>
      <c r="JF68" s="10" t="s">
        <v>458</v>
      </c>
      <c r="JG68" s="10">
        <f xml:space="preserve"> INDEX(CONDUCTOR_MATERIAL[], MATCH(CABLES[[#This Row],[CONDUCTOR_MATERIAL]],CONDUCTOR_MATERIAL[CONDUCTOR_MATERIAL],0),2)</f>
        <v>2.2499999999999999E-2</v>
      </c>
      <c r="JH68" s="10">
        <f>CABLES[[#This Row],[SELECTED_CABLESIZE]]</f>
        <v>2.5</v>
      </c>
      <c r="JI68" s="10">
        <f xml:space="preserve"> INDEX( EARTH_CONDUCTOR_SIZE[], MATCH(CABLES[[#This Row],[SPH]],EARTH_CONDUCTOR_SIZE[MM^2],-1), 2)</f>
        <v>2.5</v>
      </c>
      <c r="JJ68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8" s="10" t="str">
        <f>IF(CABLES[[#This Row],[LMAX]]&gt;CABLES[[#This Row],[ESTIMATED_CABLE_LENGTH]], "PASS", "ERROR")</f>
        <v>PASS</v>
      </c>
      <c r="JL6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6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68" s="6">
        <f xml:space="preserve"> ROUNDUP( CABLES[[#This Row],[CALCULATED_AMPS]],1)</f>
        <v>8.9</v>
      </c>
      <c r="JO68" s="6">
        <f>CABLES[[#This Row],[SELECTED_CABLESIZE]]</f>
        <v>2.5</v>
      </c>
      <c r="JP68" s="10">
        <f>CABLES[[#This Row],[ESTIMATED_CABLE_LENGTH]]</f>
        <v>70.8</v>
      </c>
      <c r="JQ68" s="6">
        <f>CABLES[[#This Row],[SELECTED_PDEVICE]]</f>
        <v>10</v>
      </c>
    </row>
    <row r="69" spans="1:277" x14ac:dyDescent="0.35">
      <c r="A69" s="5" t="s">
        <v>66</v>
      </c>
      <c r="B69" s="5" t="s">
        <v>507</v>
      </c>
      <c r="C69" s="10" t="s">
        <v>261</v>
      </c>
      <c r="D69" s="9">
        <v>5.5</v>
      </c>
      <c r="E69" s="9">
        <v>1</v>
      </c>
      <c r="F69" s="9">
        <v>1</v>
      </c>
      <c r="G69" s="9">
        <v>0</v>
      </c>
      <c r="H69" s="9">
        <v>1</v>
      </c>
      <c r="I69" s="9">
        <v>0</v>
      </c>
      <c r="J69" s="9">
        <v>1</v>
      </c>
      <c r="K69" s="9">
        <v>0</v>
      </c>
      <c r="L69" s="9">
        <v>1</v>
      </c>
      <c r="M69" s="9">
        <v>0</v>
      </c>
      <c r="N69" s="9">
        <v>1</v>
      </c>
      <c r="O69" s="9">
        <v>0</v>
      </c>
      <c r="P69" s="9">
        <v>0</v>
      </c>
      <c r="Q69" s="9">
        <v>1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1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f xml:space="preserve"> IF(CABLES[[#This Row],[SEG1]] &gt;0, INDEX(SEGMENTS[], MATCH(CABLES[[#Headers],[SEG1]],SEGMENTS[SEG_ID],0),4),0)</f>
        <v>13</v>
      </c>
      <c r="BN69" s="9">
        <f xml:space="preserve"> IF(CABLES[[#This Row],[SEG2]] &gt;0, INDEX(SEGMENTS[], MATCH(CABLES[[#Headers],[SEG2]],SEGMENTS[SEG_ID],0),4),0)</f>
        <v>2</v>
      </c>
      <c r="BO69" s="9">
        <f xml:space="preserve"> IF(CABLES[[#This Row],[SEG3]] &gt;0, INDEX(SEGMENTS[], MATCH(CABLES[[#Headers],[SEG3]],SEGMENTS[SEG_ID],0),4),0)</f>
        <v>0</v>
      </c>
      <c r="BP69" s="9">
        <f xml:space="preserve"> IF(CABLES[[#This Row],[SEG4]] &gt;0, INDEX(SEGMENTS[], MATCH(CABLES[[#Headers],[SEG4]],SEGMENTS[SEG_ID],0),4),0)</f>
        <v>14</v>
      </c>
      <c r="BQ69" s="9">
        <f xml:space="preserve"> IF(CABLES[[#This Row],[SEG5]] &gt;0,INDEX(SEGMENTS[], MATCH(CABLES[[#Headers],[SEG5]],SEGMENTS[SEG_ID],0),4),0)</f>
        <v>0</v>
      </c>
      <c r="BR69" s="9">
        <f xml:space="preserve"> IF(CABLES[[#This Row],[SEG6]] &gt;0,INDEX(SEGMENTS[], MATCH(CABLES[[#Headers],[SEG6]],SEGMENTS[SEG_ID],0),4),0)</f>
        <v>2</v>
      </c>
      <c r="BS69" s="9">
        <f xml:space="preserve"> IF(CABLES[[#This Row],[SEG7]] &gt;0,INDEX(SEGMENTS[], MATCH(CABLES[[#Headers],[SEG7]],SEGMENTS[SEG_ID],0),4),0)</f>
        <v>0</v>
      </c>
      <c r="BT69" s="9">
        <f xml:space="preserve"> IF(CABLES[[#This Row],[SEG8]] &gt;0,INDEX(SEGMENTS[], MATCH(CABLES[[#Headers],[SEG8]],SEGMENTS[SEG_ID],0),4),0)</f>
        <v>3</v>
      </c>
      <c r="BU69" s="9">
        <f xml:space="preserve"> IF(CABLES[[#This Row],[SEG9]] &gt;0,INDEX(SEGMENTS[], MATCH(CABLES[[#Headers],[SEG9]],SEGMENTS[SEG_ID],0),4),0)</f>
        <v>0</v>
      </c>
      <c r="BV69" s="9">
        <f xml:space="preserve"> IF(CABLES[[#This Row],[SEG10]] &gt;0,INDEX(SEGMENTS[], MATCH(CABLES[[#Headers],[SEG10]],SEGMENTS[SEG_ID],0),4),0)</f>
        <v>9</v>
      </c>
      <c r="BW69" s="9">
        <f xml:space="preserve"> IF(CABLES[[#This Row],[SEG11]] &gt;0,INDEX(SEGMENTS[], MATCH(CABLES[[#Headers],[SEG11]],SEGMENTS[SEG_ID],0),4),0)</f>
        <v>0</v>
      </c>
      <c r="BX69" s="9">
        <f>IF(CABLES[[#This Row],[SEG12]] &gt;0, INDEX(SEGMENTS[], MATCH(CABLES[[#Headers],[SEG12]],SEGMENTS[SEG_ID],0),4),0)</f>
        <v>0</v>
      </c>
      <c r="BY69" s="9">
        <f xml:space="preserve"> IF(CABLES[[#This Row],[SEG13]] &gt;0,INDEX(SEGMENTS[], MATCH(CABLES[[#Headers],[SEG13]],SEGMENTS[SEG_ID],0),4),0)</f>
        <v>3</v>
      </c>
      <c r="BZ69" s="9">
        <f xml:space="preserve"> IF(CABLES[[#This Row],[SEG14]] &gt;0,INDEX(SEGMENTS[], MATCH(CABLES[[#Headers],[SEG14]],SEGMENTS[SEG_ID],0),4),0)</f>
        <v>0</v>
      </c>
      <c r="CA69" s="9">
        <f xml:space="preserve"> IF(CABLES[[#This Row],[SEG15]] &gt;0,INDEX(SEGMENTS[], MATCH(CABLES[[#Headers],[SEG15]],SEGMENTS[SEG_ID],0),4),0)</f>
        <v>0</v>
      </c>
      <c r="CB69" s="9">
        <f xml:space="preserve"> IF(CABLES[[#This Row],[SEG16]] &gt;0,INDEX(SEGMENTS[], MATCH(CABLES[[#Headers],[SEG16]],SEGMENTS[SEG_ID],0),4),0)</f>
        <v>0</v>
      </c>
      <c r="CC69" s="9">
        <f xml:space="preserve"> IF(CABLES[[#This Row],[SEG17]] &gt;0,INDEX(SEGMENTS[], MATCH(CABLES[[#Headers],[SEG17]],SEGMENTS[SEG_ID],0),4),0)</f>
        <v>0</v>
      </c>
      <c r="CD69" s="9">
        <f xml:space="preserve"> IF(CABLES[[#This Row],[SEG18]] &gt;0,INDEX(SEGMENTS[], MATCH(CABLES[[#Headers],[SEG18]],SEGMENTS[SEG_ID],0),4),0)</f>
        <v>0</v>
      </c>
      <c r="CE69" s="9">
        <f>IF(CABLES[[#This Row],[SEG19]] &gt;0, INDEX(SEGMENTS[], MATCH(CABLES[[#Headers],[SEG19]],SEGMENTS[SEG_ID],0),4),0)</f>
        <v>0</v>
      </c>
      <c r="CF69" s="9">
        <f>IF(CABLES[[#This Row],[SEG20]] &gt;0, INDEX(SEGMENTS[], MATCH(CABLES[[#Headers],[SEG20]],SEGMENTS[SEG_ID],0),4),0)</f>
        <v>0</v>
      </c>
      <c r="CG69" s="9">
        <f xml:space="preserve"> IF(CABLES[[#This Row],[SEG21]] &gt;0,INDEX(SEGMENTS[], MATCH(CABLES[[#Headers],[SEG21]],SEGMENTS[SEG_ID],0),4),0)</f>
        <v>0</v>
      </c>
      <c r="CH69" s="9">
        <f xml:space="preserve"> IF(CABLES[[#This Row],[SEG22]] &gt;0,INDEX(SEGMENTS[], MATCH(CABLES[[#Headers],[SEG22]],SEGMENTS[SEG_ID],0),4),0)</f>
        <v>0</v>
      </c>
      <c r="CI69" s="9">
        <f>IF(CABLES[[#This Row],[SEG23]] &gt;0, INDEX(SEGMENTS[], MATCH(CABLES[[#Headers],[SEG23]],SEGMENTS[SEG_ID],0),4),0)</f>
        <v>8</v>
      </c>
      <c r="CJ69" s="9">
        <f xml:space="preserve"> IF(CABLES[[#This Row],[SEG24]] &gt;0,INDEX(SEGMENTS[], MATCH(CABLES[[#Headers],[SEG24]],SEGMENTS[SEG_ID],0),4),0)</f>
        <v>0</v>
      </c>
      <c r="CK69" s="9">
        <f>IF(CABLES[[#This Row],[SEG25]] &gt;0, INDEX(SEGMENTS[], MATCH(CABLES[[#Headers],[SEG25]],SEGMENTS[SEG_ID],0),4),0)</f>
        <v>0</v>
      </c>
      <c r="CL69" s="9">
        <f>IF(CABLES[[#This Row],[SEG26]] &gt;0, INDEX(SEGMENTS[], MATCH(CABLES[[#Headers],[SEG26]],SEGMENTS[SEG_ID],0),4),0)</f>
        <v>0</v>
      </c>
      <c r="CM69" s="9">
        <f xml:space="preserve"> IF(CABLES[[#This Row],[SEG27]] &gt;0,INDEX(SEGMENTS[], MATCH(CABLES[[#Headers],[SEG27]],SEGMENTS[SEG_ID],0),4),0)</f>
        <v>0</v>
      </c>
      <c r="CN69" s="9">
        <f xml:space="preserve"> IF(CABLES[[#This Row],[SEG28]] &gt;0,INDEX(SEGMENTS[], MATCH(CABLES[[#Headers],[SEG28]],SEGMENTS[SEG_ID],0),4),0)</f>
        <v>0</v>
      </c>
      <c r="CO69" s="9">
        <f xml:space="preserve"> IF(CABLES[[#This Row],[SEG29]] &gt;0,INDEX(SEGMENTS[], MATCH(CABLES[[#Headers],[SEG29]],SEGMENTS[SEG_ID],0),4),0)</f>
        <v>0</v>
      </c>
      <c r="CP69" s="9">
        <f xml:space="preserve"> IF(CABLES[[#This Row],[SEG30]] &gt;0,INDEX(SEGMENTS[], MATCH(CABLES[[#Headers],[SEG30]],SEGMENTS[SEG_ID],0),4),0)</f>
        <v>0</v>
      </c>
      <c r="CQ69" s="9">
        <f>IF(CABLES[[#This Row],[SEG31]] &gt;0, INDEX(SEGMENTS[], MATCH(CABLES[[#Headers],[SEG31]],SEGMENTS[SEG_ID],0),4),0)</f>
        <v>0</v>
      </c>
      <c r="CR69" s="9">
        <f xml:space="preserve"> IF(CABLES[[#This Row],[SEG32]] &gt;0,INDEX(SEGMENTS[], MATCH(CABLES[[#Headers],[SEG32]],SEGMENTS[SEG_ID],0),4),0)</f>
        <v>0</v>
      </c>
      <c r="CS69" s="9">
        <f xml:space="preserve"> IF(CABLES[[#This Row],[SEG33]] &gt;0,INDEX(SEGMENTS[], MATCH(CABLES[[#Headers],[SEG33]],SEGMENTS[SEG_ID],0),4),0)</f>
        <v>0</v>
      </c>
      <c r="CT69" s="9">
        <f>IF(CABLES[[#This Row],[SEG34]] &gt;0, INDEX(SEGMENTS[], MATCH(CABLES[[#Headers],[SEG34]],SEGMENTS[SEG_ID],0),4),0)</f>
        <v>0</v>
      </c>
      <c r="CU69" s="9">
        <f xml:space="preserve"> IF(CABLES[[#This Row],[SEG35]] &gt;0,INDEX(SEGMENTS[], MATCH(CABLES[[#Headers],[SEG35]],SEGMENTS[SEG_ID],0),4),0)</f>
        <v>0</v>
      </c>
      <c r="CV69" s="9">
        <f xml:space="preserve"> IF(CABLES[[#This Row],[SEG36]] &gt;0,INDEX(SEGMENTS[], MATCH(CABLES[[#Headers],[SEG36]],SEGMENTS[SEG_ID],0),4),0)</f>
        <v>0</v>
      </c>
      <c r="CW69" s="9">
        <f xml:space="preserve"> IF(CABLES[[#This Row],[SEG37]] &gt;0,INDEX(SEGMENTS[], MATCH(CABLES[[#Headers],[SEG37]],SEGMENTS[SEG_ID],0),4),0)</f>
        <v>0</v>
      </c>
      <c r="CX69" s="9">
        <f xml:space="preserve"> IF(CABLES[[#This Row],[SEG38]] &gt;0,INDEX(SEGMENTS[], MATCH(CABLES[[#Headers],[SEG38]],SEGMENTS[SEG_ID],0),4),0)</f>
        <v>0</v>
      </c>
      <c r="CY69" s="9">
        <f xml:space="preserve"> IF(CABLES[[#This Row],[SEG39]] &gt;0,INDEX(SEGMENTS[], MATCH(CABLES[[#Headers],[SEG39]],SEGMENTS[SEG_ID],0),4),0)</f>
        <v>0</v>
      </c>
      <c r="CZ69" s="9">
        <f xml:space="preserve"> IF(CABLES[[#This Row],[SEG40]] &gt;0,INDEX(SEGMENTS[], MATCH(CABLES[[#Headers],[SEG40]],SEGMENTS[SEG_ID],0),4),0)</f>
        <v>0</v>
      </c>
      <c r="DA69" s="9">
        <f xml:space="preserve"> IF(CABLES[[#This Row],[SEG41]] &gt;0,INDEX(SEGMENTS[], MATCH(CABLES[[#Headers],[SEG41]],SEGMENTS[SEG_ID],0),4),0)</f>
        <v>0</v>
      </c>
      <c r="DB69" s="9">
        <f xml:space="preserve"> IF(CABLES[[#This Row],[SEG42]] &gt;0,INDEX(SEGMENTS[], MATCH(CABLES[[#Headers],[SEG42]],SEGMENTS[SEG_ID],0),4),0)</f>
        <v>0</v>
      </c>
      <c r="DC69" s="9">
        <f xml:space="preserve"> IF(CABLES[[#This Row],[SEG43]] &gt;0,INDEX(SEGMENTS[], MATCH(CABLES[[#Headers],[SEG43]],SEGMENTS[SEG_ID],0),4),0)</f>
        <v>0</v>
      </c>
      <c r="DD69" s="9">
        <f xml:space="preserve"> IF(CABLES[[#This Row],[SEG44]] &gt;0,INDEX(SEGMENTS[], MATCH(CABLES[[#Headers],[SEG44]],SEGMENTS[SEG_ID],0),4),0)</f>
        <v>0</v>
      </c>
      <c r="DE69" s="9">
        <f xml:space="preserve"> IF(CABLES[[#This Row],[SEG45]] &gt;0,INDEX(SEGMENTS[], MATCH(CABLES[[#Headers],[SEG45]],SEGMENTS[SEG_ID],0),4),0)</f>
        <v>0</v>
      </c>
      <c r="DF69" s="9">
        <f xml:space="preserve"> IF(CABLES[[#This Row],[SEG46]] &gt;0,INDEX(SEGMENTS[], MATCH(CABLES[[#Headers],[SEG46]],SEGMENTS[SEG_ID],0),4),0)</f>
        <v>0</v>
      </c>
      <c r="DG69" s="9">
        <f xml:space="preserve"> IF(CABLES[[#This Row],[SEG47]] &gt;0,INDEX(SEGMENTS[], MATCH(CABLES[[#Headers],[SEG47]],SEGMENTS[SEG_ID],0),4),0)</f>
        <v>0</v>
      </c>
      <c r="DH69" s="9">
        <f xml:space="preserve"> IF(CABLES[[#This Row],[SEG48]] &gt;0,INDEX(SEGMENTS[], MATCH(CABLES[[#Headers],[SEG48]],SEGMENTS[SEG_ID],0),4),0)</f>
        <v>0</v>
      </c>
      <c r="DI69" s="9">
        <f xml:space="preserve"> IF(CABLES[[#This Row],[SEG49]] &gt;0,INDEX(SEGMENTS[], MATCH(CABLES[[#Headers],[SEG49]],SEGMENTS[SEG_ID],0),4),0)</f>
        <v>0</v>
      </c>
      <c r="DJ69" s="9">
        <f xml:space="preserve"> IF(CABLES[[#This Row],[SEG50]] &gt;0,INDEX(SEGMENTS[], MATCH(CABLES[[#Headers],[SEG50]],SEGMENTS[SEG_ID],0),4),0)</f>
        <v>0</v>
      </c>
      <c r="DK69" s="9">
        <f xml:space="preserve"> IF(CABLES[[#This Row],[SEG51]] &gt;0,INDEX(SEGMENTS[], MATCH(CABLES[[#Headers],[SEG51]],SEGMENTS[SEG_ID],0),4),0)</f>
        <v>0</v>
      </c>
      <c r="DL69" s="9">
        <f xml:space="preserve"> IF(CABLES[[#This Row],[SEG52]] &gt;0,INDEX(SEGMENTS[], MATCH(CABLES[[#Headers],[SEG52]],SEGMENTS[SEG_ID],0),4),0)</f>
        <v>0</v>
      </c>
      <c r="DM69" s="9">
        <f xml:space="preserve"> IF(CABLES[[#This Row],[SEG53]] &gt;0,INDEX(SEGMENTS[], MATCH(CABLES[[#Headers],[SEG53]],SEGMENTS[SEG_ID],0),4),0)</f>
        <v>0</v>
      </c>
      <c r="DN69" s="9">
        <f xml:space="preserve"> IF(CABLES[[#This Row],[SEG54]] &gt;0,INDEX(SEGMENTS[], MATCH(CABLES[[#Headers],[SEG54]],SEGMENTS[SEG_ID],0),4),0)</f>
        <v>0</v>
      </c>
      <c r="DO69" s="9">
        <f xml:space="preserve"> IF(CABLES[[#This Row],[SEG55]] &gt;0,INDEX(SEGMENTS[], MATCH(CABLES[[#Headers],[SEG55]],SEGMENTS[SEG_ID],0),4),0)</f>
        <v>0</v>
      </c>
      <c r="DP69" s="9">
        <f xml:space="preserve"> IF(CABLES[[#This Row],[SEG56]] &gt;0,INDEX(SEGMENTS[], MATCH(CABLES[[#Headers],[SEG56]],SEGMENTS[SEG_ID],0),4),0)</f>
        <v>0</v>
      </c>
      <c r="DQ69" s="9">
        <f xml:space="preserve"> IF(CABLES[[#This Row],[SEG57]] &gt;0,INDEX(SEGMENTS[], MATCH(CABLES[[#Headers],[SEG57]],SEGMENTS[SEG_ID],0),4),0)</f>
        <v>0</v>
      </c>
      <c r="DR69" s="9">
        <f xml:space="preserve"> IF(CABLES[[#This Row],[SEG58]] &gt;0,INDEX(SEGMENTS[], MATCH(CABLES[[#Headers],[SEG58]],SEGMENTS[SEG_ID],0),4),0)</f>
        <v>0</v>
      </c>
      <c r="DS69" s="9">
        <f xml:space="preserve"> IF(CABLES[[#This Row],[SEG59]] &gt;0,INDEX(SEGMENTS[], MATCH(CABLES[[#Headers],[SEG59]],SEGMENTS[SEG_ID],0),4),0)</f>
        <v>0</v>
      </c>
      <c r="DT69" s="9">
        <f xml:space="preserve"> IF(CABLES[[#This Row],[SEG60]] &gt;0,INDEX(SEGMENTS[], MATCH(CABLES[[#Headers],[SEG60]],SEGMENTS[SEG_ID],0),4),0)</f>
        <v>0</v>
      </c>
      <c r="DU69" s="10">
        <f>SUM(CABLES[[#This Row],[SEGL1]:[SEGL60]])</f>
        <v>54</v>
      </c>
      <c r="DV69" s="10">
        <v>5</v>
      </c>
      <c r="DW69" s="10">
        <v>1.2</v>
      </c>
      <c r="DX69" s="10">
        <f xml:space="preserve"> IF(CABLES[[#This Row],[SEGL_TOTAL]]&gt;0, (CABLES[[#This Row],[SEGL_TOTAL]] + CABLES[[#This Row],[FITOFF]]) *CABLES[[#This Row],[XCAPACITY]],0)</f>
        <v>70.8</v>
      </c>
      <c r="DY69" s="10">
        <f>IF(CABLES[[#This Row],[SEG1]]&gt;0,CABLES[[#This Row],[CABLE_DIAMETER]],0)</f>
        <v>14.5</v>
      </c>
      <c r="DZ69" s="10">
        <f>IF(CABLES[[#This Row],[SEG2]]&gt;0,CABLES[[#This Row],[CABLE_DIAMETER]],0)</f>
        <v>14.5</v>
      </c>
      <c r="EA69" s="10">
        <f>IF(CABLES[[#This Row],[SEG3]]&gt;0,CABLES[[#This Row],[CABLE_DIAMETER]],0)</f>
        <v>0</v>
      </c>
      <c r="EB69" s="10">
        <f>IF(CABLES[[#This Row],[SEG4]]&gt;0,CABLES[[#This Row],[CABLE_DIAMETER]],0)</f>
        <v>14.5</v>
      </c>
      <c r="EC69" s="10">
        <f>IF(CABLES[[#This Row],[SEG5]]&gt;0,CABLES[[#This Row],[CABLE_DIAMETER]],0)</f>
        <v>0</v>
      </c>
      <c r="ED69" s="10">
        <f>IF(CABLES[[#This Row],[SEG6]]&gt;0,CABLES[[#This Row],[CABLE_DIAMETER]],0)</f>
        <v>14.5</v>
      </c>
      <c r="EE69" s="10">
        <f>IF(CABLES[[#This Row],[SEG7]]&gt;0,CABLES[[#This Row],[CABLE_DIAMETER]],0)</f>
        <v>0</v>
      </c>
      <c r="EF69" s="10">
        <f>IF(CABLES[[#This Row],[SEG9]]&gt;0,CABLES[[#This Row],[CABLE_DIAMETER]],0)</f>
        <v>0</v>
      </c>
      <c r="EG69" s="10">
        <f>IF(CABLES[[#This Row],[SEG9]]&gt;0,CABLES[[#This Row],[CABLE_DIAMETER]],0)</f>
        <v>0</v>
      </c>
      <c r="EH69" s="10">
        <f>IF(CABLES[[#This Row],[SEG10]]&gt;0,CABLES[[#This Row],[CABLE_DIAMETER]],0)</f>
        <v>14.5</v>
      </c>
      <c r="EI69" s="10">
        <f>IF(CABLES[[#This Row],[SEG11]]&gt;0,CABLES[[#This Row],[CABLE_DIAMETER]],0)</f>
        <v>0</v>
      </c>
      <c r="EJ69" s="10">
        <f>IF(CABLES[[#This Row],[SEG12]]&gt;0,CABLES[[#This Row],[CABLE_DIAMETER]],0)</f>
        <v>0</v>
      </c>
      <c r="EK69" s="10">
        <f>IF(CABLES[[#This Row],[SEG13]]&gt;0,CABLES[[#This Row],[CABLE_DIAMETER]],0)</f>
        <v>14.5</v>
      </c>
      <c r="EL69" s="10">
        <f>IF(CABLES[[#This Row],[SEG14]]&gt;0,CABLES[[#This Row],[CABLE_DIAMETER]],0)</f>
        <v>0</v>
      </c>
      <c r="EM69" s="10">
        <f>IF(CABLES[[#This Row],[SEG15]]&gt;0,CABLES[[#This Row],[CABLE_DIAMETER]],0)</f>
        <v>0</v>
      </c>
      <c r="EN69" s="10">
        <f>IF(CABLES[[#This Row],[SEG16]]&gt;0,CABLES[[#This Row],[CABLE_DIAMETER]],0)</f>
        <v>0</v>
      </c>
      <c r="EO69" s="10">
        <f>IF(CABLES[[#This Row],[SEG17]]&gt;0,CABLES[[#This Row],[CABLE_DIAMETER]],0)</f>
        <v>0</v>
      </c>
      <c r="EP69" s="10">
        <f>IF(CABLES[[#This Row],[SEG18]]&gt;0,CABLES[[#This Row],[CABLE_DIAMETER]],0)</f>
        <v>0</v>
      </c>
      <c r="EQ69" s="10">
        <f>IF(CABLES[[#This Row],[SEG19]]&gt;0,CABLES[[#This Row],[CABLE_DIAMETER]],0)</f>
        <v>0</v>
      </c>
      <c r="ER69" s="10">
        <f>IF(CABLES[[#This Row],[SEG20]]&gt;0,CABLES[[#This Row],[CABLE_DIAMETER]],0)</f>
        <v>0</v>
      </c>
      <c r="ES69" s="10">
        <f>IF(CABLES[[#This Row],[SEG21]]&gt;0,CABLES[[#This Row],[CABLE_DIAMETER]],0)</f>
        <v>0</v>
      </c>
      <c r="ET69" s="10">
        <f>IF(CABLES[[#This Row],[SEG22]]&gt;0,CABLES[[#This Row],[CABLE_DIAMETER]],0)</f>
        <v>0</v>
      </c>
      <c r="EU69" s="10">
        <f>IF(CABLES[[#This Row],[SEG23]]&gt;0,CABLES[[#This Row],[CABLE_DIAMETER]],0)</f>
        <v>14.5</v>
      </c>
      <c r="EV69" s="10">
        <f>IF(CABLES[[#This Row],[SEG24]]&gt;0,CABLES[[#This Row],[CABLE_DIAMETER]],0)</f>
        <v>0</v>
      </c>
      <c r="EW69" s="10">
        <f>IF(CABLES[[#This Row],[SEG25]]&gt;0,CABLES[[#This Row],[CABLE_DIAMETER]],0)</f>
        <v>0</v>
      </c>
      <c r="EX69" s="10">
        <f>IF(CABLES[[#This Row],[SEG26]]&gt;0,CABLES[[#This Row],[CABLE_DIAMETER]],0)</f>
        <v>0</v>
      </c>
      <c r="EY69" s="10">
        <f>IF(CABLES[[#This Row],[SEG27]]&gt;0,CABLES[[#This Row],[CABLE_DIAMETER]],0)</f>
        <v>0</v>
      </c>
      <c r="EZ69" s="10">
        <f>IF(CABLES[[#This Row],[SEG28]]&gt;0,CABLES[[#This Row],[CABLE_DIAMETER]],0)</f>
        <v>0</v>
      </c>
      <c r="FA69" s="10">
        <f>IF(CABLES[[#This Row],[SEG29]]&gt;0,CABLES[[#This Row],[CABLE_DIAMETER]],0)</f>
        <v>0</v>
      </c>
      <c r="FB69" s="10">
        <f>IF(CABLES[[#This Row],[SEG30]]&gt;0,CABLES[[#This Row],[CABLE_DIAMETER]],0)</f>
        <v>0</v>
      </c>
      <c r="FC69" s="10">
        <f>IF(CABLES[[#This Row],[SEG31]]&gt;0,CABLES[[#This Row],[CABLE_DIAMETER]],0)</f>
        <v>0</v>
      </c>
      <c r="FD69" s="10">
        <f>IF(CABLES[[#This Row],[SEG32]]&gt;0,CABLES[[#This Row],[CABLE_DIAMETER]],0)</f>
        <v>0</v>
      </c>
      <c r="FE69" s="10">
        <f>IF(CABLES[[#This Row],[SEG33]]&gt;0,CABLES[[#This Row],[CABLE_DIAMETER]],0)</f>
        <v>0</v>
      </c>
      <c r="FF69" s="10">
        <f>IF(CABLES[[#This Row],[SEG34]]&gt;0,CABLES[[#This Row],[CABLE_DIAMETER]],0)</f>
        <v>0</v>
      </c>
      <c r="FG69" s="10">
        <f>IF(CABLES[[#This Row],[SEG35]]&gt;0,CABLES[[#This Row],[CABLE_DIAMETER]],0)</f>
        <v>0</v>
      </c>
      <c r="FH69" s="10">
        <f>IF(CABLES[[#This Row],[SEG36]]&gt;0,CABLES[[#This Row],[CABLE_DIAMETER]],0)</f>
        <v>0</v>
      </c>
      <c r="FI69" s="10">
        <f>IF(CABLES[[#This Row],[SEG37]]&gt;0,CABLES[[#This Row],[CABLE_DIAMETER]],0)</f>
        <v>0</v>
      </c>
      <c r="FJ69" s="10">
        <f>IF(CABLES[[#This Row],[SEG38]]&gt;0,CABLES[[#This Row],[CABLE_DIAMETER]],0)</f>
        <v>0</v>
      </c>
      <c r="FK69" s="10">
        <f>IF(CABLES[[#This Row],[SEG39]]&gt;0,CABLES[[#This Row],[CABLE_DIAMETER]],0)</f>
        <v>0</v>
      </c>
      <c r="FL69" s="10">
        <f>IF(CABLES[[#This Row],[SEG40]]&gt;0,CABLES[[#This Row],[CABLE_DIAMETER]],0)</f>
        <v>0</v>
      </c>
      <c r="FM69" s="10">
        <f>IF(CABLES[[#This Row],[SEG41]]&gt;0,CABLES[[#This Row],[CABLE_DIAMETER]],0)</f>
        <v>0</v>
      </c>
      <c r="FN69" s="10">
        <f>IF(CABLES[[#This Row],[SEG42]]&gt;0,CABLES[[#This Row],[CABLE_DIAMETER]],0)</f>
        <v>0</v>
      </c>
      <c r="FO69" s="10">
        <f>IF(CABLES[[#This Row],[SEG43]]&gt;0,CABLES[[#This Row],[CABLE_DIAMETER]],0)</f>
        <v>0</v>
      </c>
      <c r="FP69" s="10">
        <f>IF(CABLES[[#This Row],[SEG44]]&gt;0,CABLES[[#This Row],[CABLE_DIAMETER]],0)</f>
        <v>0</v>
      </c>
      <c r="FQ69" s="10">
        <f>IF(CABLES[[#This Row],[SEG45]]&gt;0,CABLES[[#This Row],[CABLE_DIAMETER]],0)</f>
        <v>0</v>
      </c>
      <c r="FR69" s="10">
        <f>IF(CABLES[[#This Row],[SEG46]]&gt;0,CABLES[[#This Row],[CABLE_DIAMETER]],0)</f>
        <v>0</v>
      </c>
      <c r="FS69" s="10">
        <f>IF(CABLES[[#This Row],[SEG47]]&gt;0,CABLES[[#This Row],[CABLE_DIAMETER]],0)</f>
        <v>0</v>
      </c>
      <c r="FT69" s="10">
        <f>IF(CABLES[[#This Row],[SEG48]]&gt;0,CABLES[[#This Row],[CABLE_DIAMETER]],0)</f>
        <v>0</v>
      </c>
      <c r="FU69" s="10">
        <f>IF(CABLES[[#This Row],[SEG49]]&gt;0,CABLES[[#This Row],[CABLE_DIAMETER]],0)</f>
        <v>0</v>
      </c>
      <c r="FV69" s="10">
        <f>IF(CABLES[[#This Row],[SEG50]]&gt;0,CABLES[[#This Row],[CABLE_DIAMETER]],0)</f>
        <v>0</v>
      </c>
      <c r="FW69" s="10">
        <f>IF(CABLES[[#This Row],[SEG51]]&gt;0,CABLES[[#This Row],[CABLE_DIAMETER]],0)</f>
        <v>0</v>
      </c>
      <c r="FX69" s="10">
        <f>IF(CABLES[[#This Row],[SEG52]]&gt;0,CABLES[[#This Row],[CABLE_DIAMETER]],0)</f>
        <v>0</v>
      </c>
      <c r="FY69" s="10">
        <f>IF(CABLES[[#This Row],[SEG53]]&gt;0,CABLES[[#This Row],[CABLE_DIAMETER]],0)</f>
        <v>0</v>
      </c>
      <c r="FZ69" s="10">
        <f>IF(CABLES[[#This Row],[SEG54]]&gt;0,CABLES[[#This Row],[CABLE_DIAMETER]],0)</f>
        <v>0</v>
      </c>
      <c r="GA69" s="10">
        <f>IF(CABLES[[#This Row],[SEG55]]&gt;0,CABLES[[#This Row],[CABLE_DIAMETER]],0)</f>
        <v>0</v>
      </c>
      <c r="GB69" s="10">
        <f>IF(CABLES[[#This Row],[SEG56]]&gt;0,CABLES[[#This Row],[CABLE_DIAMETER]],0)</f>
        <v>0</v>
      </c>
      <c r="GC69" s="10">
        <f>IF(CABLES[[#This Row],[SEG57]]&gt;0,CABLES[[#This Row],[CABLE_DIAMETER]],0)</f>
        <v>0</v>
      </c>
      <c r="GD69" s="10">
        <f>IF(CABLES[[#This Row],[SEG58]]&gt;0,CABLES[[#This Row],[CABLE_DIAMETER]],0)</f>
        <v>0</v>
      </c>
      <c r="GE69" s="10">
        <f>IF(CABLES[[#This Row],[SEG59]]&gt;0,CABLES[[#This Row],[CABLE_DIAMETER]],0)</f>
        <v>0</v>
      </c>
      <c r="GF69" s="10">
        <f>IF(CABLES[[#This Row],[SEG60]]&gt;0,CABLES[[#This Row],[CABLE_DIAMETER]],0)</f>
        <v>0</v>
      </c>
      <c r="GG69" s="10">
        <f>IF(CABLES[[#This Row],[SEG1]]&gt;0,CABLES[[#This Row],[CABLE_MASS]],0)</f>
        <v>0.33</v>
      </c>
      <c r="GH69" s="10">
        <f>IF(CABLES[[#This Row],[SEG2]]&gt;0,CABLES[[#This Row],[CABLE_MASS]],0)</f>
        <v>0.33</v>
      </c>
      <c r="GI69" s="10">
        <f>IF(CABLES[[#This Row],[SEG3]]&gt;0,CABLES[[#This Row],[CABLE_MASS]],0)</f>
        <v>0</v>
      </c>
      <c r="GJ69" s="10">
        <f>IF(CABLES[[#This Row],[SEG4]]&gt;0,CABLES[[#This Row],[CABLE_MASS]],0)</f>
        <v>0.33</v>
      </c>
      <c r="GK69" s="10">
        <f>IF(CABLES[[#This Row],[SEG5]]&gt;0,CABLES[[#This Row],[CABLE_MASS]],0)</f>
        <v>0</v>
      </c>
      <c r="GL69" s="10">
        <f>IF(CABLES[[#This Row],[SEG6]]&gt;0,CABLES[[#This Row],[CABLE_MASS]],0)</f>
        <v>0.33</v>
      </c>
      <c r="GM69" s="10">
        <f>IF(CABLES[[#This Row],[SEG7]]&gt;0,CABLES[[#This Row],[CABLE_MASS]],0)</f>
        <v>0</v>
      </c>
      <c r="GN69" s="10">
        <f>IF(CABLES[[#This Row],[SEG8]]&gt;0,CABLES[[#This Row],[CABLE_MASS]],0)</f>
        <v>0.33</v>
      </c>
      <c r="GO69" s="10">
        <f>IF(CABLES[[#This Row],[SEG9]]&gt;0,CABLES[[#This Row],[CABLE_MASS]],0)</f>
        <v>0</v>
      </c>
      <c r="GP69" s="10">
        <f>IF(CABLES[[#This Row],[SEG10]]&gt;0,CABLES[[#This Row],[CABLE_MASS]],0)</f>
        <v>0.33</v>
      </c>
      <c r="GQ69" s="10">
        <f>IF(CABLES[[#This Row],[SEG11]]&gt;0,CABLES[[#This Row],[CABLE_MASS]],0)</f>
        <v>0</v>
      </c>
      <c r="GR69" s="10">
        <f>IF(CABLES[[#This Row],[SEG12]]&gt;0,CABLES[[#This Row],[CABLE_MASS]],0)</f>
        <v>0</v>
      </c>
      <c r="GS69" s="10">
        <f>IF(CABLES[[#This Row],[SEG13]]&gt;0,CABLES[[#This Row],[CABLE_MASS]],0)</f>
        <v>0.33</v>
      </c>
      <c r="GT69" s="10">
        <f>IF(CABLES[[#This Row],[SEG14]]&gt;0,CABLES[[#This Row],[CABLE_MASS]],0)</f>
        <v>0</v>
      </c>
      <c r="GU69" s="10">
        <f>IF(CABLES[[#This Row],[SEG15]]&gt;0,CABLES[[#This Row],[CABLE_MASS]],0)</f>
        <v>0</v>
      </c>
      <c r="GV69" s="10">
        <f>IF(CABLES[[#This Row],[SEG16]]&gt;0,CABLES[[#This Row],[CABLE_MASS]],0)</f>
        <v>0</v>
      </c>
      <c r="GW69" s="10">
        <f>IF(CABLES[[#This Row],[SEG17]]&gt;0,CABLES[[#This Row],[CABLE_MASS]],0)</f>
        <v>0</v>
      </c>
      <c r="GX69" s="10">
        <f>IF(CABLES[[#This Row],[SEG18]]&gt;0,CABLES[[#This Row],[CABLE_MASS]],0)</f>
        <v>0</v>
      </c>
      <c r="GY69" s="10">
        <f>IF(CABLES[[#This Row],[SEG19]]&gt;0,CABLES[[#This Row],[CABLE_MASS]],0)</f>
        <v>0</v>
      </c>
      <c r="GZ69" s="10">
        <f>IF(CABLES[[#This Row],[SEG20]]&gt;0,CABLES[[#This Row],[CABLE_MASS]],0)</f>
        <v>0</v>
      </c>
      <c r="HA69" s="10">
        <f>IF(CABLES[[#This Row],[SEG21]]&gt;0,CABLES[[#This Row],[CABLE_MASS]],0)</f>
        <v>0</v>
      </c>
      <c r="HB69" s="10">
        <f>IF(CABLES[[#This Row],[SEG22]]&gt;0,CABLES[[#This Row],[CABLE_MASS]],0)</f>
        <v>0</v>
      </c>
      <c r="HC69" s="10">
        <f>IF(CABLES[[#This Row],[SEG23]]&gt;0,CABLES[[#This Row],[CABLE_MASS]],0)</f>
        <v>0.33</v>
      </c>
      <c r="HD69" s="10">
        <f>IF(CABLES[[#This Row],[SEG24]]&gt;0,CABLES[[#This Row],[CABLE_MASS]],0)</f>
        <v>0</v>
      </c>
      <c r="HE69" s="10">
        <f>IF(CABLES[[#This Row],[SEG25]]&gt;0,CABLES[[#This Row],[CABLE_MASS]],0)</f>
        <v>0</v>
      </c>
      <c r="HF69" s="10">
        <f>IF(CABLES[[#This Row],[SEG26]]&gt;0,CABLES[[#This Row],[CABLE_MASS]],0)</f>
        <v>0</v>
      </c>
      <c r="HG69" s="10">
        <f>IF(CABLES[[#This Row],[SEG27]]&gt;0,CABLES[[#This Row],[CABLE_MASS]],0)</f>
        <v>0</v>
      </c>
      <c r="HH69" s="10">
        <f>IF(CABLES[[#This Row],[SEG28]]&gt;0,CABLES[[#This Row],[CABLE_MASS]],0)</f>
        <v>0</v>
      </c>
      <c r="HI69" s="10">
        <f>IF(CABLES[[#This Row],[SEG29]]&gt;0,CABLES[[#This Row],[CABLE_MASS]],0)</f>
        <v>0</v>
      </c>
      <c r="HJ69" s="10">
        <f>IF(CABLES[[#This Row],[SEG30]]&gt;0,CABLES[[#This Row],[CABLE_MASS]],0)</f>
        <v>0</v>
      </c>
      <c r="HK69" s="10">
        <f>IF(CABLES[[#This Row],[SEG31]]&gt;0,CABLES[[#This Row],[CABLE_MASS]],0)</f>
        <v>0</v>
      </c>
      <c r="HL69" s="10">
        <f>IF(CABLES[[#This Row],[SEG32]]&gt;0,CABLES[[#This Row],[CABLE_MASS]],0)</f>
        <v>0</v>
      </c>
      <c r="HM69" s="10">
        <f>IF(CABLES[[#This Row],[SEG33]]&gt;0,CABLES[[#This Row],[CABLE_MASS]],0)</f>
        <v>0</v>
      </c>
      <c r="HN69" s="10">
        <f>IF(CABLES[[#This Row],[SEG34]]&gt;0,CABLES[[#This Row],[CABLE_MASS]],0)</f>
        <v>0</v>
      </c>
      <c r="HO69" s="10">
        <f>IF(CABLES[[#This Row],[SEG35]]&gt;0,CABLES[[#This Row],[CABLE_MASS]],0)</f>
        <v>0</v>
      </c>
      <c r="HP69" s="10">
        <f>IF(CABLES[[#This Row],[SEG36]]&gt;0,CABLES[[#This Row],[CABLE_MASS]],0)</f>
        <v>0</v>
      </c>
      <c r="HQ69" s="10">
        <f>IF(CABLES[[#This Row],[SEG37]]&gt;0,CABLES[[#This Row],[CABLE_MASS]],0)</f>
        <v>0</v>
      </c>
      <c r="HR69" s="10">
        <f>IF(CABLES[[#This Row],[SEG38]]&gt;0,CABLES[[#This Row],[CABLE_MASS]],0)</f>
        <v>0</v>
      </c>
      <c r="HS69" s="10">
        <f>IF(CABLES[[#This Row],[SEG39]]&gt;0,CABLES[[#This Row],[CABLE_MASS]],0)</f>
        <v>0</v>
      </c>
      <c r="HT69" s="10">
        <f>IF(CABLES[[#This Row],[SEG40]]&gt;0,CABLES[[#This Row],[CABLE_MASS]],0)</f>
        <v>0</v>
      </c>
      <c r="HU69" s="10">
        <f>IF(CABLES[[#This Row],[SEG41]]&gt;0,CABLES[[#This Row],[CABLE_MASS]],0)</f>
        <v>0</v>
      </c>
      <c r="HV69" s="10">
        <f>IF(CABLES[[#This Row],[SEG42]]&gt;0,CABLES[[#This Row],[CABLE_MASS]],0)</f>
        <v>0</v>
      </c>
      <c r="HW69" s="10">
        <f>IF(CABLES[[#This Row],[SEG43]]&gt;0,CABLES[[#This Row],[CABLE_MASS]],0)</f>
        <v>0</v>
      </c>
      <c r="HX69" s="10">
        <f>IF(CABLES[[#This Row],[SEG44]]&gt;0,CABLES[[#This Row],[CABLE_MASS]],0)</f>
        <v>0</v>
      </c>
      <c r="HY69" s="10">
        <f>IF(CABLES[[#This Row],[SEG45]]&gt;0,CABLES[[#This Row],[CABLE_MASS]],0)</f>
        <v>0</v>
      </c>
      <c r="HZ69" s="10">
        <f>IF(CABLES[[#This Row],[SEG46]]&gt;0,CABLES[[#This Row],[CABLE_MASS]],0)</f>
        <v>0</v>
      </c>
      <c r="IA69" s="10">
        <f>IF(CABLES[[#This Row],[SEG47]]&gt;0,CABLES[[#This Row],[CABLE_MASS]],0)</f>
        <v>0</v>
      </c>
      <c r="IB69" s="10">
        <f>IF(CABLES[[#This Row],[SEG48]]&gt;0,CABLES[[#This Row],[CABLE_MASS]],0)</f>
        <v>0</v>
      </c>
      <c r="IC69" s="10">
        <f>IF(CABLES[[#This Row],[SEG49]]&gt;0,CABLES[[#This Row],[CABLE_MASS]],0)</f>
        <v>0</v>
      </c>
      <c r="ID69" s="10">
        <f>IF(CABLES[[#This Row],[SEG50]]&gt;0,CABLES[[#This Row],[CABLE_MASS]],0)</f>
        <v>0</v>
      </c>
      <c r="IE69" s="10">
        <f>IF(CABLES[[#This Row],[SEG51]]&gt;0,CABLES[[#This Row],[CABLE_MASS]],0)</f>
        <v>0</v>
      </c>
      <c r="IF69" s="10">
        <f>IF(CABLES[[#This Row],[SEG52]]&gt;0,CABLES[[#This Row],[CABLE_MASS]],0)</f>
        <v>0</v>
      </c>
      <c r="IG69" s="10">
        <f>IF(CABLES[[#This Row],[SEG53]]&gt;0,CABLES[[#This Row],[CABLE_MASS]],0)</f>
        <v>0</v>
      </c>
      <c r="IH69" s="10">
        <f>IF(CABLES[[#This Row],[SEG54]]&gt;0,CABLES[[#This Row],[CABLE_MASS]],0)</f>
        <v>0</v>
      </c>
      <c r="II69" s="10">
        <f>IF(CABLES[[#This Row],[SEG55]]&gt;0,CABLES[[#This Row],[CABLE_MASS]],0)</f>
        <v>0</v>
      </c>
      <c r="IJ69" s="10">
        <f>IF(CABLES[[#This Row],[SEG56]]&gt;0,CABLES[[#This Row],[CABLE_MASS]],0)</f>
        <v>0</v>
      </c>
      <c r="IK69" s="10">
        <f>IF(CABLES[[#This Row],[SEG57]]&gt;0,CABLES[[#This Row],[CABLE_MASS]],0)</f>
        <v>0</v>
      </c>
      <c r="IL69" s="10">
        <f>IF(CABLES[[#This Row],[SEG58]]&gt;0,CABLES[[#This Row],[CABLE_MASS]],0)</f>
        <v>0</v>
      </c>
      <c r="IM69" s="10">
        <f>IF(CABLES[[#This Row],[SEG59]]&gt;0,CABLES[[#This Row],[CABLE_MASS]],0)</f>
        <v>0</v>
      </c>
      <c r="IN69" s="10">
        <f>IF(CABLES[[#This Row],[SEG60]]&gt;0,CABLES[[#This Row],[CABLE_MASS]],0)</f>
        <v>0</v>
      </c>
      <c r="IO69" s="10">
        <f xml:space="preserve">  (CABLES[[#This Row],[LOAD_KW]]/(SQRT(3)*SYSTEM_VOLTAGE*POWER_FACTOR))*1000</f>
        <v>8.8206291126192813</v>
      </c>
      <c r="IP69" s="10">
        <v>45</v>
      </c>
      <c r="IQ69" s="10">
        <f xml:space="preserve"> INDEX(AS3000_AMBIENTDERATE[], MATCH(CABLES[[#This Row],[AMBIENT]],AS3000_AMBIENTDERATE[AMBIENT],0), 2)</f>
        <v>0.94</v>
      </c>
      <c r="IR69" s="10">
        <f xml:space="preserve"> ROUNDUP( CABLES[[#This Row],[CALCULATED_AMPS]]/CABLES[[#This Row],[AMBIENT_DERATING]],1)</f>
        <v>9.4</v>
      </c>
      <c r="IS69" s="10" t="s">
        <v>531</v>
      </c>
      <c r="IT6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69" s="10">
        <f t="shared" si="2"/>
        <v>28.000000000000004</v>
      </c>
      <c r="IV69" s="10">
        <f>(1000*CABLES[[#This Row],[MAX_VDROP]])/(CABLES[[#This Row],[ESTIMATED_CABLE_LENGTH]]*CABLES[[#This Row],[AMP_RATING]])</f>
        <v>42.072364466883045</v>
      </c>
      <c r="IW69" s="10">
        <f xml:space="preserve"> INDEX(AS3000_VDROP[], MATCH(CABLES[[#This Row],[VC_CALC]],AS3000_VDROP[Vc],1),1)</f>
        <v>2.5</v>
      </c>
      <c r="IX69" s="10">
        <f>MAX(CABLES[[#This Row],[CABLESIZE_METHOD1]],CABLES[[#This Row],[CABLESIZE_METHOD2]])</f>
        <v>2.5</v>
      </c>
      <c r="IY69" s="10"/>
      <c r="IZ69" s="10">
        <f>IF(LEN(CABLES[[#This Row],[OVERRIDE_CABLESIZE]])&gt;0,CABLES[[#This Row],[OVERRIDE_CABLESIZE]],CABLES[[#This Row],[INITIAL_CABLESIZE]])</f>
        <v>2.5</v>
      </c>
      <c r="JA69" s="10">
        <f>INDEX(PROTECTIVE_DEVICE[DEVICE], MATCH(CABLES[[#This Row],[CALCULATED_AMPS]],PROTECTIVE_DEVICE[DEVICE],-1),1)</f>
        <v>10</v>
      </c>
      <c r="JB69" s="10"/>
      <c r="JC69" s="10">
        <f>IF(LEN(CABLES[[#This Row],[OVERRIDE_PDEVICE]])&gt;0, CABLES[[#This Row],[OVERRIDE_PDEVICE]],CABLES[[#This Row],[RECOMMEND_PDEVICE]])</f>
        <v>10</v>
      </c>
      <c r="JD69" s="10" t="s">
        <v>450</v>
      </c>
      <c r="JE69" s="10">
        <f xml:space="preserve"> CABLES[[#This Row],[SELECTED_PDEVICE]] * INDEX(DEVICE_CURVE[], MATCH(CABLES[[#This Row],[PDEVICE_CURVE]], DEVICE_CURVE[DEVICE_CURVE],0),2)</f>
        <v>65</v>
      </c>
      <c r="JF69" s="10" t="s">
        <v>458</v>
      </c>
      <c r="JG69" s="10">
        <f xml:space="preserve"> INDEX(CONDUCTOR_MATERIAL[], MATCH(CABLES[[#This Row],[CONDUCTOR_MATERIAL]],CONDUCTOR_MATERIAL[CONDUCTOR_MATERIAL],0),2)</f>
        <v>2.2499999999999999E-2</v>
      </c>
      <c r="JH69" s="10">
        <f>CABLES[[#This Row],[SELECTED_CABLESIZE]]</f>
        <v>2.5</v>
      </c>
      <c r="JI69" s="10">
        <f xml:space="preserve"> INDEX( EARTH_CONDUCTOR_SIZE[], MATCH(CABLES[[#This Row],[SPH]],EARTH_CONDUCTOR_SIZE[MM^2],-1), 2)</f>
        <v>2.5</v>
      </c>
      <c r="JJ69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69" s="10" t="str">
        <f>IF(CABLES[[#This Row],[LMAX]]&gt;CABLES[[#This Row],[ESTIMATED_CABLE_LENGTH]], "PASS", "ERROR")</f>
        <v>PASS</v>
      </c>
      <c r="JL6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6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69" s="6">
        <f xml:space="preserve"> ROUNDUP( CABLES[[#This Row],[CALCULATED_AMPS]],1)</f>
        <v>8.9</v>
      </c>
      <c r="JO69" s="6">
        <f>CABLES[[#This Row],[SELECTED_CABLESIZE]]</f>
        <v>2.5</v>
      </c>
      <c r="JP69" s="10">
        <f>CABLES[[#This Row],[ESTIMATED_CABLE_LENGTH]]</f>
        <v>70.8</v>
      </c>
      <c r="JQ69" s="6">
        <f>CABLES[[#This Row],[SELECTED_PDEVICE]]</f>
        <v>10</v>
      </c>
    </row>
    <row r="70" spans="1:277" x14ac:dyDescent="0.35">
      <c r="A70" s="5" t="s">
        <v>67</v>
      </c>
      <c r="B70" s="5" t="s">
        <v>508</v>
      </c>
      <c r="C70" s="10" t="s">
        <v>261</v>
      </c>
      <c r="D70" s="9">
        <v>5.5</v>
      </c>
      <c r="E70" s="9">
        <v>1</v>
      </c>
      <c r="F70" s="9">
        <v>1</v>
      </c>
      <c r="G70" s="9">
        <v>0</v>
      </c>
      <c r="H70" s="9">
        <v>1</v>
      </c>
      <c r="I70" s="9">
        <v>0</v>
      </c>
      <c r="J70" s="9">
        <v>1</v>
      </c>
      <c r="K70" s="9">
        <v>0</v>
      </c>
      <c r="L70" s="9">
        <v>1</v>
      </c>
      <c r="M70" s="9">
        <v>0</v>
      </c>
      <c r="N70" s="9">
        <v>1</v>
      </c>
      <c r="O70" s="9">
        <v>0</v>
      </c>
      <c r="P70" s="9">
        <v>0</v>
      </c>
      <c r="Q70" s="9">
        <v>1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1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f xml:space="preserve"> IF(CABLES[[#This Row],[SEG1]] &gt;0, INDEX(SEGMENTS[], MATCH(CABLES[[#Headers],[SEG1]],SEGMENTS[SEG_ID],0),4),0)</f>
        <v>13</v>
      </c>
      <c r="BN70" s="9">
        <f xml:space="preserve"> IF(CABLES[[#This Row],[SEG2]] &gt;0, INDEX(SEGMENTS[], MATCH(CABLES[[#Headers],[SEG2]],SEGMENTS[SEG_ID],0),4),0)</f>
        <v>2</v>
      </c>
      <c r="BO70" s="9">
        <f xml:space="preserve"> IF(CABLES[[#This Row],[SEG3]] &gt;0, INDEX(SEGMENTS[], MATCH(CABLES[[#Headers],[SEG3]],SEGMENTS[SEG_ID],0),4),0)</f>
        <v>0</v>
      </c>
      <c r="BP70" s="9">
        <f xml:space="preserve"> IF(CABLES[[#This Row],[SEG4]] &gt;0, INDEX(SEGMENTS[], MATCH(CABLES[[#Headers],[SEG4]],SEGMENTS[SEG_ID],0),4),0)</f>
        <v>14</v>
      </c>
      <c r="BQ70" s="9">
        <f xml:space="preserve"> IF(CABLES[[#This Row],[SEG5]] &gt;0,INDEX(SEGMENTS[], MATCH(CABLES[[#Headers],[SEG5]],SEGMENTS[SEG_ID],0),4),0)</f>
        <v>0</v>
      </c>
      <c r="BR70" s="9">
        <f xml:space="preserve"> IF(CABLES[[#This Row],[SEG6]] &gt;0,INDEX(SEGMENTS[], MATCH(CABLES[[#Headers],[SEG6]],SEGMENTS[SEG_ID],0),4),0)</f>
        <v>2</v>
      </c>
      <c r="BS70" s="9">
        <f xml:space="preserve"> IF(CABLES[[#This Row],[SEG7]] &gt;0,INDEX(SEGMENTS[], MATCH(CABLES[[#Headers],[SEG7]],SEGMENTS[SEG_ID],0),4),0)</f>
        <v>0</v>
      </c>
      <c r="BT70" s="9">
        <f xml:space="preserve"> IF(CABLES[[#This Row],[SEG8]] &gt;0,INDEX(SEGMENTS[], MATCH(CABLES[[#Headers],[SEG8]],SEGMENTS[SEG_ID],0),4),0)</f>
        <v>3</v>
      </c>
      <c r="BU70" s="9">
        <f xml:space="preserve"> IF(CABLES[[#This Row],[SEG9]] &gt;0,INDEX(SEGMENTS[], MATCH(CABLES[[#Headers],[SEG9]],SEGMENTS[SEG_ID],0),4),0)</f>
        <v>0</v>
      </c>
      <c r="BV70" s="9">
        <f xml:space="preserve"> IF(CABLES[[#This Row],[SEG10]] &gt;0,INDEX(SEGMENTS[], MATCH(CABLES[[#Headers],[SEG10]],SEGMENTS[SEG_ID],0),4),0)</f>
        <v>9</v>
      </c>
      <c r="BW70" s="9">
        <f xml:space="preserve"> IF(CABLES[[#This Row],[SEG11]] &gt;0,INDEX(SEGMENTS[], MATCH(CABLES[[#Headers],[SEG11]],SEGMENTS[SEG_ID],0),4),0)</f>
        <v>0</v>
      </c>
      <c r="BX70" s="9">
        <f>IF(CABLES[[#This Row],[SEG12]] &gt;0, INDEX(SEGMENTS[], MATCH(CABLES[[#Headers],[SEG12]],SEGMENTS[SEG_ID],0),4),0)</f>
        <v>0</v>
      </c>
      <c r="BY70" s="9">
        <f xml:space="preserve"> IF(CABLES[[#This Row],[SEG13]] &gt;0,INDEX(SEGMENTS[], MATCH(CABLES[[#Headers],[SEG13]],SEGMENTS[SEG_ID],0),4),0)</f>
        <v>3</v>
      </c>
      <c r="BZ70" s="9">
        <f xml:space="preserve"> IF(CABLES[[#This Row],[SEG14]] &gt;0,INDEX(SEGMENTS[], MATCH(CABLES[[#Headers],[SEG14]],SEGMENTS[SEG_ID],0),4),0)</f>
        <v>0</v>
      </c>
      <c r="CA70" s="9">
        <f xml:space="preserve"> IF(CABLES[[#This Row],[SEG15]] &gt;0,INDEX(SEGMENTS[], MATCH(CABLES[[#Headers],[SEG15]],SEGMENTS[SEG_ID],0),4),0)</f>
        <v>0</v>
      </c>
      <c r="CB70" s="9">
        <f xml:space="preserve"> IF(CABLES[[#This Row],[SEG16]] &gt;0,INDEX(SEGMENTS[], MATCH(CABLES[[#Headers],[SEG16]],SEGMENTS[SEG_ID],0),4),0)</f>
        <v>0</v>
      </c>
      <c r="CC70" s="9">
        <f xml:space="preserve"> IF(CABLES[[#This Row],[SEG17]] &gt;0,INDEX(SEGMENTS[], MATCH(CABLES[[#Headers],[SEG17]],SEGMENTS[SEG_ID],0),4),0)</f>
        <v>0</v>
      </c>
      <c r="CD70" s="9">
        <f xml:space="preserve"> IF(CABLES[[#This Row],[SEG18]] &gt;0,INDEX(SEGMENTS[], MATCH(CABLES[[#Headers],[SEG18]],SEGMENTS[SEG_ID],0),4),0)</f>
        <v>0</v>
      </c>
      <c r="CE70" s="9">
        <f>IF(CABLES[[#This Row],[SEG19]] &gt;0, INDEX(SEGMENTS[], MATCH(CABLES[[#Headers],[SEG19]],SEGMENTS[SEG_ID],0),4),0)</f>
        <v>0</v>
      </c>
      <c r="CF70" s="9">
        <f>IF(CABLES[[#This Row],[SEG20]] &gt;0, INDEX(SEGMENTS[], MATCH(CABLES[[#Headers],[SEG20]],SEGMENTS[SEG_ID],0),4),0)</f>
        <v>0</v>
      </c>
      <c r="CG70" s="9">
        <f xml:space="preserve"> IF(CABLES[[#This Row],[SEG21]] &gt;0,INDEX(SEGMENTS[], MATCH(CABLES[[#Headers],[SEG21]],SEGMENTS[SEG_ID],0),4),0)</f>
        <v>0</v>
      </c>
      <c r="CH70" s="9">
        <f xml:space="preserve"> IF(CABLES[[#This Row],[SEG22]] &gt;0,INDEX(SEGMENTS[], MATCH(CABLES[[#Headers],[SEG22]],SEGMENTS[SEG_ID],0),4),0)</f>
        <v>0</v>
      </c>
      <c r="CI70" s="9">
        <f>IF(CABLES[[#This Row],[SEG23]] &gt;0, INDEX(SEGMENTS[], MATCH(CABLES[[#Headers],[SEG23]],SEGMENTS[SEG_ID],0),4),0)</f>
        <v>8</v>
      </c>
      <c r="CJ70" s="9">
        <f xml:space="preserve"> IF(CABLES[[#This Row],[SEG24]] &gt;0,INDEX(SEGMENTS[], MATCH(CABLES[[#Headers],[SEG24]],SEGMENTS[SEG_ID],0),4),0)</f>
        <v>0</v>
      </c>
      <c r="CK70" s="9">
        <f>IF(CABLES[[#This Row],[SEG25]] &gt;0, INDEX(SEGMENTS[], MATCH(CABLES[[#Headers],[SEG25]],SEGMENTS[SEG_ID],0),4),0)</f>
        <v>0</v>
      </c>
      <c r="CL70" s="9">
        <f>IF(CABLES[[#This Row],[SEG26]] &gt;0, INDEX(SEGMENTS[], MATCH(CABLES[[#Headers],[SEG26]],SEGMENTS[SEG_ID],0),4),0)</f>
        <v>0</v>
      </c>
      <c r="CM70" s="9">
        <f xml:space="preserve"> IF(CABLES[[#This Row],[SEG27]] &gt;0,INDEX(SEGMENTS[], MATCH(CABLES[[#Headers],[SEG27]],SEGMENTS[SEG_ID],0),4),0)</f>
        <v>0</v>
      </c>
      <c r="CN70" s="9">
        <f xml:space="preserve"> IF(CABLES[[#This Row],[SEG28]] &gt;0,INDEX(SEGMENTS[], MATCH(CABLES[[#Headers],[SEG28]],SEGMENTS[SEG_ID],0),4),0)</f>
        <v>0</v>
      </c>
      <c r="CO70" s="9">
        <f xml:space="preserve"> IF(CABLES[[#This Row],[SEG29]] &gt;0,INDEX(SEGMENTS[], MATCH(CABLES[[#Headers],[SEG29]],SEGMENTS[SEG_ID],0),4),0)</f>
        <v>0</v>
      </c>
      <c r="CP70" s="9">
        <f xml:space="preserve"> IF(CABLES[[#This Row],[SEG30]] &gt;0,INDEX(SEGMENTS[], MATCH(CABLES[[#Headers],[SEG30]],SEGMENTS[SEG_ID],0),4),0)</f>
        <v>0</v>
      </c>
      <c r="CQ70" s="9">
        <f>IF(CABLES[[#This Row],[SEG31]] &gt;0, INDEX(SEGMENTS[], MATCH(CABLES[[#Headers],[SEG31]],SEGMENTS[SEG_ID],0),4),0)</f>
        <v>0</v>
      </c>
      <c r="CR70" s="9">
        <f xml:space="preserve"> IF(CABLES[[#This Row],[SEG32]] &gt;0,INDEX(SEGMENTS[], MATCH(CABLES[[#Headers],[SEG32]],SEGMENTS[SEG_ID],0),4),0)</f>
        <v>0</v>
      </c>
      <c r="CS70" s="9">
        <f xml:space="preserve"> IF(CABLES[[#This Row],[SEG33]] &gt;0,INDEX(SEGMENTS[], MATCH(CABLES[[#Headers],[SEG33]],SEGMENTS[SEG_ID],0),4),0)</f>
        <v>0</v>
      </c>
      <c r="CT70" s="9">
        <f>IF(CABLES[[#This Row],[SEG34]] &gt;0, INDEX(SEGMENTS[], MATCH(CABLES[[#Headers],[SEG34]],SEGMENTS[SEG_ID],0),4),0)</f>
        <v>0</v>
      </c>
      <c r="CU70" s="9">
        <f xml:space="preserve"> IF(CABLES[[#This Row],[SEG35]] &gt;0,INDEX(SEGMENTS[], MATCH(CABLES[[#Headers],[SEG35]],SEGMENTS[SEG_ID],0),4),0)</f>
        <v>0</v>
      </c>
      <c r="CV70" s="9">
        <f xml:space="preserve"> IF(CABLES[[#This Row],[SEG36]] &gt;0,INDEX(SEGMENTS[], MATCH(CABLES[[#Headers],[SEG36]],SEGMENTS[SEG_ID],0),4),0)</f>
        <v>0</v>
      </c>
      <c r="CW70" s="9">
        <f xml:space="preserve"> IF(CABLES[[#This Row],[SEG37]] &gt;0,INDEX(SEGMENTS[], MATCH(CABLES[[#Headers],[SEG37]],SEGMENTS[SEG_ID],0),4),0)</f>
        <v>0</v>
      </c>
      <c r="CX70" s="9">
        <f xml:space="preserve"> IF(CABLES[[#This Row],[SEG38]] &gt;0,INDEX(SEGMENTS[], MATCH(CABLES[[#Headers],[SEG38]],SEGMENTS[SEG_ID],0),4),0)</f>
        <v>0</v>
      </c>
      <c r="CY70" s="9">
        <f xml:space="preserve"> IF(CABLES[[#This Row],[SEG39]] &gt;0,INDEX(SEGMENTS[], MATCH(CABLES[[#Headers],[SEG39]],SEGMENTS[SEG_ID],0),4),0)</f>
        <v>0</v>
      </c>
      <c r="CZ70" s="9">
        <f xml:space="preserve"> IF(CABLES[[#This Row],[SEG40]] &gt;0,INDEX(SEGMENTS[], MATCH(CABLES[[#Headers],[SEG40]],SEGMENTS[SEG_ID],0),4),0)</f>
        <v>0</v>
      </c>
      <c r="DA70" s="9">
        <f xml:space="preserve"> IF(CABLES[[#This Row],[SEG41]] &gt;0,INDEX(SEGMENTS[], MATCH(CABLES[[#Headers],[SEG41]],SEGMENTS[SEG_ID],0),4),0)</f>
        <v>0</v>
      </c>
      <c r="DB70" s="9">
        <f xml:space="preserve"> IF(CABLES[[#This Row],[SEG42]] &gt;0,INDEX(SEGMENTS[], MATCH(CABLES[[#Headers],[SEG42]],SEGMENTS[SEG_ID],0),4),0)</f>
        <v>0</v>
      </c>
      <c r="DC70" s="9">
        <f xml:space="preserve"> IF(CABLES[[#This Row],[SEG43]] &gt;0,INDEX(SEGMENTS[], MATCH(CABLES[[#Headers],[SEG43]],SEGMENTS[SEG_ID],0),4),0)</f>
        <v>0</v>
      </c>
      <c r="DD70" s="9">
        <f xml:space="preserve"> IF(CABLES[[#This Row],[SEG44]] &gt;0,INDEX(SEGMENTS[], MATCH(CABLES[[#Headers],[SEG44]],SEGMENTS[SEG_ID],0),4),0)</f>
        <v>0</v>
      </c>
      <c r="DE70" s="9">
        <f xml:space="preserve"> IF(CABLES[[#This Row],[SEG45]] &gt;0,INDEX(SEGMENTS[], MATCH(CABLES[[#Headers],[SEG45]],SEGMENTS[SEG_ID],0),4),0)</f>
        <v>0</v>
      </c>
      <c r="DF70" s="9">
        <f xml:space="preserve"> IF(CABLES[[#This Row],[SEG46]] &gt;0,INDEX(SEGMENTS[], MATCH(CABLES[[#Headers],[SEG46]],SEGMENTS[SEG_ID],0),4),0)</f>
        <v>0</v>
      </c>
      <c r="DG70" s="9">
        <f xml:space="preserve"> IF(CABLES[[#This Row],[SEG47]] &gt;0,INDEX(SEGMENTS[], MATCH(CABLES[[#Headers],[SEG47]],SEGMENTS[SEG_ID],0),4),0)</f>
        <v>0</v>
      </c>
      <c r="DH70" s="9">
        <f xml:space="preserve"> IF(CABLES[[#This Row],[SEG48]] &gt;0,INDEX(SEGMENTS[], MATCH(CABLES[[#Headers],[SEG48]],SEGMENTS[SEG_ID],0),4),0)</f>
        <v>0</v>
      </c>
      <c r="DI70" s="9">
        <f xml:space="preserve"> IF(CABLES[[#This Row],[SEG49]] &gt;0,INDEX(SEGMENTS[], MATCH(CABLES[[#Headers],[SEG49]],SEGMENTS[SEG_ID],0),4),0)</f>
        <v>0</v>
      </c>
      <c r="DJ70" s="9">
        <f xml:space="preserve"> IF(CABLES[[#This Row],[SEG50]] &gt;0,INDEX(SEGMENTS[], MATCH(CABLES[[#Headers],[SEG50]],SEGMENTS[SEG_ID],0),4),0)</f>
        <v>0</v>
      </c>
      <c r="DK70" s="9">
        <f xml:space="preserve"> IF(CABLES[[#This Row],[SEG51]] &gt;0,INDEX(SEGMENTS[], MATCH(CABLES[[#Headers],[SEG51]],SEGMENTS[SEG_ID],0),4),0)</f>
        <v>0</v>
      </c>
      <c r="DL70" s="9">
        <f xml:space="preserve"> IF(CABLES[[#This Row],[SEG52]] &gt;0,INDEX(SEGMENTS[], MATCH(CABLES[[#Headers],[SEG52]],SEGMENTS[SEG_ID],0),4),0)</f>
        <v>0</v>
      </c>
      <c r="DM70" s="9">
        <f xml:space="preserve"> IF(CABLES[[#This Row],[SEG53]] &gt;0,INDEX(SEGMENTS[], MATCH(CABLES[[#Headers],[SEG53]],SEGMENTS[SEG_ID],0),4),0)</f>
        <v>0</v>
      </c>
      <c r="DN70" s="9">
        <f xml:space="preserve"> IF(CABLES[[#This Row],[SEG54]] &gt;0,INDEX(SEGMENTS[], MATCH(CABLES[[#Headers],[SEG54]],SEGMENTS[SEG_ID],0),4),0)</f>
        <v>0</v>
      </c>
      <c r="DO70" s="9">
        <f xml:space="preserve"> IF(CABLES[[#This Row],[SEG55]] &gt;0,INDEX(SEGMENTS[], MATCH(CABLES[[#Headers],[SEG55]],SEGMENTS[SEG_ID],0),4),0)</f>
        <v>0</v>
      </c>
      <c r="DP70" s="9">
        <f xml:space="preserve"> IF(CABLES[[#This Row],[SEG56]] &gt;0,INDEX(SEGMENTS[], MATCH(CABLES[[#Headers],[SEG56]],SEGMENTS[SEG_ID],0),4),0)</f>
        <v>0</v>
      </c>
      <c r="DQ70" s="9">
        <f xml:space="preserve"> IF(CABLES[[#This Row],[SEG57]] &gt;0,INDEX(SEGMENTS[], MATCH(CABLES[[#Headers],[SEG57]],SEGMENTS[SEG_ID],0),4),0)</f>
        <v>0</v>
      </c>
      <c r="DR70" s="9">
        <f xml:space="preserve"> IF(CABLES[[#This Row],[SEG58]] &gt;0,INDEX(SEGMENTS[], MATCH(CABLES[[#Headers],[SEG58]],SEGMENTS[SEG_ID],0),4),0)</f>
        <v>0</v>
      </c>
      <c r="DS70" s="9">
        <f xml:space="preserve"> IF(CABLES[[#This Row],[SEG59]] &gt;0,INDEX(SEGMENTS[], MATCH(CABLES[[#Headers],[SEG59]],SEGMENTS[SEG_ID],0),4),0)</f>
        <v>0</v>
      </c>
      <c r="DT70" s="9">
        <f xml:space="preserve"> IF(CABLES[[#This Row],[SEG60]] &gt;0,INDEX(SEGMENTS[], MATCH(CABLES[[#Headers],[SEG60]],SEGMENTS[SEG_ID],0),4),0)</f>
        <v>0</v>
      </c>
      <c r="DU70" s="10">
        <f>SUM(CABLES[[#This Row],[SEGL1]:[SEGL60]])</f>
        <v>54</v>
      </c>
      <c r="DV70" s="10">
        <v>5</v>
      </c>
      <c r="DW70" s="10">
        <v>1.2</v>
      </c>
      <c r="DX70" s="10">
        <f xml:space="preserve"> IF(CABLES[[#This Row],[SEGL_TOTAL]]&gt;0, (CABLES[[#This Row],[SEGL_TOTAL]] + CABLES[[#This Row],[FITOFF]]) *CABLES[[#This Row],[XCAPACITY]],0)</f>
        <v>70.8</v>
      </c>
      <c r="DY70" s="10">
        <f>IF(CABLES[[#This Row],[SEG1]]&gt;0,CABLES[[#This Row],[CABLE_DIAMETER]],0)</f>
        <v>14.5</v>
      </c>
      <c r="DZ70" s="10">
        <f>IF(CABLES[[#This Row],[SEG2]]&gt;0,CABLES[[#This Row],[CABLE_DIAMETER]],0)</f>
        <v>14.5</v>
      </c>
      <c r="EA70" s="10">
        <f>IF(CABLES[[#This Row],[SEG3]]&gt;0,CABLES[[#This Row],[CABLE_DIAMETER]],0)</f>
        <v>0</v>
      </c>
      <c r="EB70" s="10">
        <f>IF(CABLES[[#This Row],[SEG4]]&gt;0,CABLES[[#This Row],[CABLE_DIAMETER]],0)</f>
        <v>14.5</v>
      </c>
      <c r="EC70" s="10">
        <f>IF(CABLES[[#This Row],[SEG5]]&gt;0,CABLES[[#This Row],[CABLE_DIAMETER]],0)</f>
        <v>0</v>
      </c>
      <c r="ED70" s="10">
        <f>IF(CABLES[[#This Row],[SEG6]]&gt;0,CABLES[[#This Row],[CABLE_DIAMETER]],0)</f>
        <v>14.5</v>
      </c>
      <c r="EE70" s="10">
        <f>IF(CABLES[[#This Row],[SEG7]]&gt;0,CABLES[[#This Row],[CABLE_DIAMETER]],0)</f>
        <v>0</v>
      </c>
      <c r="EF70" s="10">
        <f>IF(CABLES[[#This Row],[SEG9]]&gt;0,CABLES[[#This Row],[CABLE_DIAMETER]],0)</f>
        <v>0</v>
      </c>
      <c r="EG70" s="10">
        <f>IF(CABLES[[#This Row],[SEG9]]&gt;0,CABLES[[#This Row],[CABLE_DIAMETER]],0)</f>
        <v>0</v>
      </c>
      <c r="EH70" s="10">
        <f>IF(CABLES[[#This Row],[SEG10]]&gt;0,CABLES[[#This Row],[CABLE_DIAMETER]],0)</f>
        <v>14.5</v>
      </c>
      <c r="EI70" s="10">
        <f>IF(CABLES[[#This Row],[SEG11]]&gt;0,CABLES[[#This Row],[CABLE_DIAMETER]],0)</f>
        <v>0</v>
      </c>
      <c r="EJ70" s="10">
        <f>IF(CABLES[[#This Row],[SEG12]]&gt;0,CABLES[[#This Row],[CABLE_DIAMETER]],0)</f>
        <v>0</v>
      </c>
      <c r="EK70" s="10">
        <f>IF(CABLES[[#This Row],[SEG13]]&gt;0,CABLES[[#This Row],[CABLE_DIAMETER]],0)</f>
        <v>14.5</v>
      </c>
      <c r="EL70" s="10">
        <f>IF(CABLES[[#This Row],[SEG14]]&gt;0,CABLES[[#This Row],[CABLE_DIAMETER]],0)</f>
        <v>0</v>
      </c>
      <c r="EM70" s="10">
        <f>IF(CABLES[[#This Row],[SEG15]]&gt;0,CABLES[[#This Row],[CABLE_DIAMETER]],0)</f>
        <v>0</v>
      </c>
      <c r="EN70" s="10">
        <f>IF(CABLES[[#This Row],[SEG16]]&gt;0,CABLES[[#This Row],[CABLE_DIAMETER]],0)</f>
        <v>0</v>
      </c>
      <c r="EO70" s="10">
        <f>IF(CABLES[[#This Row],[SEG17]]&gt;0,CABLES[[#This Row],[CABLE_DIAMETER]],0)</f>
        <v>0</v>
      </c>
      <c r="EP70" s="10">
        <f>IF(CABLES[[#This Row],[SEG18]]&gt;0,CABLES[[#This Row],[CABLE_DIAMETER]],0)</f>
        <v>0</v>
      </c>
      <c r="EQ70" s="10">
        <f>IF(CABLES[[#This Row],[SEG19]]&gt;0,CABLES[[#This Row],[CABLE_DIAMETER]],0)</f>
        <v>0</v>
      </c>
      <c r="ER70" s="10">
        <f>IF(CABLES[[#This Row],[SEG20]]&gt;0,CABLES[[#This Row],[CABLE_DIAMETER]],0)</f>
        <v>0</v>
      </c>
      <c r="ES70" s="10">
        <f>IF(CABLES[[#This Row],[SEG21]]&gt;0,CABLES[[#This Row],[CABLE_DIAMETER]],0)</f>
        <v>0</v>
      </c>
      <c r="ET70" s="10">
        <f>IF(CABLES[[#This Row],[SEG22]]&gt;0,CABLES[[#This Row],[CABLE_DIAMETER]],0)</f>
        <v>0</v>
      </c>
      <c r="EU70" s="10">
        <f>IF(CABLES[[#This Row],[SEG23]]&gt;0,CABLES[[#This Row],[CABLE_DIAMETER]],0)</f>
        <v>14.5</v>
      </c>
      <c r="EV70" s="10">
        <f>IF(CABLES[[#This Row],[SEG24]]&gt;0,CABLES[[#This Row],[CABLE_DIAMETER]],0)</f>
        <v>0</v>
      </c>
      <c r="EW70" s="10">
        <f>IF(CABLES[[#This Row],[SEG25]]&gt;0,CABLES[[#This Row],[CABLE_DIAMETER]],0)</f>
        <v>0</v>
      </c>
      <c r="EX70" s="10">
        <f>IF(CABLES[[#This Row],[SEG26]]&gt;0,CABLES[[#This Row],[CABLE_DIAMETER]],0)</f>
        <v>0</v>
      </c>
      <c r="EY70" s="10">
        <f>IF(CABLES[[#This Row],[SEG27]]&gt;0,CABLES[[#This Row],[CABLE_DIAMETER]],0)</f>
        <v>0</v>
      </c>
      <c r="EZ70" s="10">
        <f>IF(CABLES[[#This Row],[SEG28]]&gt;0,CABLES[[#This Row],[CABLE_DIAMETER]],0)</f>
        <v>0</v>
      </c>
      <c r="FA70" s="10">
        <f>IF(CABLES[[#This Row],[SEG29]]&gt;0,CABLES[[#This Row],[CABLE_DIAMETER]],0)</f>
        <v>0</v>
      </c>
      <c r="FB70" s="10">
        <f>IF(CABLES[[#This Row],[SEG30]]&gt;0,CABLES[[#This Row],[CABLE_DIAMETER]],0)</f>
        <v>0</v>
      </c>
      <c r="FC70" s="10">
        <f>IF(CABLES[[#This Row],[SEG31]]&gt;0,CABLES[[#This Row],[CABLE_DIAMETER]],0)</f>
        <v>0</v>
      </c>
      <c r="FD70" s="10">
        <f>IF(CABLES[[#This Row],[SEG32]]&gt;0,CABLES[[#This Row],[CABLE_DIAMETER]],0)</f>
        <v>0</v>
      </c>
      <c r="FE70" s="10">
        <f>IF(CABLES[[#This Row],[SEG33]]&gt;0,CABLES[[#This Row],[CABLE_DIAMETER]],0)</f>
        <v>0</v>
      </c>
      <c r="FF70" s="10">
        <f>IF(CABLES[[#This Row],[SEG34]]&gt;0,CABLES[[#This Row],[CABLE_DIAMETER]],0)</f>
        <v>0</v>
      </c>
      <c r="FG70" s="10">
        <f>IF(CABLES[[#This Row],[SEG35]]&gt;0,CABLES[[#This Row],[CABLE_DIAMETER]],0)</f>
        <v>0</v>
      </c>
      <c r="FH70" s="10">
        <f>IF(CABLES[[#This Row],[SEG36]]&gt;0,CABLES[[#This Row],[CABLE_DIAMETER]],0)</f>
        <v>0</v>
      </c>
      <c r="FI70" s="10">
        <f>IF(CABLES[[#This Row],[SEG37]]&gt;0,CABLES[[#This Row],[CABLE_DIAMETER]],0)</f>
        <v>0</v>
      </c>
      <c r="FJ70" s="10">
        <f>IF(CABLES[[#This Row],[SEG38]]&gt;0,CABLES[[#This Row],[CABLE_DIAMETER]],0)</f>
        <v>0</v>
      </c>
      <c r="FK70" s="10">
        <f>IF(CABLES[[#This Row],[SEG39]]&gt;0,CABLES[[#This Row],[CABLE_DIAMETER]],0)</f>
        <v>0</v>
      </c>
      <c r="FL70" s="10">
        <f>IF(CABLES[[#This Row],[SEG40]]&gt;0,CABLES[[#This Row],[CABLE_DIAMETER]],0)</f>
        <v>0</v>
      </c>
      <c r="FM70" s="10">
        <f>IF(CABLES[[#This Row],[SEG41]]&gt;0,CABLES[[#This Row],[CABLE_DIAMETER]],0)</f>
        <v>0</v>
      </c>
      <c r="FN70" s="10">
        <f>IF(CABLES[[#This Row],[SEG42]]&gt;0,CABLES[[#This Row],[CABLE_DIAMETER]],0)</f>
        <v>0</v>
      </c>
      <c r="FO70" s="10">
        <f>IF(CABLES[[#This Row],[SEG43]]&gt;0,CABLES[[#This Row],[CABLE_DIAMETER]],0)</f>
        <v>0</v>
      </c>
      <c r="FP70" s="10">
        <f>IF(CABLES[[#This Row],[SEG44]]&gt;0,CABLES[[#This Row],[CABLE_DIAMETER]],0)</f>
        <v>0</v>
      </c>
      <c r="FQ70" s="10">
        <f>IF(CABLES[[#This Row],[SEG45]]&gt;0,CABLES[[#This Row],[CABLE_DIAMETER]],0)</f>
        <v>0</v>
      </c>
      <c r="FR70" s="10">
        <f>IF(CABLES[[#This Row],[SEG46]]&gt;0,CABLES[[#This Row],[CABLE_DIAMETER]],0)</f>
        <v>0</v>
      </c>
      <c r="FS70" s="10">
        <f>IF(CABLES[[#This Row],[SEG47]]&gt;0,CABLES[[#This Row],[CABLE_DIAMETER]],0)</f>
        <v>0</v>
      </c>
      <c r="FT70" s="10">
        <f>IF(CABLES[[#This Row],[SEG48]]&gt;0,CABLES[[#This Row],[CABLE_DIAMETER]],0)</f>
        <v>0</v>
      </c>
      <c r="FU70" s="10">
        <f>IF(CABLES[[#This Row],[SEG49]]&gt;0,CABLES[[#This Row],[CABLE_DIAMETER]],0)</f>
        <v>0</v>
      </c>
      <c r="FV70" s="10">
        <f>IF(CABLES[[#This Row],[SEG50]]&gt;0,CABLES[[#This Row],[CABLE_DIAMETER]],0)</f>
        <v>0</v>
      </c>
      <c r="FW70" s="10">
        <f>IF(CABLES[[#This Row],[SEG51]]&gt;0,CABLES[[#This Row],[CABLE_DIAMETER]],0)</f>
        <v>0</v>
      </c>
      <c r="FX70" s="10">
        <f>IF(CABLES[[#This Row],[SEG52]]&gt;0,CABLES[[#This Row],[CABLE_DIAMETER]],0)</f>
        <v>0</v>
      </c>
      <c r="FY70" s="10">
        <f>IF(CABLES[[#This Row],[SEG53]]&gt;0,CABLES[[#This Row],[CABLE_DIAMETER]],0)</f>
        <v>0</v>
      </c>
      <c r="FZ70" s="10">
        <f>IF(CABLES[[#This Row],[SEG54]]&gt;0,CABLES[[#This Row],[CABLE_DIAMETER]],0)</f>
        <v>0</v>
      </c>
      <c r="GA70" s="10">
        <f>IF(CABLES[[#This Row],[SEG55]]&gt;0,CABLES[[#This Row],[CABLE_DIAMETER]],0)</f>
        <v>0</v>
      </c>
      <c r="GB70" s="10">
        <f>IF(CABLES[[#This Row],[SEG56]]&gt;0,CABLES[[#This Row],[CABLE_DIAMETER]],0)</f>
        <v>0</v>
      </c>
      <c r="GC70" s="10">
        <f>IF(CABLES[[#This Row],[SEG57]]&gt;0,CABLES[[#This Row],[CABLE_DIAMETER]],0)</f>
        <v>0</v>
      </c>
      <c r="GD70" s="10">
        <f>IF(CABLES[[#This Row],[SEG58]]&gt;0,CABLES[[#This Row],[CABLE_DIAMETER]],0)</f>
        <v>0</v>
      </c>
      <c r="GE70" s="10">
        <f>IF(CABLES[[#This Row],[SEG59]]&gt;0,CABLES[[#This Row],[CABLE_DIAMETER]],0)</f>
        <v>0</v>
      </c>
      <c r="GF70" s="10">
        <f>IF(CABLES[[#This Row],[SEG60]]&gt;0,CABLES[[#This Row],[CABLE_DIAMETER]],0)</f>
        <v>0</v>
      </c>
      <c r="GG70" s="10">
        <f>IF(CABLES[[#This Row],[SEG1]]&gt;0,CABLES[[#This Row],[CABLE_MASS]],0)</f>
        <v>0.33</v>
      </c>
      <c r="GH70" s="10">
        <f>IF(CABLES[[#This Row],[SEG2]]&gt;0,CABLES[[#This Row],[CABLE_MASS]],0)</f>
        <v>0.33</v>
      </c>
      <c r="GI70" s="10">
        <f>IF(CABLES[[#This Row],[SEG3]]&gt;0,CABLES[[#This Row],[CABLE_MASS]],0)</f>
        <v>0</v>
      </c>
      <c r="GJ70" s="10">
        <f>IF(CABLES[[#This Row],[SEG4]]&gt;0,CABLES[[#This Row],[CABLE_MASS]],0)</f>
        <v>0.33</v>
      </c>
      <c r="GK70" s="10">
        <f>IF(CABLES[[#This Row],[SEG5]]&gt;0,CABLES[[#This Row],[CABLE_MASS]],0)</f>
        <v>0</v>
      </c>
      <c r="GL70" s="10">
        <f>IF(CABLES[[#This Row],[SEG6]]&gt;0,CABLES[[#This Row],[CABLE_MASS]],0)</f>
        <v>0.33</v>
      </c>
      <c r="GM70" s="10">
        <f>IF(CABLES[[#This Row],[SEG7]]&gt;0,CABLES[[#This Row],[CABLE_MASS]],0)</f>
        <v>0</v>
      </c>
      <c r="GN70" s="10">
        <f>IF(CABLES[[#This Row],[SEG8]]&gt;0,CABLES[[#This Row],[CABLE_MASS]],0)</f>
        <v>0.33</v>
      </c>
      <c r="GO70" s="10">
        <f>IF(CABLES[[#This Row],[SEG9]]&gt;0,CABLES[[#This Row],[CABLE_MASS]],0)</f>
        <v>0</v>
      </c>
      <c r="GP70" s="10">
        <f>IF(CABLES[[#This Row],[SEG10]]&gt;0,CABLES[[#This Row],[CABLE_MASS]],0)</f>
        <v>0.33</v>
      </c>
      <c r="GQ70" s="10">
        <f>IF(CABLES[[#This Row],[SEG11]]&gt;0,CABLES[[#This Row],[CABLE_MASS]],0)</f>
        <v>0</v>
      </c>
      <c r="GR70" s="10">
        <f>IF(CABLES[[#This Row],[SEG12]]&gt;0,CABLES[[#This Row],[CABLE_MASS]],0)</f>
        <v>0</v>
      </c>
      <c r="GS70" s="10">
        <f>IF(CABLES[[#This Row],[SEG13]]&gt;0,CABLES[[#This Row],[CABLE_MASS]],0)</f>
        <v>0.33</v>
      </c>
      <c r="GT70" s="10">
        <f>IF(CABLES[[#This Row],[SEG14]]&gt;0,CABLES[[#This Row],[CABLE_MASS]],0)</f>
        <v>0</v>
      </c>
      <c r="GU70" s="10">
        <f>IF(CABLES[[#This Row],[SEG15]]&gt;0,CABLES[[#This Row],[CABLE_MASS]],0)</f>
        <v>0</v>
      </c>
      <c r="GV70" s="10">
        <f>IF(CABLES[[#This Row],[SEG16]]&gt;0,CABLES[[#This Row],[CABLE_MASS]],0)</f>
        <v>0</v>
      </c>
      <c r="GW70" s="10">
        <f>IF(CABLES[[#This Row],[SEG17]]&gt;0,CABLES[[#This Row],[CABLE_MASS]],0)</f>
        <v>0</v>
      </c>
      <c r="GX70" s="10">
        <f>IF(CABLES[[#This Row],[SEG18]]&gt;0,CABLES[[#This Row],[CABLE_MASS]],0)</f>
        <v>0</v>
      </c>
      <c r="GY70" s="10">
        <f>IF(CABLES[[#This Row],[SEG19]]&gt;0,CABLES[[#This Row],[CABLE_MASS]],0)</f>
        <v>0</v>
      </c>
      <c r="GZ70" s="10">
        <f>IF(CABLES[[#This Row],[SEG20]]&gt;0,CABLES[[#This Row],[CABLE_MASS]],0)</f>
        <v>0</v>
      </c>
      <c r="HA70" s="10">
        <f>IF(CABLES[[#This Row],[SEG21]]&gt;0,CABLES[[#This Row],[CABLE_MASS]],0)</f>
        <v>0</v>
      </c>
      <c r="HB70" s="10">
        <f>IF(CABLES[[#This Row],[SEG22]]&gt;0,CABLES[[#This Row],[CABLE_MASS]],0)</f>
        <v>0</v>
      </c>
      <c r="HC70" s="10">
        <f>IF(CABLES[[#This Row],[SEG23]]&gt;0,CABLES[[#This Row],[CABLE_MASS]],0)</f>
        <v>0.33</v>
      </c>
      <c r="HD70" s="10">
        <f>IF(CABLES[[#This Row],[SEG24]]&gt;0,CABLES[[#This Row],[CABLE_MASS]],0)</f>
        <v>0</v>
      </c>
      <c r="HE70" s="10">
        <f>IF(CABLES[[#This Row],[SEG25]]&gt;0,CABLES[[#This Row],[CABLE_MASS]],0)</f>
        <v>0</v>
      </c>
      <c r="HF70" s="10">
        <f>IF(CABLES[[#This Row],[SEG26]]&gt;0,CABLES[[#This Row],[CABLE_MASS]],0)</f>
        <v>0</v>
      </c>
      <c r="HG70" s="10">
        <f>IF(CABLES[[#This Row],[SEG27]]&gt;0,CABLES[[#This Row],[CABLE_MASS]],0)</f>
        <v>0</v>
      </c>
      <c r="HH70" s="10">
        <f>IF(CABLES[[#This Row],[SEG28]]&gt;0,CABLES[[#This Row],[CABLE_MASS]],0)</f>
        <v>0</v>
      </c>
      <c r="HI70" s="10">
        <f>IF(CABLES[[#This Row],[SEG29]]&gt;0,CABLES[[#This Row],[CABLE_MASS]],0)</f>
        <v>0</v>
      </c>
      <c r="HJ70" s="10">
        <f>IF(CABLES[[#This Row],[SEG30]]&gt;0,CABLES[[#This Row],[CABLE_MASS]],0)</f>
        <v>0</v>
      </c>
      <c r="HK70" s="10">
        <f>IF(CABLES[[#This Row],[SEG31]]&gt;0,CABLES[[#This Row],[CABLE_MASS]],0)</f>
        <v>0</v>
      </c>
      <c r="HL70" s="10">
        <f>IF(CABLES[[#This Row],[SEG32]]&gt;0,CABLES[[#This Row],[CABLE_MASS]],0)</f>
        <v>0</v>
      </c>
      <c r="HM70" s="10">
        <f>IF(CABLES[[#This Row],[SEG33]]&gt;0,CABLES[[#This Row],[CABLE_MASS]],0)</f>
        <v>0</v>
      </c>
      <c r="HN70" s="10">
        <f>IF(CABLES[[#This Row],[SEG34]]&gt;0,CABLES[[#This Row],[CABLE_MASS]],0)</f>
        <v>0</v>
      </c>
      <c r="HO70" s="10">
        <f>IF(CABLES[[#This Row],[SEG35]]&gt;0,CABLES[[#This Row],[CABLE_MASS]],0)</f>
        <v>0</v>
      </c>
      <c r="HP70" s="10">
        <f>IF(CABLES[[#This Row],[SEG36]]&gt;0,CABLES[[#This Row],[CABLE_MASS]],0)</f>
        <v>0</v>
      </c>
      <c r="HQ70" s="10">
        <f>IF(CABLES[[#This Row],[SEG37]]&gt;0,CABLES[[#This Row],[CABLE_MASS]],0)</f>
        <v>0</v>
      </c>
      <c r="HR70" s="10">
        <f>IF(CABLES[[#This Row],[SEG38]]&gt;0,CABLES[[#This Row],[CABLE_MASS]],0)</f>
        <v>0</v>
      </c>
      <c r="HS70" s="10">
        <f>IF(CABLES[[#This Row],[SEG39]]&gt;0,CABLES[[#This Row],[CABLE_MASS]],0)</f>
        <v>0</v>
      </c>
      <c r="HT70" s="10">
        <f>IF(CABLES[[#This Row],[SEG40]]&gt;0,CABLES[[#This Row],[CABLE_MASS]],0)</f>
        <v>0</v>
      </c>
      <c r="HU70" s="10">
        <f>IF(CABLES[[#This Row],[SEG41]]&gt;0,CABLES[[#This Row],[CABLE_MASS]],0)</f>
        <v>0</v>
      </c>
      <c r="HV70" s="10">
        <f>IF(CABLES[[#This Row],[SEG42]]&gt;0,CABLES[[#This Row],[CABLE_MASS]],0)</f>
        <v>0</v>
      </c>
      <c r="HW70" s="10">
        <f>IF(CABLES[[#This Row],[SEG43]]&gt;0,CABLES[[#This Row],[CABLE_MASS]],0)</f>
        <v>0</v>
      </c>
      <c r="HX70" s="10">
        <f>IF(CABLES[[#This Row],[SEG44]]&gt;0,CABLES[[#This Row],[CABLE_MASS]],0)</f>
        <v>0</v>
      </c>
      <c r="HY70" s="10">
        <f>IF(CABLES[[#This Row],[SEG45]]&gt;0,CABLES[[#This Row],[CABLE_MASS]],0)</f>
        <v>0</v>
      </c>
      <c r="HZ70" s="10">
        <f>IF(CABLES[[#This Row],[SEG46]]&gt;0,CABLES[[#This Row],[CABLE_MASS]],0)</f>
        <v>0</v>
      </c>
      <c r="IA70" s="10">
        <f>IF(CABLES[[#This Row],[SEG47]]&gt;0,CABLES[[#This Row],[CABLE_MASS]],0)</f>
        <v>0</v>
      </c>
      <c r="IB70" s="10">
        <f>IF(CABLES[[#This Row],[SEG48]]&gt;0,CABLES[[#This Row],[CABLE_MASS]],0)</f>
        <v>0</v>
      </c>
      <c r="IC70" s="10">
        <f>IF(CABLES[[#This Row],[SEG49]]&gt;0,CABLES[[#This Row],[CABLE_MASS]],0)</f>
        <v>0</v>
      </c>
      <c r="ID70" s="10">
        <f>IF(CABLES[[#This Row],[SEG50]]&gt;0,CABLES[[#This Row],[CABLE_MASS]],0)</f>
        <v>0</v>
      </c>
      <c r="IE70" s="10">
        <f>IF(CABLES[[#This Row],[SEG51]]&gt;0,CABLES[[#This Row],[CABLE_MASS]],0)</f>
        <v>0</v>
      </c>
      <c r="IF70" s="10">
        <f>IF(CABLES[[#This Row],[SEG52]]&gt;0,CABLES[[#This Row],[CABLE_MASS]],0)</f>
        <v>0</v>
      </c>
      <c r="IG70" s="10">
        <f>IF(CABLES[[#This Row],[SEG53]]&gt;0,CABLES[[#This Row],[CABLE_MASS]],0)</f>
        <v>0</v>
      </c>
      <c r="IH70" s="10">
        <f>IF(CABLES[[#This Row],[SEG54]]&gt;0,CABLES[[#This Row],[CABLE_MASS]],0)</f>
        <v>0</v>
      </c>
      <c r="II70" s="10">
        <f>IF(CABLES[[#This Row],[SEG55]]&gt;0,CABLES[[#This Row],[CABLE_MASS]],0)</f>
        <v>0</v>
      </c>
      <c r="IJ70" s="10">
        <f>IF(CABLES[[#This Row],[SEG56]]&gt;0,CABLES[[#This Row],[CABLE_MASS]],0)</f>
        <v>0</v>
      </c>
      <c r="IK70" s="10">
        <f>IF(CABLES[[#This Row],[SEG57]]&gt;0,CABLES[[#This Row],[CABLE_MASS]],0)</f>
        <v>0</v>
      </c>
      <c r="IL70" s="10">
        <f>IF(CABLES[[#This Row],[SEG58]]&gt;0,CABLES[[#This Row],[CABLE_MASS]],0)</f>
        <v>0</v>
      </c>
      <c r="IM70" s="10">
        <f>IF(CABLES[[#This Row],[SEG59]]&gt;0,CABLES[[#This Row],[CABLE_MASS]],0)</f>
        <v>0</v>
      </c>
      <c r="IN70" s="10">
        <f>IF(CABLES[[#This Row],[SEG60]]&gt;0,CABLES[[#This Row],[CABLE_MASS]],0)</f>
        <v>0</v>
      </c>
      <c r="IO70" s="10">
        <f xml:space="preserve">  (CABLES[[#This Row],[LOAD_KW]]/(SQRT(3)*SYSTEM_VOLTAGE*POWER_FACTOR))*1000</f>
        <v>8.8206291126192813</v>
      </c>
      <c r="IP70" s="10">
        <v>45</v>
      </c>
      <c r="IQ70" s="10">
        <f xml:space="preserve"> INDEX(AS3000_AMBIENTDERATE[], MATCH(CABLES[[#This Row],[AMBIENT]],AS3000_AMBIENTDERATE[AMBIENT],0), 2)</f>
        <v>0.94</v>
      </c>
      <c r="IR70" s="10">
        <f xml:space="preserve"> ROUNDUP( CABLES[[#This Row],[CALCULATED_AMPS]]/CABLES[[#This Row],[AMBIENT_DERATING]],1)</f>
        <v>9.4</v>
      </c>
      <c r="IS70" s="10" t="s">
        <v>531</v>
      </c>
      <c r="IT7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0" s="10">
        <f t="shared" si="2"/>
        <v>28.000000000000004</v>
      </c>
      <c r="IV70" s="10">
        <f>(1000*CABLES[[#This Row],[MAX_VDROP]])/(CABLES[[#This Row],[ESTIMATED_CABLE_LENGTH]]*CABLES[[#This Row],[AMP_RATING]])</f>
        <v>42.072364466883045</v>
      </c>
      <c r="IW70" s="10">
        <f xml:space="preserve"> INDEX(AS3000_VDROP[], MATCH(CABLES[[#This Row],[VC_CALC]],AS3000_VDROP[Vc],1),1)</f>
        <v>2.5</v>
      </c>
      <c r="IX70" s="10">
        <f>MAX(CABLES[[#This Row],[CABLESIZE_METHOD1]],CABLES[[#This Row],[CABLESIZE_METHOD2]])</f>
        <v>2.5</v>
      </c>
      <c r="IY70" s="10"/>
      <c r="IZ70" s="10">
        <f>IF(LEN(CABLES[[#This Row],[OVERRIDE_CABLESIZE]])&gt;0,CABLES[[#This Row],[OVERRIDE_CABLESIZE]],CABLES[[#This Row],[INITIAL_CABLESIZE]])</f>
        <v>2.5</v>
      </c>
      <c r="JA70" s="10">
        <f>INDEX(PROTECTIVE_DEVICE[DEVICE], MATCH(CABLES[[#This Row],[CALCULATED_AMPS]],PROTECTIVE_DEVICE[DEVICE],-1),1)</f>
        <v>10</v>
      </c>
      <c r="JB70" s="10"/>
      <c r="JC70" s="10">
        <f>IF(LEN(CABLES[[#This Row],[OVERRIDE_PDEVICE]])&gt;0, CABLES[[#This Row],[OVERRIDE_PDEVICE]],CABLES[[#This Row],[RECOMMEND_PDEVICE]])</f>
        <v>10</v>
      </c>
      <c r="JD70" s="10" t="s">
        <v>450</v>
      </c>
      <c r="JE70" s="10">
        <f xml:space="preserve"> CABLES[[#This Row],[SELECTED_PDEVICE]] * INDEX(DEVICE_CURVE[], MATCH(CABLES[[#This Row],[PDEVICE_CURVE]], DEVICE_CURVE[DEVICE_CURVE],0),2)</f>
        <v>65</v>
      </c>
      <c r="JF70" s="10" t="s">
        <v>458</v>
      </c>
      <c r="JG70" s="10">
        <f xml:space="preserve"> INDEX(CONDUCTOR_MATERIAL[], MATCH(CABLES[[#This Row],[CONDUCTOR_MATERIAL]],CONDUCTOR_MATERIAL[CONDUCTOR_MATERIAL],0),2)</f>
        <v>2.2499999999999999E-2</v>
      </c>
      <c r="JH70" s="10">
        <f>CABLES[[#This Row],[SELECTED_CABLESIZE]]</f>
        <v>2.5</v>
      </c>
      <c r="JI70" s="10">
        <f xml:space="preserve"> INDEX( EARTH_CONDUCTOR_SIZE[], MATCH(CABLES[[#This Row],[SPH]],EARTH_CONDUCTOR_SIZE[MM^2],-1), 2)</f>
        <v>2.5</v>
      </c>
      <c r="JJ70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70" s="10" t="str">
        <f>IF(CABLES[[#This Row],[LMAX]]&gt;CABLES[[#This Row],[ESTIMATED_CABLE_LENGTH]], "PASS", "ERROR")</f>
        <v>PASS</v>
      </c>
      <c r="JL7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7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70" s="6">
        <f xml:space="preserve"> ROUNDUP( CABLES[[#This Row],[CALCULATED_AMPS]],1)</f>
        <v>8.9</v>
      </c>
      <c r="JO70" s="6">
        <f>CABLES[[#This Row],[SELECTED_CABLESIZE]]</f>
        <v>2.5</v>
      </c>
      <c r="JP70" s="10">
        <f>CABLES[[#This Row],[ESTIMATED_CABLE_LENGTH]]</f>
        <v>70.8</v>
      </c>
      <c r="JQ70" s="6">
        <f>CABLES[[#This Row],[SELECTED_PDEVICE]]</f>
        <v>10</v>
      </c>
    </row>
    <row r="71" spans="1:277" x14ac:dyDescent="0.35">
      <c r="A71" s="5" t="s">
        <v>68</v>
      </c>
      <c r="B71" s="5" t="s">
        <v>509</v>
      </c>
      <c r="C71" s="10" t="s">
        <v>261</v>
      </c>
      <c r="D71" s="9">
        <v>2.2000000000000002</v>
      </c>
      <c r="E71" s="9">
        <v>1</v>
      </c>
      <c r="F71" s="9">
        <v>1</v>
      </c>
      <c r="G71" s="9">
        <v>0</v>
      </c>
      <c r="H71" s="9">
        <v>1</v>
      </c>
      <c r="I71" s="9">
        <v>0</v>
      </c>
      <c r="J71" s="9">
        <v>1</v>
      </c>
      <c r="K71" s="9">
        <v>0</v>
      </c>
      <c r="L71" s="9">
        <v>1</v>
      </c>
      <c r="M71" s="9">
        <v>0</v>
      </c>
      <c r="N71" s="9">
        <v>1</v>
      </c>
      <c r="O71" s="9">
        <v>0</v>
      </c>
      <c r="P71" s="9">
        <v>0</v>
      </c>
      <c r="Q71" s="9">
        <v>1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1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f xml:space="preserve"> IF(CABLES[[#This Row],[SEG1]] &gt;0, INDEX(SEGMENTS[], MATCH(CABLES[[#Headers],[SEG1]],SEGMENTS[SEG_ID],0),4),0)</f>
        <v>13</v>
      </c>
      <c r="BN71" s="9">
        <f xml:space="preserve"> IF(CABLES[[#This Row],[SEG2]] &gt;0, INDEX(SEGMENTS[], MATCH(CABLES[[#Headers],[SEG2]],SEGMENTS[SEG_ID],0),4),0)</f>
        <v>2</v>
      </c>
      <c r="BO71" s="9">
        <f xml:space="preserve"> IF(CABLES[[#This Row],[SEG3]] &gt;0, INDEX(SEGMENTS[], MATCH(CABLES[[#Headers],[SEG3]],SEGMENTS[SEG_ID],0),4),0)</f>
        <v>0</v>
      </c>
      <c r="BP71" s="9">
        <f xml:space="preserve"> IF(CABLES[[#This Row],[SEG4]] &gt;0, INDEX(SEGMENTS[], MATCH(CABLES[[#Headers],[SEG4]],SEGMENTS[SEG_ID],0),4),0)</f>
        <v>14</v>
      </c>
      <c r="BQ71" s="9">
        <f xml:space="preserve"> IF(CABLES[[#This Row],[SEG5]] &gt;0,INDEX(SEGMENTS[], MATCH(CABLES[[#Headers],[SEG5]],SEGMENTS[SEG_ID],0),4),0)</f>
        <v>0</v>
      </c>
      <c r="BR71" s="9">
        <f xml:space="preserve"> IF(CABLES[[#This Row],[SEG6]] &gt;0,INDEX(SEGMENTS[], MATCH(CABLES[[#Headers],[SEG6]],SEGMENTS[SEG_ID],0),4),0)</f>
        <v>2</v>
      </c>
      <c r="BS71" s="9">
        <f xml:space="preserve"> IF(CABLES[[#This Row],[SEG7]] &gt;0,INDEX(SEGMENTS[], MATCH(CABLES[[#Headers],[SEG7]],SEGMENTS[SEG_ID],0),4),0)</f>
        <v>0</v>
      </c>
      <c r="BT71" s="9">
        <f xml:space="preserve"> IF(CABLES[[#This Row],[SEG8]] &gt;0,INDEX(SEGMENTS[], MATCH(CABLES[[#Headers],[SEG8]],SEGMENTS[SEG_ID],0),4),0)</f>
        <v>3</v>
      </c>
      <c r="BU71" s="9">
        <f xml:space="preserve"> IF(CABLES[[#This Row],[SEG9]] &gt;0,INDEX(SEGMENTS[], MATCH(CABLES[[#Headers],[SEG9]],SEGMENTS[SEG_ID],0),4),0)</f>
        <v>0</v>
      </c>
      <c r="BV71" s="9">
        <f xml:space="preserve"> IF(CABLES[[#This Row],[SEG10]] &gt;0,INDEX(SEGMENTS[], MATCH(CABLES[[#Headers],[SEG10]],SEGMENTS[SEG_ID],0),4),0)</f>
        <v>9</v>
      </c>
      <c r="BW71" s="9">
        <f xml:space="preserve"> IF(CABLES[[#This Row],[SEG11]] &gt;0,INDEX(SEGMENTS[], MATCH(CABLES[[#Headers],[SEG11]],SEGMENTS[SEG_ID],0),4),0)</f>
        <v>0</v>
      </c>
      <c r="BX71" s="9">
        <f>IF(CABLES[[#This Row],[SEG12]] &gt;0, INDEX(SEGMENTS[], MATCH(CABLES[[#Headers],[SEG12]],SEGMENTS[SEG_ID],0),4),0)</f>
        <v>0</v>
      </c>
      <c r="BY71" s="9">
        <f xml:space="preserve"> IF(CABLES[[#This Row],[SEG13]] &gt;0,INDEX(SEGMENTS[], MATCH(CABLES[[#Headers],[SEG13]],SEGMENTS[SEG_ID],0),4),0)</f>
        <v>3</v>
      </c>
      <c r="BZ71" s="9">
        <f xml:space="preserve"> IF(CABLES[[#This Row],[SEG14]] &gt;0,INDEX(SEGMENTS[], MATCH(CABLES[[#Headers],[SEG14]],SEGMENTS[SEG_ID],0),4),0)</f>
        <v>0</v>
      </c>
      <c r="CA71" s="9">
        <f xml:space="preserve"> IF(CABLES[[#This Row],[SEG15]] &gt;0,INDEX(SEGMENTS[], MATCH(CABLES[[#Headers],[SEG15]],SEGMENTS[SEG_ID],0),4),0)</f>
        <v>0</v>
      </c>
      <c r="CB71" s="9">
        <f xml:space="preserve"> IF(CABLES[[#This Row],[SEG16]] &gt;0,INDEX(SEGMENTS[], MATCH(CABLES[[#Headers],[SEG16]],SEGMENTS[SEG_ID],0),4),0)</f>
        <v>0</v>
      </c>
      <c r="CC71" s="9">
        <f xml:space="preserve"> IF(CABLES[[#This Row],[SEG17]] &gt;0,INDEX(SEGMENTS[], MATCH(CABLES[[#Headers],[SEG17]],SEGMENTS[SEG_ID],0),4),0)</f>
        <v>0</v>
      </c>
      <c r="CD71" s="9">
        <f xml:space="preserve"> IF(CABLES[[#This Row],[SEG18]] &gt;0,INDEX(SEGMENTS[], MATCH(CABLES[[#Headers],[SEG18]],SEGMENTS[SEG_ID],0),4),0)</f>
        <v>0</v>
      </c>
      <c r="CE71" s="9">
        <f>IF(CABLES[[#This Row],[SEG19]] &gt;0, INDEX(SEGMENTS[], MATCH(CABLES[[#Headers],[SEG19]],SEGMENTS[SEG_ID],0),4),0)</f>
        <v>0</v>
      </c>
      <c r="CF71" s="9">
        <f>IF(CABLES[[#This Row],[SEG20]] &gt;0, INDEX(SEGMENTS[], MATCH(CABLES[[#Headers],[SEG20]],SEGMENTS[SEG_ID],0),4),0)</f>
        <v>0</v>
      </c>
      <c r="CG71" s="9">
        <f xml:space="preserve"> IF(CABLES[[#This Row],[SEG21]] &gt;0,INDEX(SEGMENTS[], MATCH(CABLES[[#Headers],[SEG21]],SEGMENTS[SEG_ID],0),4),0)</f>
        <v>0</v>
      </c>
      <c r="CH71" s="9">
        <f xml:space="preserve"> IF(CABLES[[#This Row],[SEG22]] &gt;0,INDEX(SEGMENTS[], MATCH(CABLES[[#Headers],[SEG22]],SEGMENTS[SEG_ID],0),4),0)</f>
        <v>0</v>
      </c>
      <c r="CI71" s="9">
        <f>IF(CABLES[[#This Row],[SEG23]] &gt;0, INDEX(SEGMENTS[], MATCH(CABLES[[#Headers],[SEG23]],SEGMENTS[SEG_ID],0),4),0)</f>
        <v>8</v>
      </c>
      <c r="CJ71" s="9">
        <f xml:space="preserve"> IF(CABLES[[#This Row],[SEG24]] &gt;0,INDEX(SEGMENTS[], MATCH(CABLES[[#Headers],[SEG24]],SEGMENTS[SEG_ID],0),4),0)</f>
        <v>0</v>
      </c>
      <c r="CK71" s="9">
        <f>IF(CABLES[[#This Row],[SEG25]] &gt;0, INDEX(SEGMENTS[], MATCH(CABLES[[#Headers],[SEG25]],SEGMENTS[SEG_ID],0),4),0)</f>
        <v>0</v>
      </c>
      <c r="CL71" s="9">
        <f>IF(CABLES[[#This Row],[SEG26]] &gt;0, INDEX(SEGMENTS[], MATCH(CABLES[[#Headers],[SEG26]],SEGMENTS[SEG_ID],0),4),0)</f>
        <v>0</v>
      </c>
      <c r="CM71" s="9">
        <f xml:space="preserve"> IF(CABLES[[#This Row],[SEG27]] &gt;0,INDEX(SEGMENTS[], MATCH(CABLES[[#Headers],[SEG27]],SEGMENTS[SEG_ID],0),4),0)</f>
        <v>0</v>
      </c>
      <c r="CN71" s="9">
        <f xml:space="preserve"> IF(CABLES[[#This Row],[SEG28]] &gt;0,INDEX(SEGMENTS[], MATCH(CABLES[[#Headers],[SEG28]],SEGMENTS[SEG_ID],0),4),0)</f>
        <v>0</v>
      </c>
      <c r="CO71" s="9">
        <f xml:space="preserve"> IF(CABLES[[#This Row],[SEG29]] &gt;0,INDEX(SEGMENTS[], MATCH(CABLES[[#Headers],[SEG29]],SEGMENTS[SEG_ID],0),4),0)</f>
        <v>0</v>
      </c>
      <c r="CP71" s="9">
        <f xml:space="preserve"> IF(CABLES[[#This Row],[SEG30]] &gt;0,INDEX(SEGMENTS[], MATCH(CABLES[[#Headers],[SEG30]],SEGMENTS[SEG_ID],0),4),0)</f>
        <v>0</v>
      </c>
      <c r="CQ71" s="9">
        <f>IF(CABLES[[#This Row],[SEG31]] &gt;0, INDEX(SEGMENTS[], MATCH(CABLES[[#Headers],[SEG31]],SEGMENTS[SEG_ID],0),4),0)</f>
        <v>0</v>
      </c>
      <c r="CR71" s="9">
        <f xml:space="preserve"> IF(CABLES[[#This Row],[SEG32]] &gt;0,INDEX(SEGMENTS[], MATCH(CABLES[[#Headers],[SEG32]],SEGMENTS[SEG_ID],0),4),0)</f>
        <v>0</v>
      </c>
      <c r="CS71" s="9">
        <f xml:space="preserve"> IF(CABLES[[#This Row],[SEG33]] &gt;0,INDEX(SEGMENTS[], MATCH(CABLES[[#Headers],[SEG33]],SEGMENTS[SEG_ID],0),4),0)</f>
        <v>0</v>
      </c>
      <c r="CT71" s="9">
        <f>IF(CABLES[[#This Row],[SEG34]] &gt;0, INDEX(SEGMENTS[], MATCH(CABLES[[#Headers],[SEG34]],SEGMENTS[SEG_ID],0),4),0)</f>
        <v>0</v>
      </c>
      <c r="CU71" s="9">
        <f xml:space="preserve"> IF(CABLES[[#This Row],[SEG35]] &gt;0,INDEX(SEGMENTS[], MATCH(CABLES[[#Headers],[SEG35]],SEGMENTS[SEG_ID],0),4),0)</f>
        <v>0</v>
      </c>
      <c r="CV71" s="9">
        <f xml:space="preserve"> IF(CABLES[[#This Row],[SEG36]] &gt;0,INDEX(SEGMENTS[], MATCH(CABLES[[#Headers],[SEG36]],SEGMENTS[SEG_ID],0),4),0)</f>
        <v>0</v>
      </c>
      <c r="CW71" s="9">
        <f xml:space="preserve"> IF(CABLES[[#This Row],[SEG37]] &gt;0,INDEX(SEGMENTS[], MATCH(CABLES[[#Headers],[SEG37]],SEGMENTS[SEG_ID],0),4),0)</f>
        <v>0</v>
      </c>
      <c r="CX71" s="9">
        <f xml:space="preserve"> IF(CABLES[[#This Row],[SEG38]] &gt;0,INDEX(SEGMENTS[], MATCH(CABLES[[#Headers],[SEG38]],SEGMENTS[SEG_ID],0),4),0)</f>
        <v>0</v>
      </c>
      <c r="CY71" s="9">
        <f xml:space="preserve"> IF(CABLES[[#This Row],[SEG39]] &gt;0,INDEX(SEGMENTS[], MATCH(CABLES[[#Headers],[SEG39]],SEGMENTS[SEG_ID],0),4),0)</f>
        <v>0</v>
      </c>
      <c r="CZ71" s="9">
        <f xml:space="preserve"> IF(CABLES[[#This Row],[SEG40]] &gt;0,INDEX(SEGMENTS[], MATCH(CABLES[[#Headers],[SEG40]],SEGMENTS[SEG_ID],0),4),0)</f>
        <v>0</v>
      </c>
      <c r="DA71" s="9">
        <f xml:space="preserve"> IF(CABLES[[#This Row],[SEG41]] &gt;0,INDEX(SEGMENTS[], MATCH(CABLES[[#Headers],[SEG41]],SEGMENTS[SEG_ID],0),4),0)</f>
        <v>0</v>
      </c>
      <c r="DB71" s="9">
        <f xml:space="preserve"> IF(CABLES[[#This Row],[SEG42]] &gt;0,INDEX(SEGMENTS[], MATCH(CABLES[[#Headers],[SEG42]],SEGMENTS[SEG_ID],0),4),0)</f>
        <v>0</v>
      </c>
      <c r="DC71" s="9">
        <f xml:space="preserve"> IF(CABLES[[#This Row],[SEG43]] &gt;0,INDEX(SEGMENTS[], MATCH(CABLES[[#Headers],[SEG43]],SEGMENTS[SEG_ID],0),4),0)</f>
        <v>0</v>
      </c>
      <c r="DD71" s="9">
        <f xml:space="preserve"> IF(CABLES[[#This Row],[SEG44]] &gt;0,INDEX(SEGMENTS[], MATCH(CABLES[[#Headers],[SEG44]],SEGMENTS[SEG_ID],0),4),0)</f>
        <v>0</v>
      </c>
      <c r="DE71" s="9">
        <f xml:space="preserve"> IF(CABLES[[#This Row],[SEG45]] &gt;0,INDEX(SEGMENTS[], MATCH(CABLES[[#Headers],[SEG45]],SEGMENTS[SEG_ID],0),4),0)</f>
        <v>0</v>
      </c>
      <c r="DF71" s="9">
        <f xml:space="preserve"> IF(CABLES[[#This Row],[SEG46]] &gt;0,INDEX(SEGMENTS[], MATCH(CABLES[[#Headers],[SEG46]],SEGMENTS[SEG_ID],0),4),0)</f>
        <v>0</v>
      </c>
      <c r="DG71" s="9">
        <f xml:space="preserve"> IF(CABLES[[#This Row],[SEG47]] &gt;0,INDEX(SEGMENTS[], MATCH(CABLES[[#Headers],[SEG47]],SEGMENTS[SEG_ID],0),4),0)</f>
        <v>0</v>
      </c>
      <c r="DH71" s="9">
        <f xml:space="preserve"> IF(CABLES[[#This Row],[SEG48]] &gt;0,INDEX(SEGMENTS[], MATCH(CABLES[[#Headers],[SEG48]],SEGMENTS[SEG_ID],0),4),0)</f>
        <v>0</v>
      </c>
      <c r="DI71" s="9">
        <f xml:space="preserve"> IF(CABLES[[#This Row],[SEG49]] &gt;0,INDEX(SEGMENTS[], MATCH(CABLES[[#Headers],[SEG49]],SEGMENTS[SEG_ID],0),4),0)</f>
        <v>0</v>
      </c>
      <c r="DJ71" s="9">
        <f xml:space="preserve"> IF(CABLES[[#This Row],[SEG50]] &gt;0,INDEX(SEGMENTS[], MATCH(CABLES[[#Headers],[SEG50]],SEGMENTS[SEG_ID],0),4),0)</f>
        <v>0</v>
      </c>
      <c r="DK71" s="9">
        <f xml:space="preserve"> IF(CABLES[[#This Row],[SEG51]] &gt;0,INDEX(SEGMENTS[], MATCH(CABLES[[#Headers],[SEG51]],SEGMENTS[SEG_ID],0),4),0)</f>
        <v>0</v>
      </c>
      <c r="DL71" s="9">
        <f xml:space="preserve"> IF(CABLES[[#This Row],[SEG52]] &gt;0,INDEX(SEGMENTS[], MATCH(CABLES[[#Headers],[SEG52]],SEGMENTS[SEG_ID],0),4),0)</f>
        <v>0</v>
      </c>
      <c r="DM71" s="9">
        <f xml:space="preserve"> IF(CABLES[[#This Row],[SEG53]] &gt;0,INDEX(SEGMENTS[], MATCH(CABLES[[#Headers],[SEG53]],SEGMENTS[SEG_ID],0),4),0)</f>
        <v>0</v>
      </c>
      <c r="DN71" s="9">
        <f xml:space="preserve"> IF(CABLES[[#This Row],[SEG54]] &gt;0,INDEX(SEGMENTS[], MATCH(CABLES[[#Headers],[SEG54]],SEGMENTS[SEG_ID],0),4),0)</f>
        <v>0</v>
      </c>
      <c r="DO71" s="9">
        <f xml:space="preserve"> IF(CABLES[[#This Row],[SEG55]] &gt;0,INDEX(SEGMENTS[], MATCH(CABLES[[#Headers],[SEG55]],SEGMENTS[SEG_ID],0),4),0)</f>
        <v>0</v>
      </c>
      <c r="DP71" s="9">
        <f xml:space="preserve"> IF(CABLES[[#This Row],[SEG56]] &gt;0,INDEX(SEGMENTS[], MATCH(CABLES[[#Headers],[SEG56]],SEGMENTS[SEG_ID],0),4),0)</f>
        <v>0</v>
      </c>
      <c r="DQ71" s="9">
        <f xml:space="preserve"> IF(CABLES[[#This Row],[SEG57]] &gt;0,INDEX(SEGMENTS[], MATCH(CABLES[[#Headers],[SEG57]],SEGMENTS[SEG_ID],0),4),0)</f>
        <v>0</v>
      </c>
      <c r="DR71" s="9">
        <f xml:space="preserve"> IF(CABLES[[#This Row],[SEG58]] &gt;0,INDEX(SEGMENTS[], MATCH(CABLES[[#Headers],[SEG58]],SEGMENTS[SEG_ID],0),4),0)</f>
        <v>0</v>
      </c>
      <c r="DS71" s="9">
        <f xml:space="preserve"> IF(CABLES[[#This Row],[SEG59]] &gt;0,INDEX(SEGMENTS[], MATCH(CABLES[[#Headers],[SEG59]],SEGMENTS[SEG_ID],0),4),0)</f>
        <v>0</v>
      </c>
      <c r="DT71" s="9">
        <f xml:space="preserve"> IF(CABLES[[#This Row],[SEG60]] &gt;0,INDEX(SEGMENTS[], MATCH(CABLES[[#Headers],[SEG60]],SEGMENTS[SEG_ID],0),4),0)</f>
        <v>0</v>
      </c>
      <c r="DU71" s="10">
        <f>SUM(CABLES[[#This Row],[SEGL1]:[SEGL60]])</f>
        <v>54</v>
      </c>
      <c r="DV71" s="10">
        <v>5</v>
      </c>
      <c r="DW71" s="10">
        <v>1.2</v>
      </c>
      <c r="DX71" s="10">
        <f xml:space="preserve"> IF(CABLES[[#This Row],[SEGL_TOTAL]]&gt;0, (CABLES[[#This Row],[SEGL_TOTAL]] + CABLES[[#This Row],[FITOFF]]) *CABLES[[#This Row],[XCAPACITY]],0)</f>
        <v>70.8</v>
      </c>
      <c r="DY71" s="10">
        <f>IF(CABLES[[#This Row],[SEG1]]&gt;0,CABLES[[#This Row],[CABLE_DIAMETER]],0)</f>
        <v>14.5</v>
      </c>
      <c r="DZ71" s="10">
        <f>IF(CABLES[[#This Row],[SEG2]]&gt;0,CABLES[[#This Row],[CABLE_DIAMETER]],0)</f>
        <v>14.5</v>
      </c>
      <c r="EA71" s="10">
        <f>IF(CABLES[[#This Row],[SEG3]]&gt;0,CABLES[[#This Row],[CABLE_DIAMETER]],0)</f>
        <v>0</v>
      </c>
      <c r="EB71" s="10">
        <f>IF(CABLES[[#This Row],[SEG4]]&gt;0,CABLES[[#This Row],[CABLE_DIAMETER]],0)</f>
        <v>14.5</v>
      </c>
      <c r="EC71" s="10">
        <f>IF(CABLES[[#This Row],[SEG5]]&gt;0,CABLES[[#This Row],[CABLE_DIAMETER]],0)</f>
        <v>0</v>
      </c>
      <c r="ED71" s="10">
        <f>IF(CABLES[[#This Row],[SEG6]]&gt;0,CABLES[[#This Row],[CABLE_DIAMETER]],0)</f>
        <v>14.5</v>
      </c>
      <c r="EE71" s="10">
        <f>IF(CABLES[[#This Row],[SEG7]]&gt;0,CABLES[[#This Row],[CABLE_DIAMETER]],0)</f>
        <v>0</v>
      </c>
      <c r="EF71" s="10">
        <f>IF(CABLES[[#This Row],[SEG9]]&gt;0,CABLES[[#This Row],[CABLE_DIAMETER]],0)</f>
        <v>0</v>
      </c>
      <c r="EG71" s="10">
        <f>IF(CABLES[[#This Row],[SEG9]]&gt;0,CABLES[[#This Row],[CABLE_DIAMETER]],0)</f>
        <v>0</v>
      </c>
      <c r="EH71" s="10">
        <f>IF(CABLES[[#This Row],[SEG10]]&gt;0,CABLES[[#This Row],[CABLE_DIAMETER]],0)</f>
        <v>14.5</v>
      </c>
      <c r="EI71" s="10">
        <f>IF(CABLES[[#This Row],[SEG11]]&gt;0,CABLES[[#This Row],[CABLE_DIAMETER]],0)</f>
        <v>0</v>
      </c>
      <c r="EJ71" s="10">
        <f>IF(CABLES[[#This Row],[SEG12]]&gt;0,CABLES[[#This Row],[CABLE_DIAMETER]],0)</f>
        <v>0</v>
      </c>
      <c r="EK71" s="10">
        <f>IF(CABLES[[#This Row],[SEG13]]&gt;0,CABLES[[#This Row],[CABLE_DIAMETER]],0)</f>
        <v>14.5</v>
      </c>
      <c r="EL71" s="10">
        <f>IF(CABLES[[#This Row],[SEG14]]&gt;0,CABLES[[#This Row],[CABLE_DIAMETER]],0)</f>
        <v>0</v>
      </c>
      <c r="EM71" s="10">
        <f>IF(CABLES[[#This Row],[SEG15]]&gt;0,CABLES[[#This Row],[CABLE_DIAMETER]],0)</f>
        <v>0</v>
      </c>
      <c r="EN71" s="10">
        <f>IF(CABLES[[#This Row],[SEG16]]&gt;0,CABLES[[#This Row],[CABLE_DIAMETER]],0)</f>
        <v>0</v>
      </c>
      <c r="EO71" s="10">
        <f>IF(CABLES[[#This Row],[SEG17]]&gt;0,CABLES[[#This Row],[CABLE_DIAMETER]],0)</f>
        <v>0</v>
      </c>
      <c r="EP71" s="10">
        <f>IF(CABLES[[#This Row],[SEG18]]&gt;0,CABLES[[#This Row],[CABLE_DIAMETER]],0)</f>
        <v>0</v>
      </c>
      <c r="EQ71" s="10">
        <f>IF(CABLES[[#This Row],[SEG19]]&gt;0,CABLES[[#This Row],[CABLE_DIAMETER]],0)</f>
        <v>0</v>
      </c>
      <c r="ER71" s="10">
        <f>IF(CABLES[[#This Row],[SEG20]]&gt;0,CABLES[[#This Row],[CABLE_DIAMETER]],0)</f>
        <v>0</v>
      </c>
      <c r="ES71" s="10">
        <f>IF(CABLES[[#This Row],[SEG21]]&gt;0,CABLES[[#This Row],[CABLE_DIAMETER]],0)</f>
        <v>0</v>
      </c>
      <c r="ET71" s="10">
        <f>IF(CABLES[[#This Row],[SEG22]]&gt;0,CABLES[[#This Row],[CABLE_DIAMETER]],0)</f>
        <v>0</v>
      </c>
      <c r="EU71" s="10">
        <f>IF(CABLES[[#This Row],[SEG23]]&gt;0,CABLES[[#This Row],[CABLE_DIAMETER]],0)</f>
        <v>14.5</v>
      </c>
      <c r="EV71" s="10">
        <f>IF(CABLES[[#This Row],[SEG24]]&gt;0,CABLES[[#This Row],[CABLE_DIAMETER]],0)</f>
        <v>0</v>
      </c>
      <c r="EW71" s="10">
        <f>IF(CABLES[[#This Row],[SEG25]]&gt;0,CABLES[[#This Row],[CABLE_DIAMETER]],0)</f>
        <v>0</v>
      </c>
      <c r="EX71" s="10">
        <f>IF(CABLES[[#This Row],[SEG26]]&gt;0,CABLES[[#This Row],[CABLE_DIAMETER]],0)</f>
        <v>0</v>
      </c>
      <c r="EY71" s="10">
        <f>IF(CABLES[[#This Row],[SEG27]]&gt;0,CABLES[[#This Row],[CABLE_DIAMETER]],0)</f>
        <v>0</v>
      </c>
      <c r="EZ71" s="10">
        <f>IF(CABLES[[#This Row],[SEG28]]&gt;0,CABLES[[#This Row],[CABLE_DIAMETER]],0)</f>
        <v>0</v>
      </c>
      <c r="FA71" s="10">
        <f>IF(CABLES[[#This Row],[SEG29]]&gt;0,CABLES[[#This Row],[CABLE_DIAMETER]],0)</f>
        <v>0</v>
      </c>
      <c r="FB71" s="10">
        <f>IF(CABLES[[#This Row],[SEG30]]&gt;0,CABLES[[#This Row],[CABLE_DIAMETER]],0)</f>
        <v>0</v>
      </c>
      <c r="FC71" s="10">
        <f>IF(CABLES[[#This Row],[SEG31]]&gt;0,CABLES[[#This Row],[CABLE_DIAMETER]],0)</f>
        <v>0</v>
      </c>
      <c r="FD71" s="10">
        <f>IF(CABLES[[#This Row],[SEG32]]&gt;0,CABLES[[#This Row],[CABLE_DIAMETER]],0)</f>
        <v>0</v>
      </c>
      <c r="FE71" s="10">
        <f>IF(CABLES[[#This Row],[SEG33]]&gt;0,CABLES[[#This Row],[CABLE_DIAMETER]],0)</f>
        <v>0</v>
      </c>
      <c r="FF71" s="10">
        <f>IF(CABLES[[#This Row],[SEG34]]&gt;0,CABLES[[#This Row],[CABLE_DIAMETER]],0)</f>
        <v>0</v>
      </c>
      <c r="FG71" s="10">
        <f>IF(CABLES[[#This Row],[SEG35]]&gt;0,CABLES[[#This Row],[CABLE_DIAMETER]],0)</f>
        <v>0</v>
      </c>
      <c r="FH71" s="10">
        <f>IF(CABLES[[#This Row],[SEG36]]&gt;0,CABLES[[#This Row],[CABLE_DIAMETER]],0)</f>
        <v>0</v>
      </c>
      <c r="FI71" s="10">
        <f>IF(CABLES[[#This Row],[SEG37]]&gt;0,CABLES[[#This Row],[CABLE_DIAMETER]],0)</f>
        <v>0</v>
      </c>
      <c r="FJ71" s="10">
        <f>IF(CABLES[[#This Row],[SEG38]]&gt;0,CABLES[[#This Row],[CABLE_DIAMETER]],0)</f>
        <v>0</v>
      </c>
      <c r="FK71" s="10">
        <f>IF(CABLES[[#This Row],[SEG39]]&gt;0,CABLES[[#This Row],[CABLE_DIAMETER]],0)</f>
        <v>0</v>
      </c>
      <c r="FL71" s="10">
        <f>IF(CABLES[[#This Row],[SEG40]]&gt;0,CABLES[[#This Row],[CABLE_DIAMETER]],0)</f>
        <v>0</v>
      </c>
      <c r="FM71" s="10">
        <f>IF(CABLES[[#This Row],[SEG41]]&gt;0,CABLES[[#This Row],[CABLE_DIAMETER]],0)</f>
        <v>0</v>
      </c>
      <c r="FN71" s="10">
        <f>IF(CABLES[[#This Row],[SEG42]]&gt;0,CABLES[[#This Row],[CABLE_DIAMETER]],0)</f>
        <v>0</v>
      </c>
      <c r="FO71" s="10">
        <f>IF(CABLES[[#This Row],[SEG43]]&gt;0,CABLES[[#This Row],[CABLE_DIAMETER]],0)</f>
        <v>0</v>
      </c>
      <c r="FP71" s="10">
        <f>IF(CABLES[[#This Row],[SEG44]]&gt;0,CABLES[[#This Row],[CABLE_DIAMETER]],0)</f>
        <v>0</v>
      </c>
      <c r="FQ71" s="10">
        <f>IF(CABLES[[#This Row],[SEG45]]&gt;0,CABLES[[#This Row],[CABLE_DIAMETER]],0)</f>
        <v>0</v>
      </c>
      <c r="FR71" s="10">
        <f>IF(CABLES[[#This Row],[SEG46]]&gt;0,CABLES[[#This Row],[CABLE_DIAMETER]],0)</f>
        <v>0</v>
      </c>
      <c r="FS71" s="10">
        <f>IF(CABLES[[#This Row],[SEG47]]&gt;0,CABLES[[#This Row],[CABLE_DIAMETER]],0)</f>
        <v>0</v>
      </c>
      <c r="FT71" s="10">
        <f>IF(CABLES[[#This Row],[SEG48]]&gt;0,CABLES[[#This Row],[CABLE_DIAMETER]],0)</f>
        <v>0</v>
      </c>
      <c r="FU71" s="10">
        <f>IF(CABLES[[#This Row],[SEG49]]&gt;0,CABLES[[#This Row],[CABLE_DIAMETER]],0)</f>
        <v>0</v>
      </c>
      <c r="FV71" s="10">
        <f>IF(CABLES[[#This Row],[SEG50]]&gt;0,CABLES[[#This Row],[CABLE_DIAMETER]],0)</f>
        <v>0</v>
      </c>
      <c r="FW71" s="10">
        <f>IF(CABLES[[#This Row],[SEG51]]&gt;0,CABLES[[#This Row],[CABLE_DIAMETER]],0)</f>
        <v>0</v>
      </c>
      <c r="FX71" s="10">
        <f>IF(CABLES[[#This Row],[SEG52]]&gt;0,CABLES[[#This Row],[CABLE_DIAMETER]],0)</f>
        <v>0</v>
      </c>
      <c r="FY71" s="10">
        <f>IF(CABLES[[#This Row],[SEG53]]&gt;0,CABLES[[#This Row],[CABLE_DIAMETER]],0)</f>
        <v>0</v>
      </c>
      <c r="FZ71" s="10">
        <f>IF(CABLES[[#This Row],[SEG54]]&gt;0,CABLES[[#This Row],[CABLE_DIAMETER]],0)</f>
        <v>0</v>
      </c>
      <c r="GA71" s="10">
        <f>IF(CABLES[[#This Row],[SEG55]]&gt;0,CABLES[[#This Row],[CABLE_DIAMETER]],0)</f>
        <v>0</v>
      </c>
      <c r="GB71" s="10">
        <f>IF(CABLES[[#This Row],[SEG56]]&gt;0,CABLES[[#This Row],[CABLE_DIAMETER]],0)</f>
        <v>0</v>
      </c>
      <c r="GC71" s="10">
        <f>IF(CABLES[[#This Row],[SEG57]]&gt;0,CABLES[[#This Row],[CABLE_DIAMETER]],0)</f>
        <v>0</v>
      </c>
      <c r="GD71" s="10">
        <f>IF(CABLES[[#This Row],[SEG58]]&gt;0,CABLES[[#This Row],[CABLE_DIAMETER]],0)</f>
        <v>0</v>
      </c>
      <c r="GE71" s="10">
        <f>IF(CABLES[[#This Row],[SEG59]]&gt;0,CABLES[[#This Row],[CABLE_DIAMETER]],0)</f>
        <v>0</v>
      </c>
      <c r="GF71" s="10">
        <f>IF(CABLES[[#This Row],[SEG60]]&gt;0,CABLES[[#This Row],[CABLE_DIAMETER]],0)</f>
        <v>0</v>
      </c>
      <c r="GG71" s="10">
        <f>IF(CABLES[[#This Row],[SEG1]]&gt;0,CABLES[[#This Row],[CABLE_MASS]],0)</f>
        <v>0.33</v>
      </c>
      <c r="GH71" s="10">
        <f>IF(CABLES[[#This Row],[SEG2]]&gt;0,CABLES[[#This Row],[CABLE_MASS]],0)</f>
        <v>0.33</v>
      </c>
      <c r="GI71" s="10">
        <f>IF(CABLES[[#This Row],[SEG3]]&gt;0,CABLES[[#This Row],[CABLE_MASS]],0)</f>
        <v>0</v>
      </c>
      <c r="GJ71" s="10">
        <f>IF(CABLES[[#This Row],[SEG4]]&gt;0,CABLES[[#This Row],[CABLE_MASS]],0)</f>
        <v>0.33</v>
      </c>
      <c r="GK71" s="10">
        <f>IF(CABLES[[#This Row],[SEG5]]&gt;0,CABLES[[#This Row],[CABLE_MASS]],0)</f>
        <v>0</v>
      </c>
      <c r="GL71" s="10">
        <f>IF(CABLES[[#This Row],[SEG6]]&gt;0,CABLES[[#This Row],[CABLE_MASS]],0)</f>
        <v>0.33</v>
      </c>
      <c r="GM71" s="10">
        <f>IF(CABLES[[#This Row],[SEG7]]&gt;0,CABLES[[#This Row],[CABLE_MASS]],0)</f>
        <v>0</v>
      </c>
      <c r="GN71" s="10">
        <f>IF(CABLES[[#This Row],[SEG8]]&gt;0,CABLES[[#This Row],[CABLE_MASS]],0)</f>
        <v>0.33</v>
      </c>
      <c r="GO71" s="10">
        <f>IF(CABLES[[#This Row],[SEG9]]&gt;0,CABLES[[#This Row],[CABLE_MASS]],0)</f>
        <v>0</v>
      </c>
      <c r="GP71" s="10">
        <f>IF(CABLES[[#This Row],[SEG10]]&gt;0,CABLES[[#This Row],[CABLE_MASS]],0)</f>
        <v>0.33</v>
      </c>
      <c r="GQ71" s="10">
        <f>IF(CABLES[[#This Row],[SEG11]]&gt;0,CABLES[[#This Row],[CABLE_MASS]],0)</f>
        <v>0</v>
      </c>
      <c r="GR71" s="10">
        <f>IF(CABLES[[#This Row],[SEG12]]&gt;0,CABLES[[#This Row],[CABLE_MASS]],0)</f>
        <v>0</v>
      </c>
      <c r="GS71" s="10">
        <f>IF(CABLES[[#This Row],[SEG13]]&gt;0,CABLES[[#This Row],[CABLE_MASS]],0)</f>
        <v>0.33</v>
      </c>
      <c r="GT71" s="10">
        <f>IF(CABLES[[#This Row],[SEG14]]&gt;0,CABLES[[#This Row],[CABLE_MASS]],0)</f>
        <v>0</v>
      </c>
      <c r="GU71" s="10">
        <f>IF(CABLES[[#This Row],[SEG15]]&gt;0,CABLES[[#This Row],[CABLE_MASS]],0)</f>
        <v>0</v>
      </c>
      <c r="GV71" s="10">
        <f>IF(CABLES[[#This Row],[SEG16]]&gt;0,CABLES[[#This Row],[CABLE_MASS]],0)</f>
        <v>0</v>
      </c>
      <c r="GW71" s="10">
        <f>IF(CABLES[[#This Row],[SEG17]]&gt;0,CABLES[[#This Row],[CABLE_MASS]],0)</f>
        <v>0</v>
      </c>
      <c r="GX71" s="10">
        <f>IF(CABLES[[#This Row],[SEG18]]&gt;0,CABLES[[#This Row],[CABLE_MASS]],0)</f>
        <v>0</v>
      </c>
      <c r="GY71" s="10">
        <f>IF(CABLES[[#This Row],[SEG19]]&gt;0,CABLES[[#This Row],[CABLE_MASS]],0)</f>
        <v>0</v>
      </c>
      <c r="GZ71" s="10">
        <f>IF(CABLES[[#This Row],[SEG20]]&gt;0,CABLES[[#This Row],[CABLE_MASS]],0)</f>
        <v>0</v>
      </c>
      <c r="HA71" s="10">
        <f>IF(CABLES[[#This Row],[SEG21]]&gt;0,CABLES[[#This Row],[CABLE_MASS]],0)</f>
        <v>0</v>
      </c>
      <c r="HB71" s="10">
        <f>IF(CABLES[[#This Row],[SEG22]]&gt;0,CABLES[[#This Row],[CABLE_MASS]],0)</f>
        <v>0</v>
      </c>
      <c r="HC71" s="10">
        <f>IF(CABLES[[#This Row],[SEG23]]&gt;0,CABLES[[#This Row],[CABLE_MASS]],0)</f>
        <v>0.33</v>
      </c>
      <c r="HD71" s="10">
        <f>IF(CABLES[[#This Row],[SEG24]]&gt;0,CABLES[[#This Row],[CABLE_MASS]],0)</f>
        <v>0</v>
      </c>
      <c r="HE71" s="10">
        <f>IF(CABLES[[#This Row],[SEG25]]&gt;0,CABLES[[#This Row],[CABLE_MASS]],0)</f>
        <v>0</v>
      </c>
      <c r="HF71" s="10">
        <f>IF(CABLES[[#This Row],[SEG26]]&gt;0,CABLES[[#This Row],[CABLE_MASS]],0)</f>
        <v>0</v>
      </c>
      <c r="HG71" s="10">
        <f>IF(CABLES[[#This Row],[SEG27]]&gt;0,CABLES[[#This Row],[CABLE_MASS]],0)</f>
        <v>0</v>
      </c>
      <c r="HH71" s="10">
        <f>IF(CABLES[[#This Row],[SEG28]]&gt;0,CABLES[[#This Row],[CABLE_MASS]],0)</f>
        <v>0</v>
      </c>
      <c r="HI71" s="10">
        <f>IF(CABLES[[#This Row],[SEG29]]&gt;0,CABLES[[#This Row],[CABLE_MASS]],0)</f>
        <v>0</v>
      </c>
      <c r="HJ71" s="10">
        <f>IF(CABLES[[#This Row],[SEG30]]&gt;0,CABLES[[#This Row],[CABLE_MASS]],0)</f>
        <v>0</v>
      </c>
      <c r="HK71" s="10">
        <f>IF(CABLES[[#This Row],[SEG31]]&gt;0,CABLES[[#This Row],[CABLE_MASS]],0)</f>
        <v>0</v>
      </c>
      <c r="HL71" s="10">
        <f>IF(CABLES[[#This Row],[SEG32]]&gt;0,CABLES[[#This Row],[CABLE_MASS]],0)</f>
        <v>0</v>
      </c>
      <c r="HM71" s="10">
        <f>IF(CABLES[[#This Row],[SEG33]]&gt;0,CABLES[[#This Row],[CABLE_MASS]],0)</f>
        <v>0</v>
      </c>
      <c r="HN71" s="10">
        <f>IF(CABLES[[#This Row],[SEG34]]&gt;0,CABLES[[#This Row],[CABLE_MASS]],0)</f>
        <v>0</v>
      </c>
      <c r="HO71" s="10">
        <f>IF(CABLES[[#This Row],[SEG35]]&gt;0,CABLES[[#This Row],[CABLE_MASS]],0)</f>
        <v>0</v>
      </c>
      <c r="HP71" s="10">
        <f>IF(CABLES[[#This Row],[SEG36]]&gt;0,CABLES[[#This Row],[CABLE_MASS]],0)</f>
        <v>0</v>
      </c>
      <c r="HQ71" s="10">
        <f>IF(CABLES[[#This Row],[SEG37]]&gt;0,CABLES[[#This Row],[CABLE_MASS]],0)</f>
        <v>0</v>
      </c>
      <c r="HR71" s="10">
        <f>IF(CABLES[[#This Row],[SEG38]]&gt;0,CABLES[[#This Row],[CABLE_MASS]],0)</f>
        <v>0</v>
      </c>
      <c r="HS71" s="10">
        <f>IF(CABLES[[#This Row],[SEG39]]&gt;0,CABLES[[#This Row],[CABLE_MASS]],0)</f>
        <v>0</v>
      </c>
      <c r="HT71" s="10">
        <f>IF(CABLES[[#This Row],[SEG40]]&gt;0,CABLES[[#This Row],[CABLE_MASS]],0)</f>
        <v>0</v>
      </c>
      <c r="HU71" s="10">
        <f>IF(CABLES[[#This Row],[SEG41]]&gt;0,CABLES[[#This Row],[CABLE_MASS]],0)</f>
        <v>0</v>
      </c>
      <c r="HV71" s="10">
        <f>IF(CABLES[[#This Row],[SEG42]]&gt;0,CABLES[[#This Row],[CABLE_MASS]],0)</f>
        <v>0</v>
      </c>
      <c r="HW71" s="10">
        <f>IF(CABLES[[#This Row],[SEG43]]&gt;0,CABLES[[#This Row],[CABLE_MASS]],0)</f>
        <v>0</v>
      </c>
      <c r="HX71" s="10">
        <f>IF(CABLES[[#This Row],[SEG44]]&gt;0,CABLES[[#This Row],[CABLE_MASS]],0)</f>
        <v>0</v>
      </c>
      <c r="HY71" s="10">
        <f>IF(CABLES[[#This Row],[SEG45]]&gt;0,CABLES[[#This Row],[CABLE_MASS]],0)</f>
        <v>0</v>
      </c>
      <c r="HZ71" s="10">
        <f>IF(CABLES[[#This Row],[SEG46]]&gt;0,CABLES[[#This Row],[CABLE_MASS]],0)</f>
        <v>0</v>
      </c>
      <c r="IA71" s="10">
        <f>IF(CABLES[[#This Row],[SEG47]]&gt;0,CABLES[[#This Row],[CABLE_MASS]],0)</f>
        <v>0</v>
      </c>
      <c r="IB71" s="10">
        <f>IF(CABLES[[#This Row],[SEG48]]&gt;0,CABLES[[#This Row],[CABLE_MASS]],0)</f>
        <v>0</v>
      </c>
      <c r="IC71" s="10">
        <f>IF(CABLES[[#This Row],[SEG49]]&gt;0,CABLES[[#This Row],[CABLE_MASS]],0)</f>
        <v>0</v>
      </c>
      <c r="ID71" s="10">
        <f>IF(CABLES[[#This Row],[SEG50]]&gt;0,CABLES[[#This Row],[CABLE_MASS]],0)</f>
        <v>0</v>
      </c>
      <c r="IE71" s="10">
        <f>IF(CABLES[[#This Row],[SEG51]]&gt;0,CABLES[[#This Row],[CABLE_MASS]],0)</f>
        <v>0</v>
      </c>
      <c r="IF71" s="10">
        <f>IF(CABLES[[#This Row],[SEG52]]&gt;0,CABLES[[#This Row],[CABLE_MASS]],0)</f>
        <v>0</v>
      </c>
      <c r="IG71" s="10">
        <f>IF(CABLES[[#This Row],[SEG53]]&gt;0,CABLES[[#This Row],[CABLE_MASS]],0)</f>
        <v>0</v>
      </c>
      <c r="IH71" s="10">
        <f>IF(CABLES[[#This Row],[SEG54]]&gt;0,CABLES[[#This Row],[CABLE_MASS]],0)</f>
        <v>0</v>
      </c>
      <c r="II71" s="10">
        <f>IF(CABLES[[#This Row],[SEG55]]&gt;0,CABLES[[#This Row],[CABLE_MASS]],0)</f>
        <v>0</v>
      </c>
      <c r="IJ71" s="10">
        <f>IF(CABLES[[#This Row],[SEG56]]&gt;0,CABLES[[#This Row],[CABLE_MASS]],0)</f>
        <v>0</v>
      </c>
      <c r="IK71" s="10">
        <f>IF(CABLES[[#This Row],[SEG57]]&gt;0,CABLES[[#This Row],[CABLE_MASS]],0)</f>
        <v>0</v>
      </c>
      <c r="IL71" s="10">
        <f>IF(CABLES[[#This Row],[SEG58]]&gt;0,CABLES[[#This Row],[CABLE_MASS]],0)</f>
        <v>0</v>
      </c>
      <c r="IM71" s="10">
        <f>IF(CABLES[[#This Row],[SEG59]]&gt;0,CABLES[[#This Row],[CABLE_MASS]],0)</f>
        <v>0</v>
      </c>
      <c r="IN71" s="10">
        <f>IF(CABLES[[#This Row],[SEG60]]&gt;0,CABLES[[#This Row],[CABLE_MASS]],0)</f>
        <v>0</v>
      </c>
      <c r="IO71" s="10">
        <f xml:space="preserve">  (CABLES[[#This Row],[LOAD_KW]]/(SQRT(3)*SYSTEM_VOLTAGE*POWER_FACTOR))*1000</f>
        <v>3.528251645047713</v>
      </c>
      <c r="IP71" s="10">
        <v>45</v>
      </c>
      <c r="IQ71" s="10">
        <f xml:space="preserve"> INDEX(AS3000_AMBIENTDERATE[], MATCH(CABLES[[#This Row],[AMBIENT]],AS3000_AMBIENTDERATE[AMBIENT],0), 2)</f>
        <v>0.94</v>
      </c>
      <c r="IR71" s="10">
        <f xml:space="preserve"> ROUNDUP( CABLES[[#This Row],[CALCULATED_AMPS]]/CABLES[[#This Row],[AMBIENT_DERATING]],1)</f>
        <v>3.8000000000000003</v>
      </c>
      <c r="IS71" s="10" t="s">
        <v>531</v>
      </c>
      <c r="IT7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1" s="10">
        <f t="shared" si="2"/>
        <v>28.000000000000004</v>
      </c>
      <c r="IV71" s="10">
        <f>(1000*CABLES[[#This Row],[MAX_VDROP]])/(CABLES[[#This Row],[ESTIMATED_CABLE_LENGTH]]*CABLES[[#This Row],[AMP_RATING]])</f>
        <v>104.07374368123699</v>
      </c>
      <c r="IW71" s="10">
        <f xml:space="preserve"> INDEX(AS3000_VDROP[], MATCH(CABLES[[#This Row],[VC_CALC]],AS3000_VDROP[Vc],1),1)</f>
        <v>2.5</v>
      </c>
      <c r="IX71" s="10">
        <f>MAX(CABLES[[#This Row],[CABLESIZE_METHOD1]],CABLES[[#This Row],[CABLESIZE_METHOD2]])</f>
        <v>2.5</v>
      </c>
      <c r="IY71" s="10"/>
      <c r="IZ71" s="10">
        <f>IF(LEN(CABLES[[#This Row],[OVERRIDE_CABLESIZE]])&gt;0,CABLES[[#This Row],[OVERRIDE_CABLESIZE]],CABLES[[#This Row],[INITIAL_CABLESIZE]])</f>
        <v>2.5</v>
      </c>
      <c r="JA71" s="10">
        <f>INDEX(PROTECTIVE_DEVICE[DEVICE], MATCH(CABLES[[#This Row],[CALCULATED_AMPS]],PROTECTIVE_DEVICE[DEVICE],-1),1)</f>
        <v>6</v>
      </c>
      <c r="JB71" s="10"/>
      <c r="JC71" s="10">
        <f>IF(LEN(CABLES[[#This Row],[OVERRIDE_PDEVICE]])&gt;0, CABLES[[#This Row],[OVERRIDE_PDEVICE]],CABLES[[#This Row],[RECOMMEND_PDEVICE]])</f>
        <v>6</v>
      </c>
      <c r="JD71" s="10" t="s">
        <v>450</v>
      </c>
      <c r="JE71" s="10">
        <f xml:space="preserve"> CABLES[[#This Row],[SELECTED_PDEVICE]] * INDEX(DEVICE_CURVE[], MATCH(CABLES[[#This Row],[PDEVICE_CURVE]], DEVICE_CURVE[DEVICE_CURVE],0),2)</f>
        <v>39</v>
      </c>
      <c r="JF71" s="10" t="s">
        <v>458</v>
      </c>
      <c r="JG71" s="10">
        <f xml:space="preserve"> INDEX(CONDUCTOR_MATERIAL[], MATCH(CABLES[[#This Row],[CONDUCTOR_MATERIAL]],CONDUCTOR_MATERIAL[CONDUCTOR_MATERIAL],0),2)</f>
        <v>2.2499999999999999E-2</v>
      </c>
      <c r="JH71" s="10">
        <f>CABLES[[#This Row],[SELECTED_CABLESIZE]]</f>
        <v>2.5</v>
      </c>
      <c r="JI71" s="10">
        <f xml:space="preserve"> INDEX( EARTH_CONDUCTOR_SIZE[], MATCH(CABLES[[#This Row],[SPH]],EARTH_CONDUCTOR_SIZE[MM^2],-1), 2)</f>
        <v>2.5</v>
      </c>
      <c r="JJ71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71" s="10" t="str">
        <f>IF(CABLES[[#This Row],[LMAX]]&gt;CABLES[[#This Row],[ESTIMATED_CABLE_LENGTH]], "PASS", "ERROR")</f>
        <v>PASS</v>
      </c>
      <c r="JL7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7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71" s="6">
        <f xml:space="preserve"> ROUNDUP( CABLES[[#This Row],[CALCULATED_AMPS]],1)</f>
        <v>3.6</v>
      </c>
      <c r="JO71" s="6">
        <f>CABLES[[#This Row],[SELECTED_CABLESIZE]]</f>
        <v>2.5</v>
      </c>
      <c r="JP71" s="10">
        <f>CABLES[[#This Row],[ESTIMATED_CABLE_LENGTH]]</f>
        <v>70.8</v>
      </c>
      <c r="JQ71" s="6">
        <f>CABLES[[#This Row],[SELECTED_PDEVICE]]</f>
        <v>6</v>
      </c>
    </row>
    <row r="72" spans="1:277" x14ac:dyDescent="0.35">
      <c r="A72" s="5" t="s">
        <v>69</v>
      </c>
      <c r="B72" s="5" t="s">
        <v>114</v>
      </c>
      <c r="C72" s="10" t="s">
        <v>262</v>
      </c>
      <c r="D72" s="9">
        <v>7.5</v>
      </c>
      <c r="E72" s="9">
        <v>1</v>
      </c>
      <c r="F72" s="9">
        <v>1</v>
      </c>
      <c r="G72" s="9">
        <v>0</v>
      </c>
      <c r="H72" s="9">
        <v>1</v>
      </c>
      <c r="I72" s="9">
        <v>0</v>
      </c>
      <c r="J72" s="9">
        <v>1</v>
      </c>
      <c r="K72" s="9">
        <v>0</v>
      </c>
      <c r="L72" s="9">
        <v>1</v>
      </c>
      <c r="M72" s="9">
        <v>0</v>
      </c>
      <c r="N72" s="9">
        <v>1</v>
      </c>
      <c r="O72" s="9">
        <v>0</v>
      </c>
      <c r="P72" s="9">
        <v>0</v>
      </c>
      <c r="Q72" s="9">
        <v>1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1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f xml:space="preserve"> IF(CABLES[[#This Row],[SEG1]] &gt;0, INDEX(SEGMENTS[], MATCH(CABLES[[#Headers],[SEG1]],SEGMENTS[SEG_ID],0),4),0)</f>
        <v>13</v>
      </c>
      <c r="BN72" s="9">
        <f xml:space="preserve"> IF(CABLES[[#This Row],[SEG2]] &gt;0, INDEX(SEGMENTS[], MATCH(CABLES[[#Headers],[SEG2]],SEGMENTS[SEG_ID],0),4),0)</f>
        <v>2</v>
      </c>
      <c r="BO72" s="9">
        <f xml:space="preserve"> IF(CABLES[[#This Row],[SEG3]] &gt;0, INDEX(SEGMENTS[], MATCH(CABLES[[#Headers],[SEG3]],SEGMENTS[SEG_ID],0),4),0)</f>
        <v>0</v>
      </c>
      <c r="BP72" s="9">
        <f xml:space="preserve"> IF(CABLES[[#This Row],[SEG4]] &gt;0, INDEX(SEGMENTS[], MATCH(CABLES[[#Headers],[SEG4]],SEGMENTS[SEG_ID],0),4),0)</f>
        <v>14</v>
      </c>
      <c r="BQ72" s="9">
        <f xml:space="preserve"> IF(CABLES[[#This Row],[SEG5]] &gt;0,INDEX(SEGMENTS[], MATCH(CABLES[[#Headers],[SEG5]],SEGMENTS[SEG_ID],0),4),0)</f>
        <v>0</v>
      </c>
      <c r="BR72" s="9">
        <f xml:space="preserve"> IF(CABLES[[#This Row],[SEG6]] &gt;0,INDEX(SEGMENTS[], MATCH(CABLES[[#Headers],[SEG6]],SEGMENTS[SEG_ID],0),4),0)</f>
        <v>2</v>
      </c>
      <c r="BS72" s="9">
        <f xml:space="preserve"> IF(CABLES[[#This Row],[SEG7]] &gt;0,INDEX(SEGMENTS[], MATCH(CABLES[[#Headers],[SEG7]],SEGMENTS[SEG_ID],0),4),0)</f>
        <v>0</v>
      </c>
      <c r="BT72" s="9">
        <f xml:space="preserve"> IF(CABLES[[#This Row],[SEG8]] &gt;0,INDEX(SEGMENTS[], MATCH(CABLES[[#Headers],[SEG8]],SEGMENTS[SEG_ID],0),4),0)</f>
        <v>3</v>
      </c>
      <c r="BU72" s="9">
        <f xml:space="preserve"> IF(CABLES[[#This Row],[SEG9]] &gt;0,INDEX(SEGMENTS[], MATCH(CABLES[[#Headers],[SEG9]],SEGMENTS[SEG_ID],0),4),0)</f>
        <v>0</v>
      </c>
      <c r="BV72" s="9">
        <f xml:space="preserve"> IF(CABLES[[#This Row],[SEG10]] &gt;0,INDEX(SEGMENTS[], MATCH(CABLES[[#Headers],[SEG10]],SEGMENTS[SEG_ID],0),4),0)</f>
        <v>9</v>
      </c>
      <c r="BW72" s="9">
        <f xml:space="preserve"> IF(CABLES[[#This Row],[SEG11]] &gt;0,INDEX(SEGMENTS[], MATCH(CABLES[[#Headers],[SEG11]],SEGMENTS[SEG_ID],0),4),0)</f>
        <v>0</v>
      </c>
      <c r="BX72" s="9">
        <f>IF(CABLES[[#This Row],[SEG12]] &gt;0, INDEX(SEGMENTS[], MATCH(CABLES[[#Headers],[SEG12]],SEGMENTS[SEG_ID],0),4),0)</f>
        <v>0</v>
      </c>
      <c r="BY72" s="9">
        <f xml:space="preserve"> IF(CABLES[[#This Row],[SEG13]] &gt;0,INDEX(SEGMENTS[], MATCH(CABLES[[#Headers],[SEG13]],SEGMENTS[SEG_ID],0),4),0)</f>
        <v>3</v>
      </c>
      <c r="BZ72" s="9">
        <f xml:space="preserve"> IF(CABLES[[#This Row],[SEG14]] &gt;0,INDEX(SEGMENTS[], MATCH(CABLES[[#Headers],[SEG14]],SEGMENTS[SEG_ID],0),4),0)</f>
        <v>0</v>
      </c>
      <c r="CA72" s="9">
        <f xml:space="preserve"> IF(CABLES[[#This Row],[SEG15]] &gt;0,INDEX(SEGMENTS[], MATCH(CABLES[[#Headers],[SEG15]],SEGMENTS[SEG_ID],0),4),0)</f>
        <v>0</v>
      </c>
      <c r="CB72" s="9">
        <f xml:space="preserve"> IF(CABLES[[#This Row],[SEG16]] &gt;0,INDEX(SEGMENTS[], MATCH(CABLES[[#Headers],[SEG16]],SEGMENTS[SEG_ID],0),4),0)</f>
        <v>0</v>
      </c>
      <c r="CC72" s="9">
        <f xml:space="preserve"> IF(CABLES[[#This Row],[SEG17]] &gt;0,INDEX(SEGMENTS[], MATCH(CABLES[[#Headers],[SEG17]],SEGMENTS[SEG_ID],0),4),0)</f>
        <v>0</v>
      </c>
      <c r="CD72" s="9">
        <f xml:space="preserve"> IF(CABLES[[#This Row],[SEG18]] &gt;0,INDEX(SEGMENTS[], MATCH(CABLES[[#Headers],[SEG18]],SEGMENTS[SEG_ID],0),4),0)</f>
        <v>0</v>
      </c>
      <c r="CE72" s="9">
        <f>IF(CABLES[[#This Row],[SEG19]] &gt;0, INDEX(SEGMENTS[], MATCH(CABLES[[#Headers],[SEG19]],SEGMENTS[SEG_ID],0),4),0)</f>
        <v>0</v>
      </c>
      <c r="CF72" s="9">
        <f>IF(CABLES[[#This Row],[SEG20]] &gt;0, INDEX(SEGMENTS[], MATCH(CABLES[[#Headers],[SEG20]],SEGMENTS[SEG_ID],0),4),0)</f>
        <v>0</v>
      </c>
      <c r="CG72" s="9">
        <f xml:space="preserve"> IF(CABLES[[#This Row],[SEG21]] &gt;0,INDEX(SEGMENTS[], MATCH(CABLES[[#Headers],[SEG21]],SEGMENTS[SEG_ID],0),4),0)</f>
        <v>0</v>
      </c>
      <c r="CH72" s="9">
        <f xml:space="preserve"> IF(CABLES[[#This Row],[SEG22]] &gt;0,INDEX(SEGMENTS[], MATCH(CABLES[[#Headers],[SEG22]],SEGMENTS[SEG_ID],0),4),0)</f>
        <v>0</v>
      </c>
      <c r="CI72" s="9">
        <f>IF(CABLES[[#This Row],[SEG23]] &gt;0, INDEX(SEGMENTS[], MATCH(CABLES[[#Headers],[SEG23]],SEGMENTS[SEG_ID],0),4),0)</f>
        <v>8</v>
      </c>
      <c r="CJ72" s="9">
        <f xml:space="preserve"> IF(CABLES[[#This Row],[SEG24]] &gt;0,INDEX(SEGMENTS[], MATCH(CABLES[[#Headers],[SEG24]],SEGMENTS[SEG_ID],0),4),0)</f>
        <v>0</v>
      </c>
      <c r="CK72" s="9">
        <f>IF(CABLES[[#This Row],[SEG25]] &gt;0, INDEX(SEGMENTS[], MATCH(CABLES[[#Headers],[SEG25]],SEGMENTS[SEG_ID],0),4),0)</f>
        <v>0</v>
      </c>
      <c r="CL72" s="9">
        <f>IF(CABLES[[#This Row],[SEG26]] &gt;0, INDEX(SEGMENTS[], MATCH(CABLES[[#Headers],[SEG26]],SEGMENTS[SEG_ID],0),4),0)</f>
        <v>0</v>
      </c>
      <c r="CM72" s="9">
        <f xml:space="preserve"> IF(CABLES[[#This Row],[SEG27]] &gt;0,INDEX(SEGMENTS[], MATCH(CABLES[[#Headers],[SEG27]],SEGMENTS[SEG_ID],0),4),0)</f>
        <v>0</v>
      </c>
      <c r="CN72" s="9">
        <f xml:space="preserve"> IF(CABLES[[#This Row],[SEG28]] &gt;0,INDEX(SEGMENTS[], MATCH(CABLES[[#Headers],[SEG28]],SEGMENTS[SEG_ID],0),4),0)</f>
        <v>0</v>
      </c>
      <c r="CO72" s="9">
        <f xml:space="preserve"> IF(CABLES[[#This Row],[SEG29]] &gt;0,INDEX(SEGMENTS[], MATCH(CABLES[[#Headers],[SEG29]],SEGMENTS[SEG_ID],0),4),0)</f>
        <v>0</v>
      </c>
      <c r="CP72" s="9">
        <f xml:space="preserve"> IF(CABLES[[#This Row],[SEG30]] &gt;0,INDEX(SEGMENTS[], MATCH(CABLES[[#Headers],[SEG30]],SEGMENTS[SEG_ID],0),4),0)</f>
        <v>0</v>
      </c>
      <c r="CQ72" s="9">
        <f>IF(CABLES[[#This Row],[SEG31]] &gt;0, INDEX(SEGMENTS[], MATCH(CABLES[[#Headers],[SEG31]],SEGMENTS[SEG_ID],0),4),0)</f>
        <v>0</v>
      </c>
      <c r="CR72" s="9">
        <f xml:space="preserve"> IF(CABLES[[#This Row],[SEG32]] &gt;0,INDEX(SEGMENTS[], MATCH(CABLES[[#Headers],[SEG32]],SEGMENTS[SEG_ID],0),4),0)</f>
        <v>0</v>
      </c>
      <c r="CS72" s="9">
        <f xml:space="preserve"> IF(CABLES[[#This Row],[SEG33]] &gt;0,INDEX(SEGMENTS[], MATCH(CABLES[[#Headers],[SEG33]],SEGMENTS[SEG_ID],0),4),0)</f>
        <v>0</v>
      </c>
      <c r="CT72" s="9">
        <f>IF(CABLES[[#This Row],[SEG34]] &gt;0, INDEX(SEGMENTS[], MATCH(CABLES[[#Headers],[SEG34]],SEGMENTS[SEG_ID],0),4),0)</f>
        <v>0</v>
      </c>
      <c r="CU72" s="9">
        <f xml:space="preserve"> IF(CABLES[[#This Row],[SEG35]] &gt;0,INDEX(SEGMENTS[], MATCH(CABLES[[#Headers],[SEG35]],SEGMENTS[SEG_ID],0),4),0)</f>
        <v>0</v>
      </c>
      <c r="CV72" s="9">
        <f xml:space="preserve"> IF(CABLES[[#This Row],[SEG36]] &gt;0,INDEX(SEGMENTS[], MATCH(CABLES[[#Headers],[SEG36]],SEGMENTS[SEG_ID],0),4),0)</f>
        <v>0</v>
      </c>
      <c r="CW72" s="9">
        <f xml:space="preserve"> IF(CABLES[[#This Row],[SEG37]] &gt;0,INDEX(SEGMENTS[], MATCH(CABLES[[#Headers],[SEG37]],SEGMENTS[SEG_ID],0),4),0)</f>
        <v>0</v>
      </c>
      <c r="CX72" s="9">
        <f xml:space="preserve"> IF(CABLES[[#This Row],[SEG38]] &gt;0,INDEX(SEGMENTS[], MATCH(CABLES[[#Headers],[SEG38]],SEGMENTS[SEG_ID],0),4),0)</f>
        <v>0</v>
      </c>
      <c r="CY72" s="9">
        <f xml:space="preserve"> IF(CABLES[[#This Row],[SEG39]] &gt;0,INDEX(SEGMENTS[], MATCH(CABLES[[#Headers],[SEG39]],SEGMENTS[SEG_ID],0),4),0)</f>
        <v>0</v>
      </c>
      <c r="CZ72" s="9">
        <f xml:space="preserve"> IF(CABLES[[#This Row],[SEG40]] &gt;0,INDEX(SEGMENTS[], MATCH(CABLES[[#Headers],[SEG40]],SEGMENTS[SEG_ID],0),4),0)</f>
        <v>0</v>
      </c>
      <c r="DA72" s="9">
        <f xml:space="preserve"> IF(CABLES[[#This Row],[SEG41]] &gt;0,INDEX(SEGMENTS[], MATCH(CABLES[[#Headers],[SEG41]],SEGMENTS[SEG_ID],0),4),0)</f>
        <v>0</v>
      </c>
      <c r="DB72" s="9">
        <f xml:space="preserve"> IF(CABLES[[#This Row],[SEG42]] &gt;0,INDEX(SEGMENTS[], MATCH(CABLES[[#Headers],[SEG42]],SEGMENTS[SEG_ID],0),4),0)</f>
        <v>0</v>
      </c>
      <c r="DC72" s="9">
        <f xml:space="preserve"> IF(CABLES[[#This Row],[SEG43]] &gt;0,INDEX(SEGMENTS[], MATCH(CABLES[[#Headers],[SEG43]],SEGMENTS[SEG_ID],0),4),0)</f>
        <v>0</v>
      </c>
      <c r="DD72" s="9">
        <f xml:space="preserve"> IF(CABLES[[#This Row],[SEG44]] &gt;0,INDEX(SEGMENTS[], MATCH(CABLES[[#Headers],[SEG44]],SEGMENTS[SEG_ID],0),4),0)</f>
        <v>0</v>
      </c>
      <c r="DE72" s="9">
        <f xml:space="preserve"> IF(CABLES[[#This Row],[SEG45]] &gt;0,INDEX(SEGMENTS[], MATCH(CABLES[[#Headers],[SEG45]],SEGMENTS[SEG_ID],0),4),0)</f>
        <v>0</v>
      </c>
      <c r="DF72" s="9">
        <f xml:space="preserve"> IF(CABLES[[#This Row],[SEG46]] &gt;0,INDEX(SEGMENTS[], MATCH(CABLES[[#Headers],[SEG46]],SEGMENTS[SEG_ID],0),4),0)</f>
        <v>0</v>
      </c>
      <c r="DG72" s="9">
        <f xml:space="preserve"> IF(CABLES[[#This Row],[SEG47]] &gt;0,INDEX(SEGMENTS[], MATCH(CABLES[[#Headers],[SEG47]],SEGMENTS[SEG_ID],0),4),0)</f>
        <v>0</v>
      </c>
      <c r="DH72" s="9">
        <f xml:space="preserve"> IF(CABLES[[#This Row],[SEG48]] &gt;0,INDEX(SEGMENTS[], MATCH(CABLES[[#Headers],[SEG48]],SEGMENTS[SEG_ID],0),4),0)</f>
        <v>0</v>
      </c>
      <c r="DI72" s="9">
        <f xml:space="preserve"> IF(CABLES[[#This Row],[SEG49]] &gt;0,INDEX(SEGMENTS[], MATCH(CABLES[[#Headers],[SEG49]],SEGMENTS[SEG_ID],0),4),0)</f>
        <v>0</v>
      </c>
      <c r="DJ72" s="9">
        <f xml:space="preserve"> IF(CABLES[[#This Row],[SEG50]] &gt;0,INDEX(SEGMENTS[], MATCH(CABLES[[#Headers],[SEG50]],SEGMENTS[SEG_ID],0),4),0)</f>
        <v>0</v>
      </c>
      <c r="DK72" s="9">
        <f xml:space="preserve"> IF(CABLES[[#This Row],[SEG51]] &gt;0,INDEX(SEGMENTS[], MATCH(CABLES[[#Headers],[SEG51]],SEGMENTS[SEG_ID],0),4),0)</f>
        <v>0</v>
      </c>
      <c r="DL72" s="9">
        <f xml:space="preserve"> IF(CABLES[[#This Row],[SEG52]] &gt;0,INDEX(SEGMENTS[], MATCH(CABLES[[#Headers],[SEG52]],SEGMENTS[SEG_ID],0),4),0)</f>
        <v>0</v>
      </c>
      <c r="DM72" s="9">
        <f xml:space="preserve"> IF(CABLES[[#This Row],[SEG53]] &gt;0,INDEX(SEGMENTS[], MATCH(CABLES[[#Headers],[SEG53]],SEGMENTS[SEG_ID],0),4),0)</f>
        <v>0</v>
      </c>
      <c r="DN72" s="9">
        <f xml:space="preserve"> IF(CABLES[[#This Row],[SEG54]] &gt;0,INDEX(SEGMENTS[], MATCH(CABLES[[#Headers],[SEG54]],SEGMENTS[SEG_ID],0),4),0)</f>
        <v>0</v>
      </c>
      <c r="DO72" s="9">
        <f xml:space="preserve"> IF(CABLES[[#This Row],[SEG55]] &gt;0,INDEX(SEGMENTS[], MATCH(CABLES[[#Headers],[SEG55]],SEGMENTS[SEG_ID],0),4),0)</f>
        <v>0</v>
      </c>
      <c r="DP72" s="9">
        <f xml:space="preserve"> IF(CABLES[[#This Row],[SEG56]] &gt;0,INDEX(SEGMENTS[], MATCH(CABLES[[#Headers],[SEG56]],SEGMENTS[SEG_ID],0),4),0)</f>
        <v>0</v>
      </c>
      <c r="DQ72" s="9">
        <f xml:space="preserve"> IF(CABLES[[#This Row],[SEG57]] &gt;0,INDEX(SEGMENTS[], MATCH(CABLES[[#Headers],[SEG57]],SEGMENTS[SEG_ID],0),4),0)</f>
        <v>0</v>
      </c>
      <c r="DR72" s="9">
        <f xml:space="preserve"> IF(CABLES[[#This Row],[SEG58]] &gt;0,INDEX(SEGMENTS[], MATCH(CABLES[[#Headers],[SEG58]],SEGMENTS[SEG_ID],0),4),0)</f>
        <v>0</v>
      </c>
      <c r="DS72" s="9">
        <f xml:space="preserve"> IF(CABLES[[#This Row],[SEG59]] &gt;0,INDEX(SEGMENTS[], MATCH(CABLES[[#Headers],[SEG59]],SEGMENTS[SEG_ID],0),4),0)</f>
        <v>0</v>
      </c>
      <c r="DT72" s="9">
        <f xml:space="preserve"> IF(CABLES[[#This Row],[SEG60]] &gt;0,INDEX(SEGMENTS[], MATCH(CABLES[[#Headers],[SEG60]],SEGMENTS[SEG_ID],0),4),0)</f>
        <v>0</v>
      </c>
      <c r="DU72" s="10">
        <f>SUM(CABLES[[#This Row],[SEGL1]:[SEGL60]])</f>
        <v>54</v>
      </c>
      <c r="DV72" s="10">
        <v>5</v>
      </c>
      <c r="DW72" s="10">
        <v>1.2</v>
      </c>
      <c r="DX72" s="10">
        <f xml:space="preserve"> IF(CABLES[[#This Row],[SEGL_TOTAL]]&gt;0, (CABLES[[#This Row],[SEGL_TOTAL]] + CABLES[[#This Row],[FITOFF]]) *CABLES[[#This Row],[XCAPACITY]],0)</f>
        <v>70.8</v>
      </c>
      <c r="DY72" s="10">
        <f>IF(CABLES[[#This Row],[SEG1]]&gt;0,CABLES[[#This Row],[CABLE_DIAMETER]],0)</f>
        <v>12</v>
      </c>
      <c r="DZ72" s="10">
        <f>IF(CABLES[[#This Row],[SEG2]]&gt;0,CABLES[[#This Row],[CABLE_DIAMETER]],0)</f>
        <v>12</v>
      </c>
      <c r="EA72" s="10">
        <f>IF(CABLES[[#This Row],[SEG3]]&gt;0,CABLES[[#This Row],[CABLE_DIAMETER]],0)</f>
        <v>0</v>
      </c>
      <c r="EB72" s="10">
        <f>IF(CABLES[[#This Row],[SEG4]]&gt;0,CABLES[[#This Row],[CABLE_DIAMETER]],0)</f>
        <v>12</v>
      </c>
      <c r="EC72" s="10">
        <f>IF(CABLES[[#This Row],[SEG5]]&gt;0,CABLES[[#This Row],[CABLE_DIAMETER]],0)</f>
        <v>0</v>
      </c>
      <c r="ED72" s="10">
        <f>IF(CABLES[[#This Row],[SEG6]]&gt;0,CABLES[[#This Row],[CABLE_DIAMETER]],0)</f>
        <v>12</v>
      </c>
      <c r="EE72" s="10">
        <f>IF(CABLES[[#This Row],[SEG7]]&gt;0,CABLES[[#This Row],[CABLE_DIAMETER]],0)</f>
        <v>0</v>
      </c>
      <c r="EF72" s="10">
        <f>IF(CABLES[[#This Row],[SEG9]]&gt;0,CABLES[[#This Row],[CABLE_DIAMETER]],0)</f>
        <v>0</v>
      </c>
      <c r="EG72" s="10">
        <f>IF(CABLES[[#This Row],[SEG9]]&gt;0,CABLES[[#This Row],[CABLE_DIAMETER]],0)</f>
        <v>0</v>
      </c>
      <c r="EH72" s="10">
        <f>IF(CABLES[[#This Row],[SEG10]]&gt;0,CABLES[[#This Row],[CABLE_DIAMETER]],0)</f>
        <v>12</v>
      </c>
      <c r="EI72" s="10">
        <f>IF(CABLES[[#This Row],[SEG11]]&gt;0,CABLES[[#This Row],[CABLE_DIAMETER]],0)</f>
        <v>0</v>
      </c>
      <c r="EJ72" s="10">
        <f>IF(CABLES[[#This Row],[SEG12]]&gt;0,CABLES[[#This Row],[CABLE_DIAMETER]],0)</f>
        <v>0</v>
      </c>
      <c r="EK72" s="10">
        <f>IF(CABLES[[#This Row],[SEG13]]&gt;0,CABLES[[#This Row],[CABLE_DIAMETER]],0)</f>
        <v>12</v>
      </c>
      <c r="EL72" s="10">
        <f>IF(CABLES[[#This Row],[SEG14]]&gt;0,CABLES[[#This Row],[CABLE_DIAMETER]],0)</f>
        <v>0</v>
      </c>
      <c r="EM72" s="10">
        <f>IF(CABLES[[#This Row],[SEG15]]&gt;0,CABLES[[#This Row],[CABLE_DIAMETER]],0)</f>
        <v>0</v>
      </c>
      <c r="EN72" s="10">
        <f>IF(CABLES[[#This Row],[SEG16]]&gt;0,CABLES[[#This Row],[CABLE_DIAMETER]],0)</f>
        <v>0</v>
      </c>
      <c r="EO72" s="10">
        <f>IF(CABLES[[#This Row],[SEG17]]&gt;0,CABLES[[#This Row],[CABLE_DIAMETER]],0)</f>
        <v>0</v>
      </c>
      <c r="EP72" s="10">
        <f>IF(CABLES[[#This Row],[SEG18]]&gt;0,CABLES[[#This Row],[CABLE_DIAMETER]],0)</f>
        <v>0</v>
      </c>
      <c r="EQ72" s="10">
        <f>IF(CABLES[[#This Row],[SEG19]]&gt;0,CABLES[[#This Row],[CABLE_DIAMETER]],0)</f>
        <v>0</v>
      </c>
      <c r="ER72" s="10">
        <f>IF(CABLES[[#This Row],[SEG20]]&gt;0,CABLES[[#This Row],[CABLE_DIAMETER]],0)</f>
        <v>0</v>
      </c>
      <c r="ES72" s="10">
        <f>IF(CABLES[[#This Row],[SEG21]]&gt;0,CABLES[[#This Row],[CABLE_DIAMETER]],0)</f>
        <v>0</v>
      </c>
      <c r="ET72" s="10">
        <f>IF(CABLES[[#This Row],[SEG22]]&gt;0,CABLES[[#This Row],[CABLE_DIAMETER]],0)</f>
        <v>0</v>
      </c>
      <c r="EU72" s="10">
        <f>IF(CABLES[[#This Row],[SEG23]]&gt;0,CABLES[[#This Row],[CABLE_DIAMETER]],0)</f>
        <v>12</v>
      </c>
      <c r="EV72" s="10">
        <f>IF(CABLES[[#This Row],[SEG24]]&gt;0,CABLES[[#This Row],[CABLE_DIAMETER]],0)</f>
        <v>0</v>
      </c>
      <c r="EW72" s="10">
        <f>IF(CABLES[[#This Row],[SEG25]]&gt;0,CABLES[[#This Row],[CABLE_DIAMETER]],0)</f>
        <v>0</v>
      </c>
      <c r="EX72" s="10">
        <f>IF(CABLES[[#This Row],[SEG26]]&gt;0,CABLES[[#This Row],[CABLE_DIAMETER]],0)</f>
        <v>0</v>
      </c>
      <c r="EY72" s="10">
        <f>IF(CABLES[[#This Row],[SEG27]]&gt;0,CABLES[[#This Row],[CABLE_DIAMETER]],0)</f>
        <v>0</v>
      </c>
      <c r="EZ72" s="10">
        <f>IF(CABLES[[#This Row],[SEG28]]&gt;0,CABLES[[#This Row],[CABLE_DIAMETER]],0)</f>
        <v>0</v>
      </c>
      <c r="FA72" s="10">
        <f>IF(CABLES[[#This Row],[SEG29]]&gt;0,CABLES[[#This Row],[CABLE_DIAMETER]],0)</f>
        <v>0</v>
      </c>
      <c r="FB72" s="10">
        <f>IF(CABLES[[#This Row],[SEG30]]&gt;0,CABLES[[#This Row],[CABLE_DIAMETER]],0)</f>
        <v>0</v>
      </c>
      <c r="FC72" s="10">
        <f>IF(CABLES[[#This Row],[SEG31]]&gt;0,CABLES[[#This Row],[CABLE_DIAMETER]],0)</f>
        <v>0</v>
      </c>
      <c r="FD72" s="10">
        <f>IF(CABLES[[#This Row],[SEG32]]&gt;0,CABLES[[#This Row],[CABLE_DIAMETER]],0)</f>
        <v>0</v>
      </c>
      <c r="FE72" s="10">
        <f>IF(CABLES[[#This Row],[SEG33]]&gt;0,CABLES[[#This Row],[CABLE_DIAMETER]],0)</f>
        <v>0</v>
      </c>
      <c r="FF72" s="10">
        <f>IF(CABLES[[#This Row],[SEG34]]&gt;0,CABLES[[#This Row],[CABLE_DIAMETER]],0)</f>
        <v>0</v>
      </c>
      <c r="FG72" s="10">
        <f>IF(CABLES[[#This Row],[SEG35]]&gt;0,CABLES[[#This Row],[CABLE_DIAMETER]],0)</f>
        <v>0</v>
      </c>
      <c r="FH72" s="10">
        <f>IF(CABLES[[#This Row],[SEG36]]&gt;0,CABLES[[#This Row],[CABLE_DIAMETER]],0)</f>
        <v>0</v>
      </c>
      <c r="FI72" s="10">
        <f>IF(CABLES[[#This Row],[SEG37]]&gt;0,CABLES[[#This Row],[CABLE_DIAMETER]],0)</f>
        <v>0</v>
      </c>
      <c r="FJ72" s="10">
        <f>IF(CABLES[[#This Row],[SEG38]]&gt;0,CABLES[[#This Row],[CABLE_DIAMETER]],0)</f>
        <v>0</v>
      </c>
      <c r="FK72" s="10">
        <f>IF(CABLES[[#This Row],[SEG39]]&gt;0,CABLES[[#This Row],[CABLE_DIAMETER]],0)</f>
        <v>0</v>
      </c>
      <c r="FL72" s="10">
        <f>IF(CABLES[[#This Row],[SEG40]]&gt;0,CABLES[[#This Row],[CABLE_DIAMETER]],0)</f>
        <v>0</v>
      </c>
      <c r="FM72" s="10">
        <f>IF(CABLES[[#This Row],[SEG41]]&gt;0,CABLES[[#This Row],[CABLE_DIAMETER]],0)</f>
        <v>0</v>
      </c>
      <c r="FN72" s="10">
        <f>IF(CABLES[[#This Row],[SEG42]]&gt;0,CABLES[[#This Row],[CABLE_DIAMETER]],0)</f>
        <v>0</v>
      </c>
      <c r="FO72" s="10">
        <f>IF(CABLES[[#This Row],[SEG43]]&gt;0,CABLES[[#This Row],[CABLE_DIAMETER]],0)</f>
        <v>0</v>
      </c>
      <c r="FP72" s="10">
        <f>IF(CABLES[[#This Row],[SEG44]]&gt;0,CABLES[[#This Row],[CABLE_DIAMETER]],0)</f>
        <v>0</v>
      </c>
      <c r="FQ72" s="10">
        <f>IF(CABLES[[#This Row],[SEG45]]&gt;0,CABLES[[#This Row],[CABLE_DIAMETER]],0)</f>
        <v>0</v>
      </c>
      <c r="FR72" s="10">
        <f>IF(CABLES[[#This Row],[SEG46]]&gt;0,CABLES[[#This Row],[CABLE_DIAMETER]],0)</f>
        <v>0</v>
      </c>
      <c r="FS72" s="10">
        <f>IF(CABLES[[#This Row],[SEG47]]&gt;0,CABLES[[#This Row],[CABLE_DIAMETER]],0)</f>
        <v>0</v>
      </c>
      <c r="FT72" s="10">
        <f>IF(CABLES[[#This Row],[SEG48]]&gt;0,CABLES[[#This Row],[CABLE_DIAMETER]],0)</f>
        <v>0</v>
      </c>
      <c r="FU72" s="10">
        <f>IF(CABLES[[#This Row],[SEG49]]&gt;0,CABLES[[#This Row],[CABLE_DIAMETER]],0)</f>
        <v>0</v>
      </c>
      <c r="FV72" s="10">
        <f>IF(CABLES[[#This Row],[SEG50]]&gt;0,CABLES[[#This Row],[CABLE_DIAMETER]],0)</f>
        <v>0</v>
      </c>
      <c r="FW72" s="10">
        <f>IF(CABLES[[#This Row],[SEG51]]&gt;0,CABLES[[#This Row],[CABLE_DIAMETER]],0)</f>
        <v>0</v>
      </c>
      <c r="FX72" s="10">
        <f>IF(CABLES[[#This Row],[SEG52]]&gt;0,CABLES[[#This Row],[CABLE_DIAMETER]],0)</f>
        <v>0</v>
      </c>
      <c r="FY72" s="10">
        <f>IF(CABLES[[#This Row],[SEG53]]&gt;0,CABLES[[#This Row],[CABLE_DIAMETER]],0)</f>
        <v>0</v>
      </c>
      <c r="FZ72" s="10">
        <f>IF(CABLES[[#This Row],[SEG54]]&gt;0,CABLES[[#This Row],[CABLE_DIAMETER]],0)</f>
        <v>0</v>
      </c>
      <c r="GA72" s="10">
        <f>IF(CABLES[[#This Row],[SEG55]]&gt;0,CABLES[[#This Row],[CABLE_DIAMETER]],0)</f>
        <v>0</v>
      </c>
      <c r="GB72" s="10">
        <f>IF(CABLES[[#This Row],[SEG56]]&gt;0,CABLES[[#This Row],[CABLE_DIAMETER]],0)</f>
        <v>0</v>
      </c>
      <c r="GC72" s="10">
        <f>IF(CABLES[[#This Row],[SEG57]]&gt;0,CABLES[[#This Row],[CABLE_DIAMETER]],0)</f>
        <v>0</v>
      </c>
      <c r="GD72" s="10">
        <f>IF(CABLES[[#This Row],[SEG58]]&gt;0,CABLES[[#This Row],[CABLE_DIAMETER]],0)</f>
        <v>0</v>
      </c>
      <c r="GE72" s="10">
        <f>IF(CABLES[[#This Row],[SEG59]]&gt;0,CABLES[[#This Row],[CABLE_DIAMETER]],0)</f>
        <v>0</v>
      </c>
      <c r="GF72" s="10">
        <f>IF(CABLES[[#This Row],[SEG60]]&gt;0,CABLES[[#This Row],[CABLE_DIAMETER]],0)</f>
        <v>0</v>
      </c>
      <c r="GG72" s="10">
        <f>IF(CABLES[[#This Row],[SEG1]]&gt;0,CABLES[[#This Row],[CABLE_MASS]],0)</f>
        <v>0.21</v>
      </c>
      <c r="GH72" s="10">
        <f>IF(CABLES[[#This Row],[SEG2]]&gt;0,CABLES[[#This Row],[CABLE_MASS]],0)</f>
        <v>0.21</v>
      </c>
      <c r="GI72" s="10">
        <f>IF(CABLES[[#This Row],[SEG3]]&gt;0,CABLES[[#This Row],[CABLE_MASS]],0)</f>
        <v>0</v>
      </c>
      <c r="GJ72" s="10">
        <f>IF(CABLES[[#This Row],[SEG4]]&gt;0,CABLES[[#This Row],[CABLE_MASS]],0)</f>
        <v>0.21</v>
      </c>
      <c r="GK72" s="10">
        <f>IF(CABLES[[#This Row],[SEG5]]&gt;0,CABLES[[#This Row],[CABLE_MASS]],0)</f>
        <v>0</v>
      </c>
      <c r="GL72" s="10">
        <f>IF(CABLES[[#This Row],[SEG6]]&gt;0,CABLES[[#This Row],[CABLE_MASS]],0)</f>
        <v>0.21</v>
      </c>
      <c r="GM72" s="10">
        <f>IF(CABLES[[#This Row],[SEG7]]&gt;0,CABLES[[#This Row],[CABLE_MASS]],0)</f>
        <v>0</v>
      </c>
      <c r="GN72" s="10">
        <f>IF(CABLES[[#This Row],[SEG8]]&gt;0,CABLES[[#This Row],[CABLE_MASS]],0)</f>
        <v>0.21</v>
      </c>
      <c r="GO72" s="10">
        <f>IF(CABLES[[#This Row],[SEG9]]&gt;0,CABLES[[#This Row],[CABLE_MASS]],0)</f>
        <v>0</v>
      </c>
      <c r="GP72" s="10">
        <f>IF(CABLES[[#This Row],[SEG10]]&gt;0,CABLES[[#This Row],[CABLE_MASS]],0)</f>
        <v>0.21</v>
      </c>
      <c r="GQ72" s="10">
        <f>IF(CABLES[[#This Row],[SEG11]]&gt;0,CABLES[[#This Row],[CABLE_MASS]],0)</f>
        <v>0</v>
      </c>
      <c r="GR72" s="10">
        <f>IF(CABLES[[#This Row],[SEG12]]&gt;0,CABLES[[#This Row],[CABLE_MASS]],0)</f>
        <v>0</v>
      </c>
      <c r="GS72" s="10">
        <f>IF(CABLES[[#This Row],[SEG13]]&gt;0,CABLES[[#This Row],[CABLE_MASS]],0)</f>
        <v>0.21</v>
      </c>
      <c r="GT72" s="10">
        <f>IF(CABLES[[#This Row],[SEG14]]&gt;0,CABLES[[#This Row],[CABLE_MASS]],0)</f>
        <v>0</v>
      </c>
      <c r="GU72" s="10">
        <f>IF(CABLES[[#This Row],[SEG15]]&gt;0,CABLES[[#This Row],[CABLE_MASS]],0)</f>
        <v>0</v>
      </c>
      <c r="GV72" s="10">
        <f>IF(CABLES[[#This Row],[SEG16]]&gt;0,CABLES[[#This Row],[CABLE_MASS]],0)</f>
        <v>0</v>
      </c>
      <c r="GW72" s="10">
        <f>IF(CABLES[[#This Row],[SEG17]]&gt;0,CABLES[[#This Row],[CABLE_MASS]],0)</f>
        <v>0</v>
      </c>
      <c r="GX72" s="10">
        <f>IF(CABLES[[#This Row],[SEG18]]&gt;0,CABLES[[#This Row],[CABLE_MASS]],0)</f>
        <v>0</v>
      </c>
      <c r="GY72" s="10">
        <f>IF(CABLES[[#This Row],[SEG19]]&gt;0,CABLES[[#This Row],[CABLE_MASS]],0)</f>
        <v>0</v>
      </c>
      <c r="GZ72" s="10">
        <f>IF(CABLES[[#This Row],[SEG20]]&gt;0,CABLES[[#This Row],[CABLE_MASS]],0)</f>
        <v>0</v>
      </c>
      <c r="HA72" s="10">
        <f>IF(CABLES[[#This Row],[SEG21]]&gt;0,CABLES[[#This Row],[CABLE_MASS]],0)</f>
        <v>0</v>
      </c>
      <c r="HB72" s="10">
        <f>IF(CABLES[[#This Row],[SEG22]]&gt;0,CABLES[[#This Row],[CABLE_MASS]],0)</f>
        <v>0</v>
      </c>
      <c r="HC72" s="10">
        <f>IF(CABLES[[#This Row],[SEG23]]&gt;0,CABLES[[#This Row],[CABLE_MASS]],0)</f>
        <v>0.21</v>
      </c>
      <c r="HD72" s="10">
        <f>IF(CABLES[[#This Row],[SEG24]]&gt;0,CABLES[[#This Row],[CABLE_MASS]],0)</f>
        <v>0</v>
      </c>
      <c r="HE72" s="10">
        <f>IF(CABLES[[#This Row],[SEG25]]&gt;0,CABLES[[#This Row],[CABLE_MASS]],0)</f>
        <v>0</v>
      </c>
      <c r="HF72" s="10">
        <f>IF(CABLES[[#This Row],[SEG26]]&gt;0,CABLES[[#This Row],[CABLE_MASS]],0)</f>
        <v>0</v>
      </c>
      <c r="HG72" s="10">
        <f>IF(CABLES[[#This Row],[SEG27]]&gt;0,CABLES[[#This Row],[CABLE_MASS]],0)</f>
        <v>0</v>
      </c>
      <c r="HH72" s="10">
        <f>IF(CABLES[[#This Row],[SEG28]]&gt;0,CABLES[[#This Row],[CABLE_MASS]],0)</f>
        <v>0</v>
      </c>
      <c r="HI72" s="10">
        <f>IF(CABLES[[#This Row],[SEG29]]&gt;0,CABLES[[#This Row],[CABLE_MASS]],0)</f>
        <v>0</v>
      </c>
      <c r="HJ72" s="10">
        <f>IF(CABLES[[#This Row],[SEG30]]&gt;0,CABLES[[#This Row],[CABLE_MASS]],0)</f>
        <v>0</v>
      </c>
      <c r="HK72" s="10">
        <f>IF(CABLES[[#This Row],[SEG31]]&gt;0,CABLES[[#This Row],[CABLE_MASS]],0)</f>
        <v>0</v>
      </c>
      <c r="HL72" s="10">
        <f>IF(CABLES[[#This Row],[SEG32]]&gt;0,CABLES[[#This Row],[CABLE_MASS]],0)</f>
        <v>0</v>
      </c>
      <c r="HM72" s="10">
        <f>IF(CABLES[[#This Row],[SEG33]]&gt;0,CABLES[[#This Row],[CABLE_MASS]],0)</f>
        <v>0</v>
      </c>
      <c r="HN72" s="10">
        <f>IF(CABLES[[#This Row],[SEG34]]&gt;0,CABLES[[#This Row],[CABLE_MASS]],0)</f>
        <v>0</v>
      </c>
      <c r="HO72" s="10">
        <f>IF(CABLES[[#This Row],[SEG35]]&gt;0,CABLES[[#This Row],[CABLE_MASS]],0)</f>
        <v>0</v>
      </c>
      <c r="HP72" s="10">
        <f>IF(CABLES[[#This Row],[SEG36]]&gt;0,CABLES[[#This Row],[CABLE_MASS]],0)</f>
        <v>0</v>
      </c>
      <c r="HQ72" s="10">
        <f>IF(CABLES[[#This Row],[SEG37]]&gt;0,CABLES[[#This Row],[CABLE_MASS]],0)</f>
        <v>0</v>
      </c>
      <c r="HR72" s="10">
        <f>IF(CABLES[[#This Row],[SEG38]]&gt;0,CABLES[[#This Row],[CABLE_MASS]],0)</f>
        <v>0</v>
      </c>
      <c r="HS72" s="10">
        <f>IF(CABLES[[#This Row],[SEG39]]&gt;0,CABLES[[#This Row],[CABLE_MASS]],0)</f>
        <v>0</v>
      </c>
      <c r="HT72" s="10">
        <f>IF(CABLES[[#This Row],[SEG40]]&gt;0,CABLES[[#This Row],[CABLE_MASS]],0)</f>
        <v>0</v>
      </c>
      <c r="HU72" s="10">
        <f>IF(CABLES[[#This Row],[SEG41]]&gt;0,CABLES[[#This Row],[CABLE_MASS]],0)</f>
        <v>0</v>
      </c>
      <c r="HV72" s="10">
        <f>IF(CABLES[[#This Row],[SEG42]]&gt;0,CABLES[[#This Row],[CABLE_MASS]],0)</f>
        <v>0</v>
      </c>
      <c r="HW72" s="10">
        <f>IF(CABLES[[#This Row],[SEG43]]&gt;0,CABLES[[#This Row],[CABLE_MASS]],0)</f>
        <v>0</v>
      </c>
      <c r="HX72" s="10">
        <f>IF(CABLES[[#This Row],[SEG44]]&gt;0,CABLES[[#This Row],[CABLE_MASS]],0)</f>
        <v>0</v>
      </c>
      <c r="HY72" s="10">
        <f>IF(CABLES[[#This Row],[SEG45]]&gt;0,CABLES[[#This Row],[CABLE_MASS]],0)</f>
        <v>0</v>
      </c>
      <c r="HZ72" s="10">
        <f>IF(CABLES[[#This Row],[SEG46]]&gt;0,CABLES[[#This Row],[CABLE_MASS]],0)</f>
        <v>0</v>
      </c>
      <c r="IA72" s="10">
        <f>IF(CABLES[[#This Row],[SEG47]]&gt;0,CABLES[[#This Row],[CABLE_MASS]],0)</f>
        <v>0</v>
      </c>
      <c r="IB72" s="10">
        <f>IF(CABLES[[#This Row],[SEG48]]&gt;0,CABLES[[#This Row],[CABLE_MASS]],0)</f>
        <v>0</v>
      </c>
      <c r="IC72" s="10">
        <f>IF(CABLES[[#This Row],[SEG49]]&gt;0,CABLES[[#This Row],[CABLE_MASS]],0)</f>
        <v>0</v>
      </c>
      <c r="ID72" s="10">
        <f>IF(CABLES[[#This Row],[SEG50]]&gt;0,CABLES[[#This Row],[CABLE_MASS]],0)</f>
        <v>0</v>
      </c>
      <c r="IE72" s="10">
        <f>IF(CABLES[[#This Row],[SEG51]]&gt;0,CABLES[[#This Row],[CABLE_MASS]],0)</f>
        <v>0</v>
      </c>
      <c r="IF72" s="10">
        <f>IF(CABLES[[#This Row],[SEG52]]&gt;0,CABLES[[#This Row],[CABLE_MASS]],0)</f>
        <v>0</v>
      </c>
      <c r="IG72" s="10">
        <f>IF(CABLES[[#This Row],[SEG53]]&gt;0,CABLES[[#This Row],[CABLE_MASS]],0)</f>
        <v>0</v>
      </c>
      <c r="IH72" s="10">
        <f>IF(CABLES[[#This Row],[SEG54]]&gt;0,CABLES[[#This Row],[CABLE_MASS]],0)</f>
        <v>0</v>
      </c>
      <c r="II72" s="10">
        <f>IF(CABLES[[#This Row],[SEG55]]&gt;0,CABLES[[#This Row],[CABLE_MASS]],0)</f>
        <v>0</v>
      </c>
      <c r="IJ72" s="10">
        <f>IF(CABLES[[#This Row],[SEG56]]&gt;0,CABLES[[#This Row],[CABLE_MASS]],0)</f>
        <v>0</v>
      </c>
      <c r="IK72" s="10">
        <f>IF(CABLES[[#This Row],[SEG57]]&gt;0,CABLES[[#This Row],[CABLE_MASS]],0)</f>
        <v>0</v>
      </c>
      <c r="IL72" s="10">
        <f>IF(CABLES[[#This Row],[SEG58]]&gt;0,CABLES[[#This Row],[CABLE_MASS]],0)</f>
        <v>0</v>
      </c>
      <c r="IM72" s="10">
        <f>IF(CABLES[[#This Row],[SEG59]]&gt;0,CABLES[[#This Row],[CABLE_MASS]],0)</f>
        <v>0</v>
      </c>
      <c r="IN72" s="10">
        <f>IF(CABLES[[#This Row],[SEG60]]&gt;0,CABLES[[#This Row],[CABLE_MASS]],0)</f>
        <v>0</v>
      </c>
      <c r="IO72" s="10">
        <f xml:space="preserve">  (CABLES[[#This Row],[LOAD_KW]]/(SQRT(3)*SYSTEM_VOLTAGE*POWER_FACTOR))*1000</f>
        <v>12.028130608117204</v>
      </c>
      <c r="IP72" s="10">
        <v>45</v>
      </c>
      <c r="IQ72" s="10">
        <f xml:space="preserve"> INDEX(AS3000_AMBIENTDERATE[], MATCH(CABLES[[#This Row],[AMBIENT]],AS3000_AMBIENTDERATE[AMBIENT],0), 2)</f>
        <v>0.94</v>
      </c>
      <c r="IR72" s="10">
        <f xml:space="preserve"> ROUNDUP( CABLES[[#This Row],[CALCULATED_AMPS]]/CABLES[[#This Row],[AMBIENT_DERATING]],1)</f>
        <v>12.799999999999999</v>
      </c>
      <c r="IS72" s="10" t="s">
        <v>531</v>
      </c>
      <c r="IT7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1.5</v>
      </c>
      <c r="IU72" s="10">
        <f t="shared" si="2"/>
        <v>28.000000000000004</v>
      </c>
      <c r="IV72" s="10">
        <f>(1000*CABLES[[#This Row],[MAX_VDROP]])/(CABLES[[#This Row],[ESTIMATED_CABLE_LENGTH]]*CABLES[[#This Row],[AMP_RATING]])</f>
        <v>30.896892655367239</v>
      </c>
      <c r="IW72" s="10">
        <f xml:space="preserve"> INDEX(AS3000_VDROP[], MATCH(CABLES[[#This Row],[VC_CALC]],AS3000_VDROP[Vc],1),1)</f>
        <v>2.5</v>
      </c>
      <c r="IX72" s="10">
        <f>MAX(CABLES[[#This Row],[CABLESIZE_METHOD1]],CABLES[[#This Row],[CABLESIZE_METHOD2]])</f>
        <v>2.5</v>
      </c>
      <c r="IY72" s="10"/>
      <c r="IZ72" s="10">
        <f>IF(LEN(CABLES[[#This Row],[OVERRIDE_CABLESIZE]])&gt;0,CABLES[[#This Row],[OVERRIDE_CABLESIZE]],CABLES[[#This Row],[INITIAL_CABLESIZE]])</f>
        <v>2.5</v>
      </c>
      <c r="JA72" s="10">
        <f>INDEX(PROTECTIVE_DEVICE[DEVICE], MATCH(CABLES[[#This Row],[CALCULATED_AMPS]],PROTECTIVE_DEVICE[DEVICE],-1),1)</f>
        <v>16</v>
      </c>
      <c r="JB72" s="10"/>
      <c r="JC72" s="10">
        <f>IF(LEN(CABLES[[#This Row],[OVERRIDE_PDEVICE]])&gt;0, CABLES[[#This Row],[OVERRIDE_PDEVICE]],CABLES[[#This Row],[RECOMMEND_PDEVICE]])</f>
        <v>16</v>
      </c>
      <c r="JD72" s="10" t="s">
        <v>450</v>
      </c>
      <c r="JE72" s="10">
        <f xml:space="preserve"> CABLES[[#This Row],[SELECTED_PDEVICE]] * INDEX(DEVICE_CURVE[], MATCH(CABLES[[#This Row],[PDEVICE_CURVE]], DEVICE_CURVE[DEVICE_CURVE],0),2)</f>
        <v>104</v>
      </c>
      <c r="JF72" s="10" t="s">
        <v>458</v>
      </c>
      <c r="JG72" s="10">
        <f xml:space="preserve"> INDEX(CONDUCTOR_MATERIAL[], MATCH(CABLES[[#This Row],[CONDUCTOR_MATERIAL]],CONDUCTOR_MATERIAL[CONDUCTOR_MATERIAL],0),2)</f>
        <v>2.2499999999999999E-2</v>
      </c>
      <c r="JH72" s="10">
        <f>CABLES[[#This Row],[SELECTED_CABLESIZE]]</f>
        <v>2.5</v>
      </c>
      <c r="JI72" s="10">
        <f xml:space="preserve"> INDEX( EARTH_CONDUCTOR_SIZE[], MATCH(CABLES[[#This Row],[SPH]],EARTH_CONDUCTOR_SIZE[MM^2],-1), 2)</f>
        <v>2.5</v>
      </c>
      <c r="JJ72" s="10">
        <f>(0.8*PHASE_VOLTAGE*CABLES[[#This Row],[SPH]]*CABLES[[#This Row],[SPE]])/(CABLES[[#This Row],[PDEVICE_IA]]*CABLES[[#This Row],[MATERIAL_CONSTANT]]*(CABLES[[#This Row],[SPH]]+CABLES[[#This Row],[SPE]]))</f>
        <v>98.290598290598297</v>
      </c>
      <c r="JK72" s="10" t="str">
        <f>IF(CABLES[[#This Row],[LMAX]]&gt;CABLES[[#This Row],[ESTIMATED_CABLE_LENGTH]], "PASS", "ERROR")</f>
        <v>PASS</v>
      </c>
      <c r="JL7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7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72" s="6">
        <f xml:space="preserve"> ROUNDUP( CABLES[[#This Row],[CALCULATED_AMPS]],1)</f>
        <v>12.1</v>
      </c>
      <c r="JO72" s="6">
        <f>CABLES[[#This Row],[SELECTED_CABLESIZE]]</f>
        <v>2.5</v>
      </c>
      <c r="JP72" s="10">
        <f>CABLES[[#This Row],[ESTIMATED_CABLE_LENGTH]]</f>
        <v>70.8</v>
      </c>
      <c r="JQ72" s="6">
        <f>CABLES[[#This Row],[SELECTED_PDEVICE]]</f>
        <v>16</v>
      </c>
    </row>
    <row r="73" spans="1:277" x14ac:dyDescent="0.35">
      <c r="A73" s="5" t="s">
        <v>70</v>
      </c>
      <c r="B73" s="5" t="s">
        <v>115</v>
      </c>
      <c r="C73" s="10" t="s">
        <v>261</v>
      </c>
      <c r="D73" s="9">
        <v>2.2000000000000002</v>
      </c>
      <c r="E73" s="9">
        <v>1</v>
      </c>
      <c r="F73" s="9">
        <v>1</v>
      </c>
      <c r="G73" s="9">
        <v>0</v>
      </c>
      <c r="H73" s="9">
        <v>1</v>
      </c>
      <c r="I73" s="9">
        <v>0</v>
      </c>
      <c r="J73" s="9">
        <v>1</v>
      </c>
      <c r="K73" s="9">
        <v>0</v>
      </c>
      <c r="L73" s="9">
        <v>1</v>
      </c>
      <c r="M73" s="9">
        <v>0</v>
      </c>
      <c r="N73" s="9">
        <v>1</v>
      </c>
      <c r="O73" s="9">
        <v>0</v>
      </c>
      <c r="P73" s="9">
        <v>1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f xml:space="preserve"> IF(CABLES[[#This Row],[SEG1]] &gt;0, INDEX(SEGMENTS[], MATCH(CABLES[[#Headers],[SEG1]],SEGMENTS[SEG_ID],0),4),0)</f>
        <v>13</v>
      </c>
      <c r="BN73" s="9">
        <f xml:space="preserve"> IF(CABLES[[#This Row],[SEG2]] &gt;0, INDEX(SEGMENTS[], MATCH(CABLES[[#Headers],[SEG2]],SEGMENTS[SEG_ID],0),4),0)</f>
        <v>2</v>
      </c>
      <c r="BO73" s="9">
        <f xml:space="preserve"> IF(CABLES[[#This Row],[SEG3]] &gt;0, INDEX(SEGMENTS[], MATCH(CABLES[[#Headers],[SEG3]],SEGMENTS[SEG_ID],0),4),0)</f>
        <v>0</v>
      </c>
      <c r="BP73" s="9">
        <f xml:space="preserve"> IF(CABLES[[#This Row],[SEG4]] &gt;0, INDEX(SEGMENTS[], MATCH(CABLES[[#Headers],[SEG4]],SEGMENTS[SEG_ID],0),4),0)</f>
        <v>14</v>
      </c>
      <c r="BQ73" s="9">
        <f xml:space="preserve"> IF(CABLES[[#This Row],[SEG5]] &gt;0,INDEX(SEGMENTS[], MATCH(CABLES[[#Headers],[SEG5]],SEGMENTS[SEG_ID],0),4),0)</f>
        <v>0</v>
      </c>
      <c r="BR73" s="9">
        <f xml:space="preserve"> IF(CABLES[[#This Row],[SEG6]] &gt;0,INDEX(SEGMENTS[], MATCH(CABLES[[#Headers],[SEG6]],SEGMENTS[SEG_ID],0),4),0)</f>
        <v>2</v>
      </c>
      <c r="BS73" s="9">
        <f xml:space="preserve"> IF(CABLES[[#This Row],[SEG7]] &gt;0,INDEX(SEGMENTS[], MATCH(CABLES[[#Headers],[SEG7]],SEGMENTS[SEG_ID],0),4),0)</f>
        <v>0</v>
      </c>
      <c r="BT73" s="9">
        <f xml:space="preserve"> IF(CABLES[[#This Row],[SEG8]] &gt;0,INDEX(SEGMENTS[], MATCH(CABLES[[#Headers],[SEG8]],SEGMENTS[SEG_ID],0),4),0)</f>
        <v>3</v>
      </c>
      <c r="BU73" s="9">
        <f xml:space="preserve"> IF(CABLES[[#This Row],[SEG9]] &gt;0,INDEX(SEGMENTS[], MATCH(CABLES[[#Headers],[SEG9]],SEGMENTS[SEG_ID],0),4),0)</f>
        <v>0</v>
      </c>
      <c r="BV73" s="9">
        <f xml:space="preserve"> IF(CABLES[[#This Row],[SEG10]] &gt;0,INDEX(SEGMENTS[], MATCH(CABLES[[#Headers],[SEG10]],SEGMENTS[SEG_ID],0),4),0)</f>
        <v>9</v>
      </c>
      <c r="BW73" s="9">
        <f xml:space="preserve"> IF(CABLES[[#This Row],[SEG11]] &gt;0,INDEX(SEGMENTS[], MATCH(CABLES[[#Headers],[SEG11]],SEGMENTS[SEG_ID],0),4),0)</f>
        <v>0</v>
      </c>
      <c r="BX73" s="9">
        <f>IF(CABLES[[#This Row],[SEG12]] &gt;0, INDEX(SEGMENTS[], MATCH(CABLES[[#Headers],[SEG12]],SEGMENTS[SEG_ID],0),4),0)</f>
        <v>16</v>
      </c>
      <c r="BY73" s="9">
        <f xml:space="preserve"> IF(CABLES[[#This Row],[SEG13]] &gt;0,INDEX(SEGMENTS[], MATCH(CABLES[[#Headers],[SEG13]],SEGMENTS[SEG_ID],0),4),0)</f>
        <v>0</v>
      </c>
      <c r="BZ73" s="9">
        <f xml:space="preserve"> IF(CABLES[[#This Row],[SEG14]] &gt;0,INDEX(SEGMENTS[], MATCH(CABLES[[#Headers],[SEG14]],SEGMENTS[SEG_ID],0),4),0)</f>
        <v>0</v>
      </c>
      <c r="CA73" s="9">
        <f xml:space="preserve"> IF(CABLES[[#This Row],[SEG15]] &gt;0,INDEX(SEGMENTS[], MATCH(CABLES[[#Headers],[SEG15]],SEGMENTS[SEG_ID],0),4),0)</f>
        <v>0</v>
      </c>
      <c r="CB73" s="9">
        <f xml:space="preserve"> IF(CABLES[[#This Row],[SEG16]] &gt;0,INDEX(SEGMENTS[], MATCH(CABLES[[#Headers],[SEG16]],SEGMENTS[SEG_ID],0),4),0)</f>
        <v>0</v>
      </c>
      <c r="CC73" s="9">
        <f xml:space="preserve"> IF(CABLES[[#This Row],[SEG17]] &gt;0,INDEX(SEGMENTS[], MATCH(CABLES[[#Headers],[SEG17]],SEGMENTS[SEG_ID],0),4),0)</f>
        <v>0</v>
      </c>
      <c r="CD73" s="9">
        <f xml:space="preserve"> IF(CABLES[[#This Row],[SEG18]] &gt;0,INDEX(SEGMENTS[], MATCH(CABLES[[#Headers],[SEG18]],SEGMENTS[SEG_ID],0),4),0)</f>
        <v>0</v>
      </c>
      <c r="CE73" s="9">
        <f>IF(CABLES[[#This Row],[SEG19]] &gt;0, INDEX(SEGMENTS[], MATCH(CABLES[[#Headers],[SEG19]],SEGMENTS[SEG_ID],0),4),0)</f>
        <v>0</v>
      </c>
      <c r="CF73" s="9">
        <f>IF(CABLES[[#This Row],[SEG20]] &gt;0, INDEX(SEGMENTS[], MATCH(CABLES[[#Headers],[SEG20]],SEGMENTS[SEG_ID],0),4),0)</f>
        <v>0</v>
      </c>
      <c r="CG73" s="9">
        <f xml:space="preserve"> IF(CABLES[[#This Row],[SEG21]] &gt;0,INDEX(SEGMENTS[], MATCH(CABLES[[#Headers],[SEG21]],SEGMENTS[SEG_ID],0),4),0)</f>
        <v>0</v>
      </c>
      <c r="CH73" s="9">
        <f xml:space="preserve"> IF(CABLES[[#This Row],[SEG22]] &gt;0,INDEX(SEGMENTS[], MATCH(CABLES[[#Headers],[SEG22]],SEGMENTS[SEG_ID],0),4),0)</f>
        <v>0</v>
      </c>
      <c r="CI73" s="9">
        <f>IF(CABLES[[#This Row],[SEG23]] &gt;0, INDEX(SEGMENTS[], MATCH(CABLES[[#Headers],[SEG23]],SEGMENTS[SEG_ID],0),4),0)</f>
        <v>0</v>
      </c>
      <c r="CJ73" s="9">
        <f xml:space="preserve"> IF(CABLES[[#This Row],[SEG24]] &gt;0,INDEX(SEGMENTS[], MATCH(CABLES[[#Headers],[SEG24]],SEGMENTS[SEG_ID],0),4),0)</f>
        <v>0</v>
      </c>
      <c r="CK73" s="9">
        <f>IF(CABLES[[#This Row],[SEG25]] &gt;0, INDEX(SEGMENTS[], MATCH(CABLES[[#Headers],[SEG25]],SEGMENTS[SEG_ID],0),4),0)</f>
        <v>0</v>
      </c>
      <c r="CL73" s="9">
        <f>IF(CABLES[[#This Row],[SEG26]] &gt;0, INDEX(SEGMENTS[], MATCH(CABLES[[#Headers],[SEG26]],SEGMENTS[SEG_ID],0),4),0)</f>
        <v>0</v>
      </c>
      <c r="CM73" s="9">
        <f xml:space="preserve"> IF(CABLES[[#This Row],[SEG27]] &gt;0,INDEX(SEGMENTS[], MATCH(CABLES[[#Headers],[SEG27]],SEGMENTS[SEG_ID],0),4),0)</f>
        <v>0</v>
      </c>
      <c r="CN73" s="9">
        <f xml:space="preserve"> IF(CABLES[[#This Row],[SEG28]] &gt;0,INDEX(SEGMENTS[], MATCH(CABLES[[#Headers],[SEG28]],SEGMENTS[SEG_ID],0),4),0)</f>
        <v>0</v>
      </c>
      <c r="CO73" s="9">
        <f xml:space="preserve"> IF(CABLES[[#This Row],[SEG29]] &gt;0,INDEX(SEGMENTS[], MATCH(CABLES[[#Headers],[SEG29]],SEGMENTS[SEG_ID],0),4),0)</f>
        <v>0</v>
      </c>
      <c r="CP73" s="9">
        <f xml:space="preserve"> IF(CABLES[[#This Row],[SEG30]] &gt;0,INDEX(SEGMENTS[], MATCH(CABLES[[#Headers],[SEG30]],SEGMENTS[SEG_ID],0),4),0)</f>
        <v>0</v>
      </c>
      <c r="CQ73" s="9">
        <f>IF(CABLES[[#This Row],[SEG31]] &gt;0, INDEX(SEGMENTS[], MATCH(CABLES[[#Headers],[SEG31]],SEGMENTS[SEG_ID],0),4),0)</f>
        <v>0</v>
      </c>
      <c r="CR73" s="9">
        <f xml:space="preserve"> IF(CABLES[[#This Row],[SEG32]] &gt;0,INDEX(SEGMENTS[], MATCH(CABLES[[#Headers],[SEG32]],SEGMENTS[SEG_ID],0),4),0)</f>
        <v>0</v>
      </c>
      <c r="CS73" s="9">
        <f xml:space="preserve"> IF(CABLES[[#This Row],[SEG33]] &gt;0,INDEX(SEGMENTS[], MATCH(CABLES[[#Headers],[SEG33]],SEGMENTS[SEG_ID],0),4),0)</f>
        <v>0</v>
      </c>
      <c r="CT73" s="9">
        <f>IF(CABLES[[#This Row],[SEG34]] &gt;0, INDEX(SEGMENTS[], MATCH(CABLES[[#Headers],[SEG34]],SEGMENTS[SEG_ID],0),4),0)</f>
        <v>0</v>
      </c>
      <c r="CU73" s="9">
        <f xml:space="preserve"> IF(CABLES[[#This Row],[SEG35]] &gt;0,INDEX(SEGMENTS[], MATCH(CABLES[[#Headers],[SEG35]],SEGMENTS[SEG_ID],0),4),0)</f>
        <v>0</v>
      </c>
      <c r="CV73" s="9">
        <f xml:space="preserve"> IF(CABLES[[#This Row],[SEG36]] &gt;0,INDEX(SEGMENTS[], MATCH(CABLES[[#Headers],[SEG36]],SEGMENTS[SEG_ID],0),4),0)</f>
        <v>0</v>
      </c>
      <c r="CW73" s="9">
        <f xml:space="preserve"> IF(CABLES[[#This Row],[SEG37]] &gt;0,INDEX(SEGMENTS[], MATCH(CABLES[[#Headers],[SEG37]],SEGMENTS[SEG_ID],0),4),0)</f>
        <v>0</v>
      </c>
      <c r="CX73" s="9">
        <f xml:space="preserve"> IF(CABLES[[#This Row],[SEG38]] &gt;0,INDEX(SEGMENTS[], MATCH(CABLES[[#Headers],[SEG38]],SEGMENTS[SEG_ID],0),4),0)</f>
        <v>0</v>
      </c>
      <c r="CY73" s="9">
        <f xml:space="preserve"> IF(CABLES[[#This Row],[SEG39]] &gt;0,INDEX(SEGMENTS[], MATCH(CABLES[[#Headers],[SEG39]],SEGMENTS[SEG_ID],0),4),0)</f>
        <v>0</v>
      </c>
      <c r="CZ73" s="9">
        <f xml:space="preserve"> IF(CABLES[[#This Row],[SEG40]] &gt;0,INDEX(SEGMENTS[], MATCH(CABLES[[#Headers],[SEG40]],SEGMENTS[SEG_ID],0),4),0)</f>
        <v>0</v>
      </c>
      <c r="DA73" s="9">
        <f xml:space="preserve"> IF(CABLES[[#This Row],[SEG41]] &gt;0,INDEX(SEGMENTS[], MATCH(CABLES[[#Headers],[SEG41]],SEGMENTS[SEG_ID],0),4),0)</f>
        <v>0</v>
      </c>
      <c r="DB73" s="9">
        <f xml:space="preserve"> IF(CABLES[[#This Row],[SEG42]] &gt;0,INDEX(SEGMENTS[], MATCH(CABLES[[#Headers],[SEG42]],SEGMENTS[SEG_ID],0),4),0)</f>
        <v>0</v>
      </c>
      <c r="DC73" s="9">
        <f xml:space="preserve"> IF(CABLES[[#This Row],[SEG43]] &gt;0,INDEX(SEGMENTS[], MATCH(CABLES[[#Headers],[SEG43]],SEGMENTS[SEG_ID],0),4),0)</f>
        <v>0</v>
      </c>
      <c r="DD73" s="9">
        <f xml:space="preserve"> IF(CABLES[[#This Row],[SEG44]] &gt;0,INDEX(SEGMENTS[], MATCH(CABLES[[#Headers],[SEG44]],SEGMENTS[SEG_ID],0),4),0)</f>
        <v>0</v>
      </c>
      <c r="DE73" s="9">
        <f xml:space="preserve"> IF(CABLES[[#This Row],[SEG45]] &gt;0,INDEX(SEGMENTS[], MATCH(CABLES[[#Headers],[SEG45]],SEGMENTS[SEG_ID],0),4),0)</f>
        <v>0</v>
      </c>
      <c r="DF73" s="9">
        <f xml:space="preserve"> IF(CABLES[[#This Row],[SEG46]] &gt;0,INDEX(SEGMENTS[], MATCH(CABLES[[#Headers],[SEG46]],SEGMENTS[SEG_ID],0),4),0)</f>
        <v>0</v>
      </c>
      <c r="DG73" s="9">
        <f xml:space="preserve"> IF(CABLES[[#This Row],[SEG47]] &gt;0,INDEX(SEGMENTS[], MATCH(CABLES[[#Headers],[SEG47]],SEGMENTS[SEG_ID],0),4),0)</f>
        <v>0</v>
      </c>
      <c r="DH73" s="9">
        <f xml:space="preserve"> IF(CABLES[[#This Row],[SEG48]] &gt;0,INDEX(SEGMENTS[], MATCH(CABLES[[#Headers],[SEG48]],SEGMENTS[SEG_ID],0),4),0)</f>
        <v>0</v>
      </c>
      <c r="DI73" s="9">
        <f xml:space="preserve"> IF(CABLES[[#This Row],[SEG49]] &gt;0,INDEX(SEGMENTS[], MATCH(CABLES[[#Headers],[SEG49]],SEGMENTS[SEG_ID],0),4),0)</f>
        <v>0</v>
      </c>
      <c r="DJ73" s="9">
        <f xml:space="preserve"> IF(CABLES[[#This Row],[SEG50]] &gt;0,INDEX(SEGMENTS[], MATCH(CABLES[[#Headers],[SEG50]],SEGMENTS[SEG_ID],0),4),0)</f>
        <v>0</v>
      </c>
      <c r="DK73" s="9">
        <f xml:space="preserve"> IF(CABLES[[#This Row],[SEG51]] &gt;0,INDEX(SEGMENTS[], MATCH(CABLES[[#Headers],[SEG51]],SEGMENTS[SEG_ID],0),4),0)</f>
        <v>0</v>
      </c>
      <c r="DL73" s="9">
        <f xml:space="preserve"> IF(CABLES[[#This Row],[SEG52]] &gt;0,INDEX(SEGMENTS[], MATCH(CABLES[[#Headers],[SEG52]],SEGMENTS[SEG_ID],0),4),0)</f>
        <v>0</v>
      </c>
      <c r="DM73" s="9">
        <f xml:space="preserve"> IF(CABLES[[#This Row],[SEG53]] &gt;0,INDEX(SEGMENTS[], MATCH(CABLES[[#Headers],[SEG53]],SEGMENTS[SEG_ID],0),4),0)</f>
        <v>0</v>
      </c>
      <c r="DN73" s="9">
        <f xml:space="preserve"> IF(CABLES[[#This Row],[SEG54]] &gt;0,INDEX(SEGMENTS[], MATCH(CABLES[[#Headers],[SEG54]],SEGMENTS[SEG_ID],0),4),0)</f>
        <v>0</v>
      </c>
      <c r="DO73" s="9">
        <f xml:space="preserve"> IF(CABLES[[#This Row],[SEG55]] &gt;0,INDEX(SEGMENTS[], MATCH(CABLES[[#Headers],[SEG55]],SEGMENTS[SEG_ID],0),4),0)</f>
        <v>0</v>
      </c>
      <c r="DP73" s="9">
        <f xml:space="preserve"> IF(CABLES[[#This Row],[SEG56]] &gt;0,INDEX(SEGMENTS[], MATCH(CABLES[[#Headers],[SEG56]],SEGMENTS[SEG_ID],0),4),0)</f>
        <v>0</v>
      </c>
      <c r="DQ73" s="9">
        <f xml:space="preserve"> IF(CABLES[[#This Row],[SEG57]] &gt;0,INDEX(SEGMENTS[], MATCH(CABLES[[#Headers],[SEG57]],SEGMENTS[SEG_ID],0),4),0)</f>
        <v>0</v>
      </c>
      <c r="DR73" s="9">
        <f xml:space="preserve"> IF(CABLES[[#This Row],[SEG58]] &gt;0,INDEX(SEGMENTS[], MATCH(CABLES[[#Headers],[SEG58]],SEGMENTS[SEG_ID],0),4),0)</f>
        <v>0</v>
      </c>
      <c r="DS73" s="9">
        <f xml:space="preserve"> IF(CABLES[[#This Row],[SEG59]] &gt;0,INDEX(SEGMENTS[], MATCH(CABLES[[#Headers],[SEG59]],SEGMENTS[SEG_ID],0),4),0)</f>
        <v>0</v>
      </c>
      <c r="DT73" s="9">
        <f xml:space="preserve"> IF(CABLES[[#This Row],[SEG60]] &gt;0,INDEX(SEGMENTS[], MATCH(CABLES[[#Headers],[SEG60]],SEGMENTS[SEG_ID],0),4),0)</f>
        <v>0</v>
      </c>
      <c r="DU73" s="10">
        <f>SUM(CABLES[[#This Row],[SEGL1]:[SEGL60]])</f>
        <v>59</v>
      </c>
      <c r="DV73" s="10">
        <v>5</v>
      </c>
      <c r="DW73" s="10">
        <v>1.2</v>
      </c>
      <c r="DX73" s="10">
        <f xml:space="preserve"> IF(CABLES[[#This Row],[SEGL_TOTAL]]&gt;0, (CABLES[[#This Row],[SEGL_TOTAL]] + CABLES[[#This Row],[FITOFF]]) *CABLES[[#This Row],[XCAPACITY]],0)</f>
        <v>76.8</v>
      </c>
      <c r="DY73" s="10">
        <f>IF(CABLES[[#This Row],[SEG1]]&gt;0,CABLES[[#This Row],[CABLE_DIAMETER]],0)</f>
        <v>14.5</v>
      </c>
      <c r="DZ73" s="10">
        <f>IF(CABLES[[#This Row],[SEG2]]&gt;0,CABLES[[#This Row],[CABLE_DIAMETER]],0)</f>
        <v>14.5</v>
      </c>
      <c r="EA73" s="10">
        <f>IF(CABLES[[#This Row],[SEG3]]&gt;0,CABLES[[#This Row],[CABLE_DIAMETER]],0)</f>
        <v>0</v>
      </c>
      <c r="EB73" s="10">
        <f>IF(CABLES[[#This Row],[SEG4]]&gt;0,CABLES[[#This Row],[CABLE_DIAMETER]],0)</f>
        <v>14.5</v>
      </c>
      <c r="EC73" s="10">
        <f>IF(CABLES[[#This Row],[SEG5]]&gt;0,CABLES[[#This Row],[CABLE_DIAMETER]],0)</f>
        <v>0</v>
      </c>
      <c r="ED73" s="10">
        <f>IF(CABLES[[#This Row],[SEG6]]&gt;0,CABLES[[#This Row],[CABLE_DIAMETER]],0)</f>
        <v>14.5</v>
      </c>
      <c r="EE73" s="10">
        <f>IF(CABLES[[#This Row],[SEG7]]&gt;0,CABLES[[#This Row],[CABLE_DIAMETER]],0)</f>
        <v>0</v>
      </c>
      <c r="EF73" s="10">
        <f>IF(CABLES[[#This Row],[SEG9]]&gt;0,CABLES[[#This Row],[CABLE_DIAMETER]],0)</f>
        <v>0</v>
      </c>
      <c r="EG73" s="10">
        <f>IF(CABLES[[#This Row],[SEG9]]&gt;0,CABLES[[#This Row],[CABLE_DIAMETER]],0)</f>
        <v>0</v>
      </c>
      <c r="EH73" s="10">
        <f>IF(CABLES[[#This Row],[SEG10]]&gt;0,CABLES[[#This Row],[CABLE_DIAMETER]],0)</f>
        <v>14.5</v>
      </c>
      <c r="EI73" s="10">
        <f>IF(CABLES[[#This Row],[SEG11]]&gt;0,CABLES[[#This Row],[CABLE_DIAMETER]],0)</f>
        <v>0</v>
      </c>
      <c r="EJ73" s="10">
        <f>IF(CABLES[[#This Row],[SEG12]]&gt;0,CABLES[[#This Row],[CABLE_DIAMETER]],0)</f>
        <v>14.5</v>
      </c>
      <c r="EK73" s="10">
        <f>IF(CABLES[[#This Row],[SEG13]]&gt;0,CABLES[[#This Row],[CABLE_DIAMETER]],0)</f>
        <v>0</v>
      </c>
      <c r="EL73" s="10">
        <f>IF(CABLES[[#This Row],[SEG14]]&gt;0,CABLES[[#This Row],[CABLE_DIAMETER]],0)</f>
        <v>0</v>
      </c>
      <c r="EM73" s="10">
        <f>IF(CABLES[[#This Row],[SEG15]]&gt;0,CABLES[[#This Row],[CABLE_DIAMETER]],0)</f>
        <v>0</v>
      </c>
      <c r="EN73" s="10">
        <f>IF(CABLES[[#This Row],[SEG16]]&gt;0,CABLES[[#This Row],[CABLE_DIAMETER]],0)</f>
        <v>0</v>
      </c>
      <c r="EO73" s="10">
        <f>IF(CABLES[[#This Row],[SEG17]]&gt;0,CABLES[[#This Row],[CABLE_DIAMETER]],0)</f>
        <v>0</v>
      </c>
      <c r="EP73" s="10">
        <f>IF(CABLES[[#This Row],[SEG18]]&gt;0,CABLES[[#This Row],[CABLE_DIAMETER]],0)</f>
        <v>0</v>
      </c>
      <c r="EQ73" s="10">
        <f>IF(CABLES[[#This Row],[SEG19]]&gt;0,CABLES[[#This Row],[CABLE_DIAMETER]],0)</f>
        <v>0</v>
      </c>
      <c r="ER73" s="10">
        <f>IF(CABLES[[#This Row],[SEG20]]&gt;0,CABLES[[#This Row],[CABLE_DIAMETER]],0)</f>
        <v>0</v>
      </c>
      <c r="ES73" s="10">
        <f>IF(CABLES[[#This Row],[SEG21]]&gt;0,CABLES[[#This Row],[CABLE_DIAMETER]],0)</f>
        <v>0</v>
      </c>
      <c r="ET73" s="10">
        <f>IF(CABLES[[#This Row],[SEG22]]&gt;0,CABLES[[#This Row],[CABLE_DIAMETER]],0)</f>
        <v>0</v>
      </c>
      <c r="EU73" s="10">
        <f>IF(CABLES[[#This Row],[SEG23]]&gt;0,CABLES[[#This Row],[CABLE_DIAMETER]],0)</f>
        <v>0</v>
      </c>
      <c r="EV73" s="10">
        <f>IF(CABLES[[#This Row],[SEG24]]&gt;0,CABLES[[#This Row],[CABLE_DIAMETER]],0)</f>
        <v>0</v>
      </c>
      <c r="EW73" s="10">
        <f>IF(CABLES[[#This Row],[SEG25]]&gt;0,CABLES[[#This Row],[CABLE_DIAMETER]],0)</f>
        <v>0</v>
      </c>
      <c r="EX73" s="10">
        <f>IF(CABLES[[#This Row],[SEG26]]&gt;0,CABLES[[#This Row],[CABLE_DIAMETER]],0)</f>
        <v>0</v>
      </c>
      <c r="EY73" s="10">
        <f>IF(CABLES[[#This Row],[SEG27]]&gt;0,CABLES[[#This Row],[CABLE_DIAMETER]],0)</f>
        <v>0</v>
      </c>
      <c r="EZ73" s="10">
        <f>IF(CABLES[[#This Row],[SEG28]]&gt;0,CABLES[[#This Row],[CABLE_DIAMETER]],0)</f>
        <v>0</v>
      </c>
      <c r="FA73" s="10">
        <f>IF(CABLES[[#This Row],[SEG29]]&gt;0,CABLES[[#This Row],[CABLE_DIAMETER]],0)</f>
        <v>0</v>
      </c>
      <c r="FB73" s="10">
        <f>IF(CABLES[[#This Row],[SEG30]]&gt;0,CABLES[[#This Row],[CABLE_DIAMETER]],0)</f>
        <v>0</v>
      </c>
      <c r="FC73" s="10">
        <f>IF(CABLES[[#This Row],[SEG31]]&gt;0,CABLES[[#This Row],[CABLE_DIAMETER]],0)</f>
        <v>0</v>
      </c>
      <c r="FD73" s="10">
        <f>IF(CABLES[[#This Row],[SEG32]]&gt;0,CABLES[[#This Row],[CABLE_DIAMETER]],0)</f>
        <v>0</v>
      </c>
      <c r="FE73" s="10">
        <f>IF(CABLES[[#This Row],[SEG33]]&gt;0,CABLES[[#This Row],[CABLE_DIAMETER]],0)</f>
        <v>0</v>
      </c>
      <c r="FF73" s="10">
        <f>IF(CABLES[[#This Row],[SEG34]]&gt;0,CABLES[[#This Row],[CABLE_DIAMETER]],0)</f>
        <v>0</v>
      </c>
      <c r="FG73" s="10">
        <f>IF(CABLES[[#This Row],[SEG35]]&gt;0,CABLES[[#This Row],[CABLE_DIAMETER]],0)</f>
        <v>0</v>
      </c>
      <c r="FH73" s="10">
        <f>IF(CABLES[[#This Row],[SEG36]]&gt;0,CABLES[[#This Row],[CABLE_DIAMETER]],0)</f>
        <v>0</v>
      </c>
      <c r="FI73" s="10">
        <f>IF(CABLES[[#This Row],[SEG37]]&gt;0,CABLES[[#This Row],[CABLE_DIAMETER]],0)</f>
        <v>0</v>
      </c>
      <c r="FJ73" s="10">
        <f>IF(CABLES[[#This Row],[SEG38]]&gt;0,CABLES[[#This Row],[CABLE_DIAMETER]],0)</f>
        <v>0</v>
      </c>
      <c r="FK73" s="10">
        <f>IF(CABLES[[#This Row],[SEG39]]&gt;0,CABLES[[#This Row],[CABLE_DIAMETER]],0)</f>
        <v>0</v>
      </c>
      <c r="FL73" s="10">
        <f>IF(CABLES[[#This Row],[SEG40]]&gt;0,CABLES[[#This Row],[CABLE_DIAMETER]],0)</f>
        <v>0</v>
      </c>
      <c r="FM73" s="10">
        <f>IF(CABLES[[#This Row],[SEG41]]&gt;0,CABLES[[#This Row],[CABLE_DIAMETER]],0)</f>
        <v>0</v>
      </c>
      <c r="FN73" s="10">
        <f>IF(CABLES[[#This Row],[SEG42]]&gt;0,CABLES[[#This Row],[CABLE_DIAMETER]],0)</f>
        <v>0</v>
      </c>
      <c r="FO73" s="10">
        <f>IF(CABLES[[#This Row],[SEG43]]&gt;0,CABLES[[#This Row],[CABLE_DIAMETER]],0)</f>
        <v>0</v>
      </c>
      <c r="FP73" s="10">
        <f>IF(CABLES[[#This Row],[SEG44]]&gt;0,CABLES[[#This Row],[CABLE_DIAMETER]],0)</f>
        <v>0</v>
      </c>
      <c r="FQ73" s="10">
        <f>IF(CABLES[[#This Row],[SEG45]]&gt;0,CABLES[[#This Row],[CABLE_DIAMETER]],0)</f>
        <v>0</v>
      </c>
      <c r="FR73" s="10">
        <f>IF(CABLES[[#This Row],[SEG46]]&gt;0,CABLES[[#This Row],[CABLE_DIAMETER]],0)</f>
        <v>0</v>
      </c>
      <c r="FS73" s="10">
        <f>IF(CABLES[[#This Row],[SEG47]]&gt;0,CABLES[[#This Row],[CABLE_DIAMETER]],0)</f>
        <v>0</v>
      </c>
      <c r="FT73" s="10">
        <f>IF(CABLES[[#This Row],[SEG48]]&gt;0,CABLES[[#This Row],[CABLE_DIAMETER]],0)</f>
        <v>0</v>
      </c>
      <c r="FU73" s="10">
        <f>IF(CABLES[[#This Row],[SEG49]]&gt;0,CABLES[[#This Row],[CABLE_DIAMETER]],0)</f>
        <v>0</v>
      </c>
      <c r="FV73" s="10">
        <f>IF(CABLES[[#This Row],[SEG50]]&gt;0,CABLES[[#This Row],[CABLE_DIAMETER]],0)</f>
        <v>0</v>
      </c>
      <c r="FW73" s="10">
        <f>IF(CABLES[[#This Row],[SEG51]]&gt;0,CABLES[[#This Row],[CABLE_DIAMETER]],0)</f>
        <v>0</v>
      </c>
      <c r="FX73" s="10">
        <f>IF(CABLES[[#This Row],[SEG52]]&gt;0,CABLES[[#This Row],[CABLE_DIAMETER]],0)</f>
        <v>0</v>
      </c>
      <c r="FY73" s="10">
        <f>IF(CABLES[[#This Row],[SEG53]]&gt;0,CABLES[[#This Row],[CABLE_DIAMETER]],0)</f>
        <v>0</v>
      </c>
      <c r="FZ73" s="10">
        <f>IF(CABLES[[#This Row],[SEG54]]&gt;0,CABLES[[#This Row],[CABLE_DIAMETER]],0)</f>
        <v>0</v>
      </c>
      <c r="GA73" s="10">
        <f>IF(CABLES[[#This Row],[SEG55]]&gt;0,CABLES[[#This Row],[CABLE_DIAMETER]],0)</f>
        <v>0</v>
      </c>
      <c r="GB73" s="10">
        <f>IF(CABLES[[#This Row],[SEG56]]&gt;0,CABLES[[#This Row],[CABLE_DIAMETER]],0)</f>
        <v>0</v>
      </c>
      <c r="GC73" s="10">
        <f>IF(CABLES[[#This Row],[SEG57]]&gt;0,CABLES[[#This Row],[CABLE_DIAMETER]],0)</f>
        <v>0</v>
      </c>
      <c r="GD73" s="10">
        <f>IF(CABLES[[#This Row],[SEG58]]&gt;0,CABLES[[#This Row],[CABLE_DIAMETER]],0)</f>
        <v>0</v>
      </c>
      <c r="GE73" s="10">
        <f>IF(CABLES[[#This Row],[SEG59]]&gt;0,CABLES[[#This Row],[CABLE_DIAMETER]],0)</f>
        <v>0</v>
      </c>
      <c r="GF73" s="10">
        <f>IF(CABLES[[#This Row],[SEG60]]&gt;0,CABLES[[#This Row],[CABLE_DIAMETER]],0)</f>
        <v>0</v>
      </c>
      <c r="GG73" s="10">
        <f>IF(CABLES[[#This Row],[SEG1]]&gt;0,CABLES[[#This Row],[CABLE_MASS]],0)</f>
        <v>0.33</v>
      </c>
      <c r="GH73" s="10">
        <f>IF(CABLES[[#This Row],[SEG2]]&gt;0,CABLES[[#This Row],[CABLE_MASS]],0)</f>
        <v>0.33</v>
      </c>
      <c r="GI73" s="10">
        <f>IF(CABLES[[#This Row],[SEG3]]&gt;0,CABLES[[#This Row],[CABLE_MASS]],0)</f>
        <v>0</v>
      </c>
      <c r="GJ73" s="10">
        <f>IF(CABLES[[#This Row],[SEG4]]&gt;0,CABLES[[#This Row],[CABLE_MASS]],0)</f>
        <v>0.33</v>
      </c>
      <c r="GK73" s="10">
        <f>IF(CABLES[[#This Row],[SEG5]]&gt;0,CABLES[[#This Row],[CABLE_MASS]],0)</f>
        <v>0</v>
      </c>
      <c r="GL73" s="10">
        <f>IF(CABLES[[#This Row],[SEG6]]&gt;0,CABLES[[#This Row],[CABLE_MASS]],0)</f>
        <v>0.33</v>
      </c>
      <c r="GM73" s="10">
        <f>IF(CABLES[[#This Row],[SEG7]]&gt;0,CABLES[[#This Row],[CABLE_MASS]],0)</f>
        <v>0</v>
      </c>
      <c r="GN73" s="10">
        <f>IF(CABLES[[#This Row],[SEG8]]&gt;0,CABLES[[#This Row],[CABLE_MASS]],0)</f>
        <v>0.33</v>
      </c>
      <c r="GO73" s="10">
        <f>IF(CABLES[[#This Row],[SEG9]]&gt;0,CABLES[[#This Row],[CABLE_MASS]],0)</f>
        <v>0</v>
      </c>
      <c r="GP73" s="10">
        <f>IF(CABLES[[#This Row],[SEG10]]&gt;0,CABLES[[#This Row],[CABLE_MASS]],0)</f>
        <v>0.33</v>
      </c>
      <c r="GQ73" s="10">
        <f>IF(CABLES[[#This Row],[SEG11]]&gt;0,CABLES[[#This Row],[CABLE_MASS]],0)</f>
        <v>0</v>
      </c>
      <c r="GR73" s="10">
        <f>IF(CABLES[[#This Row],[SEG12]]&gt;0,CABLES[[#This Row],[CABLE_MASS]],0)</f>
        <v>0.33</v>
      </c>
      <c r="GS73" s="10">
        <f>IF(CABLES[[#This Row],[SEG13]]&gt;0,CABLES[[#This Row],[CABLE_MASS]],0)</f>
        <v>0</v>
      </c>
      <c r="GT73" s="10">
        <f>IF(CABLES[[#This Row],[SEG14]]&gt;0,CABLES[[#This Row],[CABLE_MASS]],0)</f>
        <v>0</v>
      </c>
      <c r="GU73" s="10">
        <f>IF(CABLES[[#This Row],[SEG15]]&gt;0,CABLES[[#This Row],[CABLE_MASS]],0)</f>
        <v>0</v>
      </c>
      <c r="GV73" s="10">
        <f>IF(CABLES[[#This Row],[SEG16]]&gt;0,CABLES[[#This Row],[CABLE_MASS]],0)</f>
        <v>0</v>
      </c>
      <c r="GW73" s="10">
        <f>IF(CABLES[[#This Row],[SEG17]]&gt;0,CABLES[[#This Row],[CABLE_MASS]],0)</f>
        <v>0</v>
      </c>
      <c r="GX73" s="10">
        <f>IF(CABLES[[#This Row],[SEG18]]&gt;0,CABLES[[#This Row],[CABLE_MASS]],0)</f>
        <v>0</v>
      </c>
      <c r="GY73" s="10">
        <f>IF(CABLES[[#This Row],[SEG19]]&gt;0,CABLES[[#This Row],[CABLE_MASS]],0)</f>
        <v>0</v>
      </c>
      <c r="GZ73" s="10">
        <f>IF(CABLES[[#This Row],[SEG20]]&gt;0,CABLES[[#This Row],[CABLE_MASS]],0)</f>
        <v>0</v>
      </c>
      <c r="HA73" s="10">
        <f>IF(CABLES[[#This Row],[SEG21]]&gt;0,CABLES[[#This Row],[CABLE_MASS]],0)</f>
        <v>0</v>
      </c>
      <c r="HB73" s="10">
        <f>IF(CABLES[[#This Row],[SEG22]]&gt;0,CABLES[[#This Row],[CABLE_MASS]],0)</f>
        <v>0</v>
      </c>
      <c r="HC73" s="10">
        <f>IF(CABLES[[#This Row],[SEG23]]&gt;0,CABLES[[#This Row],[CABLE_MASS]],0)</f>
        <v>0</v>
      </c>
      <c r="HD73" s="10">
        <f>IF(CABLES[[#This Row],[SEG24]]&gt;0,CABLES[[#This Row],[CABLE_MASS]],0)</f>
        <v>0</v>
      </c>
      <c r="HE73" s="10">
        <f>IF(CABLES[[#This Row],[SEG25]]&gt;0,CABLES[[#This Row],[CABLE_MASS]],0)</f>
        <v>0</v>
      </c>
      <c r="HF73" s="10">
        <f>IF(CABLES[[#This Row],[SEG26]]&gt;0,CABLES[[#This Row],[CABLE_MASS]],0)</f>
        <v>0</v>
      </c>
      <c r="HG73" s="10">
        <f>IF(CABLES[[#This Row],[SEG27]]&gt;0,CABLES[[#This Row],[CABLE_MASS]],0)</f>
        <v>0</v>
      </c>
      <c r="HH73" s="10">
        <f>IF(CABLES[[#This Row],[SEG28]]&gt;0,CABLES[[#This Row],[CABLE_MASS]],0)</f>
        <v>0</v>
      </c>
      <c r="HI73" s="10">
        <f>IF(CABLES[[#This Row],[SEG29]]&gt;0,CABLES[[#This Row],[CABLE_MASS]],0)</f>
        <v>0</v>
      </c>
      <c r="HJ73" s="10">
        <f>IF(CABLES[[#This Row],[SEG30]]&gt;0,CABLES[[#This Row],[CABLE_MASS]],0)</f>
        <v>0</v>
      </c>
      <c r="HK73" s="10">
        <f>IF(CABLES[[#This Row],[SEG31]]&gt;0,CABLES[[#This Row],[CABLE_MASS]],0)</f>
        <v>0</v>
      </c>
      <c r="HL73" s="10">
        <f>IF(CABLES[[#This Row],[SEG32]]&gt;0,CABLES[[#This Row],[CABLE_MASS]],0)</f>
        <v>0</v>
      </c>
      <c r="HM73" s="10">
        <f>IF(CABLES[[#This Row],[SEG33]]&gt;0,CABLES[[#This Row],[CABLE_MASS]],0)</f>
        <v>0</v>
      </c>
      <c r="HN73" s="10">
        <f>IF(CABLES[[#This Row],[SEG34]]&gt;0,CABLES[[#This Row],[CABLE_MASS]],0)</f>
        <v>0</v>
      </c>
      <c r="HO73" s="10">
        <f>IF(CABLES[[#This Row],[SEG35]]&gt;0,CABLES[[#This Row],[CABLE_MASS]],0)</f>
        <v>0</v>
      </c>
      <c r="HP73" s="10">
        <f>IF(CABLES[[#This Row],[SEG36]]&gt;0,CABLES[[#This Row],[CABLE_MASS]],0)</f>
        <v>0</v>
      </c>
      <c r="HQ73" s="10">
        <f>IF(CABLES[[#This Row],[SEG37]]&gt;0,CABLES[[#This Row],[CABLE_MASS]],0)</f>
        <v>0</v>
      </c>
      <c r="HR73" s="10">
        <f>IF(CABLES[[#This Row],[SEG38]]&gt;0,CABLES[[#This Row],[CABLE_MASS]],0)</f>
        <v>0</v>
      </c>
      <c r="HS73" s="10">
        <f>IF(CABLES[[#This Row],[SEG39]]&gt;0,CABLES[[#This Row],[CABLE_MASS]],0)</f>
        <v>0</v>
      </c>
      <c r="HT73" s="10">
        <f>IF(CABLES[[#This Row],[SEG40]]&gt;0,CABLES[[#This Row],[CABLE_MASS]],0)</f>
        <v>0</v>
      </c>
      <c r="HU73" s="10">
        <f>IF(CABLES[[#This Row],[SEG41]]&gt;0,CABLES[[#This Row],[CABLE_MASS]],0)</f>
        <v>0</v>
      </c>
      <c r="HV73" s="10">
        <f>IF(CABLES[[#This Row],[SEG42]]&gt;0,CABLES[[#This Row],[CABLE_MASS]],0)</f>
        <v>0</v>
      </c>
      <c r="HW73" s="10">
        <f>IF(CABLES[[#This Row],[SEG43]]&gt;0,CABLES[[#This Row],[CABLE_MASS]],0)</f>
        <v>0</v>
      </c>
      <c r="HX73" s="10">
        <f>IF(CABLES[[#This Row],[SEG44]]&gt;0,CABLES[[#This Row],[CABLE_MASS]],0)</f>
        <v>0</v>
      </c>
      <c r="HY73" s="10">
        <f>IF(CABLES[[#This Row],[SEG45]]&gt;0,CABLES[[#This Row],[CABLE_MASS]],0)</f>
        <v>0</v>
      </c>
      <c r="HZ73" s="10">
        <f>IF(CABLES[[#This Row],[SEG46]]&gt;0,CABLES[[#This Row],[CABLE_MASS]],0)</f>
        <v>0</v>
      </c>
      <c r="IA73" s="10">
        <f>IF(CABLES[[#This Row],[SEG47]]&gt;0,CABLES[[#This Row],[CABLE_MASS]],0)</f>
        <v>0</v>
      </c>
      <c r="IB73" s="10">
        <f>IF(CABLES[[#This Row],[SEG48]]&gt;0,CABLES[[#This Row],[CABLE_MASS]],0)</f>
        <v>0</v>
      </c>
      <c r="IC73" s="10">
        <f>IF(CABLES[[#This Row],[SEG49]]&gt;0,CABLES[[#This Row],[CABLE_MASS]],0)</f>
        <v>0</v>
      </c>
      <c r="ID73" s="10">
        <f>IF(CABLES[[#This Row],[SEG50]]&gt;0,CABLES[[#This Row],[CABLE_MASS]],0)</f>
        <v>0</v>
      </c>
      <c r="IE73" s="10">
        <f>IF(CABLES[[#This Row],[SEG51]]&gt;0,CABLES[[#This Row],[CABLE_MASS]],0)</f>
        <v>0</v>
      </c>
      <c r="IF73" s="10">
        <f>IF(CABLES[[#This Row],[SEG52]]&gt;0,CABLES[[#This Row],[CABLE_MASS]],0)</f>
        <v>0</v>
      </c>
      <c r="IG73" s="10">
        <f>IF(CABLES[[#This Row],[SEG53]]&gt;0,CABLES[[#This Row],[CABLE_MASS]],0)</f>
        <v>0</v>
      </c>
      <c r="IH73" s="10">
        <f>IF(CABLES[[#This Row],[SEG54]]&gt;0,CABLES[[#This Row],[CABLE_MASS]],0)</f>
        <v>0</v>
      </c>
      <c r="II73" s="10">
        <f>IF(CABLES[[#This Row],[SEG55]]&gt;0,CABLES[[#This Row],[CABLE_MASS]],0)</f>
        <v>0</v>
      </c>
      <c r="IJ73" s="10">
        <f>IF(CABLES[[#This Row],[SEG56]]&gt;0,CABLES[[#This Row],[CABLE_MASS]],0)</f>
        <v>0</v>
      </c>
      <c r="IK73" s="10">
        <f>IF(CABLES[[#This Row],[SEG57]]&gt;0,CABLES[[#This Row],[CABLE_MASS]],0)</f>
        <v>0</v>
      </c>
      <c r="IL73" s="10">
        <f>IF(CABLES[[#This Row],[SEG58]]&gt;0,CABLES[[#This Row],[CABLE_MASS]],0)</f>
        <v>0</v>
      </c>
      <c r="IM73" s="10">
        <f>IF(CABLES[[#This Row],[SEG59]]&gt;0,CABLES[[#This Row],[CABLE_MASS]],0)</f>
        <v>0</v>
      </c>
      <c r="IN73" s="10">
        <f>IF(CABLES[[#This Row],[SEG60]]&gt;0,CABLES[[#This Row],[CABLE_MASS]],0)</f>
        <v>0</v>
      </c>
      <c r="IO73" s="10">
        <f xml:space="preserve">  (CABLES[[#This Row],[LOAD_KW]]/(SQRT(3)*SYSTEM_VOLTAGE*POWER_FACTOR))*1000</f>
        <v>3.528251645047713</v>
      </c>
      <c r="IP73" s="10">
        <v>45</v>
      </c>
      <c r="IQ73" s="10">
        <f xml:space="preserve"> INDEX(AS3000_AMBIENTDERATE[], MATCH(CABLES[[#This Row],[AMBIENT]],AS3000_AMBIENTDERATE[AMBIENT],0), 2)</f>
        <v>0.94</v>
      </c>
      <c r="IR73" s="10">
        <f xml:space="preserve"> ROUNDUP( CABLES[[#This Row],[CALCULATED_AMPS]]/CABLES[[#This Row],[AMBIENT_DERATING]],1)</f>
        <v>3.8000000000000003</v>
      </c>
      <c r="IS73" s="10" t="s">
        <v>531</v>
      </c>
      <c r="IT7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3" s="10">
        <f t="shared" si="2"/>
        <v>28.000000000000004</v>
      </c>
      <c r="IV73" s="10">
        <f>(1000*CABLES[[#This Row],[MAX_VDROP]])/(CABLES[[#This Row],[ESTIMATED_CABLE_LENGTH]]*CABLES[[#This Row],[AMP_RATING]])</f>
        <v>95.942982456140356</v>
      </c>
      <c r="IW73" s="10">
        <f xml:space="preserve"> INDEX(AS3000_VDROP[], MATCH(CABLES[[#This Row],[VC_CALC]],AS3000_VDROP[Vc],1),1)</f>
        <v>2.5</v>
      </c>
      <c r="IX73" s="10">
        <f>MAX(CABLES[[#This Row],[CABLESIZE_METHOD1]],CABLES[[#This Row],[CABLESIZE_METHOD2]])</f>
        <v>2.5</v>
      </c>
      <c r="IY73" s="10"/>
      <c r="IZ73" s="10">
        <f>IF(LEN(CABLES[[#This Row],[OVERRIDE_CABLESIZE]])&gt;0,CABLES[[#This Row],[OVERRIDE_CABLESIZE]],CABLES[[#This Row],[INITIAL_CABLESIZE]])</f>
        <v>2.5</v>
      </c>
      <c r="JA73" s="10">
        <f>INDEX(PROTECTIVE_DEVICE[DEVICE], MATCH(CABLES[[#This Row],[CALCULATED_AMPS]],PROTECTIVE_DEVICE[DEVICE],-1),1)</f>
        <v>6</v>
      </c>
      <c r="JB73" s="10"/>
      <c r="JC73" s="10">
        <f>IF(LEN(CABLES[[#This Row],[OVERRIDE_PDEVICE]])&gt;0, CABLES[[#This Row],[OVERRIDE_PDEVICE]],CABLES[[#This Row],[RECOMMEND_PDEVICE]])</f>
        <v>6</v>
      </c>
      <c r="JD73" s="10" t="s">
        <v>450</v>
      </c>
      <c r="JE73" s="10">
        <f xml:space="preserve"> CABLES[[#This Row],[SELECTED_PDEVICE]] * INDEX(DEVICE_CURVE[], MATCH(CABLES[[#This Row],[PDEVICE_CURVE]], DEVICE_CURVE[DEVICE_CURVE],0),2)</f>
        <v>39</v>
      </c>
      <c r="JF73" s="10" t="s">
        <v>458</v>
      </c>
      <c r="JG73" s="10">
        <f xml:space="preserve"> INDEX(CONDUCTOR_MATERIAL[], MATCH(CABLES[[#This Row],[CONDUCTOR_MATERIAL]],CONDUCTOR_MATERIAL[CONDUCTOR_MATERIAL],0),2)</f>
        <v>2.2499999999999999E-2</v>
      </c>
      <c r="JH73" s="10">
        <f>CABLES[[#This Row],[SELECTED_CABLESIZE]]</f>
        <v>2.5</v>
      </c>
      <c r="JI73" s="10">
        <f xml:space="preserve"> INDEX( EARTH_CONDUCTOR_SIZE[], MATCH(CABLES[[#This Row],[SPH]],EARTH_CONDUCTOR_SIZE[MM^2],-1), 2)</f>
        <v>2.5</v>
      </c>
      <c r="JJ73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73" s="10" t="str">
        <f>IF(CABLES[[#This Row],[LMAX]]&gt;CABLES[[#This Row],[ESTIMATED_CABLE_LENGTH]], "PASS", "ERROR")</f>
        <v>PASS</v>
      </c>
      <c r="JL7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7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73" s="6">
        <f xml:space="preserve"> ROUNDUP( CABLES[[#This Row],[CALCULATED_AMPS]],1)</f>
        <v>3.6</v>
      </c>
      <c r="JO73" s="6">
        <f>CABLES[[#This Row],[SELECTED_CABLESIZE]]</f>
        <v>2.5</v>
      </c>
      <c r="JP73" s="10">
        <f>CABLES[[#This Row],[ESTIMATED_CABLE_LENGTH]]</f>
        <v>76.8</v>
      </c>
      <c r="JQ73" s="6">
        <f>CABLES[[#This Row],[SELECTED_PDEVICE]]</f>
        <v>6</v>
      </c>
    </row>
    <row r="74" spans="1:277" x14ac:dyDescent="0.35">
      <c r="A74" s="5" t="s">
        <v>71</v>
      </c>
      <c r="B74" s="5" t="s">
        <v>116</v>
      </c>
      <c r="C74" s="10" t="s">
        <v>262</v>
      </c>
      <c r="D74" s="9">
        <v>0.75</v>
      </c>
      <c r="E74" s="9">
        <v>1</v>
      </c>
      <c r="F74" s="9">
        <v>1</v>
      </c>
      <c r="G74" s="9">
        <v>0</v>
      </c>
      <c r="H74" s="9">
        <v>1</v>
      </c>
      <c r="I74" s="9">
        <v>0</v>
      </c>
      <c r="J74" s="9">
        <v>1</v>
      </c>
      <c r="K74" s="9">
        <v>0</v>
      </c>
      <c r="L74" s="9">
        <v>1</v>
      </c>
      <c r="M74" s="9">
        <v>0</v>
      </c>
      <c r="N74" s="9">
        <v>1</v>
      </c>
      <c r="O74" s="9">
        <v>0</v>
      </c>
      <c r="P74" s="9">
        <v>1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f xml:space="preserve"> IF(CABLES[[#This Row],[SEG1]] &gt;0, INDEX(SEGMENTS[], MATCH(CABLES[[#Headers],[SEG1]],SEGMENTS[SEG_ID],0),4),0)</f>
        <v>13</v>
      </c>
      <c r="BN74" s="9">
        <f xml:space="preserve"> IF(CABLES[[#This Row],[SEG2]] &gt;0, INDEX(SEGMENTS[], MATCH(CABLES[[#Headers],[SEG2]],SEGMENTS[SEG_ID],0),4),0)</f>
        <v>2</v>
      </c>
      <c r="BO74" s="9">
        <f xml:space="preserve"> IF(CABLES[[#This Row],[SEG3]] &gt;0, INDEX(SEGMENTS[], MATCH(CABLES[[#Headers],[SEG3]],SEGMENTS[SEG_ID],0),4),0)</f>
        <v>0</v>
      </c>
      <c r="BP74" s="9">
        <f xml:space="preserve"> IF(CABLES[[#This Row],[SEG4]] &gt;0, INDEX(SEGMENTS[], MATCH(CABLES[[#Headers],[SEG4]],SEGMENTS[SEG_ID],0),4),0)</f>
        <v>14</v>
      </c>
      <c r="BQ74" s="9">
        <f xml:space="preserve"> IF(CABLES[[#This Row],[SEG5]] &gt;0,INDEX(SEGMENTS[], MATCH(CABLES[[#Headers],[SEG5]],SEGMENTS[SEG_ID],0),4),0)</f>
        <v>0</v>
      </c>
      <c r="BR74" s="9">
        <f xml:space="preserve"> IF(CABLES[[#This Row],[SEG6]] &gt;0,INDEX(SEGMENTS[], MATCH(CABLES[[#Headers],[SEG6]],SEGMENTS[SEG_ID],0),4),0)</f>
        <v>2</v>
      </c>
      <c r="BS74" s="9">
        <f xml:space="preserve"> IF(CABLES[[#This Row],[SEG7]] &gt;0,INDEX(SEGMENTS[], MATCH(CABLES[[#Headers],[SEG7]],SEGMENTS[SEG_ID],0),4),0)</f>
        <v>0</v>
      </c>
      <c r="BT74" s="9">
        <f xml:space="preserve"> IF(CABLES[[#This Row],[SEG8]] &gt;0,INDEX(SEGMENTS[], MATCH(CABLES[[#Headers],[SEG8]],SEGMENTS[SEG_ID],0),4),0)</f>
        <v>3</v>
      </c>
      <c r="BU74" s="9">
        <f xml:space="preserve"> IF(CABLES[[#This Row],[SEG9]] &gt;0,INDEX(SEGMENTS[], MATCH(CABLES[[#Headers],[SEG9]],SEGMENTS[SEG_ID],0),4),0)</f>
        <v>0</v>
      </c>
      <c r="BV74" s="9">
        <f xml:space="preserve"> IF(CABLES[[#This Row],[SEG10]] &gt;0,INDEX(SEGMENTS[], MATCH(CABLES[[#Headers],[SEG10]],SEGMENTS[SEG_ID],0),4),0)</f>
        <v>9</v>
      </c>
      <c r="BW74" s="9">
        <f xml:space="preserve"> IF(CABLES[[#This Row],[SEG11]] &gt;0,INDEX(SEGMENTS[], MATCH(CABLES[[#Headers],[SEG11]],SEGMENTS[SEG_ID],0),4),0)</f>
        <v>0</v>
      </c>
      <c r="BX74" s="9">
        <f>IF(CABLES[[#This Row],[SEG12]] &gt;0, INDEX(SEGMENTS[], MATCH(CABLES[[#Headers],[SEG12]],SEGMENTS[SEG_ID],0),4),0)</f>
        <v>16</v>
      </c>
      <c r="BY74" s="9">
        <f xml:space="preserve"> IF(CABLES[[#This Row],[SEG13]] &gt;0,INDEX(SEGMENTS[], MATCH(CABLES[[#Headers],[SEG13]],SEGMENTS[SEG_ID],0),4),0)</f>
        <v>0</v>
      </c>
      <c r="BZ74" s="9">
        <f xml:space="preserve"> IF(CABLES[[#This Row],[SEG14]] &gt;0,INDEX(SEGMENTS[], MATCH(CABLES[[#Headers],[SEG14]],SEGMENTS[SEG_ID],0),4),0)</f>
        <v>0</v>
      </c>
      <c r="CA74" s="9">
        <f xml:space="preserve"> IF(CABLES[[#This Row],[SEG15]] &gt;0,INDEX(SEGMENTS[], MATCH(CABLES[[#Headers],[SEG15]],SEGMENTS[SEG_ID],0),4),0)</f>
        <v>0</v>
      </c>
      <c r="CB74" s="9">
        <f xml:space="preserve"> IF(CABLES[[#This Row],[SEG16]] &gt;0,INDEX(SEGMENTS[], MATCH(CABLES[[#Headers],[SEG16]],SEGMENTS[SEG_ID],0),4),0)</f>
        <v>0</v>
      </c>
      <c r="CC74" s="9">
        <f xml:space="preserve"> IF(CABLES[[#This Row],[SEG17]] &gt;0,INDEX(SEGMENTS[], MATCH(CABLES[[#Headers],[SEG17]],SEGMENTS[SEG_ID],0),4),0)</f>
        <v>0</v>
      </c>
      <c r="CD74" s="9">
        <f xml:space="preserve"> IF(CABLES[[#This Row],[SEG18]] &gt;0,INDEX(SEGMENTS[], MATCH(CABLES[[#Headers],[SEG18]],SEGMENTS[SEG_ID],0),4),0)</f>
        <v>0</v>
      </c>
      <c r="CE74" s="9">
        <f>IF(CABLES[[#This Row],[SEG19]] &gt;0, INDEX(SEGMENTS[], MATCH(CABLES[[#Headers],[SEG19]],SEGMENTS[SEG_ID],0),4),0)</f>
        <v>0</v>
      </c>
      <c r="CF74" s="9">
        <f>IF(CABLES[[#This Row],[SEG20]] &gt;0, INDEX(SEGMENTS[], MATCH(CABLES[[#Headers],[SEG20]],SEGMENTS[SEG_ID],0),4),0)</f>
        <v>0</v>
      </c>
      <c r="CG74" s="9">
        <f xml:space="preserve"> IF(CABLES[[#This Row],[SEG21]] &gt;0,INDEX(SEGMENTS[], MATCH(CABLES[[#Headers],[SEG21]],SEGMENTS[SEG_ID],0),4),0)</f>
        <v>0</v>
      </c>
      <c r="CH74" s="9">
        <f xml:space="preserve"> IF(CABLES[[#This Row],[SEG22]] &gt;0,INDEX(SEGMENTS[], MATCH(CABLES[[#Headers],[SEG22]],SEGMENTS[SEG_ID],0),4),0)</f>
        <v>0</v>
      </c>
      <c r="CI74" s="9">
        <f>IF(CABLES[[#This Row],[SEG23]] &gt;0, INDEX(SEGMENTS[], MATCH(CABLES[[#Headers],[SEG23]],SEGMENTS[SEG_ID],0),4),0)</f>
        <v>0</v>
      </c>
      <c r="CJ74" s="9">
        <f xml:space="preserve"> IF(CABLES[[#This Row],[SEG24]] &gt;0,INDEX(SEGMENTS[], MATCH(CABLES[[#Headers],[SEG24]],SEGMENTS[SEG_ID],0),4),0)</f>
        <v>0</v>
      </c>
      <c r="CK74" s="9">
        <f>IF(CABLES[[#This Row],[SEG25]] &gt;0, INDEX(SEGMENTS[], MATCH(CABLES[[#Headers],[SEG25]],SEGMENTS[SEG_ID],0),4),0)</f>
        <v>0</v>
      </c>
      <c r="CL74" s="9">
        <f>IF(CABLES[[#This Row],[SEG26]] &gt;0, INDEX(SEGMENTS[], MATCH(CABLES[[#Headers],[SEG26]],SEGMENTS[SEG_ID],0),4),0)</f>
        <v>0</v>
      </c>
      <c r="CM74" s="9">
        <f xml:space="preserve"> IF(CABLES[[#This Row],[SEG27]] &gt;0,INDEX(SEGMENTS[], MATCH(CABLES[[#Headers],[SEG27]],SEGMENTS[SEG_ID],0),4),0)</f>
        <v>0</v>
      </c>
      <c r="CN74" s="9">
        <f xml:space="preserve"> IF(CABLES[[#This Row],[SEG28]] &gt;0,INDEX(SEGMENTS[], MATCH(CABLES[[#Headers],[SEG28]],SEGMENTS[SEG_ID],0),4),0)</f>
        <v>0</v>
      </c>
      <c r="CO74" s="9">
        <f xml:space="preserve"> IF(CABLES[[#This Row],[SEG29]] &gt;0,INDEX(SEGMENTS[], MATCH(CABLES[[#Headers],[SEG29]],SEGMENTS[SEG_ID],0),4),0)</f>
        <v>0</v>
      </c>
      <c r="CP74" s="9">
        <f xml:space="preserve"> IF(CABLES[[#This Row],[SEG30]] &gt;0,INDEX(SEGMENTS[], MATCH(CABLES[[#Headers],[SEG30]],SEGMENTS[SEG_ID],0),4),0)</f>
        <v>0</v>
      </c>
      <c r="CQ74" s="9">
        <f>IF(CABLES[[#This Row],[SEG31]] &gt;0, INDEX(SEGMENTS[], MATCH(CABLES[[#Headers],[SEG31]],SEGMENTS[SEG_ID],0),4),0)</f>
        <v>0</v>
      </c>
      <c r="CR74" s="9">
        <f xml:space="preserve"> IF(CABLES[[#This Row],[SEG32]] &gt;0,INDEX(SEGMENTS[], MATCH(CABLES[[#Headers],[SEG32]],SEGMENTS[SEG_ID],0),4),0)</f>
        <v>0</v>
      </c>
      <c r="CS74" s="9">
        <f xml:space="preserve"> IF(CABLES[[#This Row],[SEG33]] &gt;0,INDEX(SEGMENTS[], MATCH(CABLES[[#Headers],[SEG33]],SEGMENTS[SEG_ID],0),4),0)</f>
        <v>0</v>
      </c>
      <c r="CT74" s="9">
        <f>IF(CABLES[[#This Row],[SEG34]] &gt;0, INDEX(SEGMENTS[], MATCH(CABLES[[#Headers],[SEG34]],SEGMENTS[SEG_ID],0),4),0)</f>
        <v>0</v>
      </c>
      <c r="CU74" s="9">
        <f xml:space="preserve"> IF(CABLES[[#This Row],[SEG35]] &gt;0,INDEX(SEGMENTS[], MATCH(CABLES[[#Headers],[SEG35]],SEGMENTS[SEG_ID],0),4),0)</f>
        <v>0</v>
      </c>
      <c r="CV74" s="9">
        <f xml:space="preserve"> IF(CABLES[[#This Row],[SEG36]] &gt;0,INDEX(SEGMENTS[], MATCH(CABLES[[#Headers],[SEG36]],SEGMENTS[SEG_ID],0),4),0)</f>
        <v>0</v>
      </c>
      <c r="CW74" s="9">
        <f xml:space="preserve"> IF(CABLES[[#This Row],[SEG37]] &gt;0,INDEX(SEGMENTS[], MATCH(CABLES[[#Headers],[SEG37]],SEGMENTS[SEG_ID],0),4),0)</f>
        <v>0</v>
      </c>
      <c r="CX74" s="9">
        <f xml:space="preserve"> IF(CABLES[[#This Row],[SEG38]] &gt;0,INDEX(SEGMENTS[], MATCH(CABLES[[#Headers],[SEG38]],SEGMENTS[SEG_ID],0),4),0)</f>
        <v>0</v>
      </c>
      <c r="CY74" s="9">
        <f xml:space="preserve"> IF(CABLES[[#This Row],[SEG39]] &gt;0,INDEX(SEGMENTS[], MATCH(CABLES[[#Headers],[SEG39]],SEGMENTS[SEG_ID],0),4),0)</f>
        <v>0</v>
      </c>
      <c r="CZ74" s="9">
        <f xml:space="preserve"> IF(CABLES[[#This Row],[SEG40]] &gt;0,INDEX(SEGMENTS[], MATCH(CABLES[[#Headers],[SEG40]],SEGMENTS[SEG_ID],0),4),0)</f>
        <v>0</v>
      </c>
      <c r="DA74" s="9">
        <f xml:space="preserve"> IF(CABLES[[#This Row],[SEG41]] &gt;0,INDEX(SEGMENTS[], MATCH(CABLES[[#Headers],[SEG41]],SEGMENTS[SEG_ID],0),4),0)</f>
        <v>0</v>
      </c>
      <c r="DB74" s="9">
        <f xml:space="preserve"> IF(CABLES[[#This Row],[SEG42]] &gt;0,INDEX(SEGMENTS[], MATCH(CABLES[[#Headers],[SEG42]],SEGMENTS[SEG_ID],0),4),0)</f>
        <v>0</v>
      </c>
      <c r="DC74" s="9">
        <f xml:space="preserve"> IF(CABLES[[#This Row],[SEG43]] &gt;0,INDEX(SEGMENTS[], MATCH(CABLES[[#Headers],[SEG43]],SEGMENTS[SEG_ID],0),4),0)</f>
        <v>0</v>
      </c>
      <c r="DD74" s="9">
        <f xml:space="preserve"> IF(CABLES[[#This Row],[SEG44]] &gt;0,INDEX(SEGMENTS[], MATCH(CABLES[[#Headers],[SEG44]],SEGMENTS[SEG_ID],0),4),0)</f>
        <v>0</v>
      </c>
      <c r="DE74" s="9">
        <f xml:space="preserve"> IF(CABLES[[#This Row],[SEG45]] &gt;0,INDEX(SEGMENTS[], MATCH(CABLES[[#Headers],[SEG45]],SEGMENTS[SEG_ID],0),4),0)</f>
        <v>0</v>
      </c>
      <c r="DF74" s="9">
        <f xml:space="preserve"> IF(CABLES[[#This Row],[SEG46]] &gt;0,INDEX(SEGMENTS[], MATCH(CABLES[[#Headers],[SEG46]],SEGMENTS[SEG_ID],0),4),0)</f>
        <v>0</v>
      </c>
      <c r="DG74" s="9">
        <f xml:space="preserve"> IF(CABLES[[#This Row],[SEG47]] &gt;0,INDEX(SEGMENTS[], MATCH(CABLES[[#Headers],[SEG47]],SEGMENTS[SEG_ID],0),4),0)</f>
        <v>0</v>
      </c>
      <c r="DH74" s="9">
        <f xml:space="preserve"> IF(CABLES[[#This Row],[SEG48]] &gt;0,INDEX(SEGMENTS[], MATCH(CABLES[[#Headers],[SEG48]],SEGMENTS[SEG_ID],0),4),0)</f>
        <v>0</v>
      </c>
      <c r="DI74" s="9">
        <f xml:space="preserve"> IF(CABLES[[#This Row],[SEG49]] &gt;0,INDEX(SEGMENTS[], MATCH(CABLES[[#Headers],[SEG49]],SEGMENTS[SEG_ID],0),4),0)</f>
        <v>0</v>
      </c>
      <c r="DJ74" s="9">
        <f xml:space="preserve"> IF(CABLES[[#This Row],[SEG50]] &gt;0,INDEX(SEGMENTS[], MATCH(CABLES[[#Headers],[SEG50]],SEGMENTS[SEG_ID],0),4),0)</f>
        <v>0</v>
      </c>
      <c r="DK74" s="9">
        <f xml:space="preserve"> IF(CABLES[[#This Row],[SEG51]] &gt;0,INDEX(SEGMENTS[], MATCH(CABLES[[#Headers],[SEG51]],SEGMENTS[SEG_ID],0),4),0)</f>
        <v>0</v>
      </c>
      <c r="DL74" s="9">
        <f xml:space="preserve"> IF(CABLES[[#This Row],[SEG52]] &gt;0,INDEX(SEGMENTS[], MATCH(CABLES[[#Headers],[SEG52]],SEGMENTS[SEG_ID],0),4),0)</f>
        <v>0</v>
      </c>
      <c r="DM74" s="9">
        <f xml:space="preserve"> IF(CABLES[[#This Row],[SEG53]] &gt;0,INDEX(SEGMENTS[], MATCH(CABLES[[#Headers],[SEG53]],SEGMENTS[SEG_ID],0),4),0)</f>
        <v>0</v>
      </c>
      <c r="DN74" s="9">
        <f xml:space="preserve"> IF(CABLES[[#This Row],[SEG54]] &gt;0,INDEX(SEGMENTS[], MATCH(CABLES[[#Headers],[SEG54]],SEGMENTS[SEG_ID],0),4),0)</f>
        <v>0</v>
      </c>
      <c r="DO74" s="9">
        <f xml:space="preserve"> IF(CABLES[[#This Row],[SEG55]] &gt;0,INDEX(SEGMENTS[], MATCH(CABLES[[#Headers],[SEG55]],SEGMENTS[SEG_ID],0),4),0)</f>
        <v>0</v>
      </c>
      <c r="DP74" s="9">
        <f xml:space="preserve"> IF(CABLES[[#This Row],[SEG56]] &gt;0,INDEX(SEGMENTS[], MATCH(CABLES[[#Headers],[SEG56]],SEGMENTS[SEG_ID],0),4),0)</f>
        <v>0</v>
      </c>
      <c r="DQ74" s="9">
        <f xml:space="preserve"> IF(CABLES[[#This Row],[SEG57]] &gt;0,INDEX(SEGMENTS[], MATCH(CABLES[[#Headers],[SEG57]],SEGMENTS[SEG_ID],0),4),0)</f>
        <v>0</v>
      </c>
      <c r="DR74" s="9">
        <f xml:space="preserve"> IF(CABLES[[#This Row],[SEG58]] &gt;0,INDEX(SEGMENTS[], MATCH(CABLES[[#Headers],[SEG58]],SEGMENTS[SEG_ID],0),4),0)</f>
        <v>0</v>
      </c>
      <c r="DS74" s="9">
        <f xml:space="preserve"> IF(CABLES[[#This Row],[SEG59]] &gt;0,INDEX(SEGMENTS[], MATCH(CABLES[[#Headers],[SEG59]],SEGMENTS[SEG_ID],0),4),0)</f>
        <v>0</v>
      </c>
      <c r="DT74" s="9">
        <f xml:space="preserve"> IF(CABLES[[#This Row],[SEG60]] &gt;0,INDEX(SEGMENTS[], MATCH(CABLES[[#Headers],[SEG60]],SEGMENTS[SEG_ID],0),4),0)</f>
        <v>0</v>
      </c>
      <c r="DU74" s="10">
        <f>SUM(CABLES[[#This Row],[SEGL1]:[SEGL60]])</f>
        <v>59</v>
      </c>
      <c r="DV74" s="10">
        <v>5</v>
      </c>
      <c r="DW74" s="10">
        <v>1.2</v>
      </c>
      <c r="DX74" s="10">
        <f xml:space="preserve"> IF(CABLES[[#This Row],[SEGL_TOTAL]]&gt;0, (CABLES[[#This Row],[SEGL_TOTAL]] + CABLES[[#This Row],[FITOFF]]) *CABLES[[#This Row],[XCAPACITY]],0)</f>
        <v>76.8</v>
      </c>
      <c r="DY74" s="10">
        <f>IF(CABLES[[#This Row],[SEG1]]&gt;0,CABLES[[#This Row],[CABLE_DIAMETER]],0)</f>
        <v>12</v>
      </c>
      <c r="DZ74" s="10">
        <f>IF(CABLES[[#This Row],[SEG2]]&gt;0,CABLES[[#This Row],[CABLE_DIAMETER]],0)</f>
        <v>12</v>
      </c>
      <c r="EA74" s="10">
        <f>IF(CABLES[[#This Row],[SEG3]]&gt;0,CABLES[[#This Row],[CABLE_DIAMETER]],0)</f>
        <v>0</v>
      </c>
      <c r="EB74" s="10">
        <f>IF(CABLES[[#This Row],[SEG4]]&gt;0,CABLES[[#This Row],[CABLE_DIAMETER]],0)</f>
        <v>12</v>
      </c>
      <c r="EC74" s="10">
        <f>IF(CABLES[[#This Row],[SEG5]]&gt;0,CABLES[[#This Row],[CABLE_DIAMETER]],0)</f>
        <v>0</v>
      </c>
      <c r="ED74" s="10">
        <f>IF(CABLES[[#This Row],[SEG6]]&gt;0,CABLES[[#This Row],[CABLE_DIAMETER]],0)</f>
        <v>12</v>
      </c>
      <c r="EE74" s="10">
        <f>IF(CABLES[[#This Row],[SEG7]]&gt;0,CABLES[[#This Row],[CABLE_DIAMETER]],0)</f>
        <v>0</v>
      </c>
      <c r="EF74" s="10">
        <f>IF(CABLES[[#This Row],[SEG9]]&gt;0,CABLES[[#This Row],[CABLE_DIAMETER]],0)</f>
        <v>0</v>
      </c>
      <c r="EG74" s="10">
        <f>IF(CABLES[[#This Row],[SEG9]]&gt;0,CABLES[[#This Row],[CABLE_DIAMETER]],0)</f>
        <v>0</v>
      </c>
      <c r="EH74" s="10">
        <f>IF(CABLES[[#This Row],[SEG10]]&gt;0,CABLES[[#This Row],[CABLE_DIAMETER]],0)</f>
        <v>12</v>
      </c>
      <c r="EI74" s="10">
        <f>IF(CABLES[[#This Row],[SEG11]]&gt;0,CABLES[[#This Row],[CABLE_DIAMETER]],0)</f>
        <v>0</v>
      </c>
      <c r="EJ74" s="10">
        <f>IF(CABLES[[#This Row],[SEG12]]&gt;0,CABLES[[#This Row],[CABLE_DIAMETER]],0)</f>
        <v>12</v>
      </c>
      <c r="EK74" s="10">
        <f>IF(CABLES[[#This Row],[SEG13]]&gt;0,CABLES[[#This Row],[CABLE_DIAMETER]],0)</f>
        <v>0</v>
      </c>
      <c r="EL74" s="10">
        <f>IF(CABLES[[#This Row],[SEG14]]&gt;0,CABLES[[#This Row],[CABLE_DIAMETER]],0)</f>
        <v>0</v>
      </c>
      <c r="EM74" s="10">
        <f>IF(CABLES[[#This Row],[SEG15]]&gt;0,CABLES[[#This Row],[CABLE_DIAMETER]],0)</f>
        <v>0</v>
      </c>
      <c r="EN74" s="10">
        <f>IF(CABLES[[#This Row],[SEG16]]&gt;0,CABLES[[#This Row],[CABLE_DIAMETER]],0)</f>
        <v>0</v>
      </c>
      <c r="EO74" s="10">
        <f>IF(CABLES[[#This Row],[SEG17]]&gt;0,CABLES[[#This Row],[CABLE_DIAMETER]],0)</f>
        <v>0</v>
      </c>
      <c r="EP74" s="10">
        <f>IF(CABLES[[#This Row],[SEG18]]&gt;0,CABLES[[#This Row],[CABLE_DIAMETER]],0)</f>
        <v>0</v>
      </c>
      <c r="EQ74" s="10">
        <f>IF(CABLES[[#This Row],[SEG19]]&gt;0,CABLES[[#This Row],[CABLE_DIAMETER]],0)</f>
        <v>0</v>
      </c>
      <c r="ER74" s="10">
        <f>IF(CABLES[[#This Row],[SEG20]]&gt;0,CABLES[[#This Row],[CABLE_DIAMETER]],0)</f>
        <v>0</v>
      </c>
      <c r="ES74" s="10">
        <f>IF(CABLES[[#This Row],[SEG21]]&gt;0,CABLES[[#This Row],[CABLE_DIAMETER]],0)</f>
        <v>0</v>
      </c>
      <c r="ET74" s="10">
        <f>IF(CABLES[[#This Row],[SEG22]]&gt;0,CABLES[[#This Row],[CABLE_DIAMETER]],0)</f>
        <v>0</v>
      </c>
      <c r="EU74" s="10">
        <f>IF(CABLES[[#This Row],[SEG23]]&gt;0,CABLES[[#This Row],[CABLE_DIAMETER]],0)</f>
        <v>0</v>
      </c>
      <c r="EV74" s="10">
        <f>IF(CABLES[[#This Row],[SEG24]]&gt;0,CABLES[[#This Row],[CABLE_DIAMETER]],0)</f>
        <v>0</v>
      </c>
      <c r="EW74" s="10">
        <f>IF(CABLES[[#This Row],[SEG25]]&gt;0,CABLES[[#This Row],[CABLE_DIAMETER]],0)</f>
        <v>0</v>
      </c>
      <c r="EX74" s="10">
        <f>IF(CABLES[[#This Row],[SEG26]]&gt;0,CABLES[[#This Row],[CABLE_DIAMETER]],0)</f>
        <v>0</v>
      </c>
      <c r="EY74" s="10">
        <f>IF(CABLES[[#This Row],[SEG27]]&gt;0,CABLES[[#This Row],[CABLE_DIAMETER]],0)</f>
        <v>0</v>
      </c>
      <c r="EZ74" s="10">
        <f>IF(CABLES[[#This Row],[SEG28]]&gt;0,CABLES[[#This Row],[CABLE_DIAMETER]],0)</f>
        <v>0</v>
      </c>
      <c r="FA74" s="10">
        <f>IF(CABLES[[#This Row],[SEG29]]&gt;0,CABLES[[#This Row],[CABLE_DIAMETER]],0)</f>
        <v>0</v>
      </c>
      <c r="FB74" s="10">
        <f>IF(CABLES[[#This Row],[SEG30]]&gt;0,CABLES[[#This Row],[CABLE_DIAMETER]],0)</f>
        <v>0</v>
      </c>
      <c r="FC74" s="10">
        <f>IF(CABLES[[#This Row],[SEG31]]&gt;0,CABLES[[#This Row],[CABLE_DIAMETER]],0)</f>
        <v>0</v>
      </c>
      <c r="FD74" s="10">
        <f>IF(CABLES[[#This Row],[SEG32]]&gt;0,CABLES[[#This Row],[CABLE_DIAMETER]],0)</f>
        <v>0</v>
      </c>
      <c r="FE74" s="10">
        <f>IF(CABLES[[#This Row],[SEG33]]&gt;0,CABLES[[#This Row],[CABLE_DIAMETER]],0)</f>
        <v>0</v>
      </c>
      <c r="FF74" s="10">
        <f>IF(CABLES[[#This Row],[SEG34]]&gt;0,CABLES[[#This Row],[CABLE_DIAMETER]],0)</f>
        <v>0</v>
      </c>
      <c r="FG74" s="10">
        <f>IF(CABLES[[#This Row],[SEG35]]&gt;0,CABLES[[#This Row],[CABLE_DIAMETER]],0)</f>
        <v>0</v>
      </c>
      <c r="FH74" s="10">
        <f>IF(CABLES[[#This Row],[SEG36]]&gt;0,CABLES[[#This Row],[CABLE_DIAMETER]],0)</f>
        <v>0</v>
      </c>
      <c r="FI74" s="10">
        <f>IF(CABLES[[#This Row],[SEG37]]&gt;0,CABLES[[#This Row],[CABLE_DIAMETER]],0)</f>
        <v>0</v>
      </c>
      <c r="FJ74" s="10">
        <f>IF(CABLES[[#This Row],[SEG38]]&gt;0,CABLES[[#This Row],[CABLE_DIAMETER]],0)</f>
        <v>0</v>
      </c>
      <c r="FK74" s="10">
        <f>IF(CABLES[[#This Row],[SEG39]]&gt;0,CABLES[[#This Row],[CABLE_DIAMETER]],0)</f>
        <v>0</v>
      </c>
      <c r="FL74" s="10">
        <f>IF(CABLES[[#This Row],[SEG40]]&gt;0,CABLES[[#This Row],[CABLE_DIAMETER]],0)</f>
        <v>0</v>
      </c>
      <c r="FM74" s="10">
        <f>IF(CABLES[[#This Row],[SEG41]]&gt;0,CABLES[[#This Row],[CABLE_DIAMETER]],0)</f>
        <v>0</v>
      </c>
      <c r="FN74" s="10">
        <f>IF(CABLES[[#This Row],[SEG42]]&gt;0,CABLES[[#This Row],[CABLE_DIAMETER]],0)</f>
        <v>0</v>
      </c>
      <c r="FO74" s="10">
        <f>IF(CABLES[[#This Row],[SEG43]]&gt;0,CABLES[[#This Row],[CABLE_DIAMETER]],0)</f>
        <v>0</v>
      </c>
      <c r="FP74" s="10">
        <f>IF(CABLES[[#This Row],[SEG44]]&gt;0,CABLES[[#This Row],[CABLE_DIAMETER]],0)</f>
        <v>0</v>
      </c>
      <c r="FQ74" s="10">
        <f>IF(CABLES[[#This Row],[SEG45]]&gt;0,CABLES[[#This Row],[CABLE_DIAMETER]],0)</f>
        <v>0</v>
      </c>
      <c r="FR74" s="10">
        <f>IF(CABLES[[#This Row],[SEG46]]&gt;0,CABLES[[#This Row],[CABLE_DIAMETER]],0)</f>
        <v>0</v>
      </c>
      <c r="FS74" s="10">
        <f>IF(CABLES[[#This Row],[SEG47]]&gt;0,CABLES[[#This Row],[CABLE_DIAMETER]],0)</f>
        <v>0</v>
      </c>
      <c r="FT74" s="10">
        <f>IF(CABLES[[#This Row],[SEG48]]&gt;0,CABLES[[#This Row],[CABLE_DIAMETER]],0)</f>
        <v>0</v>
      </c>
      <c r="FU74" s="10">
        <f>IF(CABLES[[#This Row],[SEG49]]&gt;0,CABLES[[#This Row],[CABLE_DIAMETER]],0)</f>
        <v>0</v>
      </c>
      <c r="FV74" s="10">
        <f>IF(CABLES[[#This Row],[SEG50]]&gt;0,CABLES[[#This Row],[CABLE_DIAMETER]],0)</f>
        <v>0</v>
      </c>
      <c r="FW74" s="10">
        <f>IF(CABLES[[#This Row],[SEG51]]&gt;0,CABLES[[#This Row],[CABLE_DIAMETER]],0)</f>
        <v>0</v>
      </c>
      <c r="FX74" s="10">
        <f>IF(CABLES[[#This Row],[SEG52]]&gt;0,CABLES[[#This Row],[CABLE_DIAMETER]],0)</f>
        <v>0</v>
      </c>
      <c r="FY74" s="10">
        <f>IF(CABLES[[#This Row],[SEG53]]&gt;0,CABLES[[#This Row],[CABLE_DIAMETER]],0)</f>
        <v>0</v>
      </c>
      <c r="FZ74" s="10">
        <f>IF(CABLES[[#This Row],[SEG54]]&gt;0,CABLES[[#This Row],[CABLE_DIAMETER]],0)</f>
        <v>0</v>
      </c>
      <c r="GA74" s="10">
        <f>IF(CABLES[[#This Row],[SEG55]]&gt;0,CABLES[[#This Row],[CABLE_DIAMETER]],0)</f>
        <v>0</v>
      </c>
      <c r="GB74" s="10">
        <f>IF(CABLES[[#This Row],[SEG56]]&gt;0,CABLES[[#This Row],[CABLE_DIAMETER]],0)</f>
        <v>0</v>
      </c>
      <c r="GC74" s="10">
        <f>IF(CABLES[[#This Row],[SEG57]]&gt;0,CABLES[[#This Row],[CABLE_DIAMETER]],0)</f>
        <v>0</v>
      </c>
      <c r="GD74" s="10">
        <f>IF(CABLES[[#This Row],[SEG58]]&gt;0,CABLES[[#This Row],[CABLE_DIAMETER]],0)</f>
        <v>0</v>
      </c>
      <c r="GE74" s="10">
        <f>IF(CABLES[[#This Row],[SEG59]]&gt;0,CABLES[[#This Row],[CABLE_DIAMETER]],0)</f>
        <v>0</v>
      </c>
      <c r="GF74" s="10">
        <f>IF(CABLES[[#This Row],[SEG60]]&gt;0,CABLES[[#This Row],[CABLE_DIAMETER]],0)</f>
        <v>0</v>
      </c>
      <c r="GG74" s="10">
        <f>IF(CABLES[[#This Row],[SEG1]]&gt;0,CABLES[[#This Row],[CABLE_MASS]],0)</f>
        <v>0.21</v>
      </c>
      <c r="GH74" s="10">
        <f>IF(CABLES[[#This Row],[SEG2]]&gt;0,CABLES[[#This Row],[CABLE_MASS]],0)</f>
        <v>0.21</v>
      </c>
      <c r="GI74" s="10">
        <f>IF(CABLES[[#This Row],[SEG3]]&gt;0,CABLES[[#This Row],[CABLE_MASS]],0)</f>
        <v>0</v>
      </c>
      <c r="GJ74" s="10">
        <f>IF(CABLES[[#This Row],[SEG4]]&gt;0,CABLES[[#This Row],[CABLE_MASS]],0)</f>
        <v>0.21</v>
      </c>
      <c r="GK74" s="10">
        <f>IF(CABLES[[#This Row],[SEG5]]&gt;0,CABLES[[#This Row],[CABLE_MASS]],0)</f>
        <v>0</v>
      </c>
      <c r="GL74" s="10">
        <f>IF(CABLES[[#This Row],[SEG6]]&gt;0,CABLES[[#This Row],[CABLE_MASS]],0)</f>
        <v>0.21</v>
      </c>
      <c r="GM74" s="10">
        <f>IF(CABLES[[#This Row],[SEG7]]&gt;0,CABLES[[#This Row],[CABLE_MASS]],0)</f>
        <v>0</v>
      </c>
      <c r="GN74" s="10">
        <f>IF(CABLES[[#This Row],[SEG8]]&gt;0,CABLES[[#This Row],[CABLE_MASS]],0)</f>
        <v>0.21</v>
      </c>
      <c r="GO74" s="10">
        <f>IF(CABLES[[#This Row],[SEG9]]&gt;0,CABLES[[#This Row],[CABLE_MASS]],0)</f>
        <v>0</v>
      </c>
      <c r="GP74" s="10">
        <f>IF(CABLES[[#This Row],[SEG10]]&gt;0,CABLES[[#This Row],[CABLE_MASS]],0)</f>
        <v>0.21</v>
      </c>
      <c r="GQ74" s="10">
        <f>IF(CABLES[[#This Row],[SEG11]]&gt;0,CABLES[[#This Row],[CABLE_MASS]],0)</f>
        <v>0</v>
      </c>
      <c r="GR74" s="10">
        <f>IF(CABLES[[#This Row],[SEG12]]&gt;0,CABLES[[#This Row],[CABLE_MASS]],0)</f>
        <v>0.21</v>
      </c>
      <c r="GS74" s="10">
        <f>IF(CABLES[[#This Row],[SEG13]]&gt;0,CABLES[[#This Row],[CABLE_MASS]],0)</f>
        <v>0</v>
      </c>
      <c r="GT74" s="10">
        <f>IF(CABLES[[#This Row],[SEG14]]&gt;0,CABLES[[#This Row],[CABLE_MASS]],0)</f>
        <v>0</v>
      </c>
      <c r="GU74" s="10">
        <f>IF(CABLES[[#This Row],[SEG15]]&gt;0,CABLES[[#This Row],[CABLE_MASS]],0)</f>
        <v>0</v>
      </c>
      <c r="GV74" s="10">
        <f>IF(CABLES[[#This Row],[SEG16]]&gt;0,CABLES[[#This Row],[CABLE_MASS]],0)</f>
        <v>0</v>
      </c>
      <c r="GW74" s="10">
        <f>IF(CABLES[[#This Row],[SEG17]]&gt;0,CABLES[[#This Row],[CABLE_MASS]],0)</f>
        <v>0</v>
      </c>
      <c r="GX74" s="10">
        <f>IF(CABLES[[#This Row],[SEG18]]&gt;0,CABLES[[#This Row],[CABLE_MASS]],0)</f>
        <v>0</v>
      </c>
      <c r="GY74" s="10">
        <f>IF(CABLES[[#This Row],[SEG19]]&gt;0,CABLES[[#This Row],[CABLE_MASS]],0)</f>
        <v>0</v>
      </c>
      <c r="GZ74" s="10">
        <f>IF(CABLES[[#This Row],[SEG20]]&gt;0,CABLES[[#This Row],[CABLE_MASS]],0)</f>
        <v>0</v>
      </c>
      <c r="HA74" s="10">
        <f>IF(CABLES[[#This Row],[SEG21]]&gt;0,CABLES[[#This Row],[CABLE_MASS]],0)</f>
        <v>0</v>
      </c>
      <c r="HB74" s="10">
        <f>IF(CABLES[[#This Row],[SEG22]]&gt;0,CABLES[[#This Row],[CABLE_MASS]],0)</f>
        <v>0</v>
      </c>
      <c r="HC74" s="10">
        <f>IF(CABLES[[#This Row],[SEG23]]&gt;0,CABLES[[#This Row],[CABLE_MASS]],0)</f>
        <v>0</v>
      </c>
      <c r="HD74" s="10">
        <f>IF(CABLES[[#This Row],[SEG24]]&gt;0,CABLES[[#This Row],[CABLE_MASS]],0)</f>
        <v>0</v>
      </c>
      <c r="HE74" s="10">
        <f>IF(CABLES[[#This Row],[SEG25]]&gt;0,CABLES[[#This Row],[CABLE_MASS]],0)</f>
        <v>0</v>
      </c>
      <c r="HF74" s="10">
        <f>IF(CABLES[[#This Row],[SEG26]]&gt;0,CABLES[[#This Row],[CABLE_MASS]],0)</f>
        <v>0</v>
      </c>
      <c r="HG74" s="10">
        <f>IF(CABLES[[#This Row],[SEG27]]&gt;0,CABLES[[#This Row],[CABLE_MASS]],0)</f>
        <v>0</v>
      </c>
      <c r="HH74" s="10">
        <f>IF(CABLES[[#This Row],[SEG28]]&gt;0,CABLES[[#This Row],[CABLE_MASS]],0)</f>
        <v>0</v>
      </c>
      <c r="HI74" s="10">
        <f>IF(CABLES[[#This Row],[SEG29]]&gt;0,CABLES[[#This Row],[CABLE_MASS]],0)</f>
        <v>0</v>
      </c>
      <c r="HJ74" s="10">
        <f>IF(CABLES[[#This Row],[SEG30]]&gt;0,CABLES[[#This Row],[CABLE_MASS]],0)</f>
        <v>0</v>
      </c>
      <c r="HK74" s="10">
        <f>IF(CABLES[[#This Row],[SEG31]]&gt;0,CABLES[[#This Row],[CABLE_MASS]],0)</f>
        <v>0</v>
      </c>
      <c r="HL74" s="10">
        <f>IF(CABLES[[#This Row],[SEG32]]&gt;0,CABLES[[#This Row],[CABLE_MASS]],0)</f>
        <v>0</v>
      </c>
      <c r="HM74" s="10">
        <f>IF(CABLES[[#This Row],[SEG33]]&gt;0,CABLES[[#This Row],[CABLE_MASS]],0)</f>
        <v>0</v>
      </c>
      <c r="HN74" s="10">
        <f>IF(CABLES[[#This Row],[SEG34]]&gt;0,CABLES[[#This Row],[CABLE_MASS]],0)</f>
        <v>0</v>
      </c>
      <c r="HO74" s="10">
        <f>IF(CABLES[[#This Row],[SEG35]]&gt;0,CABLES[[#This Row],[CABLE_MASS]],0)</f>
        <v>0</v>
      </c>
      <c r="HP74" s="10">
        <f>IF(CABLES[[#This Row],[SEG36]]&gt;0,CABLES[[#This Row],[CABLE_MASS]],0)</f>
        <v>0</v>
      </c>
      <c r="HQ74" s="10">
        <f>IF(CABLES[[#This Row],[SEG37]]&gt;0,CABLES[[#This Row],[CABLE_MASS]],0)</f>
        <v>0</v>
      </c>
      <c r="HR74" s="10">
        <f>IF(CABLES[[#This Row],[SEG38]]&gt;0,CABLES[[#This Row],[CABLE_MASS]],0)</f>
        <v>0</v>
      </c>
      <c r="HS74" s="10">
        <f>IF(CABLES[[#This Row],[SEG39]]&gt;0,CABLES[[#This Row],[CABLE_MASS]],0)</f>
        <v>0</v>
      </c>
      <c r="HT74" s="10">
        <f>IF(CABLES[[#This Row],[SEG40]]&gt;0,CABLES[[#This Row],[CABLE_MASS]],0)</f>
        <v>0</v>
      </c>
      <c r="HU74" s="10">
        <f>IF(CABLES[[#This Row],[SEG41]]&gt;0,CABLES[[#This Row],[CABLE_MASS]],0)</f>
        <v>0</v>
      </c>
      <c r="HV74" s="10">
        <f>IF(CABLES[[#This Row],[SEG42]]&gt;0,CABLES[[#This Row],[CABLE_MASS]],0)</f>
        <v>0</v>
      </c>
      <c r="HW74" s="10">
        <f>IF(CABLES[[#This Row],[SEG43]]&gt;0,CABLES[[#This Row],[CABLE_MASS]],0)</f>
        <v>0</v>
      </c>
      <c r="HX74" s="10">
        <f>IF(CABLES[[#This Row],[SEG44]]&gt;0,CABLES[[#This Row],[CABLE_MASS]],0)</f>
        <v>0</v>
      </c>
      <c r="HY74" s="10">
        <f>IF(CABLES[[#This Row],[SEG45]]&gt;0,CABLES[[#This Row],[CABLE_MASS]],0)</f>
        <v>0</v>
      </c>
      <c r="HZ74" s="10">
        <f>IF(CABLES[[#This Row],[SEG46]]&gt;0,CABLES[[#This Row],[CABLE_MASS]],0)</f>
        <v>0</v>
      </c>
      <c r="IA74" s="10">
        <f>IF(CABLES[[#This Row],[SEG47]]&gt;0,CABLES[[#This Row],[CABLE_MASS]],0)</f>
        <v>0</v>
      </c>
      <c r="IB74" s="10">
        <f>IF(CABLES[[#This Row],[SEG48]]&gt;0,CABLES[[#This Row],[CABLE_MASS]],0)</f>
        <v>0</v>
      </c>
      <c r="IC74" s="10">
        <f>IF(CABLES[[#This Row],[SEG49]]&gt;0,CABLES[[#This Row],[CABLE_MASS]],0)</f>
        <v>0</v>
      </c>
      <c r="ID74" s="10">
        <f>IF(CABLES[[#This Row],[SEG50]]&gt;0,CABLES[[#This Row],[CABLE_MASS]],0)</f>
        <v>0</v>
      </c>
      <c r="IE74" s="10">
        <f>IF(CABLES[[#This Row],[SEG51]]&gt;0,CABLES[[#This Row],[CABLE_MASS]],0)</f>
        <v>0</v>
      </c>
      <c r="IF74" s="10">
        <f>IF(CABLES[[#This Row],[SEG52]]&gt;0,CABLES[[#This Row],[CABLE_MASS]],0)</f>
        <v>0</v>
      </c>
      <c r="IG74" s="10">
        <f>IF(CABLES[[#This Row],[SEG53]]&gt;0,CABLES[[#This Row],[CABLE_MASS]],0)</f>
        <v>0</v>
      </c>
      <c r="IH74" s="10">
        <f>IF(CABLES[[#This Row],[SEG54]]&gt;0,CABLES[[#This Row],[CABLE_MASS]],0)</f>
        <v>0</v>
      </c>
      <c r="II74" s="10">
        <f>IF(CABLES[[#This Row],[SEG55]]&gt;0,CABLES[[#This Row],[CABLE_MASS]],0)</f>
        <v>0</v>
      </c>
      <c r="IJ74" s="10">
        <f>IF(CABLES[[#This Row],[SEG56]]&gt;0,CABLES[[#This Row],[CABLE_MASS]],0)</f>
        <v>0</v>
      </c>
      <c r="IK74" s="10">
        <f>IF(CABLES[[#This Row],[SEG57]]&gt;0,CABLES[[#This Row],[CABLE_MASS]],0)</f>
        <v>0</v>
      </c>
      <c r="IL74" s="10">
        <f>IF(CABLES[[#This Row],[SEG58]]&gt;0,CABLES[[#This Row],[CABLE_MASS]],0)</f>
        <v>0</v>
      </c>
      <c r="IM74" s="10">
        <f>IF(CABLES[[#This Row],[SEG59]]&gt;0,CABLES[[#This Row],[CABLE_MASS]],0)</f>
        <v>0</v>
      </c>
      <c r="IN74" s="10">
        <f>IF(CABLES[[#This Row],[SEG60]]&gt;0,CABLES[[#This Row],[CABLE_MASS]],0)</f>
        <v>0</v>
      </c>
      <c r="IO74" s="10">
        <f xml:space="preserve">  (CABLES[[#This Row],[LOAD_KW]]/(SQRT(3)*SYSTEM_VOLTAGE*POWER_FACTOR))*1000</f>
        <v>1.2028130608117202</v>
      </c>
      <c r="IP74" s="10">
        <v>45</v>
      </c>
      <c r="IQ74" s="10">
        <f xml:space="preserve"> INDEX(AS3000_AMBIENTDERATE[], MATCH(CABLES[[#This Row],[AMBIENT]],AS3000_AMBIENTDERATE[AMBIENT],0), 2)</f>
        <v>0.94</v>
      </c>
      <c r="IR74" s="10">
        <f xml:space="preserve"> ROUNDUP( CABLES[[#This Row],[CALCULATED_AMPS]]/CABLES[[#This Row],[AMBIENT_DERATING]],1)</f>
        <v>1.3</v>
      </c>
      <c r="IS74" s="10" t="s">
        <v>531</v>
      </c>
      <c r="IT7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4" s="10">
        <f t="shared" si="2"/>
        <v>28.000000000000004</v>
      </c>
      <c r="IV74" s="10">
        <f>(1000*CABLES[[#This Row],[MAX_VDROP]])/(CABLES[[#This Row],[ESTIMATED_CABLE_LENGTH]]*CABLES[[#This Row],[AMP_RATING]])</f>
        <v>280.44871794871796</v>
      </c>
      <c r="IW74" s="10">
        <f xml:space="preserve"> INDEX(AS3000_VDROP[], MATCH(CABLES[[#This Row],[VC_CALC]],AS3000_VDROP[Vc],1),1)</f>
        <v>2.5</v>
      </c>
      <c r="IX74" s="10">
        <f>MAX(CABLES[[#This Row],[CABLESIZE_METHOD1]],CABLES[[#This Row],[CABLESIZE_METHOD2]])</f>
        <v>2.5</v>
      </c>
      <c r="IY74" s="10"/>
      <c r="IZ74" s="10">
        <f>IF(LEN(CABLES[[#This Row],[OVERRIDE_CABLESIZE]])&gt;0,CABLES[[#This Row],[OVERRIDE_CABLESIZE]],CABLES[[#This Row],[INITIAL_CABLESIZE]])</f>
        <v>2.5</v>
      </c>
      <c r="JA74" s="10">
        <f>INDEX(PROTECTIVE_DEVICE[DEVICE], MATCH(CABLES[[#This Row],[CALCULATED_AMPS]],PROTECTIVE_DEVICE[DEVICE],-1),1)</f>
        <v>6</v>
      </c>
      <c r="JB74" s="10"/>
      <c r="JC74" s="10">
        <f>IF(LEN(CABLES[[#This Row],[OVERRIDE_PDEVICE]])&gt;0, CABLES[[#This Row],[OVERRIDE_PDEVICE]],CABLES[[#This Row],[RECOMMEND_PDEVICE]])</f>
        <v>6</v>
      </c>
      <c r="JD74" s="10" t="s">
        <v>450</v>
      </c>
      <c r="JE74" s="10">
        <f xml:space="preserve"> CABLES[[#This Row],[SELECTED_PDEVICE]] * INDEX(DEVICE_CURVE[], MATCH(CABLES[[#This Row],[PDEVICE_CURVE]], DEVICE_CURVE[DEVICE_CURVE],0),2)</f>
        <v>39</v>
      </c>
      <c r="JF74" s="10" t="s">
        <v>458</v>
      </c>
      <c r="JG74" s="10">
        <f xml:space="preserve"> INDEX(CONDUCTOR_MATERIAL[], MATCH(CABLES[[#This Row],[CONDUCTOR_MATERIAL]],CONDUCTOR_MATERIAL[CONDUCTOR_MATERIAL],0),2)</f>
        <v>2.2499999999999999E-2</v>
      </c>
      <c r="JH74" s="10">
        <f>CABLES[[#This Row],[SELECTED_CABLESIZE]]</f>
        <v>2.5</v>
      </c>
      <c r="JI74" s="10">
        <f xml:space="preserve"> INDEX( EARTH_CONDUCTOR_SIZE[], MATCH(CABLES[[#This Row],[SPH]],EARTH_CONDUCTOR_SIZE[MM^2],-1), 2)</f>
        <v>2.5</v>
      </c>
      <c r="JJ74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74" s="10" t="str">
        <f>IF(CABLES[[#This Row],[LMAX]]&gt;CABLES[[#This Row],[ESTIMATED_CABLE_LENGTH]], "PASS", "ERROR")</f>
        <v>PASS</v>
      </c>
      <c r="JL7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7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74" s="6">
        <f xml:space="preserve"> ROUNDUP( CABLES[[#This Row],[CALCULATED_AMPS]],1)</f>
        <v>1.3</v>
      </c>
      <c r="JO74" s="6">
        <f>CABLES[[#This Row],[SELECTED_CABLESIZE]]</f>
        <v>2.5</v>
      </c>
      <c r="JP74" s="10">
        <f>CABLES[[#This Row],[ESTIMATED_CABLE_LENGTH]]</f>
        <v>76.8</v>
      </c>
      <c r="JQ74" s="6">
        <f>CABLES[[#This Row],[SELECTED_PDEVICE]]</f>
        <v>6</v>
      </c>
    </row>
    <row r="75" spans="1:277" x14ac:dyDescent="0.35">
      <c r="A75" s="5" t="s">
        <v>72</v>
      </c>
      <c r="B75" s="5" t="s">
        <v>117</v>
      </c>
      <c r="C75" s="10" t="s">
        <v>261</v>
      </c>
      <c r="D75" s="9">
        <v>2.2000000000000002</v>
      </c>
      <c r="E75" s="9">
        <v>1</v>
      </c>
      <c r="F75" s="9">
        <v>1</v>
      </c>
      <c r="G75" s="9">
        <v>0</v>
      </c>
      <c r="H75" s="9">
        <v>1</v>
      </c>
      <c r="I75" s="9">
        <v>0</v>
      </c>
      <c r="J75" s="9">
        <v>1</v>
      </c>
      <c r="K75" s="9">
        <v>0</v>
      </c>
      <c r="L75" s="9">
        <v>1</v>
      </c>
      <c r="M75" s="9">
        <v>0</v>
      </c>
      <c r="N75" s="9">
        <v>1</v>
      </c>
      <c r="O75" s="9">
        <v>0</v>
      </c>
      <c r="P75" s="9">
        <v>1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f xml:space="preserve"> IF(CABLES[[#This Row],[SEG1]] &gt;0, INDEX(SEGMENTS[], MATCH(CABLES[[#Headers],[SEG1]],SEGMENTS[SEG_ID],0),4),0)</f>
        <v>13</v>
      </c>
      <c r="BN75" s="9">
        <f xml:space="preserve"> IF(CABLES[[#This Row],[SEG2]] &gt;0, INDEX(SEGMENTS[], MATCH(CABLES[[#Headers],[SEG2]],SEGMENTS[SEG_ID],0),4),0)</f>
        <v>2</v>
      </c>
      <c r="BO75" s="9">
        <f xml:space="preserve"> IF(CABLES[[#This Row],[SEG3]] &gt;0, INDEX(SEGMENTS[], MATCH(CABLES[[#Headers],[SEG3]],SEGMENTS[SEG_ID],0),4),0)</f>
        <v>0</v>
      </c>
      <c r="BP75" s="9">
        <f xml:space="preserve"> IF(CABLES[[#This Row],[SEG4]] &gt;0, INDEX(SEGMENTS[], MATCH(CABLES[[#Headers],[SEG4]],SEGMENTS[SEG_ID],0),4),0)</f>
        <v>14</v>
      </c>
      <c r="BQ75" s="9">
        <f xml:space="preserve"> IF(CABLES[[#This Row],[SEG5]] &gt;0,INDEX(SEGMENTS[], MATCH(CABLES[[#Headers],[SEG5]],SEGMENTS[SEG_ID],0),4),0)</f>
        <v>0</v>
      </c>
      <c r="BR75" s="9">
        <f xml:space="preserve"> IF(CABLES[[#This Row],[SEG6]] &gt;0,INDEX(SEGMENTS[], MATCH(CABLES[[#Headers],[SEG6]],SEGMENTS[SEG_ID],0),4),0)</f>
        <v>2</v>
      </c>
      <c r="BS75" s="9">
        <f xml:space="preserve"> IF(CABLES[[#This Row],[SEG7]] &gt;0,INDEX(SEGMENTS[], MATCH(CABLES[[#Headers],[SEG7]],SEGMENTS[SEG_ID],0),4),0)</f>
        <v>0</v>
      </c>
      <c r="BT75" s="9">
        <f xml:space="preserve"> IF(CABLES[[#This Row],[SEG8]] &gt;0,INDEX(SEGMENTS[], MATCH(CABLES[[#Headers],[SEG8]],SEGMENTS[SEG_ID],0),4),0)</f>
        <v>3</v>
      </c>
      <c r="BU75" s="9">
        <f xml:space="preserve"> IF(CABLES[[#This Row],[SEG9]] &gt;0,INDEX(SEGMENTS[], MATCH(CABLES[[#Headers],[SEG9]],SEGMENTS[SEG_ID],0),4),0)</f>
        <v>0</v>
      </c>
      <c r="BV75" s="9">
        <f xml:space="preserve"> IF(CABLES[[#This Row],[SEG10]] &gt;0,INDEX(SEGMENTS[], MATCH(CABLES[[#Headers],[SEG10]],SEGMENTS[SEG_ID],0),4),0)</f>
        <v>9</v>
      </c>
      <c r="BW75" s="9">
        <f xml:space="preserve"> IF(CABLES[[#This Row],[SEG11]] &gt;0,INDEX(SEGMENTS[], MATCH(CABLES[[#Headers],[SEG11]],SEGMENTS[SEG_ID],0),4),0)</f>
        <v>0</v>
      </c>
      <c r="BX75" s="9">
        <f>IF(CABLES[[#This Row],[SEG12]] &gt;0, INDEX(SEGMENTS[], MATCH(CABLES[[#Headers],[SEG12]],SEGMENTS[SEG_ID],0),4),0)</f>
        <v>16</v>
      </c>
      <c r="BY75" s="9">
        <f xml:space="preserve"> IF(CABLES[[#This Row],[SEG13]] &gt;0,INDEX(SEGMENTS[], MATCH(CABLES[[#Headers],[SEG13]],SEGMENTS[SEG_ID],0),4),0)</f>
        <v>0</v>
      </c>
      <c r="BZ75" s="9">
        <f xml:space="preserve"> IF(CABLES[[#This Row],[SEG14]] &gt;0,INDEX(SEGMENTS[], MATCH(CABLES[[#Headers],[SEG14]],SEGMENTS[SEG_ID],0),4),0)</f>
        <v>0</v>
      </c>
      <c r="CA75" s="9">
        <f xml:space="preserve"> IF(CABLES[[#This Row],[SEG15]] &gt;0,INDEX(SEGMENTS[], MATCH(CABLES[[#Headers],[SEG15]],SEGMENTS[SEG_ID],0),4),0)</f>
        <v>0</v>
      </c>
      <c r="CB75" s="9">
        <f xml:space="preserve"> IF(CABLES[[#This Row],[SEG16]] &gt;0,INDEX(SEGMENTS[], MATCH(CABLES[[#Headers],[SEG16]],SEGMENTS[SEG_ID],0),4),0)</f>
        <v>0</v>
      </c>
      <c r="CC75" s="9">
        <f xml:space="preserve"> IF(CABLES[[#This Row],[SEG17]] &gt;0,INDEX(SEGMENTS[], MATCH(CABLES[[#Headers],[SEG17]],SEGMENTS[SEG_ID],0),4),0)</f>
        <v>0</v>
      </c>
      <c r="CD75" s="9">
        <f xml:space="preserve"> IF(CABLES[[#This Row],[SEG18]] &gt;0,INDEX(SEGMENTS[], MATCH(CABLES[[#Headers],[SEG18]],SEGMENTS[SEG_ID],0),4),0)</f>
        <v>0</v>
      </c>
      <c r="CE75" s="9">
        <f>IF(CABLES[[#This Row],[SEG19]] &gt;0, INDEX(SEGMENTS[], MATCH(CABLES[[#Headers],[SEG19]],SEGMENTS[SEG_ID],0),4),0)</f>
        <v>0</v>
      </c>
      <c r="CF75" s="9">
        <f>IF(CABLES[[#This Row],[SEG20]] &gt;0, INDEX(SEGMENTS[], MATCH(CABLES[[#Headers],[SEG20]],SEGMENTS[SEG_ID],0),4),0)</f>
        <v>0</v>
      </c>
      <c r="CG75" s="9">
        <f xml:space="preserve"> IF(CABLES[[#This Row],[SEG21]] &gt;0,INDEX(SEGMENTS[], MATCH(CABLES[[#Headers],[SEG21]],SEGMENTS[SEG_ID],0),4),0)</f>
        <v>0</v>
      </c>
      <c r="CH75" s="9">
        <f xml:space="preserve"> IF(CABLES[[#This Row],[SEG22]] &gt;0,INDEX(SEGMENTS[], MATCH(CABLES[[#Headers],[SEG22]],SEGMENTS[SEG_ID],0),4),0)</f>
        <v>0</v>
      </c>
      <c r="CI75" s="9">
        <f>IF(CABLES[[#This Row],[SEG23]] &gt;0, INDEX(SEGMENTS[], MATCH(CABLES[[#Headers],[SEG23]],SEGMENTS[SEG_ID],0),4),0)</f>
        <v>0</v>
      </c>
      <c r="CJ75" s="9">
        <f xml:space="preserve"> IF(CABLES[[#This Row],[SEG24]] &gt;0,INDEX(SEGMENTS[], MATCH(CABLES[[#Headers],[SEG24]],SEGMENTS[SEG_ID],0),4),0)</f>
        <v>0</v>
      </c>
      <c r="CK75" s="9">
        <f>IF(CABLES[[#This Row],[SEG25]] &gt;0, INDEX(SEGMENTS[], MATCH(CABLES[[#Headers],[SEG25]],SEGMENTS[SEG_ID],0),4),0)</f>
        <v>0</v>
      </c>
      <c r="CL75" s="9">
        <f>IF(CABLES[[#This Row],[SEG26]] &gt;0, INDEX(SEGMENTS[], MATCH(CABLES[[#Headers],[SEG26]],SEGMENTS[SEG_ID],0),4),0)</f>
        <v>0</v>
      </c>
      <c r="CM75" s="9">
        <f xml:space="preserve"> IF(CABLES[[#This Row],[SEG27]] &gt;0,INDEX(SEGMENTS[], MATCH(CABLES[[#Headers],[SEG27]],SEGMENTS[SEG_ID],0),4),0)</f>
        <v>0</v>
      </c>
      <c r="CN75" s="9">
        <f xml:space="preserve"> IF(CABLES[[#This Row],[SEG28]] &gt;0,INDEX(SEGMENTS[], MATCH(CABLES[[#Headers],[SEG28]],SEGMENTS[SEG_ID],0),4),0)</f>
        <v>0</v>
      </c>
      <c r="CO75" s="9">
        <f xml:space="preserve"> IF(CABLES[[#This Row],[SEG29]] &gt;0,INDEX(SEGMENTS[], MATCH(CABLES[[#Headers],[SEG29]],SEGMENTS[SEG_ID],0),4),0)</f>
        <v>0</v>
      </c>
      <c r="CP75" s="9">
        <f xml:space="preserve"> IF(CABLES[[#This Row],[SEG30]] &gt;0,INDEX(SEGMENTS[], MATCH(CABLES[[#Headers],[SEG30]],SEGMENTS[SEG_ID],0),4),0)</f>
        <v>0</v>
      </c>
      <c r="CQ75" s="9">
        <f>IF(CABLES[[#This Row],[SEG31]] &gt;0, INDEX(SEGMENTS[], MATCH(CABLES[[#Headers],[SEG31]],SEGMENTS[SEG_ID],0),4),0)</f>
        <v>0</v>
      </c>
      <c r="CR75" s="9">
        <f xml:space="preserve"> IF(CABLES[[#This Row],[SEG32]] &gt;0,INDEX(SEGMENTS[], MATCH(CABLES[[#Headers],[SEG32]],SEGMENTS[SEG_ID],0),4),0)</f>
        <v>0</v>
      </c>
      <c r="CS75" s="9">
        <f xml:space="preserve"> IF(CABLES[[#This Row],[SEG33]] &gt;0,INDEX(SEGMENTS[], MATCH(CABLES[[#Headers],[SEG33]],SEGMENTS[SEG_ID],0),4),0)</f>
        <v>0</v>
      </c>
      <c r="CT75" s="9">
        <f>IF(CABLES[[#This Row],[SEG34]] &gt;0, INDEX(SEGMENTS[], MATCH(CABLES[[#Headers],[SEG34]],SEGMENTS[SEG_ID],0),4),0)</f>
        <v>0</v>
      </c>
      <c r="CU75" s="9">
        <f xml:space="preserve"> IF(CABLES[[#This Row],[SEG35]] &gt;0,INDEX(SEGMENTS[], MATCH(CABLES[[#Headers],[SEG35]],SEGMENTS[SEG_ID],0),4),0)</f>
        <v>0</v>
      </c>
      <c r="CV75" s="9">
        <f xml:space="preserve"> IF(CABLES[[#This Row],[SEG36]] &gt;0,INDEX(SEGMENTS[], MATCH(CABLES[[#Headers],[SEG36]],SEGMENTS[SEG_ID],0),4),0)</f>
        <v>0</v>
      </c>
      <c r="CW75" s="9">
        <f xml:space="preserve"> IF(CABLES[[#This Row],[SEG37]] &gt;0,INDEX(SEGMENTS[], MATCH(CABLES[[#Headers],[SEG37]],SEGMENTS[SEG_ID],0),4),0)</f>
        <v>0</v>
      </c>
      <c r="CX75" s="9">
        <f xml:space="preserve"> IF(CABLES[[#This Row],[SEG38]] &gt;0,INDEX(SEGMENTS[], MATCH(CABLES[[#Headers],[SEG38]],SEGMENTS[SEG_ID],0),4),0)</f>
        <v>0</v>
      </c>
      <c r="CY75" s="9">
        <f xml:space="preserve"> IF(CABLES[[#This Row],[SEG39]] &gt;0,INDEX(SEGMENTS[], MATCH(CABLES[[#Headers],[SEG39]],SEGMENTS[SEG_ID],0),4),0)</f>
        <v>0</v>
      </c>
      <c r="CZ75" s="9">
        <f xml:space="preserve"> IF(CABLES[[#This Row],[SEG40]] &gt;0,INDEX(SEGMENTS[], MATCH(CABLES[[#Headers],[SEG40]],SEGMENTS[SEG_ID],0),4),0)</f>
        <v>0</v>
      </c>
      <c r="DA75" s="9">
        <f xml:space="preserve"> IF(CABLES[[#This Row],[SEG41]] &gt;0,INDEX(SEGMENTS[], MATCH(CABLES[[#Headers],[SEG41]],SEGMENTS[SEG_ID],0),4),0)</f>
        <v>0</v>
      </c>
      <c r="DB75" s="9">
        <f xml:space="preserve"> IF(CABLES[[#This Row],[SEG42]] &gt;0,INDEX(SEGMENTS[], MATCH(CABLES[[#Headers],[SEG42]],SEGMENTS[SEG_ID],0),4),0)</f>
        <v>0</v>
      </c>
      <c r="DC75" s="9">
        <f xml:space="preserve"> IF(CABLES[[#This Row],[SEG43]] &gt;0,INDEX(SEGMENTS[], MATCH(CABLES[[#Headers],[SEG43]],SEGMENTS[SEG_ID],0),4),0)</f>
        <v>0</v>
      </c>
      <c r="DD75" s="9">
        <f xml:space="preserve"> IF(CABLES[[#This Row],[SEG44]] &gt;0,INDEX(SEGMENTS[], MATCH(CABLES[[#Headers],[SEG44]],SEGMENTS[SEG_ID],0),4),0)</f>
        <v>0</v>
      </c>
      <c r="DE75" s="9">
        <f xml:space="preserve"> IF(CABLES[[#This Row],[SEG45]] &gt;0,INDEX(SEGMENTS[], MATCH(CABLES[[#Headers],[SEG45]],SEGMENTS[SEG_ID],0),4),0)</f>
        <v>0</v>
      </c>
      <c r="DF75" s="9">
        <f xml:space="preserve"> IF(CABLES[[#This Row],[SEG46]] &gt;0,INDEX(SEGMENTS[], MATCH(CABLES[[#Headers],[SEG46]],SEGMENTS[SEG_ID],0),4),0)</f>
        <v>0</v>
      </c>
      <c r="DG75" s="9">
        <f xml:space="preserve"> IF(CABLES[[#This Row],[SEG47]] &gt;0,INDEX(SEGMENTS[], MATCH(CABLES[[#Headers],[SEG47]],SEGMENTS[SEG_ID],0),4),0)</f>
        <v>0</v>
      </c>
      <c r="DH75" s="9">
        <f xml:space="preserve"> IF(CABLES[[#This Row],[SEG48]] &gt;0,INDEX(SEGMENTS[], MATCH(CABLES[[#Headers],[SEG48]],SEGMENTS[SEG_ID],0),4),0)</f>
        <v>0</v>
      </c>
      <c r="DI75" s="9">
        <f xml:space="preserve"> IF(CABLES[[#This Row],[SEG49]] &gt;0,INDEX(SEGMENTS[], MATCH(CABLES[[#Headers],[SEG49]],SEGMENTS[SEG_ID],0),4),0)</f>
        <v>0</v>
      </c>
      <c r="DJ75" s="9">
        <f xml:space="preserve"> IF(CABLES[[#This Row],[SEG50]] &gt;0,INDEX(SEGMENTS[], MATCH(CABLES[[#Headers],[SEG50]],SEGMENTS[SEG_ID],0),4),0)</f>
        <v>0</v>
      </c>
      <c r="DK75" s="9">
        <f xml:space="preserve"> IF(CABLES[[#This Row],[SEG51]] &gt;0,INDEX(SEGMENTS[], MATCH(CABLES[[#Headers],[SEG51]],SEGMENTS[SEG_ID],0),4),0)</f>
        <v>0</v>
      </c>
      <c r="DL75" s="9">
        <f xml:space="preserve"> IF(CABLES[[#This Row],[SEG52]] &gt;0,INDEX(SEGMENTS[], MATCH(CABLES[[#Headers],[SEG52]],SEGMENTS[SEG_ID],0),4),0)</f>
        <v>0</v>
      </c>
      <c r="DM75" s="9">
        <f xml:space="preserve"> IF(CABLES[[#This Row],[SEG53]] &gt;0,INDEX(SEGMENTS[], MATCH(CABLES[[#Headers],[SEG53]],SEGMENTS[SEG_ID],0),4),0)</f>
        <v>0</v>
      </c>
      <c r="DN75" s="9">
        <f xml:space="preserve"> IF(CABLES[[#This Row],[SEG54]] &gt;0,INDEX(SEGMENTS[], MATCH(CABLES[[#Headers],[SEG54]],SEGMENTS[SEG_ID],0),4),0)</f>
        <v>0</v>
      </c>
      <c r="DO75" s="9">
        <f xml:space="preserve"> IF(CABLES[[#This Row],[SEG55]] &gt;0,INDEX(SEGMENTS[], MATCH(CABLES[[#Headers],[SEG55]],SEGMENTS[SEG_ID],0),4),0)</f>
        <v>0</v>
      </c>
      <c r="DP75" s="9">
        <f xml:space="preserve"> IF(CABLES[[#This Row],[SEG56]] &gt;0,INDEX(SEGMENTS[], MATCH(CABLES[[#Headers],[SEG56]],SEGMENTS[SEG_ID],0),4),0)</f>
        <v>0</v>
      </c>
      <c r="DQ75" s="9">
        <f xml:space="preserve"> IF(CABLES[[#This Row],[SEG57]] &gt;0,INDEX(SEGMENTS[], MATCH(CABLES[[#Headers],[SEG57]],SEGMENTS[SEG_ID],0),4),0)</f>
        <v>0</v>
      </c>
      <c r="DR75" s="9">
        <f xml:space="preserve"> IF(CABLES[[#This Row],[SEG58]] &gt;0,INDEX(SEGMENTS[], MATCH(CABLES[[#Headers],[SEG58]],SEGMENTS[SEG_ID],0),4),0)</f>
        <v>0</v>
      </c>
      <c r="DS75" s="9">
        <f xml:space="preserve"> IF(CABLES[[#This Row],[SEG59]] &gt;0,INDEX(SEGMENTS[], MATCH(CABLES[[#Headers],[SEG59]],SEGMENTS[SEG_ID],0),4),0)</f>
        <v>0</v>
      </c>
      <c r="DT75" s="9">
        <f xml:space="preserve"> IF(CABLES[[#This Row],[SEG60]] &gt;0,INDEX(SEGMENTS[], MATCH(CABLES[[#Headers],[SEG60]],SEGMENTS[SEG_ID],0),4),0)</f>
        <v>0</v>
      </c>
      <c r="DU75" s="10">
        <f>SUM(CABLES[[#This Row],[SEGL1]:[SEGL60]])</f>
        <v>59</v>
      </c>
      <c r="DV75" s="10">
        <v>5</v>
      </c>
      <c r="DW75" s="10">
        <v>1.2</v>
      </c>
      <c r="DX75" s="10">
        <f xml:space="preserve"> IF(CABLES[[#This Row],[SEGL_TOTAL]]&gt;0, (CABLES[[#This Row],[SEGL_TOTAL]] + CABLES[[#This Row],[FITOFF]]) *CABLES[[#This Row],[XCAPACITY]],0)</f>
        <v>76.8</v>
      </c>
      <c r="DY75" s="10">
        <f>IF(CABLES[[#This Row],[SEG1]]&gt;0,CABLES[[#This Row],[CABLE_DIAMETER]],0)</f>
        <v>14.5</v>
      </c>
      <c r="DZ75" s="10">
        <f>IF(CABLES[[#This Row],[SEG2]]&gt;0,CABLES[[#This Row],[CABLE_DIAMETER]],0)</f>
        <v>14.5</v>
      </c>
      <c r="EA75" s="10">
        <f>IF(CABLES[[#This Row],[SEG3]]&gt;0,CABLES[[#This Row],[CABLE_DIAMETER]],0)</f>
        <v>0</v>
      </c>
      <c r="EB75" s="10">
        <f>IF(CABLES[[#This Row],[SEG4]]&gt;0,CABLES[[#This Row],[CABLE_DIAMETER]],0)</f>
        <v>14.5</v>
      </c>
      <c r="EC75" s="10">
        <f>IF(CABLES[[#This Row],[SEG5]]&gt;0,CABLES[[#This Row],[CABLE_DIAMETER]],0)</f>
        <v>0</v>
      </c>
      <c r="ED75" s="10">
        <f>IF(CABLES[[#This Row],[SEG6]]&gt;0,CABLES[[#This Row],[CABLE_DIAMETER]],0)</f>
        <v>14.5</v>
      </c>
      <c r="EE75" s="10">
        <f>IF(CABLES[[#This Row],[SEG7]]&gt;0,CABLES[[#This Row],[CABLE_DIAMETER]],0)</f>
        <v>0</v>
      </c>
      <c r="EF75" s="10">
        <f>IF(CABLES[[#This Row],[SEG9]]&gt;0,CABLES[[#This Row],[CABLE_DIAMETER]],0)</f>
        <v>0</v>
      </c>
      <c r="EG75" s="10">
        <f>IF(CABLES[[#This Row],[SEG9]]&gt;0,CABLES[[#This Row],[CABLE_DIAMETER]],0)</f>
        <v>0</v>
      </c>
      <c r="EH75" s="10">
        <f>IF(CABLES[[#This Row],[SEG10]]&gt;0,CABLES[[#This Row],[CABLE_DIAMETER]],0)</f>
        <v>14.5</v>
      </c>
      <c r="EI75" s="10">
        <f>IF(CABLES[[#This Row],[SEG11]]&gt;0,CABLES[[#This Row],[CABLE_DIAMETER]],0)</f>
        <v>0</v>
      </c>
      <c r="EJ75" s="10">
        <f>IF(CABLES[[#This Row],[SEG12]]&gt;0,CABLES[[#This Row],[CABLE_DIAMETER]],0)</f>
        <v>14.5</v>
      </c>
      <c r="EK75" s="10">
        <f>IF(CABLES[[#This Row],[SEG13]]&gt;0,CABLES[[#This Row],[CABLE_DIAMETER]],0)</f>
        <v>0</v>
      </c>
      <c r="EL75" s="10">
        <f>IF(CABLES[[#This Row],[SEG14]]&gt;0,CABLES[[#This Row],[CABLE_DIAMETER]],0)</f>
        <v>0</v>
      </c>
      <c r="EM75" s="10">
        <f>IF(CABLES[[#This Row],[SEG15]]&gt;0,CABLES[[#This Row],[CABLE_DIAMETER]],0)</f>
        <v>0</v>
      </c>
      <c r="EN75" s="10">
        <f>IF(CABLES[[#This Row],[SEG16]]&gt;0,CABLES[[#This Row],[CABLE_DIAMETER]],0)</f>
        <v>0</v>
      </c>
      <c r="EO75" s="10">
        <f>IF(CABLES[[#This Row],[SEG17]]&gt;0,CABLES[[#This Row],[CABLE_DIAMETER]],0)</f>
        <v>0</v>
      </c>
      <c r="EP75" s="10">
        <f>IF(CABLES[[#This Row],[SEG18]]&gt;0,CABLES[[#This Row],[CABLE_DIAMETER]],0)</f>
        <v>0</v>
      </c>
      <c r="EQ75" s="10">
        <f>IF(CABLES[[#This Row],[SEG19]]&gt;0,CABLES[[#This Row],[CABLE_DIAMETER]],0)</f>
        <v>0</v>
      </c>
      <c r="ER75" s="10">
        <f>IF(CABLES[[#This Row],[SEG20]]&gt;0,CABLES[[#This Row],[CABLE_DIAMETER]],0)</f>
        <v>0</v>
      </c>
      <c r="ES75" s="10">
        <f>IF(CABLES[[#This Row],[SEG21]]&gt;0,CABLES[[#This Row],[CABLE_DIAMETER]],0)</f>
        <v>0</v>
      </c>
      <c r="ET75" s="10">
        <f>IF(CABLES[[#This Row],[SEG22]]&gt;0,CABLES[[#This Row],[CABLE_DIAMETER]],0)</f>
        <v>0</v>
      </c>
      <c r="EU75" s="10">
        <f>IF(CABLES[[#This Row],[SEG23]]&gt;0,CABLES[[#This Row],[CABLE_DIAMETER]],0)</f>
        <v>0</v>
      </c>
      <c r="EV75" s="10">
        <f>IF(CABLES[[#This Row],[SEG24]]&gt;0,CABLES[[#This Row],[CABLE_DIAMETER]],0)</f>
        <v>0</v>
      </c>
      <c r="EW75" s="10">
        <f>IF(CABLES[[#This Row],[SEG25]]&gt;0,CABLES[[#This Row],[CABLE_DIAMETER]],0)</f>
        <v>0</v>
      </c>
      <c r="EX75" s="10">
        <f>IF(CABLES[[#This Row],[SEG26]]&gt;0,CABLES[[#This Row],[CABLE_DIAMETER]],0)</f>
        <v>0</v>
      </c>
      <c r="EY75" s="10">
        <f>IF(CABLES[[#This Row],[SEG27]]&gt;0,CABLES[[#This Row],[CABLE_DIAMETER]],0)</f>
        <v>0</v>
      </c>
      <c r="EZ75" s="10">
        <f>IF(CABLES[[#This Row],[SEG28]]&gt;0,CABLES[[#This Row],[CABLE_DIAMETER]],0)</f>
        <v>0</v>
      </c>
      <c r="FA75" s="10">
        <f>IF(CABLES[[#This Row],[SEG29]]&gt;0,CABLES[[#This Row],[CABLE_DIAMETER]],0)</f>
        <v>0</v>
      </c>
      <c r="FB75" s="10">
        <f>IF(CABLES[[#This Row],[SEG30]]&gt;0,CABLES[[#This Row],[CABLE_DIAMETER]],0)</f>
        <v>0</v>
      </c>
      <c r="FC75" s="10">
        <f>IF(CABLES[[#This Row],[SEG31]]&gt;0,CABLES[[#This Row],[CABLE_DIAMETER]],0)</f>
        <v>0</v>
      </c>
      <c r="FD75" s="10">
        <f>IF(CABLES[[#This Row],[SEG32]]&gt;0,CABLES[[#This Row],[CABLE_DIAMETER]],0)</f>
        <v>0</v>
      </c>
      <c r="FE75" s="10">
        <f>IF(CABLES[[#This Row],[SEG33]]&gt;0,CABLES[[#This Row],[CABLE_DIAMETER]],0)</f>
        <v>0</v>
      </c>
      <c r="FF75" s="10">
        <f>IF(CABLES[[#This Row],[SEG34]]&gt;0,CABLES[[#This Row],[CABLE_DIAMETER]],0)</f>
        <v>0</v>
      </c>
      <c r="FG75" s="10">
        <f>IF(CABLES[[#This Row],[SEG35]]&gt;0,CABLES[[#This Row],[CABLE_DIAMETER]],0)</f>
        <v>0</v>
      </c>
      <c r="FH75" s="10">
        <f>IF(CABLES[[#This Row],[SEG36]]&gt;0,CABLES[[#This Row],[CABLE_DIAMETER]],0)</f>
        <v>0</v>
      </c>
      <c r="FI75" s="10">
        <f>IF(CABLES[[#This Row],[SEG37]]&gt;0,CABLES[[#This Row],[CABLE_DIAMETER]],0)</f>
        <v>0</v>
      </c>
      <c r="FJ75" s="10">
        <f>IF(CABLES[[#This Row],[SEG38]]&gt;0,CABLES[[#This Row],[CABLE_DIAMETER]],0)</f>
        <v>0</v>
      </c>
      <c r="FK75" s="10">
        <f>IF(CABLES[[#This Row],[SEG39]]&gt;0,CABLES[[#This Row],[CABLE_DIAMETER]],0)</f>
        <v>0</v>
      </c>
      <c r="FL75" s="10">
        <f>IF(CABLES[[#This Row],[SEG40]]&gt;0,CABLES[[#This Row],[CABLE_DIAMETER]],0)</f>
        <v>0</v>
      </c>
      <c r="FM75" s="10">
        <f>IF(CABLES[[#This Row],[SEG41]]&gt;0,CABLES[[#This Row],[CABLE_DIAMETER]],0)</f>
        <v>0</v>
      </c>
      <c r="FN75" s="10">
        <f>IF(CABLES[[#This Row],[SEG42]]&gt;0,CABLES[[#This Row],[CABLE_DIAMETER]],0)</f>
        <v>0</v>
      </c>
      <c r="FO75" s="10">
        <f>IF(CABLES[[#This Row],[SEG43]]&gt;0,CABLES[[#This Row],[CABLE_DIAMETER]],0)</f>
        <v>0</v>
      </c>
      <c r="FP75" s="10">
        <f>IF(CABLES[[#This Row],[SEG44]]&gt;0,CABLES[[#This Row],[CABLE_DIAMETER]],0)</f>
        <v>0</v>
      </c>
      <c r="FQ75" s="10">
        <f>IF(CABLES[[#This Row],[SEG45]]&gt;0,CABLES[[#This Row],[CABLE_DIAMETER]],0)</f>
        <v>0</v>
      </c>
      <c r="FR75" s="10">
        <f>IF(CABLES[[#This Row],[SEG46]]&gt;0,CABLES[[#This Row],[CABLE_DIAMETER]],0)</f>
        <v>0</v>
      </c>
      <c r="FS75" s="10">
        <f>IF(CABLES[[#This Row],[SEG47]]&gt;0,CABLES[[#This Row],[CABLE_DIAMETER]],0)</f>
        <v>0</v>
      </c>
      <c r="FT75" s="10">
        <f>IF(CABLES[[#This Row],[SEG48]]&gt;0,CABLES[[#This Row],[CABLE_DIAMETER]],0)</f>
        <v>0</v>
      </c>
      <c r="FU75" s="10">
        <f>IF(CABLES[[#This Row],[SEG49]]&gt;0,CABLES[[#This Row],[CABLE_DIAMETER]],0)</f>
        <v>0</v>
      </c>
      <c r="FV75" s="10">
        <f>IF(CABLES[[#This Row],[SEG50]]&gt;0,CABLES[[#This Row],[CABLE_DIAMETER]],0)</f>
        <v>0</v>
      </c>
      <c r="FW75" s="10">
        <f>IF(CABLES[[#This Row],[SEG51]]&gt;0,CABLES[[#This Row],[CABLE_DIAMETER]],0)</f>
        <v>0</v>
      </c>
      <c r="FX75" s="10">
        <f>IF(CABLES[[#This Row],[SEG52]]&gt;0,CABLES[[#This Row],[CABLE_DIAMETER]],0)</f>
        <v>0</v>
      </c>
      <c r="FY75" s="10">
        <f>IF(CABLES[[#This Row],[SEG53]]&gt;0,CABLES[[#This Row],[CABLE_DIAMETER]],0)</f>
        <v>0</v>
      </c>
      <c r="FZ75" s="10">
        <f>IF(CABLES[[#This Row],[SEG54]]&gt;0,CABLES[[#This Row],[CABLE_DIAMETER]],0)</f>
        <v>0</v>
      </c>
      <c r="GA75" s="10">
        <f>IF(CABLES[[#This Row],[SEG55]]&gt;0,CABLES[[#This Row],[CABLE_DIAMETER]],0)</f>
        <v>0</v>
      </c>
      <c r="GB75" s="10">
        <f>IF(CABLES[[#This Row],[SEG56]]&gt;0,CABLES[[#This Row],[CABLE_DIAMETER]],0)</f>
        <v>0</v>
      </c>
      <c r="GC75" s="10">
        <f>IF(CABLES[[#This Row],[SEG57]]&gt;0,CABLES[[#This Row],[CABLE_DIAMETER]],0)</f>
        <v>0</v>
      </c>
      <c r="GD75" s="10">
        <f>IF(CABLES[[#This Row],[SEG58]]&gt;0,CABLES[[#This Row],[CABLE_DIAMETER]],0)</f>
        <v>0</v>
      </c>
      <c r="GE75" s="10">
        <f>IF(CABLES[[#This Row],[SEG59]]&gt;0,CABLES[[#This Row],[CABLE_DIAMETER]],0)</f>
        <v>0</v>
      </c>
      <c r="GF75" s="10">
        <f>IF(CABLES[[#This Row],[SEG60]]&gt;0,CABLES[[#This Row],[CABLE_DIAMETER]],0)</f>
        <v>0</v>
      </c>
      <c r="GG75" s="10">
        <f>IF(CABLES[[#This Row],[SEG1]]&gt;0,CABLES[[#This Row],[CABLE_MASS]],0)</f>
        <v>0.33</v>
      </c>
      <c r="GH75" s="10">
        <f>IF(CABLES[[#This Row],[SEG2]]&gt;0,CABLES[[#This Row],[CABLE_MASS]],0)</f>
        <v>0.33</v>
      </c>
      <c r="GI75" s="10">
        <f>IF(CABLES[[#This Row],[SEG3]]&gt;0,CABLES[[#This Row],[CABLE_MASS]],0)</f>
        <v>0</v>
      </c>
      <c r="GJ75" s="10">
        <f>IF(CABLES[[#This Row],[SEG4]]&gt;0,CABLES[[#This Row],[CABLE_MASS]],0)</f>
        <v>0.33</v>
      </c>
      <c r="GK75" s="10">
        <f>IF(CABLES[[#This Row],[SEG5]]&gt;0,CABLES[[#This Row],[CABLE_MASS]],0)</f>
        <v>0</v>
      </c>
      <c r="GL75" s="10">
        <f>IF(CABLES[[#This Row],[SEG6]]&gt;0,CABLES[[#This Row],[CABLE_MASS]],0)</f>
        <v>0.33</v>
      </c>
      <c r="GM75" s="10">
        <f>IF(CABLES[[#This Row],[SEG7]]&gt;0,CABLES[[#This Row],[CABLE_MASS]],0)</f>
        <v>0</v>
      </c>
      <c r="GN75" s="10">
        <f>IF(CABLES[[#This Row],[SEG8]]&gt;0,CABLES[[#This Row],[CABLE_MASS]],0)</f>
        <v>0.33</v>
      </c>
      <c r="GO75" s="10">
        <f>IF(CABLES[[#This Row],[SEG9]]&gt;0,CABLES[[#This Row],[CABLE_MASS]],0)</f>
        <v>0</v>
      </c>
      <c r="GP75" s="10">
        <f>IF(CABLES[[#This Row],[SEG10]]&gt;0,CABLES[[#This Row],[CABLE_MASS]],0)</f>
        <v>0.33</v>
      </c>
      <c r="GQ75" s="10">
        <f>IF(CABLES[[#This Row],[SEG11]]&gt;0,CABLES[[#This Row],[CABLE_MASS]],0)</f>
        <v>0</v>
      </c>
      <c r="GR75" s="10">
        <f>IF(CABLES[[#This Row],[SEG12]]&gt;0,CABLES[[#This Row],[CABLE_MASS]],0)</f>
        <v>0.33</v>
      </c>
      <c r="GS75" s="10">
        <f>IF(CABLES[[#This Row],[SEG13]]&gt;0,CABLES[[#This Row],[CABLE_MASS]],0)</f>
        <v>0</v>
      </c>
      <c r="GT75" s="10">
        <f>IF(CABLES[[#This Row],[SEG14]]&gt;0,CABLES[[#This Row],[CABLE_MASS]],0)</f>
        <v>0</v>
      </c>
      <c r="GU75" s="10">
        <f>IF(CABLES[[#This Row],[SEG15]]&gt;0,CABLES[[#This Row],[CABLE_MASS]],0)</f>
        <v>0</v>
      </c>
      <c r="GV75" s="10">
        <f>IF(CABLES[[#This Row],[SEG16]]&gt;0,CABLES[[#This Row],[CABLE_MASS]],0)</f>
        <v>0</v>
      </c>
      <c r="GW75" s="10">
        <f>IF(CABLES[[#This Row],[SEG17]]&gt;0,CABLES[[#This Row],[CABLE_MASS]],0)</f>
        <v>0</v>
      </c>
      <c r="GX75" s="10">
        <f>IF(CABLES[[#This Row],[SEG18]]&gt;0,CABLES[[#This Row],[CABLE_MASS]],0)</f>
        <v>0</v>
      </c>
      <c r="GY75" s="10">
        <f>IF(CABLES[[#This Row],[SEG19]]&gt;0,CABLES[[#This Row],[CABLE_MASS]],0)</f>
        <v>0</v>
      </c>
      <c r="GZ75" s="10">
        <f>IF(CABLES[[#This Row],[SEG20]]&gt;0,CABLES[[#This Row],[CABLE_MASS]],0)</f>
        <v>0</v>
      </c>
      <c r="HA75" s="10">
        <f>IF(CABLES[[#This Row],[SEG21]]&gt;0,CABLES[[#This Row],[CABLE_MASS]],0)</f>
        <v>0</v>
      </c>
      <c r="HB75" s="10">
        <f>IF(CABLES[[#This Row],[SEG22]]&gt;0,CABLES[[#This Row],[CABLE_MASS]],0)</f>
        <v>0</v>
      </c>
      <c r="HC75" s="10">
        <f>IF(CABLES[[#This Row],[SEG23]]&gt;0,CABLES[[#This Row],[CABLE_MASS]],0)</f>
        <v>0</v>
      </c>
      <c r="HD75" s="10">
        <f>IF(CABLES[[#This Row],[SEG24]]&gt;0,CABLES[[#This Row],[CABLE_MASS]],0)</f>
        <v>0</v>
      </c>
      <c r="HE75" s="10">
        <f>IF(CABLES[[#This Row],[SEG25]]&gt;0,CABLES[[#This Row],[CABLE_MASS]],0)</f>
        <v>0</v>
      </c>
      <c r="HF75" s="10">
        <f>IF(CABLES[[#This Row],[SEG26]]&gt;0,CABLES[[#This Row],[CABLE_MASS]],0)</f>
        <v>0</v>
      </c>
      <c r="HG75" s="10">
        <f>IF(CABLES[[#This Row],[SEG27]]&gt;0,CABLES[[#This Row],[CABLE_MASS]],0)</f>
        <v>0</v>
      </c>
      <c r="HH75" s="10">
        <f>IF(CABLES[[#This Row],[SEG28]]&gt;0,CABLES[[#This Row],[CABLE_MASS]],0)</f>
        <v>0</v>
      </c>
      <c r="HI75" s="10">
        <f>IF(CABLES[[#This Row],[SEG29]]&gt;0,CABLES[[#This Row],[CABLE_MASS]],0)</f>
        <v>0</v>
      </c>
      <c r="HJ75" s="10">
        <f>IF(CABLES[[#This Row],[SEG30]]&gt;0,CABLES[[#This Row],[CABLE_MASS]],0)</f>
        <v>0</v>
      </c>
      <c r="HK75" s="10">
        <f>IF(CABLES[[#This Row],[SEG31]]&gt;0,CABLES[[#This Row],[CABLE_MASS]],0)</f>
        <v>0</v>
      </c>
      <c r="HL75" s="10">
        <f>IF(CABLES[[#This Row],[SEG32]]&gt;0,CABLES[[#This Row],[CABLE_MASS]],0)</f>
        <v>0</v>
      </c>
      <c r="HM75" s="10">
        <f>IF(CABLES[[#This Row],[SEG33]]&gt;0,CABLES[[#This Row],[CABLE_MASS]],0)</f>
        <v>0</v>
      </c>
      <c r="HN75" s="10">
        <f>IF(CABLES[[#This Row],[SEG34]]&gt;0,CABLES[[#This Row],[CABLE_MASS]],0)</f>
        <v>0</v>
      </c>
      <c r="HO75" s="10">
        <f>IF(CABLES[[#This Row],[SEG35]]&gt;0,CABLES[[#This Row],[CABLE_MASS]],0)</f>
        <v>0</v>
      </c>
      <c r="HP75" s="10">
        <f>IF(CABLES[[#This Row],[SEG36]]&gt;0,CABLES[[#This Row],[CABLE_MASS]],0)</f>
        <v>0</v>
      </c>
      <c r="HQ75" s="10">
        <f>IF(CABLES[[#This Row],[SEG37]]&gt;0,CABLES[[#This Row],[CABLE_MASS]],0)</f>
        <v>0</v>
      </c>
      <c r="HR75" s="10">
        <f>IF(CABLES[[#This Row],[SEG38]]&gt;0,CABLES[[#This Row],[CABLE_MASS]],0)</f>
        <v>0</v>
      </c>
      <c r="HS75" s="10">
        <f>IF(CABLES[[#This Row],[SEG39]]&gt;0,CABLES[[#This Row],[CABLE_MASS]],0)</f>
        <v>0</v>
      </c>
      <c r="HT75" s="10">
        <f>IF(CABLES[[#This Row],[SEG40]]&gt;0,CABLES[[#This Row],[CABLE_MASS]],0)</f>
        <v>0</v>
      </c>
      <c r="HU75" s="10">
        <f>IF(CABLES[[#This Row],[SEG41]]&gt;0,CABLES[[#This Row],[CABLE_MASS]],0)</f>
        <v>0</v>
      </c>
      <c r="HV75" s="10">
        <f>IF(CABLES[[#This Row],[SEG42]]&gt;0,CABLES[[#This Row],[CABLE_MASS]],0)</f>
        <v>0</v>
      </c>
      <c r="HW75" s="10">
        <f>IF(CABLES[[#This Row],[SEG43]]&gt;0,CABLES[[#This Row],[CABLE_MASS]],0)</f>
        <v>0</v>
      </c>
      <c r="HX75" s="10">
        <f>IF(CABLES[[#This Row],[SEG44]]&gt;0,CABLES[[#This Row],[CABLE_MASS]],0)</f>
        <v>0</v>
      </c>
      <c r="HY75" s="10">
        <f>IF(CABLES[[#This Row],[SEG45]]&gt;0,CABLES[[#This Row],[CABLE_MASS]],0)</f>
        <v>0</v>
      </c>
      <c r="HZ75" s="10">
        <f>IF(CABLES[[#This Row],[SEG46]]&gt;0,CABLES[[#This Row],[CABLE_MASS]],0)</f>
        <v>0</v>
      </c>
      <c r="IA75" s="10">
        <f>IF(CABLES[[#This Row],[SEG47]]&gt;0,CABLES[[#This Row],[CABLE_MASS]],0)</f>
        <v>0</v>
      </c>
      <c r="IB75" s="10">
        <f>IF(CABLES[[#This Row],[SEG48]]&gt;0,CABLES[[#This Row],[CABLE_MASS]],0)</f>
        <v>0</v>
      </c>
      <c r="IC75" s="10">
        <f>IF(CABLES[[#This Row],[SEG49]]&gt;0,CABLES[[#This Row],[CABLE_MASS]],0)</f>
        <v>0</v>
      </c>
      <c r="ID75" s="10">
        <f>IF(CABLES[[#This Row],[SEG50]]&gt;0,CABLES[[#This Row],[CABLE_MASS]],0)</f>
        <v>0</v>
      </c>
      <c r="IE75" s="10">
        <f>IF(CABLES[[#This Row],[SEG51]]&gt;0,CABLES[[#This Row],[CABLE_MASS]],0)</f>
        <v>0</v>
      </c>
      <c r="IF75" s="10">
        <f>IF(CABLES[[#This Row],[SEG52]]&gt;0,CABLES[[#This Row],[CABLE_MASS]],0)</f>
        <v>0</v>
      </c>
      <c r="IG75" s="10">
        <f>IF(CABLES[[#This Row],[SEG53]]&gt;0,CABLES[[#This Row],[CABLE_MASS]],0)</f>
        <v>0</v>
      </c>
      <c r="IH75" s="10">
        <f>IF(CABLES[[#This Row],[SEG54]]&gt;0,CABLES[[#This Row],[CABLE_MASS]],0)</f>
        <v>0</v>
      </c>
      <c r="II75" s="10">
        <f>IF(CABLES[[#This Row],[SEG55]]&gt;0,CABLES[[#This Row],[CABLE_MASS]],0)</f>
        <v>0</v>
      </c>
      <c r="IJ75" s="10">
        <f>IF(CABLES[[#This Row],[SEG56]]&gt;0,CABLES[[#This Row],[CABLE_MASS]],0)</f>
        <v>0</v>
      </c>
      <c r="IK75" s="10">
        <f>IF(CABLES[[#This Row],[SEG57]]&gt;0,CABLES[[#This Row],[CABLE_MASS]],0)</f>
        <v>0</v>
      </c>
      <c r="IL75" s="10">
        <f>IF(CABLES[[#This Row],[SEG58]]&gt;0,CABLES[[#This Row],[CABLE_MASS]],0)</f>
        <v>0</v>
      </c>
      <c r="IM75" s="10">
        <f>IF(CABLES[[#This Row],[SEG59]]&gt;0,CABLES[[#This Row],[CABLE_MASS]],0)</f>
        <v>0</v>
      </c>
      <c r="IN75" s="10">
        <f>IF(CABLES[[#This Row],[SEG60]]&gt;0,CABLES[[#This Row],[CABLE_MASS]],0)</f>
        <v>0</v>
      </c>
      <c r="IO75" s="10">
        <f xml:space="preserve">  (CABLES[[#This Row],[LOAD_KW]]/(SQRT(3)*SYSTEM_VOLTAGE*POWER_FACTOR))*1000</f>
        <v>3.528251645047713</v>
      </c>
      <c r="IP75" s="10">
        <v>45</v>
      </c>
      <c r="IQ75" s="10">
        <f xml:space="preserve"> INDEX(AS3000_AMBIENTDERATE[], MATCH(CABLES[[#This Row],[AMBIENT]],AS3000_AMBIENTDERATE[AMBIENT],0), 2)</f>
        <v>0.94</v>
      </c>
      <c r="IR75" s="10">
        <f xml:space="preserve"> ROUNDUP( CABLES[[#This Row],[CALCULATED_AMPS]]/CABLES[[#This Row],[AMBIENT_DERATING]],1)</f>
        <v>3.8000000000000003</v>
      </c>
      <c r="IS75" s="10" t="s">
        <v>531</v>
      </c>
      <c r="IT75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5" s="10">
        <f t="shared" si="2"/>
        <v>28.000000000000004</v>
      </c>
      <c r="IV75" s="10">
        <f>(1000*CABLES[[#This Row],[MAX_VDROP]])/(CABLES[[#This Row],[ESTIMATED_CABLE_LENGTH]]*CABLES[[#This Row],[AMP_RATING]])</f>
        <v>95.942982456140356</v>
      </c>
      <c r="IW75" s="10">
        <f xml:space="preserve"> INDEX(AS3000_VDROP[], MATCH(CABLES[[#This Row],[VC_CALC]],AS3000_VDROP[Vc],1),1)</f>
        <v>2.5</v>
      </c>
      <c r="IX75" s="10">
        <f>MAX(CABLES[[#This Row],[CABLESIZE_METHOD1]],CABLES[[#This Row],[CABLESIZE_METHOD2]])</f>
        <v>2.5</v>
      </c>
      <c r="IY75" s="10"/>
      <c r="IZ75" s="10">
        <f>IF(LEN(CABLES[[#This Row],[OVERRIDE_CABLESIZE]])&gt;0,CABLES[[#This Row],[OVERRIDE_CABLESIZE]],CABLES[[#This Row],[INITIAL_CABLESIZE]])</f>
        <v>2.5</v>
      </c>
      <c r="JA75" s="10">
        <f>INDEX(PROTECTIVE_DEVICE[DEVICE], MATCH(CABLES[[#This Row],[CALCULATED_AMPS]],PROTECTIVE_DEVICE[DEVICE],-1),1)</f>
        <v>6</v>
      </c>
      <c r="JB75" s="10"/>
      <c r="JC75" s="10">
        <f>IF(LEN(CABLES[[#This Row],[OVERRIDE_PDEVICE]])&gt;0, CABLES[[#This Row],[OVERRIDE_PDEVICE]],CABLES[[#This Row],[RECOMMEND_PDEVICE]])</f>
        <v>6</v>
      </c>
      <c r="JD75" s="10" t="s">
        <v>450</v>
      </c>
      <c r="JE75" s="10">
        <f xml:space="preserve"> CABLES[[#This Row],[SELECTED_PDEVICE]] * INDEX(DEVICE_CURVE[], MATCH(CABLES[[#This Row],[PDEVICE_CURVE]], DEVICE_CURVE[DEVICE_CURVE],0),2)</f>
        <v>39</v>
      </c>
      <c r="JF75" s="10" t="s">
        <v>458</v>
      </c>
      <c r="JG75" s="10">
        <f xml:space="preserve"> INDEX(CONDUCTOR_MATERIAL[], MATCH(CABLES[[#This Row],[CONDUCTOR_MATERIAL]],CONDUCTOR_MATERIAL[CONDUCTOR_MATERIAL],0),2)</f>
        <v>2.2499999999999999E-2</v>
      </c>
      <c r="JH75" s="10">
        <f>CABLES[[#This Row],[SELECTED_CABLESIZE]]</f>
        <v>2.5</v>
      </c>
      <c r="JI75" s="10">
        <f xml:space="preserve"> INDEX( EARTH_CONDUCTOR_SIZE[], MATCH(CABLES[[#This Row],[SPH]],EARTH_CONDUCTOR_SIZE[MM^2],-1), 2)</f>
        <v>2.5</v>
      </c>
      <c r="JJ75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75" s="10" t="str">
        <f>IF(CABLES[[#This Row],[LMAX]]&gt;CABLES[[#This Row],[ESTIMATED_CABLE_LENGTH]], "PASS", "ERROR")</f>
        <v>PASS</v>
      </c>
      <c r="JL75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75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75" s="6">
        <f xml:space="preserve"> ROUNDUP( CABLES[[#This Row],[CALCULATED_AMPS]],1)</f>
        <v>3.6</v>
      </c>
      <c r="JO75" s="6">
        <f>CABLES[[#This Row],[SELECTED_CABLESIZE]]</f>
        <v>2.5</v>
      </c>
      <c r="JP75" s="10">
        <f>CABLES[[#This Row],[ESTIMATED_CABLE_LENGTH]]</f>
        <v>76.8</v>
      </c>
      <c r="JQ75" s="6">
        <f>CABLES[[#This Row],[SELECTED_PDEVICE]]</f>
        <v>6</v>
      </c>
    </row>
    <row r="76" spans="1:277" x14ac:dyDescent="0.35">
      <c r="A76" s="5" t="s">
        <v>73</v>
      </c>
      <c r="B76" s="5" t="s">
        <v>118</v>
      </c>
      <c r="C76" s="10" t="s">
        <v>262</v>
      </c>
      <c r="D76" s="9">
        <v>0.75</v>
      </c>
      <c r="E76" s="9">
        <v>1</v>
      </c>
      <c r="F76" s="9">
        <v>1</v>
      </c>
      <c r="G76" s="9">
        <v>0</v>
      </c>
      <c r="H76" s="9">
        <v>1</v>
      </c>
      <c r="I76" s="9">
        <v>0</v>
      </c>
      <c r="J76" s="9">
        <v>1</v>
      </c>
      <c r="K76" s="9">
        <v>0</v>
      </c>
      <c r="L76" s="9">
        <v>1</v>
      </c>
      <c r="M76" s="9">
        <v>0</v>
      </c>
      <c r="N76" s="9">
        <v>1</v>
      </c>
      <c r="O76" s="9">
        <v>0</v>
      </c>
      <c r="P76" s="9">
        <v>1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f xml:space="preserve"> IF(CABLES[[#This Row],[SEG1]] &gt;0, INDEX(SEGMENTS[], MATCH(CABLES[[#Headers],[SEG1]],SEGMENTS[SEG_ID],0),4),0)</f>
        <v>13</v>
      </c>
      <c r="BN76" s="9">
        <f xml:space="preserve"> IF(CABLES[[#This Row],[SEG2]] &gt;0, INDEX(SEGMENTS[], MATCH(CABLES[[#Headers],[SEG2]],SEGMENTS[SEG_ID],0),4),0)</f>
        <v>2</v>
      </c>
      <c r="BO76" s="9">
        <f xml:space="preserve"> IF(CABLES[[#This Row],[SEG3]] &gt;0, INDEX(SEGMENTS[], MATCH(CABLES[[#Headers],[SEG3]],SEGMENTS[SEG_ID],0),4),0)</f>
        <v>0</v>
      </c>
      <c r="BP76" s="9">
        <f xml:space="preserve"> IF(CABLES[[#This Row],[SEG4]] &gt;0, INDEX(SEGMENTS[], MATCH(CABLES[[#Headers],[SEG4]],SEGMENTS[SEG_ID],0),4),0)</f>
        <v>14</v>
      </c>
      <c r="BQ76" s="9">
        <f xml:space="preserve"> IF(CABLES[[#This Row],[SEG5]] &gt;0,INDEX(SEGMENTS[], MATCH(CABLES[[#Headers],[SEG5]],SEGMENTS[SEG_ID],0),4),0)</f>
        <v>0</v>
      </c>
      <c r="BR76" s="9">
        <f xml:space="preserve"> IF(CABLES[[#This Row],[SEG6]] &gt;0,INDEX(SEGMENTS[], MATCH(CABLES[[#Headers],[SEG6]],SEGMENTS[SEG_ID],0),4),0)</f>
        <v>2</v>
      </c>
      <c r="BS76" s="9">
        <f xml:space="preserve"> IF(CABLES[[#This Row],[SEG7]] &gt;0,INDEX(SEGMENTS[], MATCH(CABLES[[#Headers],[SEG7]],SEGMENTS[SEG_ID],0),4),0)</f>
        <v>0</v>
      </c>
      <c r="BT76" s="9">
        <f xml:space="preserve"> IF(CABLES[[#This Row],[SEG8]] &gt;0,INDEX(SEGMENTS[], MATCH(CABLES[[#Headers],[SEG8]],SEGMENTS[SEG_ID],0),4),0)</f>
        <v>3</v>
      </c>
      <c r="BU76" s="9">
        <f xml:space="preserve"> IF(CABLES[[#This Row],[SEG9]] &gt;0,INDEX(SEGMENTS[], MATCH(CABLES[[#Headers],[SEG9]],SEGMENTS[SEG_ID],0),4),0)</f>
        <v>0</v>
      </c>
      <c r="BV76" s="9">
        <f xml:space="preserve"> IF(CABLES[[#This Row],[SEG10]] &gt;0,INDEX(SEGMENTS[], MATCH(CABLES[[#Headers],[SEG10]],SEGMENTS[SEG_ID],0),4),0)</f>
        <v>9</v>
      </c>
      <c r="BW76" s="9">
        <f xml:space="preserve"> IF(CABLES[[#This Row],[SEG11]] &gt;0,INDEX(SEGMENTS[], MATCH(CABLES[[#Headers],[SEG11]],SEGMENTS[SEG_ID],0),4),0)</f>
        <v>0</v>
      </c>
      <c r="BX76" s="9">
        <f>IF(CABLES[[#This Row],[SEG12]] &gt;0, INDEX(SEGMENTS[], MATCH(CABLES[[#Headers],[SEG12]],SEGMENTS[SEG_ID],0),4),0)</f>
        <v>16</v>
      </c>
      <c r="BY76" s="9">
        <f xml:space="preserve"> IF(CABLES[[#This Row],[SEG13]] &gt;0,INDEX(SEGMENTS[], MATCH(CABLES[[#Headers],[SEG13]],SEGMENTS[SEG_ID],0),4),0)</f>
        <v>0</v>
      </c>
      <c r="BZ76" s="9">
        <f xml:space="preserve"> IF(CABLES[[#This Row],[SEG14]] &gt;0,INDEX(SEGMENTS[], MATCH(CABLES[[#Headers],[SEG14]],SEGMENTS[SEG_ID],0),4),0)</f>
        <v>0</v>
      </c>
      <c r="CA76" s="9">
        <f xml:space="preserve"> IF(CABLES[[#This Row],[SEG15]] &gt;0,INDEX(SEGMENTS[], MATCH(CABLES[[#Headers],[SEG15]],SEGMENTS[SEG_ID],0),4),0)</f>
        <v>0</v>
      </c>
      <c r="CB76" s="9">
        <f xml:space="preserve"> IF(CABLES[[#This Row],[SEG16]] &gt;0,INDEX(SEGMENTS[], MATCH(CABLES[[#Headers],[SEG16]],SEGMENTS[SEG_ID],0),4),0)</f>
        <v>0</v>
      </c>
      <c r="CC76" s="9">
        <f xml:space="preserve"> IF(CABLES[[#This Row],[SEG17]] &gt;0,INDEX(SEGMENTS[], MATCH(CABLES[[#Headers],[SEG17]],SEGMENTS[SEG_ID],0),4),0)</f>
        <v>0</v>
      </c>
      <c r="CD76" s="9">
        <f xml:space="preserve"> IF(CABLES[[#This Row],[SEG18]] &gt;0,INDEX(SEGMENTS[], MATCH(CABLES[[#Headers],[SEG18]],SEGMENTS[SEG_ID],0),4),0)</f>
        <v>0</v>
      </c>
      <c r="CE76" s="9">
        <f>IF(CABLES[[#This Row],[SEG19]] &gt;0, INDEX(SEGMENTS[], MATCH(CABLES[[#Headers],[SEG19]],SEGMENTS[SEG_ID],0),4),0)</f>
        <v>0</v>
      </c>
      <c r="CF76" s="9">
        <f>IF(CABLES[[#This Row],[SEG20]] &gt;0, INDEX(SEGMENTS[], MATCH(CABLES[[#Headers],[SEG20]],SEGMENTS[SEG_ID],0),4),0)</f>
        <v>0</v>
      </c>
      <c r="CG76" s="9">
        <f xml:space="preserve"> IF(CABLES[[#This Row],[SEG21]] &gt;0,INDEX(SEGMENTS[], MATCH(CABLES[[#Headers],[SEG21]],SEGMENTS[SEG_ID],0),4),0)</f>
        <v>0</v>
      </c>
      <c r="CH76" s="9">
        <f xml:space="preserve"> IF(CABLES[[#This Row],[SEG22]] &gt;0,INDEX(SEGMENTS[], MATCH(CABLES[[#Headers],[SEG22]],SEGMENTS[SEG_ID],0),4),0)</f>
        <v>0</v>
      </c>
      <c r="CI76" s="9">
        <f>IF(CABLES[[#This Row],[SEG23]] &gt;0, INDEX(SEGMENTS[], MATCH(CABLES[[#Headers],[SEG23]],SEGMENTS[SEG_ID],0),4),0)</f>
        <v>0</v>
      </c>
      <c r="CJ76" s="9">
        <f xml:space="preserve"> IF(CABLES[[#This Row],[SEG24]] &gt;0,INDEX(SEGMENTS[], MATCH(CABLES[[#Headers],[SEG24]],SEGMENTS[SEG_ID],0),4),0)</f>
        <v>0</v>
      </c>
      <c r="CK76" s="9">
        <f>IF(CABLES[[#This Row],[SEG25]] &gt;0, INDEX(SEGMENTS[], MATCH(CABLES[[#Headers],[SEG25]],SEGMENTS[SEG_ID],0),4),0)</f>
        <v>0</v>
      </c>
      <c r="CL76" s="9">
        <f>IF(CABLES[[#This Row],[SEG26]] &gt;0, INDEX(SEGMENTS[], MATCH(CABLES[[#Headers],[SEG26]],SEGMENTS[SEG_ID],0),4),0)</f>
        <v>0</v>
      </c>
      <c r="CM76" s="9">
        <f xml:space="preserve"> IF(CABLES[[#This Row],[SEG27]] &gt;0,INDEX(SEGMENTS[], MATCH(CABLES[[#Headers],[SEG27]],SEGMENTS[SEG_ID],0),4),0)</f>
        <v>0</v>
      </c>
      <c r="CN76" s="9">
        <f xml:space="preserve"> IF(CABLES[[#This Row],[SEG28]] &gt;0,INDEX(SEGMENTS[], MATCH(CABLES[[#Headers],[SEG28]],SEGMENTS[SEG_ID],0),4),0)</f>
        <v>0</v>
      </c>
      <c r="CO76" s="9">
        <f xml:space="preserve"> IF(CABLES[[#This Row],[SEG29]] &gt;0,INDEX(SEGMENTS[], MATCH(CABLES[[#Headers],[SEG29]],SEGMENTS[SEG_ID],0),4),0)</f>
        <v>0</v>
      </c>
      <c r="CP76" s="9">
        <f xml:space="preserve"> IF(CABLES[[#This Row],[SEG30]] &gt;0,INDEX(SEGMENTS[], MATCH(CABLES[[#Headers],[SEG30]],SEGMENTS[SEG_ID],0),4),0)</f>
        <v>0</v>
      </c>
      <c r="CQ76" s="9">
        <f>IF(CABLES[[#This Row],[SEG31]] &gt;0, INDEX(SEGMENTS[], MATCH(CABLES[[#Headers],[SEG31]],SEGMENTS[SEG_ID],0),4),0)</f>
        <v>0</v>
      </c>
      <c r="CR76" s="9">
        <f xml:space="preserve"> IF(CABLES[[#This Row],[SEG32]] &gt;0,INDEX(SEGMENTS[], MATCH(CABLES[[#Headers],[SEG32]],SEGMENTS[SEG_ID],0),4),0)</f>
        <v>0</v>
      </c>
      <c r="CS76" s="9">
        <f xml:space="preserve"> IF(CABLES[[#This Row],[SEG33]] &gt;0,INDEX(SEGMENTS[], MATCH(CABLES[[#Headers],[SEG33]],SEGMENTS[SEG_ID],0),4),0)</f>
        <v>0</v>
      </c>
      <c r="CT76" s="9">
        <f>IF(CABLES[[#This Row],[SEG34]] &gt;0, INDEX(SEGMENTS[], MATCH(CABLES[[#Headers],[SEG34]],SEGMENTS[SEG_ID],0),4),0)</f>
        <v>0</v>
      </c>
      <c r="CU76" s="9">
        <f xml:space="preserve"> IF(CABLES[[#This Row],[SEG35]] &gt;0,INDEX(SEGMENTS[], MATCH(CABLES[[#Headers],[SEG35]],SEGMENTS[SEG_ID],0),4),0)</f>
        <v>0</v>
      </c>
      <c r="CV76" s="9">
        <f xml:space="preserve"> IF(CABLES[[#This Row],[SEG36]] &gt;0,INDEX(SEGMENTS[], MATCH(CABLES[[#Headers],[SEG36]],SEGMENTS[SEG_ID],0),4),0)</f>
        <v>0</v>
      </c>
      <c r="CW76" s="9">
        <f xml:space="preserve"> IF(CABLES[[#This Row],[SEG37]] &gt;0,INDEX(SEGMENTS[], MATCH(CABLES[[#Headers],[SEG37]],SEGMENTS[SEG_ID],0),4),0)</f>
        <v>0</v>
      </c>
      <c r="CX76" s="9">
        <f xml:space="preserve"> IF(CABLES[[#This Row],[SEG38]] &gt;0,INDEX(SEGMENTS[], MATCH(CABLES[[#Headers],[SEG38]],SEGMENTS[SEG_ID],0),4),0)</f>
        <v>0</v>
      </c>
      <c r="CY76" s="9">
        <f xml:space="preserve"> IF(CABLES[[#This Row],[SEG39]] &gt;0,INDEX(SEGMENTS[], MATCH(CABLES[[#Headers],[SEG39]],SEGMENTS[SEG_ID],0),4),0)</f>
        <v>0</v>
      </c>
      <c r="CZ76" s="9">
        <f xml:space="preserve"> IF(CABLES[[#This Row],[SEG40]] &gt;0,INDEX(SEGMENTS[], MATCH(CABLES[[#Headers],[SEG40]],SEGMENTS[SEG_ID],0),4),0)</f>
        <v>0</v>
      </c>
      <c r="DA76" s="9">
        <f xml:space="preserve"> IF(CABLES[[#This Row],[SEG41]] &gt;0,INDEX(SEGMENTS[], MATCH(CABLES[[#Headers],[SEG41]],SEGMENTS[SEG_ID],0),4),0)</f>
        <v>0</v>
      </c>
      <c r="DB76" s="9">
        <f xml:space="preserve"> IF(CABLES[[#This Row],[SEG42]] &gt;0,INDEX(SEGMENTS[], MATCH(CABLES[[#Headers],[SEG42]],SEGMENTS[SEG_ID],0),4),0)</f>
        <v>0</v>
      </c>
      <c r="DC76" s="9">
        <f xml:space="preserve"> IF(CABLES[[#This Row],[SEG43]] &gt;0,INDEX(SEGMENTS[], MATCH(CABLES[[#Headers],[SEG43]],SEGMENTS[SEG_ID],0),4),0)</f>
        <v>0</v>
      </c>
      <c r="DD76" s="9">
        <f xml:space="preserve"> IF(CABLES[[#This Row],[SEG44]] &gt;0,INDEX(SEGMENTS[], MATCH(CABLES[[#Headers],[SEG44]],SEGMENTS[SEG_ID],0),4),0)</f>
        <v>0</v>
      </c>
      <c r="DE76" s="9">
        <f xml:space="preserve"> IF(CABLES[[#This Row],[SEG45]] &gt;0,INDEX(SEGMENTS[], MATCH(CABLES[[#Headers],[SEG45]],SEGMENTS[SEG_ID],0),4),0)</f>
        <v>0</v>
      </c>
      <c r="DF76" s="9">
        <f xml:space="preserve"> IF(CABLES[[#This Row],[SEG46]] &gt;0,INDEX(SEGMENTS[], MATCH(CABLES[[#Headers],[SEG46]],SEGMENTS[SEG_ID],0),4),0)</f>
        <v>0</v>
      </c>
      <c r="DG76" s="9">
        <f xml:space="preserve"> IF(CABLES[[#This Row],[SEG47]] &gt;0,INDEX(SEGMENTS[], MATCH(CABLES[[#Headers],[SEG47]],SEGMENTS[SEG_ID],0),4),0)</f>
        <v>0</v>
      </c>
      <c r="DH76" s="9">
        <f xml:space="preserve"> IF(CABLES[[#This Row],[SEG48]] &gt;0,INDEX(SEGMENTS[], MATCH(CABLES[[#Headers],[SEG48]],SEGMENTS[SEG_ID],0),4),0)</f>
        <v>0</v>
      </c>
      <c r="DI76" s="9">
        <f xml:space="preserve"> IF(CABLES[[#This Row],[SEG49]] &gt;0,INDEX(SEGMENTS[], MATCH(CABLES[[#Headers],[SEG49]],SEGMENTS[SEG_ID],0),4),0)</f>
        <v>0</v>
      </c>
      <c r="DJ76" s="9">
        <f xml:space="preserve"> IF(CABLES[[#This Row],[SEG50]] &gt;0,INDEX(SEGMENTS[], MATCH(CABLES[[#Headers],[SEG50]],SEGMENTS[SEG_ID],0),4),0)</f>
        <v>0</v>
      </c>
      <c r="DK76" s="9">
        <f xml:space="preserve"> IF(CABLES[[#This Row],[SEG51]] &gt;0,INDEX(SEGMENTS[], MATCH(CABLES[[#Headers],[SEG51]],SEGMENTS[SEG_ID],0),4),0)</f>
        <v>0</v>
      </c>
      <c r="DL76" s="9">
        <f xml:space="preserve"> IF(CABLES[[#This Row],[SEG52]] &gt;0,INDEX(SEGMENTS[], MATCH(CABLES[[#Headers],[SEG52]],SEGMENTS[SEG_ID],0),4),0)</f>
        <v>0</v>
      </c>
      <c r="DM76" s="9">
        <f xml:space="preserve"> IF(CABLES[[#This Row],[SEG53]] &gt;0,INDEX(SEGMENTS[], MATCH(CABLES[[#Headers],[SEG53]],SEGMENTS[SEG_ID],0),4),0)</f>
        <v>0</v>
      </c>
      <c r="DN76" s="9">
        <f xml:space="preserve"> IF(CABLES[[#This Row],[SEG54]] &gt;0,INDEX(SEGMENTS[], MATCH(CABLES[[#Headers],[SEG54]],SEGMENTS[SEG_ID],0),4),0)</f>
        <v>0</v>
      </c>
      <c r="DO76" s="9">
        <f xml:space="preserve"> IF(CABLES[[#This Row],[SEG55]] &gt;0,INDEX(SEGMENTS[], MATCH(CABLES[[#Headers],[SEG55]],SEGMENTS[SEG_ID],0),4),0)</f>
        <v>0</v>
      </c>
      <c r="DP76" s="9">
        <f xml:space="preserve"> IF(CABLES[[#This Row],[SEG56]] &gt;0,INDEX(SEGMENTS[], MATCH(CABLES[[#Headers],[SEG56]],SEGMENTS[SEG_ID],0),4),0)</f>
        <v>0</v>
      </c>
      <c r="DQ76" s="9">
        <f xml:space="preserve"> IF(CABLES[[#This Row],[SEG57]] &gt;0,INDEX(SEGMENTS[], MATCH(CABLES[[#Headers],[SEG57]],SEGMENTS[SEG_ID],0),4),0)</f>
        <v>0</v>
      </c>
      <c r="DR76" s="9">
        <f xml:space="preserve"> IF(CABLES[[#This Row],[SEG58]] &gt;0,INDEX(SEGMENTS[], MATCH(CABLES[[#Headers],[SEG58]],SEGMENTS[SEG_ID],0),4),0)</f>
        <v>0</v>
      </c>
      <c r="DS76" s="9">
        <f xml:space="preserve"> IF(CABLES[[#This Row],[SEG59]] &gt;0,INDEX(SEGMENTS[], MATCH(CABLES[[#Headers],[SEG59]],SEGMENTS[SEG_ID],0),4),0)</f>
        <v>0</v>
      </c>
      <c r="DT76" s="9">
        <f xml:space="preserve"> IF(CABLES[[#This Row],[SEG60]] &gt;0,INDEX(SEGMENTS[], MATCH(CABLES[[#Headers],[SEG60]],SEGMENTS[SEG_ID],0),4),0)</f>
        <v>0</v>
      </c>
      <c r="DU76" s="10">
        <f>SUM(CABLES[[#This Row],[SEGL1]:[SEGL60]])</f>
        <v>59</v>
      </c>
      <c r="DV76" s="10">
        <v>5</v>
      </c>
      <c r="DW76" s="10">
        <v>1.2</v>
      </c>
      <c r="DX76" s="10">
        <f xml:space="preserve"> IF(CABLES[[#This Row],[SEGL_TOTAL]]&gt;0, (CABLES[[#This Row],[SEGL_TOTAL]] + CABLES[[#This Row],[FITOFF]]) *CABLES[[#This Row],[XCAPACITY]],0)</f>
        <v>76.8</v>
      </c>
      <c r="DY76" s="10">
        <f>IF(CABLES[[#This Row],[SEG1]]&gt;0,CABLES[[#This Row],[CABLE_DIAMETER]],0)</f>
        <v>12</v>
      </c>
      <c r="DZ76" s="10">
        <f>IF(CABLES[[#This Row],[SEG2]]&gt;0,CABLES[[#This Row],[CABLE_DIAMETER]],0)</f>
        <v>12</v>
      </c>
      <c r="EA76" s="10">
        <f>IF(CABLES[[#This Row],[SEG3]]&gt;0,CABLES[[#This Row],[CABLE_DIAMETER]],0)</f>
        <v>0</v>
      </c>
      <c r="EB76" s="10">
        <f>IF(CABLES[[#This Row],[SEG4]]&gt;0,CABLES[[#This Row],[CABLE_DIAMETER]],0)</f>
        <v>12</v>
      </c>
      <c r="EC76" s="10">
        <f>IF(CABLES[[#This Row],[SEG5]]&gt;0,CABLES[[#This Row],[CABLE_DIAMETER]],0)</f>
        <v>0</v>
      </c>
      <c r="ED76" s="10">
        <f>IF(CABLES[[#This Row],[SEG6]]&gt;0,CABLES[[#This Row],[CABLE_DIAMETER]],0)</f>
        <v>12</v>
      </c>
      <c r="EE76" s="10">
        <f>IF(CABLES[[#This Row],[SEG7]]&gt;0,CABLES[[#This Row],[CABLE_DIAMETER]],0)</f>
        <v>0</v>
      </c>
      <c r="EF76" s="10">
        <f>IF(CABLES[[#This Row],[SEG9]]&gt;0,CABLES[[#This Row],[CABLE_DIAMETER]],0)</f>
        <v>0</v>
      </c>
      <c r="EG76" s="10">
        <f>IF(CABLES[[#This Row],[SEG9]]&gt;0,CABLES[[#This Row],[CABLE_DIAMETER]],0)</f>
        <v>0</v>
      </c>
      <c r="EH76" s="10">
        <f>IF(CABLES[[#This Row],[SEG10]]&gt;0,CABLES[[#This Row],[CABLE_DIAMETER]],0)</f>
        <v>12</v>
      </c>
      <c r="EI76" s="10">
        <f>IF(CABLES[[#This Row],[SEG11]]&gt;0,CABLES[[#This Row],[CABLE_DIAMETER]],0)</f>
        <v>0</v>
      </c>
      <c r="EJ76" s="10">
        <f>IF(CABLES[[#This Row],[SEG12]]&gt;0,CABLES[[#This Row],[CABLE_DIAMETER]],0)</f>
        <v>12</v>
      </c>
      <c r="EK76" s="10">
        <f>IF(CABLES[[#This Row],[SEG13]]&gt;0,CABLES[[#This Row],[CABLE_DIAMETER]],0)</f>
        <v>0</v>
      </c>
      <c r="EL76" s="10">
        <f>IF(CABLES[[#This Row],[SEG14]]&gt;0,CABLES[[#This Row],[CABLE_DIAMETER]],0)</f>
        <v>0</v>
      </c>
      <c r="EM76" s="10">
        <f>IF(CABLES[[#This Row],[SEG15]]&gt;0,CABLES[[#This Row],[CABLE_DIAMETER]],0)</f>
        <v>0</v>
      </c>
      <c r="EN76" s="10">
        <f>IF(CABLES[[#This Row],[SEG16]]&gt;0,CABLES[[#This Row],[CABLE_DIAMETER]],0)</f>
        <v>0</v>
      </c>
      <c r="EO76" s="10">
        <f>IF(CABLES[[#This Row],[SEG17]]&gt;0,CABLES[[#This Row],[CABLE_DIAMETER]],0)</f>
        <v>0</v>
      </c>
      <c r="EP76" s="10">
        <f>IF(CABLES[[#This Row],[SEG18]]&gt;0,CABLES[[#This Row],[CABLE_DIAMETER]],0)</f>
        <v>0</v>
      </c>
      <c r="EQ76" s="10">
        <f>IF(CABLES[[#This Row],[SEG19]]&gt;0,CABLES[[#This Row],[CABLE_DIAMETER]],0)</f>
        <v>0</v>
      </c>
      <c r="ER76" s="10">
        <f>IF(CABLES[[#This Row],[SEG20]]&gt;0,CABLES[[#This Row],[CABLE_DIAMETER]],0)</f>
        <v>0</v>
      </c>
      <c r="ES76" s="10">
        <f>IF(CABLES[[#This Row],[SEG21]]&gt;0,CABLES[[#This Row],[CABLE_DIAMETER]],0)</f>
        <v>0</v>
      </c>
      <c r="ET76" s="10">
        <f>IF(CABLES[[#This Row],[SEG22]]&gt;0,CABLES[[#This Row],[CABLE_DIAMETER]],0)</f>
        <v>0</v>
      </c>
      <c r="EU76" s="10">
        <f>IF(CABLES[[#This Row],[SEG23]]&gt;0,CABLES[[#This Row],[CABLE_DIAMETER]],0)</f>
        <v>0</v>
      </c>
      <c r="EV76" s="10">
        <f>IF(CABLES[[#This Row],[SEG24]]&gt;0,CABLES[[#This Row],[CABLE_DIAMETER]],0)</f>
        <v>0</v>
      </c>
      <c r="EW76" s="10">
        <f>IF(CABLES[[#This Row],[SEG25]]&gt;0,CABLES[[#This Row],[CABLE_DIAMETER]],0)</f>
        <v>0</v>
      </c>
      <c r="EX76" s="10">
        <f>IF(CABLES[[#This Row],[SEG26]]&gt;0,CABLES[[#This Row],[CABLE_DIAMETER]],0)</f>
        <v>0</v>
      </c>
      <c r="EY76" s="10">
        <f>IF(CABLES[[#This Row],[SEG27]]&gt;0,CABLES[[#This Row],[CABLE_DIAMETER]],0)</f>
        <v>0</v>
      </c>
      <c r="EZ76" s="10">
        <f>IF(CABLES[[#This Row],[SEG28]]&gt;0,CABLES[[#This Row],[CABLE_DIAMETER]],0)</f>
        <v>0</v>
      </c>
      <c r="FA76" s="10">
        <f>IF(CABLES[[#This Row],[SEG29]]&gt;0,CABLES[[#This Row],[CABLE_DIAMETER]],0)</f>
        <v>0</v>
      </c>
      <c r="FB76" s="10">
        <f>IF(CABLES[[#This Row],[SEG30]]&gt;0,CABLES[[#This Row],[CABLE_DIAMETER]],0)</f>
        <v>0</v>
      </c>
      <c r="FC76" s="10">
        <f>IF(CABLES[[#This Row],[SEG31]]&gt;0,CABLES[[#This Row],[CABLE_DIAMETER]],0)</f>
        <v>0</v>
      </c>
      <c r="FD76" s="10">
        <f>IF(CABLES[[#This Row],[SEG32]]&gt;0,CABLES[[#This Row],[CABLE_DIAMETER]],0)</f>
        <v>0</v>
      </c>
      <c r="FE76" s="10">
        <f>IF(CABLES[[#This Row],[SEG33]]&gt;0,CABLES[[#This Row],[CABLE_DIAMETER]],0)</f>
        <v>0</v>
      </c>
      <c r="FF76" s="10">
        <f>IF(CABLES[[#This Row],[SEG34]]&gt;0,CABLES[[#This Row],[CABLE_DIAMETER]],0)</f>
        <v>0</v>
      </c>
      <c r="FG76" s="10">
        <f>IF(CABLES[[#This Row],[SEG35]]&gt;0,CABLES[[#This Row],[CABLE_DIAMETER]],0)</f>
        <v>0</v>
      </c>
      <c r="FH76" s="10">
        <f>IF(CABLES[[#This Row],[SEG36]]&gt;0,CABLES[[#This Row],[CABLE_DIAMETER]],0)</f>
        <v>0</v>
      </c>
      <c r="FI76" s="10">
        <f>IF(CABLES[[#This Row],[SEG37]]&gt;0,CABLES[[#This Row],[CABLE_DIAMETER]],0)</f>
        <v>0</v>
      </c>
      <c r="FJ76" s="10">
        <f>IF(CABLES[[#This Row],[SEG38]]&gt;0,CABLES[[#This Row],[CABLE_DIAMETER]],0)</f>
        <v>0</v>
      </c>
      <c r="FK76" s="10">
        <f>IF(CABLES[[#This Row],[SEG39]]&gt;0,CABLES[[#This Row],[CABLE_DIAMETER]],0)</f>
        <v>0</v>
      </c>
      <c r="FL76" s="10">
        <f>IF(CABLES[[#This Row],[SEG40]]&gt;0,CABLES[[#This Row],[CABLE_DIAMETER]],0)</f>
        <v>0</v>
      </c>
      <c r="FM76" s="10">
        <f>IF(CABLES[[#This Row],[SEG41]]&gt;0,CABLES[[#This Row],[CABLE_DIAMETER]],0)</f>
        <v>0</v>
      </c>
      <c r="FN76" s="10">
        <f>IF(CABLES[[#This Row],[SEG42]]&gt;0,CABLES[[#This Row],[CABLE_DIAMETER]],0)</f>
        <v>0</v>
      </c>
      <c r="FO76" s="10">
        <f>IF(CABLES[[#This Row],[SEG43]]&gt;0,CABLES[[#This Row],[CABLE_DIAMETER]],0)</f>
        <v>0</v>
      </c>
      <c r="FP76" s="10">
        <f>IF(CABLES[[#This Row],[SEG44]]&gt;0,CABLES[[#This Row],[CABLE_DIAMETER]],0)</f>
        <v>0</v>
      </c>
      <c r="FQ76" s="10">
        <f>IF(CABLES[[#This Row],[SEG45]]&gt;0,CABLES[[#This Row],[CABLE_DIAMETER]],0)</f>
        <v>0</v>
      </c>
      <c r="FR76" s="10">
        <f>IF(CABLES[[#This Row],[SEG46]]&gt;0,CABLES[[#This Row],[CABLE_DIAMETER]],0)</f>
        <v>0</v>
      </c>
      <c r="FS76" s="10">
        <f>IF(CABLES[[#This Row],[SEG47]]&gt;0,CABLES[[#This Row],[CABLE_DIAMETER]],0)</f>
        <v>0</v>
      </c>
      <c r="FT76" s="10">
        <f>IF(CABLES[[#This Row],[SEG48]]&gt;0,CABLES[[#This Row],[CABLE_DIAMETER]],0)</f>
        <v>0</v>
      </c>
      <c r="FU76" s="10">
        <f>IF(CABLES[[#This Row],[SEG49]]&gt;0,CABLES[[#This Row],[CABLE_DIAMETER]],0)</f>
        <v>0</v>
      </c>
      <c r="FV76" s="10">
        <f>IF(CABLES[[#This Row],[SEG50]]&gt;0,CABLES[[#This Row],[CABLE_DIAMETER]],0)</f>
        <v>0</v>
      </c>
      <c r="FW76" s="10">
        <f>IF(CABLES[[#This Row],[SEG51]]&gt;0,CABLES[[#This Row],[CABLE_DIAMETER]],0)</f>
        <v>0</v>
      </c>
      <c r="FX76" s="10">
        <f>IF(CABLES[[#This Row],[SEG52]]&gt;0,CABLES[[#This Row],[CABLE_DIAMETER]],0)</f>
        <v>0</v>
      </c>
      <c r="FY76" s="10">
        <f>IF(CABLES[[#This Row],[SEG53]]&gt;0,CABLES[[#This Row],[CABLE_DIAMETER]],0)</f>
        <v>0</v>
      </c>
      <c r="FZ76" s="10">
        <f>IF(CABLES[[#This Row],[SEG54]]&gt;0,CABLES[[#This Row],[CABLE_DIAMETER]],0)</f>
        <v>0</v>
      </c>
      <c r="GA76" s="10">
        <f>IF(CABLES[[#This Row],[SEG55]]&gt;0,CABLES[[#This Row],[CABLE_DIAMETER]],0)</f>
        <v>0</v>
      </c>
      <c r="GB76" s="10">
        <f>IF(CABLES[[#This Row],[SEG56]]&gt;0,CABLES[[#This Row],[CABLE_DIAMETER]],0)</f>
        <v>0</v>
      </c>
      <c r="GC76" s="10">
        <f>IF(CABLES[[#This Row],[SEG57]]&gt;0,CABLES[[#This Row],[CABLE_DIAMETER]],0)</f>
        <v>0</v>
      </c>
      <c r="GD76" s="10">
        <f>IF(CABLES[[#This Row],[SEG58]]&gt;0,CABLES[[#This Row],[CABLE_DIAMETER]],0)</f>
        <v>0</v>
      </c>
      <c r="GE76" s="10">
        <f>IF(CABLES[[#This Row],[SEG59]]&gt;0,CABLES[[#This Row],[CABLE_DIAMETER]],0)</f>
        <v>0</v>
      </c>
      <c r="GF76" s="10">
        <f>IF(CABLES[[#This Row],[SEG60]]&gt;0,CABLES[[#This Row],[CABLE_DIAMETER]],0)</f>
        <v>0</v>
      </c>
      <c r="GG76" s="10">
        <f>IF(CABLES[[#This Row],[SEG1]]&gt;0,CABLES[[#This Row],[CABLE_MASS]],0)</f>
        <v>0.21</v>
      </c>
      <c r="GH76" s="10">
        <f>IF(CABLES[[#This Row],[SEG2]]&gt;0,CABLES[[#This Row],[CABLE_MASS]],0)</f>
        <v>0.21</v>
      </c>
      <c r="GI76" s="10">
        <f>IF(CABLES[[#This Row],[SEG3]]&gt;0,CABLES[[#This Row],[CABLE_MASS]],0)</f>
        <v>0</v>
      </c>
      <c r="GJ76" s="10">
        <f>IF(CABLES[[#This Row],[SEG4]]&gt;0,CABLES[[#This Row],[CABLE_MASS]],0)</f>
        <v>0.21</v>
      </c>
      <c r="GK76" s="10">
        <f>IF(CABLES[[#This Row],[SEG5]]&gt;0,CABLES[[#This Row],[CABLE_MASS]],0)</f>
        <v>0</v>
      </c>
      <c r="GL76" s="10">
        <f>IF(CABLES[[#This Row],[SEG6]]&gt;0,CABLES[[#This Row],[CABLE_MASS]],0)</f>
        <v>0.21</v>
      </c>
      <c r="GM76" s="10">
        <f>IF(CABLES[[#This Row],[SEG7]]&gt;0,CABLES[[#This Row],[CABLE_MASS]],0)</f>
        <v>0</v>
      </c>
      <c r="GN76" s="10">
        <f>IF(CABLES[[#This Row],[SEG8]]&gt;0,CABLES[[#This Row],[CABLE_MASS]],0)</f>
        <v>0.21</v>
      </c>
      <c r="GO76" s="10">
        <f>IF(CABLES[[#This Row],[SEG9]]&gt;0,CABLES[[#This Row],[CABLE_MASS]],0)</f>
        <v>0</v>
      </c>
      <c r="GP76" s="10">
        <f>IF(CABLES[[#This Row],[SEG10]]&gt;0,CABLES[[#This Row],[CABLE_MASS]],0)</f>
        <v>0.21</v>
      </c>
      <c r="GQ76" s="10">
        <f>IF(CABLES[[#This Row],[SEG11]]&gt;0,CABLES[[#This Row],[CABLE_MASS]],0)</f>
        <v>0</v>
      </c>
      <c r="GR76" s="10">
        <f>IF(CABLES[[#This Row],[SEG12]]&gt;0,CABLES[[#This Row],[CABLE_MASS]],0)</f>
        <v>0.21</v>
      </c>
      <c r="GS76" s="10">
        <f>IF(CABLES[[#This Row],[SEG13]]&gt;0,CABLES[[#This Row],[CABLE_MASS]],0)</f>
        <v>0</v>
      </c>
      <c r="GT76" s="10">
        <f>IF(CABLES[[#This Row],[SEG14]]&gt;0,CABLES[[#This Row],[CABLE_MASS]],0)</f>
        <v>0</v>
      </c>
      <c r="GU76" s="10">
        <f>IF(CABLES[[#This Row],[SEG15]]&gt;0,CABLES[[#This Row],[CABLE_MASS]],0)</f>
        <v>0</v>
      </c>
      <c r="GV76" s="10">
        <f>IF(CABLES[[#This Row],[SEG16]]&gt;0,CABLES[[#This Row],[CABLE_MASS]],0)</f>
        <v>0</v>
      </c>
      <c r="GW76" s="10">
        <f>IF(CABLES[[#This Row],[SEG17]]&gt;0,CABLES[[#This Row],[CABLE_MASS]],0)</f>
        <v>0</v>
      </c>
      <c r="GX76" s="10">
        <f>IF(CABLES[[#This Row],[SEG18]]&gt;0,CABLES[[#This Row],[CABLE_MASS]],0)</f>
        <v>0</v>
      </c>
      <c r="GY76" s="10">
        <f>IF(CABLES[[#This Row],[SEG19]]&gt;0,CABLES[[#This Row],[CABLE_MASS]],0)</f>
        <v>0</v>
      </c>
      <c r="GZ76" s="10">
        <f>IF(CABLES[[#This Row],[SEG20]]&gt;0,CABLES[[#This Row],[CABLE_MASS]],0)</f>
        <v>0</v>
      </c>
      <c r="HA76" s="10">
        <f>IF(CABLES[[#This Row],[SEG21]]&gt;0,CABLES[[#This Row],[CABLE_MASS]],0)</f>
        <v>0</v>
      </c>
      <c r="HB76" s="10">
        <f>IF(CABLES[[#This Row],[SEG22]]&gt;0,CABLES[[#This Row],[CABLE_MASS]],0)</f>
        <v>0</v>
      </c>
      <c r="HC76" s="10">
        <f>IF(CABLES[[#This Row],[SEG23]]&gt;0,CABLES[[#This Row],[CABLE_MASS]],0)</f>
        <v>0</v>
      </c>
      <c r="HD76" s="10">
        <f>IF(CABLES[[#This Row],[SEG24]]&gt;0,CABLES[[#This Row],[CABLE_MASS]],0)</f>
        <v>0</v>
      </c>
      <c r="HE76" s="10">
        <f>IF(CABLES[[#This Row],[SEG25]]&gt;0,CABLES[[#This Row],[CABLE_MASS]],0)</f>
        <v>0</v>
      </c>
      <c r="HF76" s="10">
        <f>IF(CABLES[[#This Row],[SEG26]]&gt;0,CABLES[[#This Row],[CABLE_MASS]],0)</f>
        <v>0</v>
      </c>
      <c r="HG76" s="10">
        <f>IF(CABLES[[#This Row],[SEG27]]&gt;0,CABLES[[#This Row],[CABLE_MASS]],0)</f>
        <v>0</v>
      </c>
      <c r="HH76" s="10">
        <f>IF(CABLES[[#This Row],[SEG28]]&gt;0,CABLES[[#This Row],[CABLE_MASS]],0)</f>
        <v>0</v>
      </c>
      <c r="HI76" s="10">
        <f>IF(CABLES[[#This Row],[SEG29]]&gt;0,CABLES[[#This Row],[CABLE_MASS]],0)</f>
        <v>0</v>
      </c>
      <c r="HJ76" s="10">
        <f>IF(CABLES[[#This Row],[SEG30]]&gt;0,CABLES[[#This Row],[CABLE_MASS]],0)</f>
        <v>0</v>
      </c>
      <c r="HK76" s="10">
        <f>IF(CABLES[[#This Row],[SEG31]]&gt;0,CABLES[[#This Row],[CABLE_MASS]],0)</f>
        <v>0</v>
      </c>
      <c r="HL76" s="10">
        <f>IF(CABLES[[#This Row],[SEG32]]&gt;0,CABLES[[#This Row],[CABLE_MASS]],0)</f>
        <v>0</v>
      </c>
      <c r="HM76" s="10">
        <f>IF(CABLES[[#This Row],[SEG33]]&gt;0,CABLES[[#This Row],[CABLE_MASS]],0)</f>
        <v>0</v>
      </c>
      <c r="HN76" s="10">
        <f>IF(CABLES[[#This Row],[SEG34]]&gt;0,CABLES[[#This Row],[CABLE_MASS]],0)</f>
        <v>0</v>
      </c>
      <c r="HO76" s="10">
        <f>IF(CABLES[[#This Row],[SEG35]]&gt;0,CABLES[[#This Row],[CABLE_MASS]],0)</f>
        <v>0</v>
      </c>
      <c r="HP76" s="10">
        <f>IF(CABLES[[#This Row],[SEG36]]&gt;0,CABLES[[#This Row],[CABLE_MASS]],0)</f>
        <v>0</v>
      </c>
      <c r="HQ76" s="10">
        <f>IF(CABLES[[#This Row],[SEG37]]&gt;0,CABLES[[#This Row],[CABLE_MASS]],0)</f>
        <v>0</v>
      </c>
      <c r="HR76" s="10">
        <f>IF(CABLES[[#This Row],[SEG38]]&gt;0,CABLES[[#This Row],[CABLE_MASS]],0)</f>
        <v>0</v>
      </c>
      <c r="HS76" s="10">
        <f>IF(CABLES[[#This Row],[SEG39]]&gt;0,CABLES[[#This Row],[CABLE_MASS]],0)</f>
        <v>0</v>
      </c>
      <c r="HT76" s="10">
        <f>IF(CABLES[[#This Row],[SEG40]]&gt;0,CABLES[[#This Row],[CABLE_MASS]],0)</f>
        <v>0</v>
      </c>
      <c r="HU76" s="10">
        <f>IF(CABLES[[#This Row],[SEG41]]&gt;0,CABLES[[#This Row],[CABLE_MASS]],0)</f>
        <v>0</v>
      </c>
      <c r="HV76" s="10">
        <f>IF(CABLES[[#This Row],[SEG42]]&gt;0,CABLES[[#This Row],[CABLE_MASS]],0)</f>
        <v>0</v>
      </c>
      <c r="HW76" s="10">
        <f>IF(CABLES[[#This Row],[SEG43]]&gt;0,CABLES[[#This Row],[CABLE_MASS]],0)</f>
        <v>0</v>
      </c>
      <c r="HX76" s="10">
        <f>IF(CABLES[[#This Row],[SEG44]]&gt;0,CABLES[[#This Row],[CABLE_MASS]],0)</f>
        <v>0</v>
      </c>
      <c r="HY76" s="10">
        <f>IF(CABLES[[#This Row],[SEG45]]&gt;0,CABLES[[#This Row],[CABLE_MASS]],0)</f>
        <v>0</v>
      </c>
      <c r="HZ76" s="10">
        <f>IF(CABLES[[#This Row],[SEG46]]&gt;0,CABLES[[#This Row],[CABLE_MASS]],0)</f>
        <v>0</v>
      </c>
      <c r="IA76" s="10">
        <f>IF(CABLES[[#This Row],[SEG47]]&gt;0,CABLES[[#This Row],[CABLE_MASS]],0)</f>
        <v>0</v>
      </c>
      <c r="IB76" s="10">
        <f>IF(CABLES[[#This Row],[SEG48]]&gt;0,CABLES[[#This Row],[CABLE_MASS]],0)</f>
        <v>0</v>
      </c>
      <c r="IC76" s="10">
        <f>IF(CABLES[[#This Row],[SEG49]]&gt;0,CABLES[[#This Row],[CABLE_MASS]],0)</f>
        <v>0</v>
      </c>
      <c r="ID76" s="10">
        <f>IF(CABLES[[#This Row],[SEG50]]&gt;0,CABLES[[#This Row],[CABLE_MASS]],0)</f>
        <v>0</v>
      </c>
      <c r="IE76" s="10">
        <f>IF(CABLES[[#This Row],[SEG51]]&gt;0,CABLES[[#This Row],[CABLE_MASS]],0)</f>
        <v>0</v>
      </c>
      <c r="IF76" s="10">
        <f>IF(CABLES[[#This Row],[SEG52]]&gt;0,CABLES[[#This Row],[CABLE_MASS]],0)</f>
        <v>0</v>
      </c>
      <c r="IG76" s="10">
        <f>IF(CABLES[[#This Row],[SEG53]]&gt;0,CABLES[[#This Row],[CABLE_MASS]],0)</f>
        <v>0</v>
      </c>
      <c r="IH76" s="10">
        <f>IF(CABLES[[#This Row],[SEG54]]&gt;0,CABLES[[#This Row],[CABLE_MASS]],0)</f>
        <v>0</v>
      </c>
      <c r="II76" s="10">
        <f>IF(CABLES[[#This Row],[SEG55]]&gt;0,CABLES[[#This Row],[CABLE_MASS]],0)</f>
        <v>0</v>
      </c>
      <c r="IJ76" s="10">
        <f>IF(CABLES[[#This Row],[SEG56]]&gt;0,CABLES[[#This Row],[CABLE_MASS]],0)</f>
        <v>0</v>
      </c>
      <c r="IK76" s="10">
        <f>IF(CABLES[[#This Row],[SEG57]]&gt;0,CABLES[[#This Row],[CABLE_MASS]],0)</f>
        <v>0</v>
      </c>
      <c r="IL76" s="10">
        <f>IF(CABLES[[#This Row],[SEG58]]&gt;0,CABLES[[#This Row],[CABLE_MASS]],0)</f>
        <v>0</v>
      </c>
      <c r="IM76" s="10">
        <f>IF(CABLES[[#This Row],[SEG59]]&gt;0,CABLES[[#This Row],[CABLE_MASS]],0)</f>
        <v>0</v>
      </c>
      <c r="IN76" s="10">
        <f>IF(CABLES[[#This Row],[SEG60]]&gt;0,CABLES[[#This Row],[CABLE_MASS]],0)</f>
        <v>0</v>
      </c>
      <c r="IO76" s="10">
        <f xml:space="preserve">  (CABLES[[#This Row],[LOAD_KW]]/(SQRT(3)*SYSTEM_VOLTAGE*POWER_FACTOR))*1000</f>
        <v>1.2028130608117202</v>
      </c>
      <c r="IP76" s="10">
        <v>45</v>
      </c>
      <c r="IQ76" s="10">
        <f xml:space="preserve"> INDEX(AS3000_AMBIENTDERATE[], MATCH(CABLES[[#This Row],[AMBIENT]],AS3000_AMBIENTDERATE[AMBIENT],0), 2)</f>
        <v>0.94</v>
      </c>
      <c r="IR76" s="10">
        <f xml:space="preserve"> ROUNDUP( CABLES[[#This Row],[CALCULATED_AMPS]]/CABLES[[#This Row],[AMBIENT_DERATING]],1)</f>
        <v>1.3</v>
      </c>
      <c r="IS76" s="10" t="s">
        <v>531</v>
      </c>
      <c r="IT76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6" s="10">
        <f t="shared" si="2"/>
        <v>28.000000000000004</v>
      </c>
      <c r="IV76" s="10">
        <f>(1000*CABLES[[#This Row],[MAX_VDROP]])/(CABLES[[#This Row],[ESTIMATED_CABLE_LENGTH]]*CABLES[[#This Row],[AMP_RATING]])</f>
        <v>280.44871794871796</v>
      </c>
      <c r="IW76" s="10">
        <f xml:space="preserve"> INDEX(AS3000_VDROP[], MATCH(CABLES[[#This Row],[VC_CALC]],AS3000_VDROP[Vc],1),1)</f>
        <v>2.5</v>
      </c>
      <c r="IX76" s="10">
        <f>MAX(CABLES[[#This Row],[CABLESIZE_METHOD1]],CABLES[[#This Row],[CABLESIZE_METHOD2]])</f>
        <v>2.5</v>
      </c>
      <c r="IY76" s="10"/>
      <c r="IZ76" s="10">
        <f>IF(LEN(CABLES[[#This Row],[OVERRIDE_CABLESIZE]])&gt;0,CABLES[[#This Row],[OVERRIDE_CABLESIZE]],CABLES[[#This Row],[INITIAL_CABLESIZE]])</f>
        <v>2.5</v>
      </c>
      <c r="JA76" s="10">
        <f>INDEX(PROTECTIVE_DEVICE[DEVICE], MATCH(CABLES[[#This Row],[CALCULATED_AMPS]],PROTECTIVE_DEVICE[DEVICE],-1),1)</f>
        <v>6</v>
      </c>
      <c r="JB76" s="10"/>
      <c r="JC76" s="10">
        <f>IF(LEN(CABLES[[#This Row],[OVERRIDE_PDEVICE]])&gt;0, CABLES[[#This Row],[OVERRIDE_PDEVICE]],CABLES[[#This Row],[RECOMMEND_PDEVICE]])</f>
        <v>6</v>
      </c>
      <c r="JD76" s="10" t="s">
        <v>450</v>
      </c>
      <c r="JE76" s="10">
        <f xml:space="preserve"> CABLES[[#This Row],[SELECTED_PDEVICE]] * INDEX(DEVICE_CURVE[], MATCH(CABLES[[#This Row],[PDEVICE_CURVE]], DEVICE_CURVE[DEVICE_CURVE],0),2)</f>
        <v>39</v>
      </c>
      <c r="JF76" s="10" t="s">
        <v>458</v>
      </c>
      <c r="JG76" s="10">
        <f xml:space="preserve"> INDEX(CONDUCTOR_MATERIAL[], MATCH(CABLES[[#This Row],[CONDUCTOR_MATERIAL]],CONDUCTOR_MATERIAL[CONDUCTOR_MATERIAL],0),2)</f>
        <v>2.2499999999999999E-2</v>
      </c>
      <c r="JH76" s="10">
        <f>CABLES[[#This Row],[SELECTED_CABLESIZE]]</f>
        <v>2.5</v>
      </c>
      <c r="JI76" s="10">
        <f xml:space="preserve"> INDEX( EARTH_CONDUCTOR_SIZE[], MATCH(CABLES[[#This Row],[SPH]],EARTH_CONDUCTOR_SIZE[MM^2],-1), 2)</f>
        <v>2.5</v>
      </c>
      <c r="JJ76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76" s="10" t="str">
        <f>IF(CABLES[[#This Row],[LMAX]]&gt;CABLES[[#This Row],[ESTIMATED_CABLE_LENGTH]], "PASS", "ERROR")</f>
        <v>PASS</v>
      </c>
      <c r="JL76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76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76" s="6">
        <f xml:space="preserve"> ROUNDUP( CABLES[[#This Row],[CALCULATED_AMPS]],1)</f>
        <v>1.3</v>
      </c>
      <c r="JO76" s="6">
        <f>CABLES[[#This Row],[SELECTED_CABLESIZE]]</f>
        <v>2.5</v>
      </c>
      <c r="JP76" s="10">
        <f>CABLES[[#This Row],[ESTIMATED_CABLE_LENGTH]]</f>
        <v>76.8</v>
      </c>
      <c r="JQ76" s="6">
        <f>CABLES[[#This Row],[SELECTED_PDEVICE]]</f>
        <v>6</v>
      </c>
    </row>
    <row r="77" spans="1:277" x14ac:dyDescent="0.35">
      <c r="A77" s="5" t="s">
        <v>74</v>
      </c>
      <c r="B77" s="5" t="s">
        <v>510</v>
      </c>
      <c r="C77" s="10" t="s">
        <v>261</v>
      </c>
      <c r="D77" s="9">
        <v>2.2000000000000002</v>
      </c>
      <c r="E77" s="9">
        <v>1</v>
      </c>
      <c r="F77" s="9">
        <v>1</v>
      </c>
      <c r="G77" s="9">
        <v>0</v>
      </c>
      <c r="H77" s="9">
        <v>1</v>
      </c>
      <c r="I77" s="9">
        <v>0</v>
      </c>
      <c r="J77" s="9">
        <v>1</v>
      </c>
      <c r="K77" s="9">
        <v>0</v>
      </c>
      <c r="L77" s="9">
        <v>1</v>
      </c>
      <c r="M77" s="9">
        <v>0</v>
      </c>
      <c r="N77" s="9">
        <v>1</v>
      </c>
      <c r="O77" s="9">
        <v>0</v>
      </c>
      <c r="P77" s="9">
        <v>1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f xml:space="preserve"> IF(CABLES[[#This Row],[SEG1]] &gt;0, INDEX(SEGMENTS[], MATCH(CABLES[[#Headers],[SEG1]],SEGMENTS[SEG_ID],0),4),0)</f>
        <v>13</v>
      </c>
      <c r="BN77" s="9">
        <f xml:space="preserve"> IF(CABLES[[#This Row],[SEG2]] &gt;0, INDEX(SEGMENTS[], MATCH(CABLES[[#Headers],[SEG2]],SEGMENTS[SEG_ID],0),4),0)</f>
        <v>2</v>
      </c>
      <c r="BO77" s="9">
        <f xml:space="preserve"> IF(CABLES[[#This Row],[SEG3]] &gt;0, INDEX(SEGMENTS[], MATCH(CABLES[[#Headers],[SEG3]],SEGMENTS[SEG_ID],0),4),0)</f>
        <v>0</v>
      </c>
      <c r="BP77" s="9">
        <f xml:space="preserve"> IF(CABLES[[#This Row],[SEG4]] &gt;0, INDEX(SEGMENTS[], MATCH(CABLES[[#Headers],[SEG4]],SEGMENTS[SEG_ID],0),4),0)</f>
        <v>14</v>
      </c>
      <c r="BQ77" s="9">
        <f xml:space="preserve"> IF(CABLES[[#This Row],[SEG5]] &gt;0,INDEX(SEGMENTS[], MATCH(CABLES[[#Headers],[SEG5]],SEGMENTS[SEG_ID],0),4),0)</f>
        <v>0</v>
      </c>
      <c r="BR77" s="9">
        <f xml:space="preserve"> IF(CABLES[[#This Row],[SEG6]] &gt;0,INDEX(SEGMENTS[], MATCH(CABLES[[#Headers],[SEG6]],SEGMENTS[SEG_ID],0),4),0)</f>
        <v>2</v>
      </c>
      <c r="BS77" s="9">
        <f xml:space="preserve"> IF(CABLES[[#This Row],[SEG7]] &gt;0,INDEX(SEGMENTS[], MATCH(CABLES[[#Headers],[SEG7]],SEGMENTS[SEG_ID],0),4),0)</f>
        <v>0</v>
      </c>
      <c r="BT77" s="9">
        <f xml:space="preserve"> IF(CABLES[[#This Row],[SEG8]] &gt;0,INDEX(SEGMENTS[], MATCH(CABLES[[#Headers],[SEG8]],SEGMENTS[SEG_ID],0),4),0)</f>
        <v>3</v>
      </c>
      <c r="BU77" s="9">
        <f xml:space="preserve"> IF(CABLES[[#This Row],[SEG9]] &gt;0,INDEX(SEGMENTS[], MATCH(CABLES[[#Headers],[SEG9]],SEGMENTS[SEG_ID],0),4),0)</f>
        <v>0</v>
      </c>
      <c r="BV77" s="9">
        <f xml:space="preserve"> IF(CABLES[[#This Row],[SEG10]] &gt;0,INDEX(SEGMENTS[], MATCH(CABLES[[#Headers],[SEG10]],SEGMENTS[SEG_ID],0),4),0)</f>
        <v>9</v>
      </c>
      <c r="BW77" s="9">
        <f xml:space="preserve"> IF(CABLES[[#This Row],[SEG11]] &gt;0,INDEX(SEGMENTS[], MATCH(CABLES[[#Headers],[SEG11]],SEGMENTS[SEG_ID],0),4),0)</f>
        <v>0</v>
      </c>
      <c r="BX77" s="9">
        <f>IF(CABLES[[#This Row],[SEG12]] &gt;0, INDEX(SEGMENTS[], MATCH(CABLES[[#Headers],[SEG12]],SEGMENTS[SEG_ID],0),4),0)</f>
        <v>16</v>
      </c>
      <c r="BY77" s="9">
        <f xml:space="preserve"> IF(CABLES[[#This Row],[SEG13]] &gt;0,INDEX(SEGMENTS[], MATCH(CABLES[[#Headers],[SEG13]],SEGMENTS[SEG_ID],0),4),0)</f>
        <v>0</v>
      </c>
      <c r="BZ77" s="9">
        <f xml:space="preserve"> IF(CABLES[[#This Row],[SEG14]] &gt;0,INDEX(SEGMENTS[], MATCH(CABLES[[#Headers],[SEG14]],SEGMENTS[SEG_ID],0),4),0)</f>
        <v>0</v>
      </c>
      <c r="CA77" s="9">
        <f xml:space="preserve"> IF(CABLES[[#This Row],[SEG15]] &gt;0,INDEX(SEGMENTS[], MATCH(CABLES[[#Headers],[SEG15]],SEGMENTS[SEG_ID],0),4),0)</f>
        <v>0</v>
      </c>
      <c r="CB77" s="9">
        <f xml:space="preserve"> IF(CABLES[[#This Row],[SEG16]] &gt;0,INDEX(SEGMENTS[], MATCH(CABLES[[#Headers],[SEG16]],SEGMENTS[SEG_ID],0),4),0)</f>
        <v>0</v>
      </c>
      <c r="CC77" s="9">
        <f xml:space="preserve"> IF(CABLES[[#This Row],[SEG17]] &gt;0,INDEX(SEGMENTS[], MATCH(CABLES[[#Headers],[SEG17]],SEGMENTS[SEG_ID],0),4),0)</f>
        <v>0</v>
      </c>
      <c r="CD77" s="9">
        <f xml:space="preserve"> IF(CABLES[[#This Row],[SEG18]] &gt;0,INDEX(SEGMENTS[], MATCH(CABLES[[#Headers],[SEG18]],SEGMENTS[SEG_ID],0),4),0)</f>
        <v>0</v>
      </c>
      <c r="CE77" s="9">
        <f>IF(CABLES[[#This Row],[SEG19]] &gt;0, INDEX(SEGMENTS[], MATCH(CABLES[[#Headers],[SEG19]],SEGMENTS[SEG_ID],0),4),0)</f>
        <v>0</v>
      </c>
      <c r="CF77" s="9">
        <f>IF(CABLES[[#This Row],[SEG20]] &gt;0, INDEX(SEGMENTS[], MATCH(CABLES[[#Headers],[SEG20]],SEGMENTS[SEG_ID],0),4),0)</f>
        <v>0</v>
      </c>
      <c r="CG77" s="9">
        <f xml:space="preserve"> IF(CABLES[[#This Row],[SEG21]] &gt;0,INDEX(SEGMENTS[], MATCH(CABLES[[#Headers],[SEG21]],SEGMENTS[SEG_ID],0),4),0)</f>
        <v>0</v>
      </c>
      <c r="CH77" s="9">
        <f xml:space="preserve"> IF(CABLES[[#This Row],[SEG22]] &gt;0,INDEX(SEGMENTS[], MATCH(CABLES[[#Headers],[SEG22]],SEGMENTS[SEG_ID],0),4),0)</f>
        <v>0</v>
      </c>
      <c r="CI77" s="9">
        <f>IF(CABLES[[#This Row],[SEG23]] &gt;0, INDEX(SEGMENTS[], MATCH(CABLES[[#Headers],[SEG23]],SEGMENTS[SEG_ID],0),4),0)</f>
        <v>0</v>
      </c>
      <c r="CJ77" s="9">
        <f xml:space="preserve"> IF(CABLES[[#This Row],[SEG24]] &gt;0,INDEX(SEGMENTS[], MATCH(CABLES[[#Headers],[SEG24]],SEGMENTS[SEG_ID],0),4),0)</f>
        <v>0</v>
      </c>
      <c r="CK77" s="9">
        <f>IF(CABLES[[#This Row],[SEG25]] &gt;0, INDEX(SEGMENTS[], MATCH(CABLES[[#Headers],[SEG25]],SEGMENTS[SEG_ID],0),4),0)</f>
        <v>0</v>
      </c>
      <c r="CL77" s="9">
        <f>IF(CABLES[[#This Row],[SEG26]] &gt;0, INDEX(SEGMENTS[], MATCH(CABLES[[#Headers],[SEG26]],SEGMENTS[SEG_ID],0),4),0)</f>
        <v>0</v>
      </c>
      <c r="CM77" s="9">
        <f xml:space="preserve"> IF(CABLES[[#This Row],[SEG27]] &gt;0,INDEX(SEGMENTS[], MATCH(CABLES[[#Headers],[SEG27]],SEGMENTS[SEG_ID],0),4),0)</f>
        <v>0</v>
      </c>
      <c r="CN77" s="9">
        <f xml:space="preserve"> IF(CABLES[[#This Row],[SEG28]] &gt;0,INDEX(SEGMENTS[], MATCH(CABLES[[#Headers],[SEG28]],SEGMENTS[SEG_ID],0),4),0)</f>
        <v>0</v>
      </c>
      <c r="CO77" s="9">
        <f xml:space="preserve"> IF(CABLES[[#This Row],[SEG29]] &gt;0,INDEX(SEGMENTS[], MATCH(CABLES[[#Headers],[SEG29]],SEGMENTS[SEG_ID],0),4),0)</f>
        <v>0</v>
      </c>
      <c r="CP77" s="9">
        <f xml:space="preserve"> IF(CABLES[[#This Row],[SEG30]] &gt;0,INDEX(SEGMENTS[], MATCH(CABLES[[#Headers],[SEG30]],SEGMENTS[SEG_ID],0),4),0)</f>
        <v>0</v>
      </c>
      <c r="CQ77" s="9">
        <f>IF(CABLES[[#This Row],[SEG31]] &gt;0, INDEX(SEGMENTS[], MATCH(CABLES[[#Headers],[SEG31]],SEGMENTS[SEG_ID],0),4),0)</f>
        <v>0</v>
      </c>
      <c r="CR77" s="9">
        <f xml:space="preserve"> IF(CABLES[[#This Row],[SEG32]] &gt;0,INDEX(SEGMENTS[], MATCH(CABLES[[#Headers],[SEG32]],SEGMENTS[SEG_ID],0),4),0)</f>
        <v>0</v>
      </c>
      <c r="CS77" s="9">
        <f xml:space="preserve"> IF(CABLES[[#This Row],[SEG33]] &gt;0,INDEX(SEGMENTS[], MATCH(CABLES[[#Headers],[SEG33]],SEGMENTS[SEG_ID],0),4),0)</f>
        <v>0</v>
      </c>
      <c r="CT77" s="9">
        <f>IF(CABLES[[#This Row],[SEG34]] &gt;0, INDEX(SEGMENTS[], MATCH(CABLES[[#Headers],[SEG34]],SEGMENTS[SEG_ID],0),4),0)</f>
        <v>0</v>
      </c>
      <c r="CU77" s="9">
        <f xml:space="preserve"> IF(CABLES[[#This Row],[SEG35]] &gt;0,INDEX(SEGMENTS[], MATCH(CABLES[[#Headers],[SEG35]],SEGMENTS[SEG_ID],0),4),0)</f>
        <v>0</v>
      </c>
      <c r="CV77" s="9">
        <f xml:space="preserve"> IF(CABLES[[#This Row],[SEG36]] &gt;0,INDEX(SEGMENTS[], MATCH(CABLES[[#Headers],[SEG36]],SEGMENTS[SEG_ID],0),4),0)</f>
        <v>0</v>
      </c>
      <c r="CW77" s="9">
        <f xml:space="preserve"> IF(CABLES[[#This Row],[SEG37]] &gt;0,INDEX(SEGMENTS[], MATCH(CABLES[[#Headers],[SEG37]],SEGMENTS[SEG_ID],0),4),0)</f>
        <v>0</v>
      </c>
      <c r="CX77" s="9">
        <f xml:space="preserve"> IF(CABLES[[#This Row],[SEG38]] &gt;0,INDEX(SEGMENTS[], MATCH(CABLES[[#Headers],[SEG38]],SEGMENTS[SEG_ID],0),4),0)</f>
        <v>0</v>
      </c>
      <c r="CY77" s="9">
        <f xml:space="preserve"> IF(CABLES[[#This Row],[SEG39]] &gt;0,INDEX(SEGMENTS[], MATCH(CABLES[[#Headers],[SEG39]],SEGMENTS[SEG_ID],0),4),0)</f>
        <v>0</v>
      </c>
      <c r="CZ77" s="9">
        <f xml:space="preserve"> IF(CABLES[[#This Row],[SEG40]] &gt;0,INDEX(SEGMENTS[], MATCH(CABLES[[#Headers],[SEG40]],SEGMENTS[SEG_ID],0),4),0)</f>
        <v>0</v>
      </c>
      <c r="DA77" s="9">
        <f xml:space="preserve"> IF(CABLES[[#This Row],[SEG41]] &gt;0,INDEX(SEGMENTS[], MATCH(CABLES[[#Headers],[SEG41]],SEGMENTS[SEG_ID],0),4),0)</f>
        <v>0</v>
      </c>
      <c r="DB77" s="9">
        <f xml:space="preserve"> IF(CABLES[[#This Row],[SEG42]] &gt;0,INDEX(SEGMENTS[], MATCH(CABLES[[#Headers],[SEG42]],SEGMENTS[SEG_ID],0),4),0)</f>
        <v>0</v>
      </c>
      <c r="DC77" s="9">
        <f xml:space="preserve"> IF(CABLES[[#This Row],[SEG43]] &gt;0,INDEX(SEGMENTS[], MATCH(CABLES[[#Headers],[SEG43]],SEGMENTS[SEG_ID],0),4),0)</f>
        <v>0</v>
      </c>
      <c r="DD77" s="9">
        <f xml:space="preserve"> IF(CABLES[[#This Row],[SEG44]] &gt;0,INDEX(SEGMENTS[], MATCH(CABLES[[#Headers],[SEG44]],SEGMENTS[SEG_ID],0),4),0)</f>
        <v>0</v>
      </c>
      <c r="DE77" s="9">
        <f xml:space="preserve"> IF(CABLES[[#This Row],[SEG45]] &gt;0,INDEX(SEGMENTS[], MATCH(CABLES[[#Headers],[SEG45]],SEGMENTS[SEG_ID],0),4),0)</f>
        <v>0</v>
      </c>
      <c r="DF77" s="9">
        <f xml:space="preserve"> IF(CABLES[[#This Row],[SEG46]] &gt;0,INDEX(SEGMENTS[], MATCH(CABLES[[#Headers],[SEG46]],SEGMENTS[SEG_ID],0),4),0)</f>
        <v>0</v>
      </c>
      <c r="DG77" s="9">
        <f xml:space="preserve"> IF(CABLES[[#This Row],[SEG47]] &gt;0,INDEX(SEGMENTS[], MATCH(CABLES[[#Headers],[SEG47]],SEGMENTS[SEG_ID],0),4),0)</f>
        <v>0</v>
      </c>
      <c r="DH77" s="9">
        <f xml:space="preserve"> IF(CABLES[[#This Row],[SEG48]] &gt;0,INDEX(SEGMENTS[], MATCH(CABLES[[#Headers],[SEG48]],SEGMENTS[SEG_ID],0),4),0)</f>
        <v>0</v>
      </c>
      <c r="DI77" s="9">
        <f xml:space="preserve"> IF(CABLES[[#This Row],[SEG49]] &gt;0,INDEX(SEGMENTS[], MATCH(CABLES[[#Headers],[SEG49]],SEGMENTS[SEG_ID],0),4),0)</f>
        <v>0</v>
      </c>
      <c r="DJ77" s="9">
        <f xml:space="preserve"> IF(CABLES[[#This Row],[SEG50]] &gt;0,INDEX(SEGMENTS[], MATCH(CABLES[[#Headers],[SEG50]],SEGMENTS[SEG_ID],0),4),0)</f>
        <v>0</v>
      </c>
      <c r="DK77" s="9">
        <f xml:space="preserve"> IF(CABLES[[#This Row],[SEG51]] &gt;0,INDEX(SEGMENTS[], MATCH(CABLES[[#Headers],[SEG51]],SEGMENTS[SEG_ID],0),4),0)</f>
        <v>0</v>
      </c>
      <c r="DL77" s="9">
        <f xml:space="preserve"> IF(CABLES[[#This Row],[SEG52]] &gt;0,INDEX(SEGMENTS[], MATCH(CABLES[[#Headers],[SEG52]],SEGMENTS[SEG_ID],0),4),0)</f>
        <v>0</v>
      </c>
      <c r="DM77" s="9">
        <f xml:space="preserve"> IF(CABLES[[#This Row],[SEG53]] &gt;0,INDEX(SEGMENTS[], MATCH(CABLES[[#Headers],[SEG53]],SEGMENTS[SEG_ID],0),4),0)</f>
        <v>0</v>
      </c>
      <c r="DN77" s="9">
        <f xml:space="preserve"> IF(CABLES[[#This Row],[SEG54]] &gt;0,INDEX(SEGMENTS[], MATCH(CABLES[[#Headers],[SEG54]],SEGMENTS[SEG_ID],0),4),0)</f>
        <v>0</v>
      </c>
      <c r="DO77" s="9">
        <f xml:space="preserve"> IF(CABLES[[#This Row],[SEG55]] &gt;0,INDEX(SEGMENTS[], MATCH(CABLES[[#Headers],[SEG55]],SEGMENTS[SEG_ID],0),4),0)</f>
        <v>0</v>
      </c>
      <c r="DP77" s="9">
        <f xml:space="preserve"> IF(CABLES[[#This Row],[SEG56]] &gt;0,INDEX(SEGMENTS[], MATCH(CABLES[[#Headers],[SEG56]],SEGMENTS[SEG_ID],0),4),0)</f>
        <v>0</v>
      </c>
      <c r="DQ77" s="9">
        <f xml:space="preserve"> IF(CABLES[[#This Row],[SEG57]] &gt;0,INDEX(SEGMENTS[], MATCH(CABLES[[#Headers],[SEG57]],SEGMENTS[SEG_ID],0),4),0)</f>
        <v>0</v>
      </c>
      <c r="DR77" s="9">
        <f xml:space="preserve"> IF(CABLES[[#This Row],[SEG58]] &gt;0,INDEX(SEGMENTS[], MATCH(CABLES[[#Headers],[SEG58]],SEGMENTS[SEG_ID],0),4),0)</f>
        <v>0</v>
      </c>
      <c r="DS77" s="9">
        <f xml:space="preserve"> IF(CABLES[[#This Row],[SEG59]] &gt;0,INDEX(SEGMENTS[], MATCH(CABLES[[#Headers],[SEG59]],SEGMENTS[SEG_ID],0),4),0)</f>
        <v>0</v>
      </c>
      <c r="DT77" s="9">
        <f xml:space="preserve"> IF(CABLES[[#This Row],[SEG60]] &gt;0,INDEX(SEGMENTS[], MATCH(CABLES[[#Headers],[SEG60]],SEGMENTS[SEG_ID],0),4),0)</f>
        <v>0</v>
      </c>
      <c r="DU77" s="10">
        <f>SUM(CABLES[[#This Row],[SEGL1]:[SEGL60]])</f>
        <v>59</v>
      </c>
      <c r="DV77" s="10">
        <v>5</v>
      </c>
      <c r="DW77" s="10">
        <v>1.2</v>
      </c>
      <c r="DX77" s="10">
        <f xml:space="preserve"> IF(CABLES[[#This Row],[SEGL_TOTAL]]&gt;0, (CABLES[[#This Row],[SEGL_TOTAL]] + CABLES[[#This Row],[FITOFF]]) *CABLES[[#This Row],[XCAPACITY]],0)</f>
        <v>76.8</v>
      </c>
      <c r="DY77" s="10">
        <f>IF(CABLES[[#This Row],[SEG1]]&gt;0,CABLES[[#This Row],[CABLE_DIAMETER]],0)</f>
        <v>14.5</v>
      </c>
      <c r="DZ77" s="10">
        <f>IF(CABLES[[#This Row],[SEG2]]&gt;0,CABLES[[#This Row],[CABLE_DIAMETER]],0)</f>
        <v>14.5</v>
      </c>
      <c r="EA77" s="10">
        <f>IF(CABLES[[#This Row],[SEG3]]&gt;0,CABLES[[#This Row],[CABLE_DIAMETER]],0)</f>
        <v>0</v>
      </c>
      <c r="EB77" s="10">
        <f>IF(CABLES[[#This Row],[SEG4]]&gt;0,CABLES[[#This Row],[CABLE_DIAMETER]],0)</f>
        <v>14.5</v>
      </c>
      <c r="EC77" s="10">
        <f>IF(CABLES[[#This Row],[SEG5]]&gt;0,CABLES[[#This Row],[CABLE_DIAMETER]],0)</f>
        <v>0</v>
      </c>
      <c r="ED77" s="10">
        <f>IF(CABLES[[#This Row],[SEG6]]&gt;0,CABLES[[#This Row],[CABLE_DIAMETER]],0)</f>
        <v>14.5</v>
      </c>
      <c r="EE77" s="10">
        <f>IF(CABLES[[#This Row],[SEG7]]&gt;0,CABLES[[#This Row],[CABLE_DIAMETER]],0)</f>
        <v>0</v>
      </c>
      <c r="EF77" s="10">
        <f>IF(CABLES[[#This Row],[SEG9]]&gt;0,CABLES[[#This Row],[CABLE_DIAMETER]],0)</f>
        <v>0</v>
      </c>
      <c r="EG77" s="10">
        <f>IF(CABLES[[#This Row],[SEG9]]&gt;0,CABLES[[#This Row],[CABLE_DIAMETER]],0)</f>
        <v>0</v>
      </c>
      <c r="EH77" s="10">
        <f>IF(CABLES[[#This Row],[SEG10]]&gt;0,CABLES[[#This Row],[CABLE_DIAMETER]],0)</f>
        <v>14.5</v>
      </c>
      <c r="EI77" s="10">
        <f>IF(CABLES[[#This Row],[SEG11]]&gt;0,CABLES[[#This Row],[CABLE_DIAMETER]],0)</f>
        <v>0</v>
      </c>
      <c r="EJ77" s="10">
        <f>IF(CABLES[[#This Row],[SEG12]]&gt;0,CABLES[[#This Row],[CABLE_DIAMETER]],0)</f>
        <v>14.5</v>
      </c>
      <c r="EK77" s="10">
        <f>IF(CABLES[[#This Row],[SEG13]]&gt;0,CABLES[[#This Row],[CABLE_DIAMETER]],0)</f>
        <v>0</v>
      </c>
      <c r="EL77" s="10">
        <f>IF(CABLES[[#This Row],[SEG14]]&gt;0,CABLES[[#This Row],[CABLE_DIAMETER]],0)</f>
        <v>0</v>
      </c>
      <c r="EM77" s="10">
        <f>IF(CABLES[[#This Row],[SEG15]]&gt;0,CABLES[[#This Row],[CABLE_DIAMETER]],0)</f>
        <v>0</v>
      </c>
      <c r="EN77" s="10">
        <f>IF(CABLES[[#This Row],[SEG16]]&gt;0,CABLES[[#This Row],[CABLE_DIAMETER]],0)</f>
        <v>0</v>
      </c>
      <c r="EO77" s="10">
        <f>IF(CABLES[[#This Row],[SEG17]]&gt;0,CABLES[[#This Row],[CABLE_DIAMETER]],0)</f>
        <v>0</v>
      </c>
      <c r="EP77" s="10">
        <f>IF(CABLES[[#This Row],[SEG18]]&gt;0,CABLES[[#This Row],[CABLE_DIAMETER]],0)</f>
        <v>0</v>
      </c>
      <c r="EQ77" s="10">
        <f>IF(CABLES[[#This Row],[SEG19]]&gt;0,CABLES[[#This Row],[CABLE_DIAMETER]],0)</f>
        <v>0</v>
      </c>
      <c r="ER77" s="10">
        <f>IF(CABLES[[#This Row],[SEG20]]&gt;0,CABLES[[#This Row],[CABLE_DIAMETER]],0)</f>
        <v>0</v>
      </c>
      <c r="ES77" s="10">
        <f>IF(CABLES[[#This Row],[SEG21]]&gt;0,CABLES[[#This Row],[CABLE_DIAMETER]],0)</f>
        <v>0</v>
      </c>
      <c r="ET77" s="10">
        <f>IF(CABLES[[#This Row],[SEG22]]&gt;0,CABLES[[#This Row],[CABLE_DIAMETER]],0)</f>
        <v>0</v>
      </c>
      <c r="EU77" s="10">
        <f>IF(CABLES[[#This Row],[SEG23]]&gt;0,CABLES[[#This Row],[CABLE_DIAMETER]],0)</f>
        <v>0</v>
      </c>
      <c r="EV77" s="10">
        <f>IF(CABLES[[#This Row],[SEG24]]&gt;0,CABLES[[#This Row],[CABLE_DIAMETER]],0)</f>
        <v>0</v>
      </c>
      <c r="EW77" s="10">
        <f>IF(CABLES[[#This Row],[SEG25]]&gt;0,CABLES[[#This Row],[CABLE_DIAMETER]],0)</f>
        <v>0</v>
      </c>
      <c r="EX77" s="10">
        <f>IF(CABLES[[#This Row],[SEG26]]&gt;0,CABLES[[#This Row],[CABLE_DIAMETER]],0)</f>
        <v>0</v>
      </c>
      <c r="EY77" s="10">
        <f>IF(CABLES[[#This Row],[SEG27]]&gt;0,CABLES[[#This Row],[CABLE_DIAMETER]],0)</f>
        <v>0</v>
      </c>
      <c r="EZ77" s="10">
        <f>IF(CABLES[[#This Row],[SEG28]]&gt;0,CABLES[[#This Row],[CABLE_DIAMETER]],0)</f>
        <v>0</v>
      </c>
      <c r="FA77" s="10">
        <f>IF(CABLES[[#This Row],[SEG29]]&gt;0,CABLES[[#This Row],[CABLE_DIAMETER]],0)</f>
        <v>0</v>
      </c>
      <c r="FB77" s="10">
        <f>IF(CABLES[[#This Row],[SEG30]]&gt;0,CABLES[[#This Row],[CABLE_DIAMETER]],0)</f>
        <v>0</v>
      </c>
      <c r="FC77" s="10">
        <f>IF(CABLES[[#This Row],[SEG31]]&gt;0,CABLES[[#This Row],[CABLE_DIAMETER]],0)</f>
        <v>0</v>
      </c>
      <c r="FD77" s="10">
        <f>IF(CABLES[[#This Row],[SEG32]]&gt;0,CABLES[[#This Row],[CABLE_DIAMETER]],0)</f>
        <v>0</v>
      </c>
      <c r="FE77" s="10">
        <f>IF(CABLES[[#This Row],[SEG33]]&gt;0,CABLES[[#This Row],[CABLE_DIAMETER]],0)</f>
        <v>0</v>
      </c>
      <c r="FF77" s="10">
        <f>IF(CABLES[[#This Row],[SEG34]]&gt;0,CABLES[[#This Row],[CABLE_DIAMETER]],0)</f>
        <v>0</v>
      </c>
      <c r="FG77" s="10">
        <f>IF(CABLES[[#This Row],[SEG35]]&gt;0,CABLES[[#This Row],[CABLE_DIAMETER]],0)</f>
        <v>0</v>
      </c>
      <c r="FH77" s="10">
        <f>IF(CABLES[[#This Row],[SEG36]]&gt;0,CABLES[[#This Row],[CABLE_DIAMETER]],0)</f>
        <v>0</v>
      </c>
      <c r="FI77" s="10">
        <f>IF(CABLES[[#This Row],[SEG37]]&gt;0,CABLES[[#This Row],[CABLE_DIAMETER]],0)</f>
        <v>0</v>
      </c>
      <c r="FJ77" s="10">
        <f>IF(CABLES[[#This Row],[SEG38]]&gt;0,CABLES[[#This Row],[CABLE_DIAMETER]],0)</f>
        <v>0</v>
      </c>
      <c r="FK77" s="10">
        <f>IF(CABLES[[#This Row],[SEG39]]&gt;0,CABLES[[#This Row],[CABLE_DIAMETER]],0)</f>
        <v>0</v>
      </c>
      <c r="FL77" s="10">
        <f>IF(CABLES[[#This Row],[SEG40]]&gt;0,CABLES[[#This Row],[CABLE_DIAMETER]],0)</f>
        <v>0</v>
      </c>
      <c r="FM77" s="10">
        <f>IF(CABLES[[#This Row],[SEG41]]&gt;0,CABLES[[#This Row],[CABLE_DIAMETER]],0)</f>
        <v>0</v>
      </c>
      <c r="FN77" s="10">
        <f>IF(CABLES[[#This Row],[SEG42]]&gt;0,CABLES[[#This Row],[CABLE_DIAMETER]],0)</f>
        <v>0</v>
      </c>
      <c r="FO77" s="10">
        <f>IF(CABLES[[#This Row],[SEG43]]&gt;0,CABLES[[#This Row],[CABLE_DIAMETER]],0)</f>
        <v>0</v>
      </c>
      <c r="FP77" s="10">
        <f>IF(CABLES[[#This Row],[SEG44]]&gt;0,CABLES[[#This Row],[CABLE_DIAMETER]],0)</f>
        <v>0</v>
      </c>
      <c r="FQ77" s="10">
        <f>IF(CABLES[[#This Row],[SEG45]]&gt;0,CABLES[[#This Row],[CABLE_DIAMETER]],0)</f>
        <v>0</v>
      </c>
      <c r="FR77" s="10">
        <f>IF(CABLES[[#This Row],[SEG46]]&gt;0,CABLES[[#This Row],[CABLE_DIAMETER]],0)</f>
        <v>0</v>
      </c>
      <c r="FS77" s="10">
        <f>IF(CABLES[[#This Row],[SEG47]]&gt;0,CABLES[[#This Row],[CABLE_DIAMETER]],0)</f>
        <v>0</v>
      </c>
      <c r="FT77" s="10">
        <f>IF(CABLES[[#This Row],[SEG48]]&gt;0,CABLES[[#This Row],[CABLE_DIAMETER]],0)</f>
        <v>0</v>
      </c>
      <c r="FU77" s="10">
        <f>IF(CABLES[[#This Row],[SEG49]]&gt;0,CABLES[[#This Row],[CABLE_DIAMETER]],0)</f>
        <v>0</v>
      </c>
      <c r="FV77" s="10">
        <f>IF(CABLES[[#This Row],[SEG50]]&gt;0,CABLES[[#This Row],[CABLE_DIAMETER]],0)</f>
        <v>0</v>
      </c>
      <c r="FW77" s="10">
        <f>IF(CABLES[[#This Row],[SEG51]]&gt;0,CABLES[[#This Row],[CABLE_DIAMETER]],0)</f>
        <v>0</v>
      </c>
      <c r="FX77" s="10">
        <f>IF(CABLES[[#This Row],[SEG52]]&gt;0,CABLES[[#This Row],[CABLE_DIAMETER]],0)</f>
        <v>0</v>
      </c>
      <c r="FY77" s="10">
        <f>IF(CABLES[[#This Row],[SEG53]]&gt;0,CABLES[[#This Row],[CABLE_DIAMETER]],0)</f>
        <v>0</v>
      </c>
      <c r="FZ77" s="10">
        <f>IF(CABLES[[#This Row],[SEG54]]&gt;0,CABLES[[#This Row],[CABLE_DIAMETER]],0)</f>
        <v>0</v>
      </c>
      <c r="GA77" s="10">
        <f>IF(CABLES[[#This Row],[SEG55]]&gt;0,CABLES[[#This Row],[CABLE_DIAMETER]],0)</f>
        <v>0</v>
      </c>
      <c r="GB77" s="10">
        <f>IF(CABLES[[#This Row],[SEG56]]&gt;0,CABLES[[#This Row],[CABLE_DIAMETER]],0)</f>
        <v>0</v>
      </c>
      <c r="GC77" s="10">
        <f>IF(CABLES[[#This Row],[SEG57]]&gt;0,CABLES[[#This Row],[CABLE_DIAMETER]],0)</f>
        <v>0</v>
      </c>
      <c r="GD77" s="10">
        <f>IF(CABLES[[#This Row],[SEG58]]&gt;0,CABLES[[#This Row],[CABLE_DIAMETER]],0)</f>
        <v>0</v>
      </c>
      <c r="GE77" s="10">
        <f>IF(CABLES[[#This Row],[SEG59]]&gt;0,CABLES[[#This Row],[CABLE_DIAMETER]],0)</f>
        <v>0</v>
      </c>
      <c r="GF77" s="10">
        <f>IF(CABLES[[#This Row],[SEG60]]&gt;0,CABLES[[#This Row],[CABLE_DIAMETER]],0)</f>
        <v>0</v>
      </c>
      <c r="GG77" s="10">
        <f>IF(CABLES[[#This Row],[SEG1]]&gt;0,CABLES[[#This Row],[CABLE_MASS]],0)</f>
        <v>0.33</v>
      </c>
      <c r="GH77" s="10">
        <f>IF(CABLES[[#This Row],[SEG2]]&gt;0,CABLES[[#This Row],[CABLE_MASS]],0)</f>
        <v>0.33</v>
      </c>
      <c r="GI77" s="10">
        <f>IF(CABLES[[#This Row],[SEG3]]&gt;0,CABLES[[#This Row],[CABLE_MASS]],0)</f>
        <v>0</v>
      </c>
      <c r="GJ77" s="10">
        <f>IF(CABLES[[#This Row],[SEG4]]&gt;0,CABLES[[#This Row],[CABLE_MASS]],0)</f>
        <v>0.33</v>
      </c>
      <c r="GK77" s="10">
        <f>IF(CABLES[[#This Row],[SEG5]]&gt;0,CABLES[[#This Row],[CABLE_MASS]],0)</f>
        <v>0</v>
      </c>
      <c r="GL77" s="10">
        <f>IF(CABLES[[#This Row],[SEG6]]&gt;0,CABLES[[#This Row],[CABLE_MASS]],0)</f>
        <v>0.33</v>
      </c>
      <c r="GM77" s="10">
        <f>IF(CABLES[[#This Row],[SEG7]]&gt;0,CABLES[[#This Row],[CABLE_MASS]],0)</f>
        <v>0</v>
      </c>
      <c r="GN77" s="10">
        <f>IF(CABLES[[#This Row],[SEG8]]&gt;0,CABLES[[#This Row],[CABLE_MASS]],0)</f>
        <v>0.33</v>
      </c>
      <c r="GO77" s="10">
        <f>IF(CABLES[[#This Row],[SEG9]]&gt;0,CABLES[[#This Row],[CABLE_MASS]],0)</f>
        <v>0</v>
      </c>
      <c r="GP77" s="10">
        <f>IF(CABLES[[#This Row],[SEG10]]&gt;0,CABLES[[#This Row],[CABLE_MASS]],0)</f>
        <v>0.33</v>
      </c>
      <c r="GQ77" s="10">
        <f>IF(CABLES[[#This Row],[SEG11]]&gt;0,CABLES[[#This Row],[CABLE_MASS]],0)</f>
        <v>0</v>
      </c>
      <c r="GR77" s="10">
        <f>IF(CABLES[[#This Row],[SEG12]]&gt;0,CABLES[[#This Row],[CABLE_MASS]],0)</f>
        <v>0.33</v>
      </c>
      <c r="GS77" s="10">
        <f>IF(CABLES[[#This Row],[SEG13]]&gt;0,CABLES[[#This Row],[CABLE_MASS]],0)</f>
        <v>0</v>
      </c>
      <c r="GT77" s="10">
        <f>IF(CABLES[[#This Row],[SEG14]]&gt;0,CABLES[[#This Row],[CABLE_MASS]],0)</f>
        <v>0</v>
      </c>
      <c r="GU77" s="10">
        <f>IF(CABLES[[#This Row],[SEG15]]&gt;0,CABLES[[#This Row],[CABLE_MASS]],0)</f>
        <v>0</v>
      </c>
      <c r="GV77" s="10">
        <f>IF(CABLES[[#This Row],[SEG16]]&gt;0,CABLES[[#This Row],[CABLE_MASS]],0)</f>
        <v>0</v>
      </c>
      <c r="GW77" s="10">
        <f>IF(CABLES[[#This Row],[SEG17]]&gt;0,CABLES[[#This Row],[CABLE_MASS]],0)</f>
        <v>0</v>
      </c>
      <c r="GX77" s="10">
        <f>IF(CABLES[[#This Row],[SEG18]]&gt;0,CABLES[[#This Row],[CABLE_MASS]],0)</f>
        <v>0</v>
      </c>
      <c r="GY77" s="10">
        <f>IF(CABLES[[#This Row],[SEG19]]&gt;0,CABLES[[#This Row],[CABLE_MASS]],0)</f>
        <v>0</v>
      </c>
      <c r="GZ77" s="10">
        <f>IF(CABLES[[#This Row],[SEG20]]&gt;0,CABLES[[#This Row],[CABLE_MASS]],0)</f>
        <v>0</v>
      </c>
      <c r="HA77" s="10">
        <f>IF(CABLES[[#This Row],[SEG21]]&gt;0,CABLES[[#This Row],[CABLE_MASS]],0)</f>
        <v>0</v>
      </c>
      <c r="HB77" s="10">
        <f>IF(CABLES[[#This Row],[SEG22]]&gt;0,CABLES[[#This Row],[CABLE_MASS]],0)</f>
        <v>0</v>
      </c>
      <c r="HC77" s="10">
        <f>IF(CABLES[[#This Row],[SEG23]]&gt;0,CABLES[[#This Row],[CABLE_MASS]],0)</f>
        <v>0</v>
      </c>
      <c r="HD77" s="10">
        <f>IF(CABLES[[#This Row],[SEG24]]&gt;0,CABLES[[#This Row],[CABLE_MASS]],0)</f>
        <v>0</v>
      </c>
      <c r="HE77" s="10">
        <f>IF(CABLES[[#This Row],[SEG25]]&gt;0,CABLES[[#This Row],[CABLE_MASS]],0)</f>
        <v>0</v>
      </c>
      <c r="HF77" s="10">
        <f>IF(CABLES[[#This Row],[SEG26]]&gt;0,CABLES[[#This Row],[CABLE_MASS]],0)</f>
        <v>0</v>
      </c>
      <c r="HG77" s="10">
        <f>IF(CABLES[[#This Row],[SEG27]]&gt;0,CABLES[[#This Row],[CABLE_MASS]],0)</f>
        <v>0</v>
      </c>
      <c r="HH77" s="10">
        <f>IF(CABLES[[#This Row],[SEG28]]&gt;0,CABLES[[#This Row],[CABLE_MASS]],0)</f>
        <v>0</v>
      </c>
      <c r="HI77" s="10">
        <f>IF(CABLES[[#This Row],[SEG29]]&gt;0,CABLES[[#This Row],[CABLE_MASS]],0)</f>
        <v>0</v>
      </c>
      <c r="HJ77" s="10">
        <f>IF(CABLES[[#This Row],[SEG30]]&gt;0,CABLES[[#This Row],[CABLE_MASS]],0)</f>
        <v>0</v>
      </c>
      <c r="HK77" s="10">
        <f>IF(CABLES[[#This Row],[SEG31]]&gt;0,CABLES[[#This Row],[CABLE_MASS]],0)</f>
        <v>0</v>
      </c>
      <c r="HL77" s="10">
        <f>IF(CABLES[[#This Row],[SEG32]]&gt;0,CABLES[[#This Row],[CABLE_MASS]],0)</f>
        <v>0</v>
      </c>
      <c r="HM77" s="10">
        <f>IF(CABLES[[#This Row],[SEG33]]&gt;0,CABLES[[#This Row],[CABLE_MASS]],0)</f>
        <v>0</v>
      </c>
      <c r="HN77" s="10">
        <f>IF(CABLES[[#This Row],[SEG34]]&gt;0,CABLES[[#This Row],[CABLE_MASS]],0)</f>
        <v>0</v>
      </c>
      <c r="HO77" s="10">
        <f>IF(CABLES[[#This Row],[SEG35]]&gt;0,CABLES[[#This Row],[CABLE_MASS]],0)</f>
        <v>0</v>
      </c>
      <c r="HP77" s="10">
        <f>IF(CABLES[[#This Row],[SEG36]]&gt;0,CABLES[[#This Row],[CABLE_MASS]],0)</f>
        <v>0</v>
      </c>
      <c r="HQ77" s="10">
        <f>IF(CABLES[[#This Row],[SEG37]]&gt;0,CABLES[[#This Row],[CABLE_MASS]],0)</f>
        <v>0</v>
      </c>
      <c r="HR77" s="10">
        <f>IF(CABLES[[#This Row],[SEG38]]&gt;0,CABLES[[#This Row],[CABLE_MASS]],0)</f>
        <v>0</v>
      </c>
      <c r="HS77" s="10">
        <f>IF(CABLES[[#This Row],[SEG39]]&gt;0,CABLES[[#This Row],[CABLE_MASS]],0)</f>
        <v>0</v>
      </c>
      <c r="HT77" s="10">
        <f>IF(CABLES[[#This Row],[SEG40]]&gt;0,CABLES[[#This Row],[CABLE_MASS]],0)</f>
        <v>0</v>
      </c>
      <c r="HU77" s="10">
        <f>IF(CABLES[[#This Row],[SEG41]]&gt;0,CABLES[[#This Row],[CABLE_MASS]],0)</f>
        <v>0</v>
      </c>
      <c r="HV77" s="10">
        <f>IF(CABLES[[#This Row],[SEG42]]&gt;0,CABLES[[#This Row],[CABLE_MASS]],0)</f>
        <v>0</v>
      </c>
      <c r="HW77" s="10">
        <f>IF(CABLES[[#This Row],[SEG43]]&gt;0,CABLES[[#This Row],[CABLE_MASS]],0)</f>
        <v>0</v>
      </c>
      <c r="HX77" s="10">
        <f>IF(CABLES[[#This Row],[SEG44]]&gt;0,CABLES[[#This Row],[CABLE_MASS]],0)</f>
        <v>0</v>
      </c>
      <c r="HY77" s="10">
        <f>IF(CABLES[[#This Row],[SEG45]]&gt;0,CABLES[[#This Row],[CABLE_MASS]],0)</f>
        <v>0</v>
      </c>
      <c r="HZ77" s="10">
        <f>IF(CABLES[[#This Row],[SEG46]]&gt;0,CABLES[[#This Row],[CABLE_MASS]],0)</f>
        <v>0</v>
      </c>
      <c r="IA77" s="10">
        <f>IF(CABLES[[#This Row],[SEG47]]&gt;0,CABLES[[#This Row],[CABLE_MASS]],0)</f>
        <v>0</v>
      </c>
      <c r="IB77" s="10">
        <f>IF(CABLES[[#This Row],[SEG48]]&gt;0,CABLES[[#This Row],[CABLE_MASS]],0)</f>
        <v>0</v>
      </c>
      <c r="IC77" s="10">
        <f>IF(CABLES[[#This Row],[SEG49]]&gt;0,CABLES[[#This Row],[CABLE_MASS]],0)</f>
        <v>0</v>
      </c>
      <c r="ID77" s="10">
        <f>IF(CABLES[[#This Row],[SEG50]]&gt;0,CABLES[[#This Row],[CABLE_MASS]],0)</f>
        <v>0</v>
      </c>
      <c r="IE77" s="10">
        <f>IF(CABLES[[#This Row],[SEG51]]&gt;0,CABLES[[#This Row],[CABLE_MASS]],0)</f>
        <v>0</v>
      </c>
      <c r="IF77" s="10">
        <f>IF(CABLES[[#This Row],[SEG52]]&gt;0,CABLES[[#This Row],[CABLE_MASS]],0)</f>
        <v>0</v>
      </c>
      <c r="IG77" s="10">
        <f>IF(CABLES[[#This Row],[SEG53]]&gt;0,CABLES[[#This Row],[CABLE_MASS]],0)</f>
        <v>0</v>
      </c>
      <c r="IH77" s="10">
        <f>IF(CABLES[[#This Row],[SEG54]]&gt;0,CABLES[[#This Row],[CABLE_MASS]],0)</f>
        <v>0</v>
      </c>
      <c r="II77" s="10">
        <f>IF(CABLES[[#This Row],[SEG55]]&gt;0,CABLES[[#This Row],[CABLE_MASS]],0)</f>
        <v>0</v>
      </c>
      <c r="IJ77" s="10">
        <f>IF(CABLES[[#This Row],[SEG56]]&gt;0,CABLES[[#This Row],[CABLE_MASS]],0)</f>
        <v>0</v>
      </c>
      <c r="IK77" s="10">
        <f>IF(CABLES[[#This Row],[SEG57]]&gt;0,CABLES[[#This Row],[CABLE_MASS]],0)</f>
        <v>0</v>
      </c>
      <c r="IL77" s="10">
        <f>IF(CABLES[[#This Row],[SEG58]]&gt;0,CABLES[[#This Row],[CABLE_MASS]],0)</f>
        <v>0</v>
      </c>
      <c r="IM77" s="10">
        <f>IF(CABLES[[#This Row],[SEG59]]&gt;0,CABLES[[#This Row],[CABLE_MASS]],0)</f>
        <v>0</v>
      </c>
      <c r="IN77" s="10">
        <f>IF(CABLES[[#This Row],[SEG60]]&gt;0,CABLES[[#This Row],[CABLE_MASS]],0)</f>
        <v>0</v>
      </c>
      <c r="IO77" s="10">
        <f xml:space="preserve">  (CABLES[[#This Row],[LOAD_KW]]/(SQRT(3)*SYSTEM_VOLTAGE*POWER_FACTOR))*1000</f>
        <v>3.528251645047713</v>
      </c>
      <c r="IP77" s="10">
        <v>45</v>
      </c>
      <c r="IQ77" s="10">
        <f xml:space="preserve"> INDEX(AS3000_AMBIENTDERATE[], MATCH(CABLES[[#This Row],[AMBIENT]],AS3000_AMBIENTDERATE[AMBIENT],0), 2)</f>
        <v>0.94</v>
      </c>
      <c r="IR77" s="10">
        <f xml:space="preserve"> ROUNDUP( CABLES[[#This Row],[CALCULATED_AMPS]]/CABLES[[#This Row],[AMBIENT_DERATING]],1)</f>
        <v>3.8000000000000003</v>
      </c>
      <c r="IS77" s="10" t="s">
        <v>531</v>
      </c>
      <c r="IT77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77" s="10">
        <f t="shared" si="2"/>
        <v>28.000000000000004</v>
      </c>
      <c r="IV77" s="10">
        <f>(1000*CABLES[[#This Row],[MAX_VDROP]])/(CABLES[[#This Row],[ESTIMATED_CABLE_LENGTH]]*CABLES[[#This Row],[AMP_RATING]])</f>
        <v>95.942982456140356</v>
      </c>
      <c r="IW77" s="10">
        <f xml:space="preserve"> INDEX(AS3000_VDROP[], MATCH(CABLES[[#This Row],[VC_CALC]],AS3000_VDROP[Vc],1),1)</f>
        <v>2.5</v>
      </c>
      <c r="IX77" s="10">
        <f>MAX(CABLES[[#This Row],[CABLESIZE_METHOD1]],CABLES[[#This Row],[CABLESIZE_METHOD2]])</f>
        <v>2.5</v>
      </c>
      <c r="IY77" s="10"/>
      <c r="IZ77" s="10">
        <f>IF(LEN(CABLES[[#This Row],[OVERRIDE_CABLESIZE]])&gt;0,CABLES[[#This Row],[OVERRIDE_CABLESIZE]],CABLES[[#This Row],[INITIAL_CABLESIZE]])</f>
        <v>2.5</v>
      </c>
      <c r="JA77" s="10">
        <f>INDEX(PROTECTIVE_DEVICE[DEVICE], MATCH(CABLES[[#This Row],[CALCULATED_AMPS]],PROTECTIVE_DEVICE[DEVICE],-1),1)</f>
        <v>6</v>
      </c>
      <c r="JB77" s="10"/>
      <c r="JC77" s="10">
        <f>IF(LEN(CABLES[[#This Row],[OVERRIDE_PDEVICE]])&gt;0, CABLES[[#This Row],[OVERRIDE_PDEVICE]],CABLES[[#This Row],[RECOMMEND_PDEVICE]])</f>
        <v>6</v>
      </c>
      <c r="JD77" s="10" t="s">
        <v>450</v>
      </c>
      <c r="JE77" s="10">
        <f xml:space="preserve"> CABLES[[#This Row],[SELECTED_PDEVICE]] * INDEX(DEVICE_CURVE[], MATCH(CABLES[[#This Row],[PDEVICE_CURVE]], DEVICE_CURVE[DEVICE_CURVE],0),2)</f>
        <v>39</v>
      </c>
      <c r="JF77" s="10" t="s">
        <v>458</v>
      </c>
      <c r="JG77" s="10">
        <f xml:space="preserve"> INDEX(CONDUCTOR_MATERIAL[], MATCH(CABLES[[#This Row],[CONDUCTOR_MATERIAL]],CONDUCTOR_MATERIAL[CONDUCTOR_MATERIAL],0),2)</f>
        <v>2.2499999999999999E-2</v>
      </c>
      <c r="JH77" s="10">
        <f>CABLES[[#This Row],[SELECTED_CABLESIZE]]</f>
        <v>2.5</v>
      </c>
      <c r="JI77" s="10">
        <f xml:space="preserve"> INDEX( EARTH_CONDUCTOR_SIZE[], MATCH(CABLES[[#This Row],[SPH]],EARTH_CONDUCTOR_SIZE[MM^2],-1), 2)</f>
        <v>2.5</v>
      </c>
      <c r="JJ77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77" s="10" t="str">
        <f>IF(CABLES[[#This Row],[LMAX]]&gt;CABLES[[#This Row],[ESTIMATED_CABLE_LENGTH]], "PASS", "ERROR")</f>
        <v>PASS</v>
      </c>
      <c r="JL77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77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77" s="6">
        <f xml:space="preserve"> ROUNDUP( CABLES[[#This Row],[CALCULATED_AMPS]],1)</f>
        <v>3.6</v>
      </c>
      <c r="JO77" s="6">
        <f>CABLES[[#This Row],[SELECTED_CABLESIZE]]</f>
        <v>2.5</v>
      </c>
      <c r="JP77" s="10">
        <f>CABLES[[#This Row],[ESTIMATED_CABLE_LENGTH]]</f>
        <v>76.8</v>
      </c>
      <c r="JQ77" s="6">
        <f>CABLES[[#This Row],[SELECTED_PDEVICE]]</f>
        <v>6</v>
      </c>
    </row>
    <row r="78" spans="1:277" x14ac:dyDescent="0.35">
      <c r="A78" s="5" t="s">
        <v>75</v>
      </c>
      <c r="B78" s="5" t="s">
        <v>511</v>
      </c>
      <c r="C78" s="10" t="s">
        <v>261</v>
      </c>
      <c r="D78" s="9">
        <v>15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1</v>
      </c>
      <c r="AI78" s="9">
        <v>1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1</v>
      </c>
      <c r="AR78" s="9">
        <v>0</v>
      </c>
      <c r="AS78" s="9">
        <v>1</v>
      </c>
      <c r="AT78" s="9">
        <v>0</v>
      </c>
      <c r="AU78" s="9">
        <v>0</v>
      </c>
      <c r="AV78" s="9">
        <v>0</v>
      </c>
      <c r="AW78" s="9">
        <v>1</v>
      </c>
      <c r="AX78" s="9">
        <v>0</v>
      </c>
      <c r="AY78" s="9">
        <v>1</v>
      </c>
      <c r="AZ78" s="9">
        <v>0</v>
      </c>
      <c r="BA78" s="9">
        <v>1</v>
      </c>
      <c r="BB78" s="9">
        <v>1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f xml:space="preserve"> IF(CABLES[[#This Row],[SEG1]] &gt;0, INDEX(SEGMENTS[], MATCH(CABLES[[#Headers],[SEG1]],SEGMENTS[SEG_ID],0),4),0)</f>
        <v>0</v>
      </c>
      <c r="BN78" s="9">
        <f xml:space="preserve"> IF(CABLES[[#This Row],[SEG2]] &gt;0, INDEX(SEGMENTS[], MATCH(CABLES[[#Headers],[SEG2]],SEGMENTS[SEG_ID],0),4),0)</f>
        <v>0</v>
      </c>
      <c r="BO78" s="9">
        <f xml:space="preserve"> IF(CABLES[[#This Row],[SEG3]] &gt;0, INDEX(SEGMENTS[], MATCH(CABLES[[#Headers],[SEG3]],SEGMENTS[SEG_ID],0),4),0)</f>
        <v>0</v>
      </c>
      <c r="BP78" s="9">
        <f xml:space="preserve"> IF(CABLES[[#This Row],[SEG4]] &gt;0, INDEX(SEGMENTS[], MATCH(CABLES[[#Headers],[SEG4]],SEGMENTS[SEG_ID],0),4),0)</f>
        <v>0</v>
      </c>
      <c r="BQ78" s="9">
        <f xml:space="preserve"> IF(CABLES[[#This Row],[SEG5]] &gt;0,INDEX(SEGMENTS[], MATCH(CABLES[[#Headers],[SEG5]],SEGMENTS[SEG_ID],0),4),0)</f>
        <v>0</v>
      </c>
      <c r="BR78" s="9">
        <f xml:space="preserve"> IF(CABLES[[#This Row],[SEG6]] &gt;0,INDEX(SEGMENTS[], MATCH(CABLES[[#Headers],[SEG6]],SEGMENTS[SEG_ID],0),4),0)</f>
        <v>0</v>
      </c>
      <c r="BS78" s="9">
        <f xml:space="preserve"> IF(CABLES[[#This Row],[SEG7]] &gt;0,INDEX(SEGMENTS[], MATCH(CABLES[[#Headers],[SEG7]],SEGMENTS[SEG_ID],0),4),0)</f>
        <v>0</v>
      </c>
      <c r="BT78" s="9">
        <f xml:space="preserve"> IF(CABLES[[#This Row],[SEG8]] &gt;0,INDEX(SEGMENTS[], MATCH(CABLES[[#Headers],[SEG8]],SEGMENTS[SEG_ID],0),4),0)</f>
        <v>0</v>
      </c>
      <c r="BU78" s="9">
        <f xml:space="preserve"> IF(CABLES[[#This Row],[SEG9]] &gt;0,INDEX(SEGMENTS[], MATCH(CABLES[[#Headers],[SEG9]],SEGMENTS[SEG_ID],0),4),0)</f>
        <v>0</v>
      </c>
      <c r="BV78" s="9">
        <f xml:space="preserve"> IF(CABLES[[#This Row],[SEG10]] &gt;0,INDEX(SEGMENTS[], MATCH(CABLES[[#Headers],[SEG10]],SEGMENTS[SEG_ID],0),4),0)</f>
        <v>0</v>
      </c>
      <c r="BW78" s="9">
        <f xml:space="preserve"> IF(CABLES[[#This Row],[SEG11]] &gt;0,INDEX(SEGMENTS[], MATCH(CABLES[[#Headers],[SEG11]],SEGMENTS[SEG_ID],0),4),0)</f>
        <v>0</v>
      </c>
      <c r="BX78" s="9">
        <f>IF(CABLES[[#This Row],[SEG12]] &gt;0, INDEX(SEGMENTS[], MATCH(CABLES[[#Headers],[SEG12]],SEGMENTS[SEG_ID],0),4),0)</f>
        <v>0</v>
      </c>
      <c r="BY78" s="9">
        <f xml:space="preserve"> IF(CABLES[[#This Row],[SEG13]] &gt;0,INDEX(SEGMENTS[], MATCH(CABLES[[#Headers],[SEG13]],SEGMENTS[SEG_ID],0),4),0)</f>
        <v>0</v>
      </c>
      <c r="BZ78" s="9">
        <f xml:space="preserve"> IF(CABLES[[#This Row],[SEG14]] &gt;0,INDEX(SEGMENTS[], MATCH(CABLES[[#Headers],[SEG14]],SEGMENTS[SEG_ID],0),4),0)</f>
        <v>0</v>
      </c>
      <c r="CA78" s="9">
        <f xml:space="preserve"> IF(CABLES[[#This Row],[SEG15]] &gt;0,INDEX(SEGMENTS[], MATCH(CABLES[[#Headers],[SEG15]],SEGMENTS[SEG_ID],0),4),0)</f>
        <v>0</v>
      </c>
      <c r="CB78" s="9">
        <f xml:space="preserve"> IF(CABLES[[#This Row],[SEG16]] &gt;0,INDEX(SEGMENTS[], MATCH(CABLES[[#Headers],[SEG16]],SEGMENTS[SEG_ID],0),4),0)</f>
        <v>0</v>
      </c>
      <c r="CC78" s="9">
        <f xml:space="preserve"> IF(CABLES[[#This Row],[SEG17]] &gt;0,INDEX(SEGMENTS[], MATCH(CABLES[[#Headers],[SEG17]],SEGMENTS[SEG_ID],0),4),0)</f>
        <v>0</v>
      </c>
      <c r="CD78" s="9">
        <f xml:space="preserve"> IF(CABLES[[#This Row],[SEG18]] &gt;0,INDEX(SEGMENTS[], MATCH(CABLES[[#Headers],[SEG18]],SEGMENTS[SEG_ID],0),4),0)</f>
        <v>0</v>
      </c>
      <c r="CE78" s="9">
        <f>IF(CABLES[[#This Row],[SEG19]] &gt;0, INDEX(SEGMENTS[], MATCH(CABLES[[#Headers],[SEG19]],SEGMENTS[SEG_ID],0),4),0)</f>
        <v>0</v>
      </c>
      <c r="CF78" s="9">
        <f>IF(CABLES[[#This Row],[SEG20]] &gt;0, INDEX(SEGMENTS[], MATCH(CABLES[[#Headers],[SEG20]],SEGMENTS[SEG_ID],0),4),0)</f>
        <v>0</v>
      </c>
      <c r="CG78" s="9">
        <f xml:space="preserve"> IF(CABLES[[#This Row],[SEG21]] &gt;0,INDEX(SEGMENTS[], MATCH(CABLES[[#Headers],[SEG21]],SEGMENTS[SEG_ID],0),4),0)</f>
        <v>0</v>
      </c>
      <c r="CH78" s="9">
        <f xml:space="preserve"> IF(CABLES[[#This Row],[SEG22]] &gt;0,INDEX(SEGMENTS[], MATCH(CABLES[[#Headers],[SEG22]],SEGMENTS[SEG_ID],0),4),0)</f>
        <v>0</v>
      </c>
      <c r="CI78" s="9">
        <f>IF(CABLES[[#This Row],[SEG23]] &gt;0, INDEX(SEGMENTS[], MATCH(CABLES[[#Headers],[SEG23]],SEGMENTS[SEG_ID],0),4),0)</f>
        <v>0</v>
      </c>
      <c r="CJ78" s="9">
        <f xml:space="preserve"> IF(CABLES[[#This Row],[SEG24]] &gt;0,INDEX(SEGMENTS[], MATCH(CABLES[[#Headers],[SEG24]],SEGMENTS[SEG_ID],0),4),0)</f>
        <v>0</v>
      </c>
      <c r="CK78" s="9">
        <f>IF(CABLES[[#This Row],[SEG25]] &gt;0, INDEX(SEGMENTS[], MATCH(CABLES[[#Headers],[SEG25]],SEGMENTS[SEG_ID],0),4),0)</f>
        <v>0</v>
      </c>
      <c r="CL78" s="9">
        <f>IF(CABLES[[#This Row],[SEG26]] &gt;0, INDEX(SEGMENTS[], MATCH(CABLES[[#Headers],[SEG26]],SEGMENTS[SEG_ID],0),4),0)</f>
        <v>0</v>
      </c>
      <c r="CM78" s="9">
        <f xml:space="preserve"> IF(CABLES[[#This Row],[SEG27]] &gt;0,INDEX(SEGMENTS[], MATCH(CABLES[[#Headers],[SEG27]],SEGMENTS[SEG_ID],0),4),0)</f>
        <v>0</v>
      </c>
      <c r="CN78" s="9">
        <f xml:space="preserve"> IF(CABLES[[#This Row],[SEG28]] &gt;0,INDEX(SEGMENTS[], MATCH(CABLES[[#Headers],[SEG28]],SEGMENTS[SEG_ID],0),4),0)</f>
        <v>0</v>
      </c>
      <c r="CO78" s="9">
        <f xml:space="preserve"> IF(CABLES[[#This Row],[SEG29]] &gt;0,INDEX(SEGMENTS[], MATCH(CABLES[[#Headers],[SEG29]],SEGMENTS[SEG_ID],0),4),0)</f>
        <v>0</v>
      </c>
      <c r="CP78" s="9">
        <f xml:space="preserve"> IF(CABLES[[#This Row],[SEG30]] &gt;0,INDEX(SEGMENTS[], MATCH(CABLES[[#Headers],[SEG30]],SEGMENTS[SEG_ID],0),4),0)</f>
        <v>6</v>
      </c>
      <c r="CQ78" s="9">
        <f>IF(CABLES[[#This Row],[SEG31]] &gt;0, INDEX(SEGMENTS[], MATCH(CABLES[[#Headers],[SEG31]],SEGMENTS[SEG_ID],0),4),0)</f>
        <v>3</v>
      </c>
      <c r="CR78" s="9">
        <f xml:space="preserve"> IF(CABLES[[#This Row],[SEG32]] &gt;0,INDEX(SEGMENTS[], MATCH(CABLES[[#Headers],[SEG32]],SEGMENTS[SEG_ID],0),4),0)</f>
        <v>0</v>
      </c>
      <c r="CS78" s="9">
        <f xml:space="preserve"> IF(CABLES[[#This Row],[SEG33]] &gt;0,INDEX(SEGMENTS[], MATCH(CABLES[[#Headers],[SEG33]],SEGMENTS[SEG_ID],0),4),0)</f>
        <v>0</v>
      </c>
      <c r="CT78" s="9">
        <f>IF(CABLES[[#This Row],[SEG34]] &gt;0, INDEX(SEGMENTS[], MATCH(CABLES[[#Headers],[SEG34]],SEGMENTS[SEG_ID],0),4),0)</f>
        <v>0</v>
      </c>
      <c r="CU78" s="9">
        <f xml:space="preserve"> IF(CABLES[[#This Row],[SEG35]] &gt;0,INDEX(SEGMENTS[], MATCH(CABLES[[#Headers],[SEG35]],SEGMENTS[SEG_ID],0),4),0)</f>
        <v>0</v>
      </c>
      <c r="CV78" s="9">
        <f xml:space="preserve"> IF(CABLES[[#This Row],[SEG36]] &gt;0,INDEX(SEGMENTS[], MATCH(CABLES[[#Headers],[SEG36]],SEGMENTS[SEG_ID],0),4),0)</f>
        <v>0</v>
      </c>
      <c r="CW78" s="9">
        <f xml:space="preserve"> IF(CABLES[[#This Row],[SEG37]] &gt;0,INDEX(SEGMENTS[], MATCH(CABLES[[#Headers],[SEG37]],SEGMENTS[SEG_ID],0),4),0)</f>
        <v>0</v>
      </c>
      <c r="CX78" s="9">
        <f xml:space="preserve"> IF(CABLES[[#This Row],[SEG38]] &gt;0,INDEX(SEGMENTS[], MATCH(CABLES[[#Headers],[SEG38]],SEGMENTS[SEG_ID],0),4),0)</f>
        <v>0</v>
      </c>
      <c r="CY78" s="9">
        <f xml:space="preserve"> IF(CABLES[[#This Row],[SEG39]] &gt;0,INDEX(SEGMENTS[], MATCH(CABLES[[#Headers],[SEG39]],SEGMENTS[SEG_ID],0),4),0)</f>
        <v>8</v>
      </c>
      <c r="CZ78" s="9">
        <f xml:space="preserve"> IF(CABLES[[#This Row],[SEG40]] &gt;0,INDEX(SEGMENTS[], MATCH(CABLES[[#Headers],[SEG40]],SEGMENTS[SEG_ID],0),4),0)</f>
        <v>0</v>
      </c>
      <c r="DA78" s="9">
        <f xml:space="preserve"> IF(CABLES[[#This Row],[SEG41]] &gt;0,INDEX(SEGMENTS[], MATCH(CABLES[[#Headers],[SEG41]],SEGMENTS[SEG_ID],0),4),0)</f>
        <v>8</v>
      </c>
      <c r="DB78" s="9">
        <f xml:space="preserve"> IF(CABLES[[#This Row],[SEG42]] &gt;0,INDEX(SEGMENTS[], MATCH(CABLES[[#Headers],[SEG42]],SEGMENTS[SEG_ID],0),4),0)</f>
        <v>0</v>
      </c>
      <c r="DC78" s="9">
        <f xml:space="preserve"> IF(CABLES[[#This Row],[SEG43]] &gt;0,INDEX(SEGMENTS[], MATCH(CABLES[[#Headers],[SEG43]],SEGMENTS[SEG_ID],0),4),0)</f>
        <v>0</v>
      </c>
      <c r="DD78" s="9">
        <f xml:space="preserve"> IF(CABLES[[#This Row],[SEG44]] &gt;0,INDEX(SEGMENTS[], MATCH(CABLES[[#Headers],[SEG44]],SEGMENTS[SEG_ID],0),4),0)</f>
        <v>0</v>
      </c>
      <c r="DE78" s="9">
        <f xml:space="preserve"> IF(CABLES[[#This Row],[SEG45]] &gt;0,INDEX(SEGMENTS[], MATCH(CABLES[[#Headers],[SEG45]],SEGMENTS[SEG_ID],0),4),0)</f>
        <v>9</v>
      </c>
      <c r="DF78" s="9">
        <f xml:space="preserve"> IF(CABLES[[#This Row],[SEG46]] &gt;0,INDEX(SEGMENTS[], MATCH(CABLES[[#Headers],[SEG46]],SEGMENTS[SEG_ID],0),4),0)</f>
        <v>0</v>
      </c>
      <c r="DG78" s="9">
        <f xml:space="preserve"> IF(CABLES[[#This Row],[SEG47]] &gt;0,INDEX(SEGMENTS[], MATCH(CABLES[[#Headers],[SEG47]],SEGMENTS[SEG_ID],0),4),0)</f>
        <v>12</v>
      </c>
      <c r="DH78" s="9">
        <f xml:space="preserve"> IF(CABLES[[#This Row],[SEG48]] &gt;0,INDEX(SEGMENTS[], MATCH(CABLES[[#Headers],[SEG48]],SEGMENTS[SEG_ID],0),4),0)</f>
        <v>0</v>
      </c>
      <c r="DI78" s="9">
        <f xml:space="preserve"> IF(CABLES[[#This Row],[SEG49]] &gt;0,INDEX(SEGMENTS[], MATCH(CABLES[[#Headers],[SEG49]],SEGMENTS[SEG_ID],0),4),0)</f>
        <v>20</v>
      </c>
      <c r="DJ78" s="9">
        <f xml:space="preserve"> IF(CABLES[[#This Row],[SEG50]] &gt;0,INDEX(SEGMENTS[], MATCH(CABLES[[#Headers],[SEG50]],SEGMENTS[SEG_ID],0),4),0)</f>
        <v>17</v>
      </c>
      <c r="DK78" s="9">
        <f xml:space="preserve"> IF(CABLES[[#This Row],[SEG51]] &gt;0,INDEX(SEGMENTS[], MATCH(CABLES[[#Headers],[SEG51]],SEGMENTS[SEG_ID],0),4),0)</f>
        <v>0</v>
      </c>
      <c r="DL78" s="9">
        <f xml:space="preserve"> IF(CABLES[[#This Row],[SEG52]] &gt;0,INDEX(SEGMENTS[], MATCH(CABLES[[#Headers],[SEG52]],SEGMENTS[SEG_ID],0),4),0)</f>
        <v>0</v>
      </c>
      <c r="DM78" s="9">
        <f xml:space="preserve"> IF(CABLES[[#This Row],[SEG53]] &gt;0,INDEX(SEGMENTS[], MATCH(CABLES[[#Headers],[SEG53]],SEGMENTS[SEG_ID],0),4),0)</f>
        <v>0</v>
      </c>
      <c r="DN78" s="9">
        <f xml:space="preserve"> IF(CABLES[[#This Row],[SEG54]] &gt;0,INDEX(SEGMENTS[], MATCH(CABLES[[#Headers],[SEG54]],SEGMENTS[SEG_ID],0),4),0)</f>
        <v>0</v>
      </c>
      <c r="DO78" s="9">
        <f xml:space="preserve"> IF(CABLES[[#This Row],[SEG55]] &gt;0,INDEX(SEGMENTS[], MATCH(CABLES[[#Headers],[SEG55]],SEGMENTS[SEG_ID],0),4),0)</f>
        <v>0</v>
      </c>
      <c r="DP78" s="9">
        <f xml:space="preserve"> IF(CABLES[[#This Row],[SEG56]] &gt;0,INDEX(SEGMENTS[], MATCH(CABLES[[#Headers],[SEG56]],SEGMENTS[SEG_ID],0),4),0)</f>
        <v>0</v>
      </c>
      <c r="DQ78" s="9">
        <f xml:space="preserve"> IF(CABLES[[#This Row],[SEG57]] &gt;0,INDEX(SEGMENTS[], MATCH(CABLES[[#Headers],[SEG57]],SEGMENTS[SEG_ID],0),4),0)</f>
        <v>0</v>
      </c>
      <c r="DR78" s="9">
        <f xml:space="preserve"> IF(CABLES[[#This Row],[SEG58]] &gt;0,INDEX(SEGMENTS[], MATCH(CABLES[[#Headers],[SEG58]],SEGMENTS[SEG_ID],0),4),0)</f>
        <v>0</v>
      </c>
      <c r="DS78" s="9">
        <f xml:space="preserve"> IF(CABLES[[#This Row],[SEG59]] &gt;0,INDEX(SEGMENTS[], MATCH(CABLES[[#Headers],[SEG59]],SEGMENTS[SEG_ID],0),4),0)</f>
        <v>0</v>
      </c>
      <c r="DT78" s="9">
        <f xml:space="preserve"> IF(CABLES[[#This Row],[SEG60]] &gt;0,INDEX(SEGMENTS[], MATCH(CABLES[[#Headers],[SEG60]],SEGMENTS[SEG_ID],0),4),0)</f>
        <v>0</v>
      </c>
      <c r="DU78" s="10">
        <f>SUM(CABLES[[#This Row],[SEGL1]:[SEGL60]])</f>
        <v>83</v>
      </c>
      <c r="DV78" s="10">
        <v>5</v>
      </c>
      <c r="DW78" s="10">
        <v>1.2</v>
      </c>
      <c r="DX78" s="10">
        <f xml:space="preserve"> IF(CABLES[[#This Row],[SEGL_TOTAL]]&gt;0, (CABLES[[#This Row],[SEGL_TOTAL]] + CABLES[[#This Row],[FITOFF]]) *CABLES[[#This Row],[XCAPACITY]],0)</f>
        <v>105.6</v>
      </c>
      <c r="DY78" s="10">
        <f>IF(CABLES[[#This Row],[SEG1]]&gt;0,CABLES[[#This Row],[CABLE_DIAMETER]],0)</f>
        <v>0</v>
      </c>
      <c r="DZ78" s="10">
        <f>IF(CABLES[[#This Row],[SEG2]]&gt;0,CABLES[[#This Row],[CABLE_DIAMETER]],0)</f>
        <v>0</v>
      </c>
      <c r="EA78" s="10">
        <f>IF(CABLES[[#This Row],[SEG3]]&gt;0,CABLES[[#This Row],[CABLE_DIAMETER]],0)</f>
        <v>0</v>
      </c>
      <c r="EB78" s="10">
        <f>IF(CABLES[[#This Row],[SEG4]]&gt;0,CABLES[[#This Row],[CABLE_DIAMETER]],0)</f>
        <v>0</v>
      </c>
      <c r="EC78" s="10">
        <f>IF(CABLES[[#This Row],[SEG5]]&gt;0,CABLES[[#This Row],[CABLE_DIAMETER]],0)</f>
        <v>0</v>
      </c>
      <c r="ED78" s="10">
        <f>IF(CABLES[[#This Row],[SEG6]]&gt;0,CABLES[[#This Row],[CABLE_DIAMETER]],0)</f>
        <v>0</v>
      </c>
      <c r="EE78" s="10">
        <f>IF(CABLES[[#This Row],[SEG7]]&gt;0,CABLES[[#This Row],[CABLE_DIAMETER]],0)</f>
        <v>0</v>
      </c>
      <c r="EF78" s="10">
        <f>IF(CABLES[[#This Row],[SEG9]]&gt;0,CABLES[[#This Row],[CABLE_DIAMETER]],0)</f>
        <v>0</v>
      </c>
      <c r="EG78" s="10">
        <f>IF(CABLES[[#This Row],[SEG9]]&gt;0,CABLES[[#This Row],[CABLE_DIAMETER]],0)</f>
        <v>0</v>
      </c>
      <c r="EH78" s="10">
        <f>IF(CABLES[[#This Row],[SEG10]]&gt;0,CABLES[[#This Row],[CABLE_DIAMETER]],0)</f>
        <v>0</v>
      </c>
      <c r="EI78" s="10">
        <f>IF(CABLES[[#This Row],[SEG11]]&gt;0,CABLES[[#This Row],[CABLE_DIAMETER]],0)</f>
        <v>0</v>
      </c>
      <c r="EJ78" s="10">
        <f>IF(CABLES[[#This Row],[SEG12]]&gt;0,CABLES[[#This Row],[CABLE_DIAMETER]],0)</f>
        <v>0</v>
      </c>
      <c r="EK78" s="10">
        <f>IF(CABLES[[#This Row],[SEG13]]&gt;0,CABLES[[#This Row],[CABLE_DIAMETER]],0)</f>
        <v>0</v>
      </c>
      <c r="EL78" s="10">
        <f>IF(CABLES[[#This Row],[SEG14]]&gt;0,CABLES[[#This Row],[CABLE_DIAMETER]],0)</f>
        <v>0</v>
      </c>
      <c r="EM78" s="10">
        <f>IF(CABLES[[#This Row],[SEG15]]&gt;0,CABLES[[#This Row],[CABLE_DIAMETER]],0)</f>
        <v>0</v>
      </c>
      <c r="EN78" s="10">
        <f>IF(CABLES[[#This Row],[SEG16]]&gt;0,CABLES[[#This Row],[CABLE_DIAMETER]],0)</f>
        <v>0</v>
      </c>
      <c r="EO78" s="10">
        <f>IF(CABLES[[#This Row],[SEG17]]&gt;0,CABLES[[#This Row],[CABLE_DIAMETER]],0)</f>
        <v>0</v>
      </c>
      <c r="EP78" s="10">
        <f>IF(CABLES[[#This Row],[SEG18]]&gt;0,CABLES[[#This Row],[CABLE_DIAMETER]],0)</f>
        <v>0</v>
      </c>
      <c r="EQ78" s="10">
        <f>IF(CABLES[[#This Row],[SEG19]]&gt;0,CABLES[[#This Row],[CABLE_DIAMETER]],0)</f>
        <v>0</v>
      </c>
      <c r="ER78" s="10">
        <f>IF(CABLES[[#This Row],[SEG20]]&gt;0,CABLES[[#This Row],[CABLE_DIAMETER]],0)</f>
        <v>0</v>
      </c>
      <c r="ES78" s="10">
        <f>IF(CABLES[[#This Row],[SEG21]]&gt;0,CABLES[[#This Row],[CABLE_DIAMETER]],0)</f>
        <v>0</v>
      </c>
      <c r="ET78" s="10">
        <f>IF(CABLES[[#This Row],[SEG22]]&gt;0,CABLES[[#This Row],[CABLE_DIAMETER]],0)</f>
        <v>0</v>
      </c>
      <c r="EU78" s="10">
        <f>IF(CABLES[[#This Row],[SEG23]]&gt;0,CABLES[[#This Row],[CABLE_DIAMETER]],0)</f>
        <v>0</v>
      </c>
      <c r="EV78" s="10">
        <f>IF(CABLES[[#This Row],[SEG24]]&gt;0,CABLES[[#This Row],[CABLE_DIAMETER]],0)</f>
        <v>0</v>
      </c>
      <c r="EW78" s="10">
        <f>IF(CABLES[[#This Row],[SEG25]]&gt;0,CABLES[[#This Row],[CABLE_DIAMETER]],0)</f>
        <v>0</v>
      </c>
      <c r="EX78" s="10">
        <f>IF(CABLES[[#This Row],[SEG26]]&gt;0,CABLES[[#This Row],[CABLE_DIAMETER]],0)</f>
        <v>0</v>
      </c>
      <c r="EY78" s="10">
        <f>IF(CABLES[[#This Row],[SEG27]]&gt;0,CABLES[[#This Row],[CABLE_DIAMETER]],0)</f>
        <v>0</v>
      </c>
      <c r="EZ78" s="10">
        <f>IF(CABLES[[#This Row],[SEG28]]&gt;0,CABLES[[#This Row],[CABLE_DIAMETER]],0)</f>
        <v>0</v>
      </c>
      <c r="FA78" s="10">
        <f>IF(CABLES[[#This Row],[SEG29]]&gt;0,CABLES[[#This Row],[CABLE_DIAMETER]],0)</f>
        <v>0</v>
      </c>
      <c r="FB78" s="10">
        <f>IF(CABLES[[#This Row],[SEG30]]&gt;0,CABLES[[#This Row],[CABLE_DIAMETER]],0)</f>
        <v>18.399999999999999</v>
      </c>
      <c r="FC78" s="10">
        <f>IF(CABLES[[#This Row],[SEG31]]&gt;0,CABLES[[#This Row],[CABLE_DIAMETER]],0)</f>
        <v>18.399999999999999</v>
      </c>
      <c r="FD78" s="10">
        <f>IF(CABLES[[#This Row],[SEG32]]&gt;0,CABLES[[#This Row],[CABLE_DIAMETER]],0)</f>
        <v>0</v>
      </c>
      <c r="FE78" s="10">
        <f>IF(CABLES[[#This Row],[SEG33]]&gt;0,CABLES[[#This Row],[CABLE_DIAMETER]],0)</f>
        <v>0</v>
      </c>
      <c r="FF78" s="10">
        <f>IF(CABLES[[#This Row],[SEG34]]&gt;0,CABLES[[#This Row],[CABLE_DIAMETER]],0)</f>
        <v>0</v>
      </c>
      <c r="FG78" s="10">
        <f>IF(CABLES[[#This Row],[SEG35]]&gt;0,CABLES[[#This Row],[CABLE_DIAMETER]],0)</f>
        <v>0</v>
      </c>
      <c r="FH78" s="10">
        <f>IF(CABLES[[#This Row],[SEG36]]&gt;0,CABLES[[#This Row],[CABLE_DIAMETER]],0)</f>
        <v>0</v>
      </c>
      <c r="FI78" s="10">
        <f>IF(CABLES[[#This Row],[SEG37]]&gt;0,CABLES[[#This Row],[CABLE_DIAMETER]],0)</f>
        <v>0</v>
      </c>
      <c r="FJ78" s="10">
        <f>IF(CABLES[[#This Row],[SEG38]]&gt;0,CABLES[[#This Row],[CABLE_DIAMETER]],0)</f>
        <v>0</v>
      </c>
      <c r="FK78" s="10">
        <f>IF(CABLES[[#This Row],[SEG39]]&gt;0,CABLES[[#This Row],[CABLE_DIAMETER]],0)</f>
        <v>18.399999999999999</v>
      </c>
      <c r="FL78" s="10">
        <f>IF(CABLES[[#This Row],[SEG40]]&gt;0,CABLES[[#This Row],[CABLE_DIAMETER]],0)</f>
        <v>0</v>
      </c>
      <c r="FM78" s="10">
        <f>IF(CABLES[[#This Row],[SEG41]]&gt;0,CABLES[[#This Row],[CABLE_DIAMETER]],0)</f>
        <v>18.399999999999999</v>
      </c>
      <c r="FN78" s="10">
        <f>IF(CABLES[[#This Row],[SEG42]]&gt;0,CABLES[[#This Row],[CABLE_DIAMETER]],0)</f>
        <v>0</v>
      </c>
      <c r="FO78" s="10">
        <f>IF(CABLES[[#This Row],[SEG43]]&gt;0,CABLES[[#This Row],[CABLE_DIAMETER]],0)</f>
        <v>0</v>
      </c>
      <c r="FP78" s="10">
        <f>IF(CABLES[[#This Row],[SEG44]]&gt;0,CABLES[[#This Row],[CABLE_DIAMETER]],0)</f>
        <v>0</v>
      </c>
      <c r="FQ78" s="10">
        <f>IF(CABLES[[#This Row],[SEG45]]&gt;0,CABLES[[#This Row],[CABLE_DIAMETER]],0)</f>
        <v>18.399999999999999</v>
      </c>
      <c r="FR78" s="10">
        <f>IF(CABLES[[#This Row],[SEG46]]&gt;0,CABLES[[#This Row],[CABLE_DIAMETER]],0)</f>
        <v>0</v>
      </c>
      <c r="FS78" s="10">
        <f>IF(CABLES[[#This Row],[SEG47]]&gt;0,CABLES[[#This Row],[CABLE_DIAMETER]],0)</f>
        <v>18.399999999999999</v>
      </c>
      <c r="FT78" s="10">
        <f>IF(CABLES[[#This Row],[SEG48]]&gt;0,CABLES[[#This Row],[CABLE_DIAMETER]],0)</f>
        <v>0</v>
      </c>
      <c r="FU78" s="10">
        <f>IF(CABLES[[#This Row],[SEG49]]&gt;0,CABLES[[#This Row],[CABLE_DIAMETER]],0)</f>
        <v>18.399999999999999</v>
      </c>
      <c r="FV78" s="10">
        <f>IF(CABLES[[#This Row],[SEG50]]&gt;0,CABLES[[#This Row],[CABLE_DIAMETER]],0)</f>
        <v>18.399999999999999</v>
      </c>
      <c r="FW78" s="10">
        <f>IF(CABLES[[#This Row],[SEG51]]&gt;0,CABLES[[#This Row],[CABLE_DIAMETER]],0)</f>
        <v>0</v>
      </c>
      <c r="FX78" s="10">
        <f>IF(CABLES[[#This Row],[SEG52]]&gt;0,CABLES[[#This Row],[CABLE_DIAMETER]],0)</f>
        <v>0</v>
      </c>
      <c r="FY78" s="10">
        <f>IF(CABLES[[#This Row],[SEG53]]&gt;0,CABLES[[#This Row],[CABLE_DIAMETER]],0)</f>
        <v>0</v>
      </c>
      <c r="FZ78" s="10">
        <f>IF(CABLES[[#This Row],[SEG54]]&gt;0,CABLES[[#This Row],[CABLE_DIAMETER]],0)</f>
        <v>0</v>
      </c>
      <c r="GA78" s="10">
        <f>IF(CABLES[[#This Row],[SEG55]]&gt;0,CABLES[[#This Row],[CABLE_DIAMETER]],0)</f>
        <v>0</v>
      </c>
      <c r="GB78" s="10">
        <f>IF(CABLES[[#This Row],[SEG56]]&gt;0,CABLES[[#This Row],[CABLE_DIAMETER]],0)</f>
        <v>0</v>
      </c>
      <c r="GC78" s="10">
        <f>IF(CABLES[[#This Row],[SEG57]]&gt;0,CABLES[[#This Row],[CABLE_DIAMETER]],0)</f>
        <v>0</v>
      </c>
      <c r="GD78" s="10">
        <f>IF(CABLES[[#This Row],[SEG58]]&gt;0,CABLES[[#This Row],[CABLE_DIAMETER]],0)</f>
        <v>0</v>
      </c>
      <c r="GE78" s="10">
        <f>IF(CABLES[[#This Row],[SEG59]]&gt;0,CABLES[[#This Row],[CABLE_DIAMETER]],0)</f>
        <v>0</v>
      </c>
      <c r="GF78" s="10">
        <f>IF(CABLES[[#This Row],[SEG60]]&gt;0,CABLES[[#This Row],[CABLE_DIAMETER]],0)</f>
        <v>0</v>
      </c>
      <c r="GG78" s="10">
        <f>IF(CABLES[[#This Row],[SEG1]]&gt;0,CABLES[[#This Row],[CABLE_MASS]],0)</f>
        <v>0</v>
      </c>
      <c r="GH78" s="10">
        <f>IF(CABLES[[#This Row],[SEG2]]&gt;0,CABLES[[#This Row],[CABLE_MASS]],0)</f>
        <v>0</v>
      </c>
      <c r="GI78" s="10">
        <f>IF(CABLES[[#This Row],[SEG3]]&gt;0,CABLES[[#This Row],[CABLE_MASS]],0)</f>
        <v>0</v>
      </c>
      <c r="GJ78" s="10">
        <f>IF(CABLES[[#This Row],[SEG4]]&gt;0,CABLES[[#This Row],[CABLE_MASS]],0)</f>
        <v>0</v>
      </c>
      <c r="GK78" s="10">
        <f>IF(CABLES[[#This Row],[SEG5]]&gt;0,CABLES[[#This Row],[CABLE_MASS]],0)</f>
        <v>0</v>
      </c>
      <c r="GL78" s="10">
        <f>IF(CABLES[[#This Row],[SEG6]]&gt;0,CABLES[[#This Row],[CABLE_MASS]],0)</f>
        <v>0</v>
      </c>
      <c r="GM78" s="10">
        <f>IF(CABLES[[#This Row],[SEG7]]&gt;0,CABLES[[#This Row],[CABLE_MASS]],0)</f>
        <v>0</v>
      </c>
      <c r="GN78" s="10">
        <f>IF(CABLES[[#This Row],[SEG8]]&gt;0,CABLES[[#This Row],[CABLE_MASS]],0)</f>
        <v>0</v>
      </c>
      <c r="GO78" s="10">
        <f>IF(CABLES[[#This Row],[SEG9]]&gt;0,CABLES[[#This Row],[CABLE_MASS]],0)</f>
        <v>0</v>
      </c>
      <c r="GP78" s="10">
        <f>IF(CABLES[[#This Row],[SEG10]]&gt;0,CABLES[[#This Row],[CABLE_MASS]],0)</f>
        <v>0</v>
      </c>
      <c r="GQ78" s="10">
        <f>IF(CABLES[[#This Row],[SEG11]]&gt;0,CABLES[[#This Row],[CABLE_MASS]],0)</f>
        <v>0</v>
      </c>
      <c r="GR78" s="10">
        <f>IF(CABLES[[#This Row],[SEG12]]&gt;0,CABLES[[#This Row],[CABLE_MASS]],0)</f>
        <v>0</v>
      </c>
      <c r="GS78" s="10">
        <f>IF(CABLES[[#This Row],[SEG13]]&gt;0,CABLES[[#This Row],[CABLE_MASS]],0)</f>
        <v>0</v>
      </c>
      <c r="GT78" s="10">
        <f>IF(CABLES[[#This Row],[SEG14]]&gt;0,CABLES[[#This Row],[CABLE_MASS]],0)</f>
        <v>0</v>
      </c>
      <c r="GU78" s="10">
        <f>IF(CABLES[[#This Row],[SEG15]]&gt;0,CABLES[[#This Row],[CABLE_MASS]],0)</f>
        <v>0</v>
      </c>
      <c r="GV78" s="10">
        <f>IF(CABLES[[#This Row],[SEG16]]&gt;0,CABLES[[#This Row],[CABLE_MASS]],0)</f>
        <v>0</v>
      </c>
      <c r="GW78" s="10">
        <f>IF(CABLES[[#This Row],[SEG17]]&gt;0,CABLES[[#This Row],[CABLE_MASS]],0)</f>
        <v>0</v>
      </c>
      <c r="GX78" s="10">
        <f>IF(CABLES[[#This Row],[SEG18]]&gt;0,CABLES[[#This Row],[CABLE_MASS]],0)</f>
        <v>0</v>
      </c>
      <c r="GY78" s="10">
        <f>IF(CABLES[[#This Row],[SEG19]]&gt;0,CABLES[[#This Row],[CABLE_MASS]],0)</f>
        <v>0</v>
      </c>
      <c r="GZ78" s="10">
        <f>IF(CABLES[[#This Row],[SEG20]]&gt;0,CABLES[[#This Row],[CABLE_MASS]],0)</f>
        <v>0</v>
      </c>
      <c r="HA78" s="10">
        <f>IF(CABLES[[#This Row],[SEG21]]&gt;0,CABLES[[#This Row],[CABLE_MASS]],0)</f>
        <v>0</v>
      </c>
      <c r="HB78" s="10">
        <f>IF(CABLES[[#This Row],[SEG22]]&gt;0,CABLES[[#This Row],[CABLE_MASS]],0)</f>
        <v>0</v>
      </c>
      <c r="HC78" s="10">
        <f>IF(CABLES[[#This Row],[SEG23]]&gt;0,CABLES[[#This Row],[CABLE_MASS]],0)</f>
        <v>0</v>
      </c>
      <c r="HD78" s="10">
        <f>IF(CABLES[[#This Row],[SEG24]]&gt;0,CABLES[[#This Row],[CABLE_MASS]],0)</f>
        <v>0</v>
      </c>
      <c r="HE78" s="10">
        <f>IF(CABLES[[#This Row],[SEG25]]&gt;0,CABLES[[#This Row],[CABLE_MASS]],0)</f>
        <v>0</v>
      </c>
      <c r="HF78" s="10">
        <f>IF(CABLES[[#This Row],[SEG26]]&gt;0,CABLES[[#This Row],[CABLE_MASS]],0)</f>
        <v>0</v>
      </c>
      <c r="HG78" s="10">
        <f>IF(CABLES[[#This Row],[SEG27]]&gt;0,CABLES[[#This Row],[CABLE_MASS]],0)</f>
        <v>0</v>
      </c>
      <c r="HH78" s="10">
        <f>IF(CABLES[[#This Row],[SEG28]]&gt;0,CABLES[[#This Row],[CABLE_MASS]],0)</f>
        <v>0</v>
      </c>
      <c r="HI78" s="10">
        <f>IF(CABLES[[#This Row],[SEG29]]&gt;0,CABLES[[#This Row],[CABLE_MASS]],0)</f>
        <v>0</v>
      </c>
      <c r="HJ78" s="10">
        <f>IF(CABLES[[#This Row],[SEG30]]&gt;0,CABLES[[#This Row],[CABLE_MASS]],0)</f>
        <v>0.62</v>
      </c>
      <c r="HK78" s="10">
        <f>IF(CABLES[[#This Row],[SEG31]]&gt;0,CABLES[[#This Row],[CABLE_MASS]],0)</f>
        <v>0.62</v>
      </c>
      <c r="HL78" s="10">
        <f>IF(CABLES[[#This Row],[SEG32]]&gt;0,CABLES[[#This Row],[CABLE_MASS]],0)</f>
        <v>0</v>
      </c>
      <c r="HM78" s="10">
        <f>IF(CABLES[[#This Row],[SEG33]]&gt;0,CABLES[[#This Row],[CABLE_MASS]],0)</f>
        <v>0</v>
      </c>
      <c r="HN78" s="10">
        <f>IF(CABLES[[#This Row],[SEG34]]&gt;0,CABLES[[#This Row],[CABLE_MASS]],0)</f>
        <v>0</v>
      </c>
      <c r="HO78" s="10">
        <f>IF(CABLES[[#This Row],[SEG35]]&gt;0,CABLES[[#This Row],[CABLE_MASS]],0)</f>
        <v>0</v>
      </c>
      <c r="HP78" s="10">
        <f>IF(CABLES[[#This Row],[SEG36]]&gt;0,CABLES[[#This Row],[CABLE_MASS]],0)</f>
        <v>0</v>
      </c>
      <c r="HQ78" s="10">
        <f>IF(CABLES[[#This Row],[SEG37]]&gt;0,CABLES[[#This Row],[CABLE_MASS]],0)</f>
        <v>0</v>
      </c>
      <c r="HR78" s="10">
        <f>IF(CABLES[[#This Row],[SEG38]]&gt;0,CABLES[[#This Row],[CABLE_MASS]],0)</f>
        <v>0</v>
      </c>
      <c r="HS78" s="10">
        <f>IF(CABLES[[#This Row],[SEG39]]&gt;0,CABLES[[#This Row],[CABLE_MASS]],0)</f>
        <v>0.62</v>
      </c>
      <c r="HT78" s="10">
        <f>IF(CABLES[[#This Row],[SEG40]]&gt;0,CABLES[[#This Row],[CABLE_MASS]],0)</f>
        <v>0</v>
      </c>
      <c r="HU78" s="10">
        <f>IF(CABLES[[#This Row],[SEG41]]&gt;0,CABLES[[#This Row],[CABLE_MASS]],0)</f>
        <v>0.62</v>
      </c>
      <c r="HV78" s="10">
        <f>IF(CABLES[[#This Row],[SEG42]]&gt;0,CABLES[[#This Row],[CABLE_MASS]],0)</f>
        <v>0</v>
      </c>
      <c r="HW78" s="10">
        <f>IF(CABLES[[#This Row],[SEG43]]&gt;0,CABLES[[#This Row],[CABLE_MASS]],0)</f>
        <v>0</v>
      </c>
      <c r="HX78" s="10">
        <f>IF(CABLES[[#This Row],[SEG44]]&gt;0,CABLES[[#This Row],[CABLE_MASS]],0)</f>
        <v>0</v>
      </c>
      <c r="HY78" s="10">
        <f>IF(CABLES[[#This Row],[SEG45]]&gt;0,CABLES[[#This Row],[CABLE_MASS]],0)</f>
        <v>0.62</v>
      </c>
      <c r="HZ78" s="10">
        <f>IF(CABLES[[#This Row],[SEG46]]&gt;0,CABLES[[#This Row],[CABLE_MASS]],0)</f>
        <v>0</v>
      </c>
      <c r="IA78" s="10">
        <f>IF(CABLES[[#This Row],[SEG47]]&gt;0,CABLES[[#This Row],[CABLE_MASS]],0)</f>
        <v>0.62</v>
      </c>
      <c r="IB78" s="10">
        <f>IF(CABLES[[#This Row],[SEG48]]&gt;0,CABLES[[#This Row],[CABLE_MASS]],0)</f>
        <v>0</v>
      </c>
      <c r="IC78" s="10">
        <f>IF(CABLES[[#This Row],[SEG49]]&gt;0,CABLES[[#This Row],[CABLE_MASS]],0)</f>
        <v>0.62</v>
      </c>
      <c r="ID78" s="10">
        <f>IF(CABLES[[#This Row],[SEG50]]&gt;0,CABLES[[#This Row],[CABLE_MASS]],0)</f>
        <v>0.62</v>
      </c>
      <c r="IE78" s="10">
        <f>IF(CABLES[[#This Row],[SEG51]]&gt;0,CABLES[[#This Row],[CABLE_MASS]],0)</f>
        <v>0</v>
      </c>
      <c r="IF78" s="10">
        <f>IF(CABLES[[#This Row],[SEG52]]&gt;0,CABLES[[#This Row],[CABLE_MASS]],0)</f>
        <v>0</v>
      </c>
      <c r="IG78" s="10">
        <f>IF(CABLES[[#This Row],[SEG53]]&gt;0,CABLES[[#This Row],[CABLE_MASS]],0)</f>
        <v>0</v>
      </c>
      <c r="IH78" s="10">
        <f>IF(CABLES[[#This Row],[SEG54]]&gt;0,CABLES[[#This Row],[CABLE_MASS]],0)</f>
        <v>0</v>
      </c>
      <c r="II78" s="10">
        <f>IF(CABLES[[#This Row],[SEG55]]&gt;0,CABLES[[#This Row],[CABLE_MASS]],0)</f>
        <v>0</v>
      </c>
      <c r="IJ78" s="10">
        <f>IF(CABLES[[#This Row],[SEG56]]&gt;0,CABLES[[#This Row],[CABLE_MASS]],0)</f>
        <v>0</v>
      </c>
      <c r="IK78" s="10">
        <f>IF(CABLES[[#This Row],[SEG57]]&gt;0,CABLES[[#This Row],[CABLE_MASS]],0)</f>
        <v>0</v>
      </c>
      <c r="IL78" s="10">
        <f>IF(CABLES[[#This Row],[SEG58]]&gt;0,CABLES[[#This Row],[CABLE_MASS]],0)</f>
        <v>0</v>
      </c>
      <c r="IM78" s="10">
        <f>IF(CABLES[[#This Row],[SEG59]]&gt;0,CABLES[[#This Row],[CABLE_MASS]],0)</f>
        <v>0</v>
      </c>
      <c r="IN78" s="10">
        <f>IF(CABLES[[#This Row],[SEG60]]&gt;0,CABLES[[#This Row],[CABLE_MASS]],0)</f>
        <v>0</v>
      </c>
      <c r="IO78" s="10">
        <f xml:space="preserve">  (CABLES[[#This Row],[LOAD_KW]]/(SQRT(3)*SYSTEM_VOLTAGE*POWER_FACTOR))*1000</f>
        <v>24.056261216234407</v>
      </c>
      <c r="IP78" s="10">
        <v>45</v>
      </c>
      <c r="IQ78" s="10">
        <f xml:space="preserve"> INDEX(AS3000_AMBIENTDERATE[], MATCH(CABLES[[#This Row],[AMBIENT]],AS3000_AMBIENTDERATE[AMBIENT],0), 2)</f>
        <v>0.94</v>
      </c>
      <c r="IR78" s="10">
        <f xml:space="preserve"> ROUNDUP( CABLES[[#This Row],[CALCULATED_AMPS]]/CABLES[[#This Row],[AMBIENT_DERATING]],1)</f>
        <v>25.6</v>
      </c>
      <c r="IS78" s="10" t="s">
        <v>531</v>
      </c>
      <c r="IT78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4</v>
      </c>
      <c r="IU78" s="10">
        <f t="shared" si="2"/>
        <v>28.000000000000004</v>
      </c>
      <c r="IV78" s="10">
        <f>(1000*CABLES[[#This Row],[MAX_VDROP]])/(CABLES[[#This Row],[ESTIMATED_CABLE_LENGTH]]*CABLES[[#This Row],[AMP_RATING]])</f>
        <v>10.357481060606062</v>
      </c>
      <c r="IW78" s="10">
        <f xml:space="preserve"> INDEX(AS3000_VDROP[], MATCH(CABLES[[#This Row],[VC_CALC]],AS3000_VDROP[Vc],1),1)</f>
        <v>4</v>
      </c>
      <c r="IX78" s="10">
        <f>MAX(CABLES[[#This Row],[CABLESIZE_METHOD1]],CABLES[[#This Row],[CABLESIZE_METHOD2]])</f>
        <v>4</v>
      </c>
      <c r="IY78" s="10">
        <v>10</v>
      </c>
      <c r="IZ78" s="10">
        <f>IF(LEN(CABLES[[#This Row],[OVERRIDE_CABLESIZE]])&gt;0,CABLES[[#This Row],[OVERRIDE_CABLESIZE]],CABLES[[#This Row],[INITIAL_CABLESIZE]])</f>
        <v>10</v>
      </c>
      <c r="JA78" s="10">
        <f>INDEX(PROTECTIVE_DEVICE[DEVICE], MATCH(CABLES[[#This Row],[CALCULATED_AMPS]],PROTECTIVE_DEVICE[DEVICE],-1),1)</f>
        <v>25</v>
      </c>
      <c r="JB78" s="10"/>
      <c r="JC78" s="10">
        <f>IF(LEN(CABLES[[#This Row],[OVERRIDE_PDEVICE]])&gt;0, CABLES[[#This Row],[OVERRIDE_PDEVICE]],CABLES[[#This Row],[RECOMMEND_PDEVICE]])</f>
        <v>25</v>
      </c>
      <c r="JD78" s="10" t="s">
        <v>450</v>
      </c>
      <c r="JE78" s="10">
        <f xml:space="preserve"> CABLES[[#This Row],[SELECTED_PDEVICE]] * INDEX(DEVICE_CURVE[], MATCH(CABLES[[#This Row],[PDEVICE_CURVE]], DEVICE_CURVE[DEVICE_CURVE],0),2)</f>
        <v>162.5</v>
      </c>
      <c r="JF78" s="10" t="s">
        <v>458</v>
      </c>
      <c r="JG78" s="10">
        <f xml:space="preserve"> INDEX(CONDUCTOR_MATERIAL[], MATCH(CABLES[[#This Row],[CONDUCTOR_MATERIAL]],CONDUCTOR_MATERIAL[CONDUCTOR_MATERIAL],0),2)</f>
        <v>2.2499999999999999E-2</v>
      </c>
      <c r="JH78" s="10">
        <f>CABLES[[#This Row],[SELECTED_CABLESIZE]]</f>
        <v>10</v>
      </c>
      <c r="JI78" s="10">
        <f xml:space="preserve"> INDEX( EARTH_CONDUCTOR_SIZE[], MATCH(CABLES[[#This Row],[SPH]],EARTH_CONDUCTOR_SIZE[MM^2],-1), 2)</f>
        <v>4</v>
      </c>
      <c r="JJ78" s="10">
        <f>(0.8*PHASE_VOLTAGE*CABLES[[#This Row],[SPH]]*CABLES[[#This Row],[SPE]])/(CABLES[[#This Row],[PDEVICE_IA]]*CABLES[[#This Row],[MATERIAL_CONSTANT]]*(CABLES[[#This Row],[SPH]]+CABLES[[#This Row],[SPE]]))</f>
        <v>143.78510378510379</v>
      </c>
      <c r="JK78" s="10" t="str">
        <f>IF(CABLES[[#This Row],[LMAX]]&gt;CABLES[[#This Row],[ESTIMATED_CABLE_LENGTH]], "PASS", "ERROR")</f>
        <v>PASS</v>
      </c>
      <c r="JL78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18.399999999999999</v>
      </c>
      <c r="JM78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0.62</v>
      </c>
      <c r="JN78" s="6">
        <f xml:space="preserve"> ROUNDUP( CABLES[[#This Row],[CALCULATED_AMPS]],1)</f>
        <v>24.1</v>
      </c>
      <c r="JO78" s="6">
        <f>CABLES[[#This Row],[SELECTED_CABLESIZE]]</f>
        <v>10</v>
      </c>
      <c r="JP78" s="10">
        <f>CABLES[[#This Row],[ESTIMATED_CABLE_LENGTH]]</f>
        <v>105.6</v>
      </c>
      <c r="JQ78" s="6">
        <f>CABLES[[#This Row],[SELECTED_PDEVICE]]</f>
        <v>25</v>
      </c>
    </row>
    <row r="79" spans="1:277" x14ac:dyDescent="0.35">
      <c r="A79" s="5" t="s">
        <v>76</v>
      </c>
      <c r="B79" s="5" t="s">
        <v>512</v>
      </c>
      <c r="C79" s="10" t="s">
        <v>261</v>
      </c>
      <c r="D79" s="9">
        <v>15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1</v>
      </c>
      <c r="AI79" s="9">
        <v>1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1</v>
      </c>
      <c r="AR79" s="9">
        <v>0</v>
      </c>
      <c r="AS79" s="9">
        <v>1</v>
      </c>
      <c r="AT79" s="9">
        <v>0</v>
      </c>
      <c r="AU79" s="9">
        <v>0</v>
      </c>
      <c r="AV79" s="9">
        <v>0</v>
      </c>
      <c r="AW79" s="9">
        <v>1</v>
      </c>
      <c r="AX79" s="9">
        <v>0</v>
      </c>
      <c r="AY79" s="9">
        <v>1</v>
      </c>
      <c r="AZ79" s="9">
        <v>0</v>
      </c>
      <c r="BA79" s="9">
        <v>1</v>
      </c>
      <c r="BB79" s="9">
        <v>1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f xml:space="preserve"> IF(CABLES[[#This Row],[SEG1]] &gt;0, INDEX(SEGMENTS[], MATCH(CABLES[[#Headers],[SEG1]],SEGMENTS[SEG_ID],0),4),0)</f>
        <v>0</v>
      </c>
      <c r="BN79" s="9">
        <f xml:space="preserve"> IF(CABLES[[#This Row],[SEG2]] &gt;0, INDEX(SEGMENTS[], MATCH(CABLES[[#Headers],[SEG2]],SEGMENTS[SEG_ID],0),4),0)</f>
        <v>0</v>
      </c>
      <c r="BO79" s="9">
        <f xml:space="preserve"> IF(CABLES[[#This Row],[SEG3]] &gt;0, INDEX(SEGMENTS[], MATCH(CABLES[[#Headers],[SEG3]],SEGMENTS[SEG_ID],0),4),0)</f>
        <v>0</v>
      </c>
      <c r="BP79" s="9">
        <f xml:space="preserve"> IF(CABLES[[#This Row],[SEG4]] &gt;0, INDEX(SEGMENTS[], MATCH(CABLES[[#Headers],[SEG4]],SEGMENTS[SEG_ID],0),4),0)</f>
        <v>0</v>
      </c>
      <c r="BQ79" s="9">
        <f xml:space="preserve"> IF(CABLES[[#This Row],[SEG5]] &gt;0,INDEX(SEGMENTS[], MATCH(CABLES[[#Headers],[SEG5]],SEGMENTS[SEG_ID],0),4),0)</f>
        <v>0</v>
      </c>
      <c r="BR79" s="9">
        <f xml:space="preserve"> IF(CABLES[[#This Row],[SEG6]] &gt;0,INDEX(SEGMENTS[], MATCH(CABLES[[#Headers],[SEG6]],SEGMENTS[SEG_ID],0),4),0)</f>
        <v>0</v>
      </c>
      <c r="BS79" s="9">
        <f xml:space="preserve"> IF(CABLES[[#This Row],[SEG7]] &gt;0,INDEX(SEGMENTS[], MATCH(CABLES[[#Headers],[SEG7]],SEGMENTS[SEG_ID],0),4),0)</f>
        <v>0</v>
      </c>
      <c r="BT79" s="9">
        <f xml:space="preserve"> IF(CABLES[[#This Row],[SEG8]] &gt;0,INDEX(SEGMENTS[], MATCH(CABLES[[#Headers],[SEG8]],SEGMENTS[SEG_ID],0),4),0)</f>
        <v>0</v>
      </c>
      <c r="BU79" s="9">
        <f xml:space="preserve"> IF(CABLES[[#This Row],[SEG9]] &gt;0,INDEX(SEGMENTS[], MATCH(CABLES[[#Headers],[SEG9]],SEGMENTS[SEG_ID],0),4),0)</f>
        <v>0</v>
      </c>
      <c r="BV79" s="9">
        <f xml:space="preserve"> IF(CABLES[[#This Row],[SEG10]] &gt;0,INDEX(SEGMENTS[], MATCH(CABLES[[#Headers],[SEG10]],SEGMENTS[SEG_ID],0),4),0)</f>
        <v>0</v>
      </c>
      <c r="BW79" s="9">
        <f xml:space="preserve"> IF(CABLES[[#This Row],[SEG11]] &gt;0,INDEX(SEGMENTS[], MATCH(CABLES[[#Headers],[SEG11]],SEGMENTS[SEG_ID],0),4),0)</f>
        <v>0</v>
      </c>
      <c r="BX79" s="9">
        <f>IF(CABLES[[#This Row],[SEG12]] &gt;0, INDEX(SEGMENTS[], MATCH(CABLES[[#Headers],[SEG12]],SEGMENTS[SEG_ID],0),4),0)</f>
        <v>0</v>
      </c>
      <c r="BY79" s="9">
        <f xml:space="preserve"> IF(CABLES[[#This Row],[SEG13]] &gt;0,INDEX(SEGMENTS[], MATCH(CABLES[[#Headers],[SEG13]],SEGMENTS[SEG_ID],0),4),0)</f>
        <v>0</v>
      </c>
      <c r="BZ79" s="9">
        <f xml:space="preserve"> IF(CABLES[[#This Row],[SEG14]] &gt;0,INDEX(SEGMENTS[], MATCH(CABLES[[#Headers],[SEG14]],SEGMENTS[SEG_ID],0),4),0)</f>
        <v>0</v>
      </c>
      <c r="CA79" s="9">
        <f xml:space="preserve"> IF(CABLES[[#This Row],[SEG15]] &gt;0,INDEX(SEGMENTS[], MATCH(CABLES[[#Headers],[SEG15]],SEGMENTS[SEG_ID],0),4),0)</f>
        <v>0</v>
      </c>
      <c r="CB79" s="9">
        <f xml:space="preserve"> IF(CABLES[[#This Row],[SEG16]] &gt;0,INDEX(SEGMENTS[], MATCH(CABLES[[#Headers],[SEG16]],SEGMENTS[SEG_ID],0),4),0)</f>
        <v>0</v>
      </c>
      <c r="CC79" s="9">
        <f xml:space="preserve"> IF(CABLES[[#This Row],[SEG17]] &gt;0,INDEX(SEGMENTS[], MATCH(CABLES[[#Headers],[SEG17]],SEGMENTS[SEG_ID],0),4),0)</f>
        <v>0</v>
      </c>
      <c r="CD79" s="9">
        <f xml:space="preserve"> IF(CABLES[[#This Row],[SEG18]] &gt;0,INDEX(SEGMENTS[], MATCH(CABLES[[#Headers],[SEG18]],SEGMENTS[SEG_ID],0),4),0)</f>
        <v>0</v>
      </c>
      <c r="CE79" s="9">
        <f>IF(CABLES[[#This Row],[SEG19]] &gt;0, INDEX(SEGMENTS[], MATCH(CABLES[[#Headers],[SEG19]],SEGMENTS[SEG_ID],0),4),0)</f>
        <v>0</v>
      </c>
      <c r="CF79" s="9">
        <f>IF(CABLES[[#This Row],[SEG20]] &gt;0, INDEX(SEGMENTS[], MATCH(CABLES[[#Headers],[SEG20]],SEGMENTS[SEG_ID],0),4),0)</f>
        <v>0</v>
      </c>
      <c r="CG79" s="9">
        <f xml:space="preserve"> IF(CABLES[[#This Row],[SEG21]] &gt;0,INDEX(SEGMENTS[], MATCH(CABLES[[#Headers],[SEG21]],SEGMENTS[SEG_ID],0),4),0)</f>
        <v>0</v>
      </c>
      <c r="CH79" s="9">
        <f xml:space="preserve"> IF(CABLES[[#This Row],[SEG22]] &gt;0,INDEX(SEGMENTS[], MATCH(CABLES[[#Headers],[SEG22]],SEGMENTS[SEG_ID],0),4),0)</f>
        <v>0</v>
      </c>
      <c r="CI79" s="9">
        <f>IF(CABLES[[#This Row],[SEG23]] &gt;0, INDEX(SEGMENTS[], MATCH(CABLES[[#Headers],[SEG23]],SEGMENTS[SEG_ID],0),4),0)</f>
        <v>0</v>
      </c>
      <c r="CJ79" s="9">
        <f xml:space="preserve"> IF(CABLES[[#This Row],[SEG24]] &gt;0,INDEX(SEGMENTS[], MATCH(CABLES[[#Headers],[SEG24]],SEGMENTS[SEG_ID],0),4),0)</f>
        <v>0</v>
      </c>
      <c r="CK79" s="9">
        <f>IF(CABLES[[#This Row],[SEG25]] &gt;0, INDEX(SEGMENTS[], MATCH(CABLES[[#Headers],[SEG25]],SEGMENTS[SEG_ID],0),4),0)</f>
        <v>0</v>
      </c>
      <c r="CL79" s="9">
        <f>IF(CABLES[[#This Row],[SEG26]] &gt;0, INDEX(SEGMENTS[], MATCH(CABLES[[#Headers],[SEG26]],SEGMENTS[SEG_ID],0),4),0)</f>
        <v>0</v>
      </c>
      <c r="CM79" s="9">
        <f xml:space="preserve"> IF(CABLES[[#This Row],[SEG27]] &gt;0,INDEX(SEGMENTS[], MATCH(CABLES[[#Headers],[SEG27]],SEGMENTS[SEG_ID],0),4),0)</f>
        <v>0</v>
      </c>
      <c r="CN79" s="9">
        <f xml:space="preserve"> IF(CABLES[[#This Row],[SEG28]] &gt;0,INDEX(SEGMENTS[], MATCH(CABLES[[#Headers],[SEG28]],SEGMENTS[SEG_ID],0),4),0)</f>
        <v>0</v>
      </c>
      <c r="CO79" s="9">
        <f xml:space="preserve"> IF(CABLES[[#This Row],[SEG29]] &gt;0,INDEX(SEGMENTS[], MATCH(CABLES[[#Headers],[SEG29]],SEGMENTS[SEG_ID],0),4),0)</f>
        <v>0</v>
      </c>
      <c r="CP79" s="9">
        <f xml:space="preserve"> IF(CABLES[[#This Row],[SEG30]] &gt;0,INDEX(SEGMENTS[], MATCH(CABLES[[#Headers],[SEG30]],SEGMENTS[SEG_ID],0),4),0)</f>
        <v>6</v>
      </c>
      <c r="CQ79" s="9">
        <f>IF(CABLES[[#This Row],[SEG31]] &gt;0, INDEX(SEGMENTS[], MATCH(CABLES[[#Headers],[SEG31]],SEGMENTS[SEG_ID],0),4),0)</f>
        <v>3</v>
      </c>
      <c r="CR79" s="9">
        <f xml:space="preserve"> IF(CABLES[[#This Row],[SEG32]] &gt;0,INDEX(SEGMENTS[], MATCH(CABLES[[#Headers],[SEG32]],SEGMENTS[SEG_ID],0),4),0)</f>
        <v>0</v>
      </c>
      <c r="CS79" s="9">
        <f xml:space="preserve"> IF(CABLES[[#This Row],[SEG33]] &gt;0,INDEX(SEGMENTS[], MATCH(CABLES[[#Headers],[SEG33]],SEGMENTS[SEG_ID],0),4),0)</f>
        <v>0</v>
      </c>
      <c r="CT79" s="9">
        <f>IF(CABLES[[#This Row],[SEG34]] &gt;0, INDEX(SEGMENTS[], MATCH(CABLES[[#Headers],[SEG34]],SEGMENTS[SEG_ID],0),4),0)</f>
        <v>0</v>
      </c>
      <c r="CU79" s="9">
        <f xml:space="preserve"> IF(CABLES[[#This Row],[SEG35]] &gt;0,INDEX(SEGMENTS[], MATCH(CABLES[[#Headers],[SEG35]],SEGMENTS[SEG_ID],0),4),0)</f>
        <v>0</v>
      </c>
      <c r="CV79" s="9">
        <f xml:space="preserve"> IF(CABLES[[#This Row],[SEG36]] &gt;0,INDEX(SEGMENTS[], MATCH(CABLES[[#Headers],[SEG36]],SEGMENTS[SEG_ID],0),4),0)</f>
        <v>0</v>
      </c>
      <c r="CW79" s="9">
        <f xml:space="preserve"> IF(CABLES[[#This Row],[SEG37]] &gt;0,INDEX(SEGMENTS[], MATCH(CABLES[[#Headers],[SEG37]],SEGMENTS[SEG_ID],0),4),0)</f>
        <v>0</v>
      </c>
      <c r="CX79" s="9">
        <f xml:space="preserve"> IF(CABLES[[#This Row],[SEG38]] &gt;0,INDEX(SEGMENTS[], MATCH(CABLES[[#Headers],[SEG38]],SEGMENTS[SEG_ID],0),4),0)</f>
        <v>0</v>
      </c>
      <c r="CY79" s="9">
        <f xml:space="preserve"> IF(CABLES[[#This Row],[SEG39]] &gt;0,INDEX(SEGMENTS[], MATCH(CABLES[[#Headers],[SEG39]],SEGMENTS[SEG_ID],0),4),0)</f>
        <v>8</v>
      </c>
      <c r="CZ79" s="9">
        <f xml:space="preserve"> IF(CABLES[[#This Row],[SEG40]] &gt;0,INDEX(SEGMENTS[], MATCH(CABLES[[#Headers],[SEG40]],SEGMENTS[SEG_ID],0),4),0)</f>
        <v>0</v>
      </c>
      <c r="DA79" s="9">
        <f xml:space="preserve"> IF(CABLES[[#This Row],[SEG41]] &gt;0,INDEX(SEGMENTS[], MATCH(CABLES[[#Headers],[SEG41]],SEGMENTS[SEG_ID],0),4),0)</f>
        <v>8</v>
      </c>
      <c r="DB79" s="9">
        <f xml:space="preserve"> IF(CABLES[[#This Row],[SEG42]] &gt;0,INDEX(SEGMENTS[], MATCH(CABLES[[#Headers],[SEG42]],SEGMENTS[SEG_ID],0),4),0)</f>
        <v>0</v>
      </c>
      <c r="DC79" s="9">
        <f xml:space="preserve"> IF(CABLES[[#This Row],[SEG43]] &gt;0,INDEX(SEGMENTS[], MATCH(CABLES[[#Headers],[SEG43]],SEGMENTS[SEG_ID],0),4),0)</f>
        <v>0</v>
      </c>
      <c r="DD79" s="9">
        <f xml:space="preserve"> IF(CABLES[[#This Row],[SEG44]] &gt;0,INDEX(SEGMENTS[], MATCH(CABLES[[#Headers],[SEG44]],SEGMENTS[SEG_ID],0),4),0)</f>
        <v>0</v>
      </c>
      <c r="DE79" s="9">
        <f xml:space="preserve"> IF(CABLES[[#This Row],[SEG45]] &gt;0,INDEX(SEGMENTS[], MATCH(CABLES[[#Headers],[SEG45]],SEGMENTS[SEG_ID],0),4),0)</f>
        <v>9</v>
      </c>
      <c r="DF79" s="9">
        <f xml:space="preserve"> IF(CABLES[[#This Row],[SEG46]] &gt;0,INDEX(SEGMENTS[], MATCH(CABLES[[#Headers],[SEG46]],SEGMENTS[SEG_ID],0),4),0)</f>
        <v>0</v>
      </c>
      <c r="DG79" s="9">
        <f xml:space="preserve"> IF(CABLES[[#This Row],[SEG47]] &gt;0,INDEX(SEGMENTS[], MATCH(CABLES[[#Headers],[SEG47]],SEGMENTS[SEG_ID],0),4),0)</f>
        <v>12</v>
      </c>
      <c r="DH79" s="9">
        <f xml:space="preserve"> IF(CABLES[[#This Row],[SEG48]] &gt;0,INDEX(SEGMENTS[], MATCH(CABLES[[#Headers],[SEG48]],SEGMENTS[SEG_ID],0),4),0)</f>
        <v>0</v>
      </c>
      <c r="DI79" s="9">
        <f xml:space="preserve"> IF(CABLES[[#This Row],[SEG49]] &gt;0,INDEX(SEGMENTS[], MATCH(CABLES[[#Headers],[SEG49]],SEGMENTS[SEG_ID],0),4),0)</f>
        <v>20</v>
      </c>
      <c r="DJ79" s="9">
        <f xml:space="preserve"> IF(CABLES[[#This Row],[SEG50]] &gt;0,INDEX(SEGMENTS[], MATCH(CABLES[[#Headers],[SEG50]],SEGMENTS[SEG_ID],0),4),0)</f>
        <v>17</v>
      </c>
      <c r="DK79" s="9">
        <f xml:space="preserve"> IF(CABLES[[#This Row],[SEG51]] &gt;0,INDEX(SEGMENTS[], MATCH(CABLES[[#Headers],[SEG51]],SEGMENTS[SEG_ID],0),4),0)</f>
        <v>0</v>
      </c>
      <c r="DL79" s="9">
        <f xml:space="preserve"> IF(CABLES[[#This Row],[SEG52]] &gt;0,INDEX(SEGMENTS[], MATCH(CABLES[[#Headers],[SEG52]],SEGMENTS[SEG_ID],0),4),0)</f>
        <v>0</v>
      </c>
      <c r="DM79" s="9">
        <f xml:space="preserve"> IF(CABLES[[#This Row],[SEG53]] &gt;0,INDEX(SEGMENTS[], MATCH(CABLES[[#Headers],[SEG53]],SEGMENTS[SEG_ID],0),4),0)</f>
        <v>0</v>
      </c>
      <c r="DN79" s="9">
        <f xml:space="preserve"> IF(CABLES[[#This Row],[SEG54]] &gt;0,INDEX(SEGMENTS[], MATCH(CABLES[[#Headers],[SEG54]],SEGMENTS[SEG_ID],0),4),0)</f>
        <v>0</v>
      </c>
      <c r="DO79" s="9">
        <f xml:space="preserve"> IF(CABLES[[#This Row],[SEG55]] &gt;0,INDEX(SEGMENTS[], MATCH(CABLES[[#Headers],[SEG55]],SEGMENTS[SEG_ID],0),4),0)</f>
        <v>0</v>
      </c>
      <c r="DP79" s="9">
        <f xml:space="preserve"> IF(CABLES[[#This Row],[SEG56]] &gt;0,INDEX(SEGMENTS[], MATCH(CABLES[[#Headers],[SEG56]],SEGMENTS[SEG_ID],0),4),0)</f>
        <v>0</v>
      </c>
      <c r="DQ79" s="9">
        <f xml:space="preserve"> IF(CABLES[[#This Row],[SEG57]] &gt;0,INDEX(SEGMENTS[], MATCH(CABLES[[#Headers],[SEG57]],SEGMENTS[SEG_ID],0),4),0)</f>
        <v>0</v>
      </c>
      <c r="DR79" s="9">
        <f xml:space="preserve"> IF(CABLES[[#This Row],[SEG58]] &gt;0,INDEX(SEGMENTS[], MATCH(CABLES[[#Headers],[SEG58]],SEGMENTS[SEG_ID],0),4),0)</f>
        <v>0</v>
      </c>
      <c r="DS79" s="9">
        <f xml:space="preserve"> IF(CABLES[[#This Row],[SEG59]] &gt;0,INDEX(SEGMENTS[], MATCH(CABLES[[#Headers],[SEG59]],SEGMENTS[SEG_ID],0),4),0)</f>
        <v>0</v>
      </c>
      <c r="DT79" s="9">
        <f xml:space="preserve"> IF(CABLES[[#This Row],[SEG60]] &gt;0,INDEX(SEGMENTS[], MATCH(CABLES[[#Headers],[SEG60]],SEGMENTS[SEG_ID],0),4),0)</f>
        <v>0</v>
      </c>
      <c r="DU79" s="10">
        <f>SUM(CABLES[[#This Row],[SEGL1]:[SEGL60]])</f>
        <v>83</v>
      </c>
      <c r="DV79" s="10">
        <v>5</v>
      </c>
      <c r="DW79" s="10">
        <v>1.2</v>
      </c>
      <c r="DX79" s="10">
        <f xml:space="preserve"> IF(CABLES[[#This Row],[SEGL_TOTAL]]&gt;0, (CABLES[[#This Row],[SEGL_TOTAL]] + CABLES[[#This Row],[FITOFF]]) *CABLES[[#This Row],[XCAPACITY]],0)</f>
        <v>105.6</v>
      </c>
      <c r="DY79" s="10">
        <f>IF(CABLES[[#This Row],[SEG1]]&gt;0,CABLES[[#This Row],[CABLE_DIAMETER]],0)</f>
        <v>0</v>
      </c>
      <c r="DZ79" s="10">
        <f>IF(CABLES[[#This Row],[SEG2]]&gt;0,CABLES[[#This Row],[CABLE_DIAMETER]],0)</f>
        <v>0</v>
      </c>
      <c r="EA79" s="10">
        <f>IF(CABLES[[#This Row],[SEG3]]&gt;0,CABLES[[#This Row],[CABLE_DIAMETER]],0)</f>
        <v>0</v>
      </c>
      <c r="EB79" s="10">
        <f>IF(CABLES[[#This Row],[SEG4]]&gt;0,CABLES[[#This Row],[CABLE_DIAMETER]],0)</f>
        <v>0</v>
      </c>
      <c r="EC79" s="10">
        <f>IF(CABLES[[#This Row],[SEG5]]&gt;0,CABLES[[#This Row],[CABLE_DIAMETER]],0)</f>
        <v>0</v>
      </c>
      <c r="ED79" s="10">
        <f>IF(CABLES[[#This Row],[SEG6]]&gt;0,CABLES[[#This Row],[CABLE_DIAMETER]],0)</f>
        <v>0</v>
      </c>
      <c r="EE79" s="10">
        <f>IF(CABLES[[#This Row],[SEG7]]&gt;0,CABLES[[#This Row],[CABLE_DIAMETER]],0)</f>
        <v>0</v>
      </c>
      <c r="EF79" s="10">
        <f>IF(CABLES[[#This Row],[SEG9]]&gt;0,CABLES[[#This Row],[CABLE_DIAMETER]],0)</f>
        <v>0</v>
      </c>
      <c r="EG79" s="10">
        <f>IF(CABLES[[#This Row],[SEG9]]&gt;0,CABLES[[#This Row],[CABLE_DIAMETER]],0)</f>
        <v>0</v>
      </c>
      <c r="EH79" s="10">
        <f>IF(CABLES[[#This Row],[SEG10]]&gt;0,CABLES[[#This Row],[CABLE_DIAMETER]],0)</f>
        <v>0</v>
      </c>
      <c r="EI79" s="10">
        <f>IF(CABLES[[#This Row],[SEG11]]&gt;0,CABLES[[#This Row],[CABLE_DIAMETER]],0)</f>
        <v>0</v>
      </c>
      <c r="EJ79" s="10">
        <f>IF(CABLES[[#This Row],[SEG12]]&gt;0,CABLES[[#This Row],[CABLE_DIAMETER]],0)</f>
        <v>0</v>
      </c>
      <c r="EK79" s="10">
        <f>IF(CABLES[[#This Row],[SEG13]]&gt;0,CABLES[[#This Row],[CABLE_DIAMETER]],0)</f>
        <v>0</v>
      </c>
      <c r="EL79" s="10">
        <f>IF(CABLES[[#This Row],[SEG14]]&gt;0,CABLES[[#This Row],[CABLE_DIAMETER]],0)</f>
        <v>0</v>
      </c>
      <c r="EM79" s="10">
        <f>IF(CABLES[[#This Row],[SEG15]]&gt;0,CABLES[[#This Row],[CABLE_DIAMETER]],0)</f>
        <v>0</v>
      </c>
      <c r="EN79" s="10">
        <f>IF(CABLES[[#This Row],[SEG16]]&gt;0,CABLES[[#This Row],[CABLE_DIAMETER]],0)</f>
        <v>0</v>
      </c>
      <c r="EO79" s="10">
        <f>IF(CABLES[[#This Row],[SEG17]]&gt;0,CABLES[[#This Row],[CABLE_DIAMETER]],0)</f>
        <v>0</v>
      </c>
      <c r="EP79" s="10">
        <f>IF(CABLES[[#This Row],[SEG18]]&gt;0,CABLES[[#This Row],[CABLE_DIAMETER]],0)</f>
        <v>0</v>
      </c>
      <c r="EQ79" s="10">
        <f>IF(CABLES[[#This Row],[SEG19]]&gt;0,CABLES[[#This Row],[CABLE_DIAMETER]],0)</f>
        <v>0</v>
      </c>
      <c r="ER79" s="10">
        <f>IF(CABLES[[#This Row],[SEG20]]&gt;0,CABLES[[#This Row],[CABLE_DIAMETER]],0)</f>
        <v>0</v>
      </c>
      <c r="ES79" s="10">
        <f>IF(CABLES[[#This Row],[SEG21]]&gt;0,CABLES[[#This Row],[CABLE_DIAMETER]],0)</f>
        <v>0</v>
      </c>
      <c r="ET79" s="10">
        <f>IF(CABLES[[#This Row],[SEG22]]&gt;0,CABLES[[#This Row],[CABLE_DIAMETER]],0)</f>
        <v>0</v>
      </c>
      <c r="EU79" s="10">
        <f>IF(CABLES[[#This Row],[SEG23]]&gt;0,CABLES[[#This Row],[CABLE_DIAMETER]],0)</f>
        <v>0</v>
      </c>
      <c r="EV79" s="10">
        <f>IF(CABLES[[#This Row],[SEG24]]&gt;0,CABLES[[#This Row],[CABLE_DIAMETER]],0)</f>
        <v>0</v>
      </c>
      <c r="EW79" s="10">
        <f>IF(CABLES[[#This Row],[SEG25]]&gt;0,CABLES[[#This Row],[CABLE_DIAMETER]],0)</f>
        <v>0</v>
      </c>
      <c r="EX79" s="10">
        <f>IF(CABLES[[#This Row],[SEG26]]&gt;0,CABLES[[#This Row],[CABLE_DIAMETER]],0)</f>
        <v>0</v>
      </c>
      <c r="EY79" s="10">
        <f>IF(CABLES[[#This Row],[SEG27]]&gt;0,CABLES[[#This Row],[CABLE_DIAMETER]],0)</f>
        <v>0</v>
      </c>
      <c r="EZ79" s="10">
        <f>IF(CABLES[[#This Row],[SEG28]]&gt;0,CABLES[[#This Row],[CABLE_DIAMETER]],0)</f>
        <v>0</v>
      </c>
      <c r="FA79" s="10">
        <f>IF(CABLES[[#This Row],[SEG29]]&gt;0,CABLES[[#This Row],[CABLE_DIAMETER]],0)</f>
        <v>0</v>
      </c>
      <c r="FB79" s="10">
        <f>IF(CABLES[[#This Row],[SEG30]]&gt;0,CABLES[[#This Row],[CABLE_DIAMETER]],0)</f>
        <v>18.399999999999999</v>
      </c>
      <c r="FC79" s="10">
        <f>IF(CABLES[[#This Row],[SEG31]]&gt;0,CABLES[[#This Row],[CABLE_DIAMETER]],0)</f>
        <v>18.399999999999999</v>
      </c>
      <c r="FD79" s="10">
        <f>IF(CABLES[[#This Row],[SEG32]]&gt;0,CABLES[[#This Row],[CABLE_DIAMETER]],0)</f>
        <v>0</v>
      </c>
      <c r="FE79" s="10">
        <f>IF(CABLES[[#This Row],[SEG33]]&gt;0,CABLES[[#This Row],[CABLE_DIAMETER]],0)</f>
        <v>0</v>
      </c>
      <c r="FF79" s="10">
        <f>IF(CABLES[[#This Row],[SEG34]]&gt;0,CABLES[[#This Row],[CABLE_DIAMETER]],0)</f>
        <v>0</v>
      </c>
      <c r="FG79" s="10">
        <f>IF(CABLES[[#This Row],[SEG35]]&gt;0,CABLES[[#This Row],[CABLE_DIAMETER]],0)</f>
        <v>0</v>
      </c>
      <c r="FH79" s="10">
        <f>IF(CABLES[[#This Row],[SEG36]]&gt;0,CABLES[[#This Row],[CABLE_DIAMETER]],0)</f>
        <v>0</v>
      </c>
      <c r="FI79" s="10">
        <f>IF(CABLES[[#This Row],[SEG37]]&gt;0,CABLES[[#This Row],[CABLE_DIAMETER]],0)</f>
        <v>0</v>
      </c>
      <c r="FJ79" s="10">
        <f>IF(CABLES[[#This Row],[SEG38]]&gt;0,CABLES[[#This Row],[CABLE_DIAMETER]],0)</f>
        <v>0</v>
      </c>
      <c r="FK79" s="10">
        <f>IF(CABLES[[#This Row],[SEG39]]&gt;0,CABLES[[#This Row],[CABLE_DIAMETER]],0)</f>
        <v>18.399999999999999</v>
      </c>
      <c r="FL79" s="10">
        <f>IF(CABLES[[#This Row],[SEG40]]&gt;0,CABLES[[#This Row],[CABLE_DIAMETER]],0)</f>
        <v>0</v>
      </c>
      <c r="FM79" s="10">
        <f>IF(CABLES[[#This Row],[SEG41]]&gt;0,CABLES[[#This Row],[CABLE_DIAMETER]],0)</f>
        <v>18.399999999999999</v>
      </c>
      <c r="FN79" s="10">
        <f>IF(CABLES[[#This Row],[SEG42]]&gt;0,CABLES[[#This Row],[CABLE_DIAMETER]],0)</f>
        <v>0</v>
      </c>
      <c r="FO79" s="10">
        <f>IF(CABLES[[#This Row],[SEG43]]&gt;0,CABLES[[#This Row],[CABLE_DIAMETER]],0)</f>
        <v>0</v>
      </c>
      <c r="FP79" s="10">
        <f>IF(CABLES[[#This Row],[SEG44]]&gt;0,CABLES[[#This Row],[CABLE_DIAMETER]],0)</f>
        <v>0</v>
      </c>
      <c r="FQ79" s="10">
        <f>IF(CABLES[[#This Row],[SEG45]]&gt;0,CABLES[[#This Row],[CABLE_DIAMETER]],0)</f>
        <v>18.399999999999999</v>
      </c>
      <c r="FR79" s="10">
        <f>IF(CABLES[[#This Row],[SEG46]]&gt;0,CABLES[[#This Row],[CABLE_DIAMETER]],0)</f>
        <v>0</v>
      </c>
      <c r="FS79" s="10">
        <f>IF(CABLES[[#This Row],[SEG47]]&gt;0,CABLES[[#This Row],[CABLE_DIAMETER]],0)</f>
        <v>18.399999999999999</v>
      </c>
      <c r="FT79" s="10">
        <f>IF(CABLES[[#This Row],[SEG48]]&gt;0,CABLES[[#This Row],[CABLE_DIAMETER]],0)</f>
        <v>0</v>
      </c>
      <c r="FU79" s="10">
        <f>IF(CABLES[[#This Row],[SEG49]]&gt;0,CABLES[[#This Row],[CABLE_DIAMETER]],0)</f>
        <v>18.399999999999999</v>
      </c>
      <c r="FV79" s="10">
        <f>IF(CABLES[[#This Row],[SEG50]]&gt;0,CABLES[[#This Row],[CABLE_DIAMETER]],0)</f>
        <v>18.399999999999999</v>
      </c>
      <c r="FW79" s="10">
        <f>IF(CABLES[[#This Row],[SEG51]]&gt;0,CABLES[[#This Row],[CABLE_DIAMETER]],0)</f>
        <v>0</v>
      </c>
      <c r="FX79" s="10">
        <f>IF(CABLES[[#This Row],[SEG52]]&gt;0,CABLES[[#This Row],[CABLE_DIAMETER]],0)</f>
        <v>0</v>
      </c>
      <c r="FY79" s="10">
        <f>IF(CABLES[[#This Row],[SEG53]]&gt;0,CABLES[[#This Row],[CABLE_DIAMETER]],0)</f>
        <v>0</v>
      </c>
      <c r="FZ79" s="10">
        <f>IF(CABLES[[#This Row],[SEG54]]&gt;0,CABLES[[#This Row],[CABLE_DIAMETER]],0)</f>
        <v>0</v>
      </c>
      <c r="GA79" s="10">
        <f>IF(CABLES[[#This Row],[SEG55]]&gt;0,CABLES[[#This Row],[CABLE_DIAMETER]],0)</f>
        <v>0</v>
      </c>
      <c r="GB79" s="10">
        <f>IF(CABLES[[#This Row],[SEG56]]&gt;0,CABLES[[#This Row],[CABLE_DIAMETER]],0)</f>
        <v>0</v>
      </c>
      <c r="GC79" s="10">
        <f>IF(CABLES[[#This Row],[SEG57]]&gt;0,CABLES[[#This Row],[CABLE_DIAMETER]],0)</f>
        <v>0</v>
      </c>
      <c r="GD79" s="10">
        <f>IF(CABLES[[#This Row],[SEG58]]&gt;0,CABLES[[#This Row],[CABLE_DIAMETER]],0)</f>
        <v>0</v>
      </c>
      <c r="GE79" s="10">
        <f>IF(CABLES[[#This Row],[SEG59]]&gt;0,CABLES[[#This Row],[CABLE_DIAMETER]],0)</f>
        <v>0</v>
      </c>
      <c r="GF79" s="10">
        <f>IF(CABLES[[#This Row],[SEG60]]&gt;0,CABLES[[#This Row],[CABLE_DIAMETER]],0)</f>
        <v>0</v>
      </c>
      <c r="GG79" s="10">
        <f>IF(CABLES[[#This Row],[SEG1]]&gt;0,CABLES[[#This Row],[CABLE_MASS]],0)</f>
        <v>0</v>
      </c>
      <c r="GH79" s="10">
        <f>IF(CABLES[[#This Row],[SEG2]]&gt;0,CABLES[[#This Row],[CABLE_MASS]],0)</f>
        <v>0</v>
      </c>
      <c r="GI79" s="10">
        <f>IF(CABLES[[#This Row],[SEG3]]&gt;0,CABLES[[#This Row],[CABLE_MASS]],0)</f>
        <v>0</v>
      </c>
      <c r="GJ79" s="10">
        <f>IF(CABLES[[#This Row],[SEG4]]&gt;0,CABLES[[#This Row],[CABLE_MASS]],0)</f>
        <v>0</v>
      </c>
      <c r="GK79" s="10">
        <f>IF(CABLES[[#This Row],[SEG5]]&gt;0,CABLES[[#This Row],[CABLE_MASS]],0)</f>
        <v>0</v>
      </c>
      <c r="GL79" s="10">
        <f>IF(CABLES[[#This Row],[SEG6]]&gt;0,CABLES[[#This Row],[CABLE_MASS]],0)</f>
        <v>0</v>
      </c>
      <c r="GM79" s="10">
        <f>IF(CABLES[[#This Row],[SEG7]]&gt;0,CABLES[[#This Row],[CABLE_MASS]],0)</f>
        <v>0</v>
      </c>
      <c r="GN79" s="10">
        <f>IF(CABLES[[#This Row],[SEG8]]&gt;0,CABLES[[#This Row],[CABLE_MASS]],0)</f>
        <v>0</v>
      </c>
      <c r="GO79" s="10">
        <f>IF(CABLES[[#This Row],[SEG9]]&gt;0,CABLES[[#This Row],[CABLE_MASS]],0)</f>
        <v>0</v>
      </c>
      <c r="GP79" s="10">
        <f>IF(CABLES[[#This Row],[SEG10]]&gt;0,CABLES[[#This Row],[CABLE_MASS]],0)</f>
        <v>0</v>
      </c>
      <c r="GQ79" s="10">
        <f>IF(CABLES[[#This Row],[SEG11]]&gt;0,CABLES[[#This Row],[CABLE_MASS]],0)</f>
        <v>0</v>
      </c>
      <c r="GR79" s="10">
        <f>IF(CABLES[[#This Row],[SEG12]]&gt;0,CABLES[[#This Row],[CABLE_MASS]],0)</f>
        <v>0</v>
      </c>
      <c r="GS79" s="10">
        <f>IF(CABLES[[#This Row],[SEG13]]&gt;0,CABLES[[#This Row],[CABLE_MASS]],0)</f>
        <v>0</v>
      </c>
      <c r="GT79" s="10">
        <f>IF(CABLES[[#This Row],[SEG14]]&gt;0,CABLES[[#This Row],[CABLE_MASS]],0)</f>
        <v>0</v>
      </c>
      <c r="GU79" s="10">
        <f>IF(CABLES[[#This Row],[SEG15]]&gt;0,CABLES[[#This Row],[CABLE_MASS]],0)</f>
        <v>0</v>
      </c>
      <c r="GV79" s="10">
        <f>IF(CABLES[[#This Row],[SEG16]]&gt;0,CABLES[[#This Row],[CABLE_MASS]],0)</f>
        <v>0</v>
      </c>
      <c r="GW79" s="10">
        <f>IF(CABLES[[#This Row],[SEG17]]&gt;0,CABLES[[#This Row],[CABLE_MASS]],0)</f>
        <v>0</v>
      </c>
      <c r="GX79" s="10">
        <f>IF(CABLES[[#This Row],[SEG18]]&gt;0,CABLES[[#This Row],[CABLE_MASS]],0)</f>
        <v>0</v>
      </c>
      <c r="GY79" s="10">
        <f>IF(CABLES[[#This Row],[SEG19]]&gt;0,CABLES[[#This Row],[CABLE_MASS]],0)</f>
        <v>0</v>
      </c>
      <c r="GZ79" s="10">
        <f>IF(CABLES[[#This Row],[SEG20]]&gt;0,CABLES[[#This Row],[CABLE_MASS]],0)</f>
        <v>0</v>
      </c>
      <c r="HA79" s="10">
        <f>IF(CABLES[[#This Row],[SEG21]]&gt;0,CABLES[[#This Row],[CABLE_MASS]],0)</f>
        <v>0</v>
      </c>
      <c r="HB79" s="10">
        <f>IF(CABLES[[#This Row],[SEG22]]&gt;0,CABLES[[#This Row],[CABLE_MASS]],0)</f>
        <v>0</v>
      </c>
      <c r="HC79" s="10">
        <f>IF(CABLES[[#This Row],[SEG23]]&gt;0,CABLES[[#This Row],[CABLE_MASS]],0)</f>
        <v>0</v>
      </c>
      <c r="HD79" s="10">
        <f>IF(CABLES[[#This Row],[SEG24]]&gt;0,CABLES[[#This Row],[CABLE_MASS]],0)</f>
        <v>0</v>
      </c>
      <c r="HE79" s="10">
        <f>IF(CABLES[[#This Row],[SEG25]]&gt;0,CABLES[[#This Row],[CABLE_MASS]],0)</f>
        <v>0</v>
      </c>
      <c r="HF79" s="10">
        <f>IF(CABLES[[#This Row],[SEG26]]&gt;0,CABLES[[#This Row],[CABLE_MASS]],0)</f>
        <v>0</v>
      </c>
      <c r="HG79" s="10">
        <f>IF(CABLES[[#This Row],[SEG27]]&gt;0,CABLES[[#This Row],[CABLE_MASS]],0)</f>
        <v>0</v>
      </c>
      <c r="HH79" s="10">
        <f>IF(CABLES[[#This Row],[SEG28]]&gt;0,CABLES[[#This Row],[CABLE_MASS]],0)</f>
        <v>0</v>
      </c>
      <c r="HI79" s="10">
        <f>IF(CABLES[[#This Row],[SEG29]]&gt;0,CABLES[[#This Row],[CABLE_MASS]],0)</f>
        <v>0</v>
      </c>
      <c r="HJ79" s="10">
        <f>IF(CABLES[[#This Row],[SEG30]]&gt;0,CABLES[[#This Row],[CABLE_MASS]],0)</f>
        <v>0.62</v>
      </c>
      <c r="HK79" s="10">
        <f>IF(CABLES[[#This Row],[SEG31]]&gt;0,CABLES[[#This Row],[CABLE_MASS]],0)</f>
        <v>0.62</v>
      </c>
      <c r="HL79" s="10">
        <f>IF(CABLES[[#This Row],[SEG32]]&gt;0,CABLES[[#This Row],[CABLE_MASS]],0)</f>
        <v>0</v>
      </c>
      <c r="HM79" s="10">
        <f>IF(CABLES[[#This Row],[SEG33]]&gt;0,CABLES[[#This Row],[CABLE_MASS]],0)</f>
        <v>0</v>
      </c>
      <c r="HN79" s="10">
        <f>IF(CABLES[[#This Row],[SEG34]]&gt;0,CABLES[[#This Row],[CABLE_MASS]],0)</f>
        <v>0</v>
      </c>
      <c r="HO79" s="10">
        <f>IF(CABLES[[#This Row],[SEG35]]&gt;0,CABLES[[#This Row],[CABLE_MASS]],0)</f>
        <v>0</v>
      </c>
      <c r="HP79" s="10">
        <f>IF(CABLES[[#This Row],[SEG36]]&gt;0,CABLES[[#This Row],[CABLE_MASS]],0)</f>
        <v>0</v>
      </c>
      <c r="HQ79" s="10">
        <f>IF(CABLES[[#This Row],[SEG37]]&gt;0,CABLES[[#This Row],[CABLE_MASS]],0)</f>
        <v>0</v>
      </c>
      <c r="HR79" s="10">
        <f>IF(CABLES[[#This Row],[SEG38]]&gt;0,CABLES[[#This Row],[CABLE_MASS]],0)</f>
        <v>0</v>
      </c>
      <c r="HS79" s="10">
        <f>IF(CABLES[[#This Row],[SEG39]]&gt;0,CABLES[[#This Row],[CABLE_MASS]],0)</f>
        <v>0.62</v>
      </c>
      <c r="HT79" s="10">
        <f>IF(CABLES[[#This Row],[SEG40]]&gt;0,CABLES[[#This Row],[CABLE_MASS]],0)</f>
        <v>0</v>
      </c>
      <c r="HU79" s="10">
        <f>IF(CABLES[[#This Row],[SEG41]]&gt;0,CABLES[[#This Row],[CABLE_MASS]],0)</f>
        <v>0.62</v>
      </c>
      <c r="HV79" s="10">
        <f>IF(CABLES[[#This Row],[SEG42]]&gt;0,CABLES[[#This Row],[CABLE_MASS]],0)</f>
        <v>0</v>
      </c>
      <c r="HW79" s="10">
        <f>IF(CABLES[[#This Row],[SEG43]]&gt;0,CABLES[[#This Row],[CABLE_MASS]],0)</f>
        <v>0</v>
      </c>
      <c r="HX79" s="10">
        <f>IF(CABLES[[#This Row],[SEG44]]&gt;0,CABLES[[#This Row],[CABLE_MASS]],0)</f>
        <v>0</v>
      </c>
      <c r="HY79" s="10">
        <f>IF(CABLES[[#This Row],[SEG45]]&gt;0,CABLES[[#This Row],[CABLE_MASS]],0)</f>
        <v>0.62</v>
      </c>
      <c r="HZ79" s="10">
        <f>IF(CABLES[[#This Row],[SEG46]]&gt;0,CABLES[[#This Row],[CABLE_MASS]],0)</f>
        <v>0</v>
      </c>
      <c r="IA79" s="10">
        <f>IF(CABLES[[#This Row],[SEG47]]&gt;0,CABLES[[#This Row],[CABLE_MASS]],0)</f>
        <v>0.62</v>
      </c>
      <c r="IB79" s="10">
        <f>IF(CABLES[[#This Row],[SEG48]]&gt;0,CABLES[[#This Row],[CABLE_MASS]],0)</f>
        <v>0</v>
      </c>
      <c r="IC79" s="10">
        <f>IF(CABLES[[#This Row],[SEG49]]&gt;0,CABLES[[#This Row],[CABLE_MASS]],0)</f>
        <v>0.62</v>
      </c>
      <c r="ID79" s="10">
        <f>IF(CABLES[[#This Row],[SEG50]]&gt;0,CABLES[[#This Row],[CABLE_MASS]],0)</f>
        <v>0.62</v>
      </c>
      <c r="IE79" s="10">
        <f>IF(CABLES[[#This Row],[SEG51]]&gt;0,CABLES[[#This Row],[CABLE_MASS]],0)</f>
        <v>0</v>
      </c>
      <c r="IF79" s="10">
        <f>IF(CABLES[[#This Row],[SEG52]]&gt;0,CABLES[[#This Row],[CABLE_MASS]],0)</f>
        <v>0</v>
      </c>
      <c r="IG79" s="10">
        <f>IF(CABLES[[#This Row],[SEG53]]&gt;0,CABLES[[#This Row],[CABLE_MASS]],0)</f>
        <v>0</v>
      </c>
      <c r="IH79" s="10">
        <f>IF(CABLES[[#This Row],[SEG54]]&gt;0,CABLES[[#This Row],[CABLE_MASS]],0)</f>
        <v>0</v>
      </c>
      <c r="II79" s="10">
        <f>IF(CABLES[[#This Row],[SEG55]]&gt;0,CABLES[[#This Row],[CABLE_MASS]],0)</f>
        <v>0</v>
      </c>
      <c r="IJ79" s="10">
        <f>IF(CABLES[[#This Row],[SEG56]]&gt;0,CABLES[[#This Row],[CABLE_MASS]],0)</f>
        <v>0</v>
      </c>
      <c r="IK79" s="10">
        <f>IF(CABLES[[#This Row],[SEG57]]&gt;0,CABLES[[#This Row],[CABLE_MASS]],0)</f>
        <v>0</v>
      </c>
      <c r="IL79" s="10">
        <f>IF(CABLES[[#This Row],[SEG58]]&gt;0,CABLES[[#This Row],[CABLE_MASS]],0)</f>
        <v>0</v>
      </c>
      <c r="IM79" s="10">
        <f>IF(CABLES[[#This Row],[SEG59]]&gt;0,CABLES[[#This Row],[CABLE_MASS]],0)</f>
        <v>0</v>
      </c>
      <c r="IN79" s="10">
        <f>IF(CABLES[[#This Row],[SEG60]]&gt;0,CABLES[[#This Row],[CABLE_MASS]],0)</f>
        <v>0</v>
      </c>
      <c r="IO79" s="10">
        <f xml:space="preserve">  (CABLES[[#This Row],[LOAD_KW]]/(SQRT(3)*SYSTEM_VOLTAGE*POWER_FACTOR))*1000</f>
        <v>24.056261216234407</v>
      </c>
      <c r="IP79" s="10">
        <v>45</v>
      </c>
      <c r="IQ79" s="10">
        <f xml:space="preserve"> INDEX(AS3000_AMBIENTDERATE[], MATCH(CABLES[[#This Row],[AMBIENT]],AS3000_AMBIENTDERATE[AMBIENT],0), 2)</f>
        <v>0.94</v>
      </c>
      <c r="IR79" s="10">
        <f xml:space="preserve"> ROUNDUP( CABLES[[#This Row],[CALCULATED_AMPS]]/CABLES[[#This Row],[AMBIENT_DERATING]],1)</f>
        <v>25.6</v>
      </c>
      <c r="IS79" s="10" t="s">
        <v>531</v>
      </c>
      <c r="IT79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4</v>
      </c>
      <c r="IU79" s="10">
        <f t="shared" si="2"/>
        <v>28.000000000000004</v>
      </c>
      <c r="IV79" s="10">
        <f>(1000*CABLES[[#This Row],[MAX_VDROP]])/(CABLES[[#This Row],[ESTIMATED_CABLE_LENGTH]]*CABLES[[#This Row],[AMP_RATING]])</f>
        <v>10.357481060606062</v>
      </c>
      <c r="IW79" s="10">
        <f xml:space="preserve"> INDEX(AS3000_VDROP[], MATCH(CABLES[[#This Row],[VC_CALC]],AS3000_VDROP[Vc],1),1)</f>
        <v>4</v>
      </c>
      <c r="IX79" s="10">
        <f>MAX(CABLES[[#This Row],[CABLESIZE_METHOD1]],CABLES[[#This Row],[CABLESIZE_METHOD2]])</f>
        <v>4</v>
      </c>
      <c r="IY79" s="10">
        <v>10</v>
      </c>
      <c r="IZ79" s="10">
        <f>IF(LEN(CABLES[[#This Row],[OVERRIDE_CABLESIZE]])&gt;0,CABLES[[#This Row],[OVERRIDE_CABLESIZE]],CABLES[[#This Row],[INITIAL_CABLESIZE]])</f>
        <v>10</v>
      </c>
      <c r="JA79" s="10">
        <f>INDEX(PROTECTIVE_DEVICE[DEVICE], MATCH(CABLES[[#This Row],[CALCULATED_AMPS]],PROTECTIVE_DEVICE[DEVICE],-1),1)</f>
        <v>25</v>
      </c>
      <c r="JB79" s="10"/>
      <c r="JC79" s="10">
        <f>IF(LEN(CABLES[[#This Row],[OVERRIDE_PDEVICE]])&gt;0, CABLES[[#This Row],[OVERRIDE_PDEVICE]],CABLES[[#This Row],[RECOMMEND_PDEVICE]])</f>
        <v>25</v>
      </c>
      <c r="JD79" s="10" t="s">
        <v>450</v>
      </c>
      <c r="JE79" s="10">
        <f xml:space="preserve"> CABLES[[#This Row],[SELECTED_PDEVICE]] * INDEX(DEVICE_CURVE[], MATCH(CABLES[[#This Row],[PDEVICE_CURVE]], DEVICE_CURVE[DEVICE_CURVE],0),2)</f>
        <v>162.5</v>
      </c>
      <c r="JF79" s="10" t="s">
        <v>458</v>
      </c>
      <c r="JG79" s="10">
        <f xml:space="preserve"> INDEX(CONDUCTOR_MATERIAL[], MATCH(CABLES[[#This Row],[CONDUCTOR_MATERIAL]],CONDUCTOR_MATERIAL[CONDUCTOR_MATERIAL],0),2)</f>
        <v>2.2499999999999999E-2</v>
      </c>
      <c r="JH79" s="10">
        <f>CABLES[[#This Row],[SELECTED_CABLESIZE]]</f>
        <v>10</v>
      </c>
      <c r="JI79" s="10">
        <f xml:space="preserve"> INDEX( EARTH_CONDUCTOR_SIZE[], MATCH(CABLES[[#This Row],[SPH]],EARTH_CONDUCTOR_SIZE[MM^2],-1), 2)</f>
        <v>4</v>
      </c>
      <c r="JJ79" s="10">
        <f>(0.8*PHASE_VOLTAGE*CABLES[[#This Row],[SPH]]*CABLES[[#This Row],[SPE]])/(CABLES[[#This Row],[PDEVICE_IA]]*CABLES[[#This Row],[MATERIAL_CONSTANT]]*(CABLES[[#This Row],[SPH]]+CABLES[[#This Row],[SPE]]))</f>
        <v>143.78510378510379</v>
      </c>
      <c r="JK79" s="10" t="str">
        <f>IF(CABLES[[#This Row],[LMAX]]&gt;CABLES[[#This Row],[ESTIMATED_CABLE_LENGTH]], "PASS", "ERROR")</f>
        <v>PASS</v>
      </c>
      <c r="JL79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18.399999999999999</v>
      </c>
      <c r="JM79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0.62</v>
      </c>
      <c r="JN79" s="6">
        <f xml:space="preserve"> ROUNDUP( CABLES[[#This Row],[CALCULATED_AMPS]],1)</f>
        <v>24.1</v>
      </c>
      <c r="JO79" s="6">
        <f>CABLES[[#This Row],[SELECTED_CABLESIZE]]</f>
        <v>10</v>
      </c>
      <c r="JP79" s="10">
        <f>CABLES[[#This Row],[ESTIMATED_CABLE_LENGTH]]</f>
        <v>105.6</v>
      </c>
      <c r="JQ79" s="6">
        <f>CABLES[[#This Row],[SELECTED_PDEVICE]]</f>
        <v>25</v>
      </c>
    </row>
    <row r="80" spans="1:277" x14ac:dyDescent="0.35">
      <c r="A80" s="5" t="s">
        <v>77</v>
      </c>
      <c r="B80" s="5" t="s">
        <v>513</v>
      </c>
      <c r="C80" s="10" t="s">
        <v>262</v>
      </c>
      <c r="D80" s="9">
        <v>4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1</v>
      </c>
      <c r="AI80" s="9">
        <v>1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1</v>
      </c>
      <c r="AR80" s="9">
        <v>0</v>
      </c>
      <c r="AS80" s="9">
        <v>1</v>
      </c>
      <c r="AT80" s="9">
        <v>0</v>
      </c>
      <c r="AU80" s="9">
        <v>0</v>
      </c>
      <c r="AV80" s="9">
        <v>0</v>
      </c>
      <c r="AW80" s="9">
        <v>1</v>
      </c>
      <c r="AX80" s="9">
        <v>0</v>
      </c>
      <c r="AY80" s="9">
        <v>1</v>
      </c>
      <c r="AZ80" s="9">
        <v>0</v>
      </c>
      <c r="BA80" s="9">
        <v>1</v>
      </c>
      <c r="BB80" s="9">
        <v>1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f xml:space="preserve"> IF(CABLES[[#This Row],[SEG1]] &gt;0, INDEX(SEGMENTS[], MATCH(CABLES[[#Headers],[SEG1]],SEGMENTS[SEG_ID],0),4),0)</f>
        <v>0</v>
      </c>
      <c r="BN80" s="9">
        <f xml:space="preserve"> IF(CABLES[[#This Row],[SEG2]] &gt;0, INDEX(SEGMENTS[], MATCH(CABLES[[#Headers],[SEG2]],SEGMENTS[SEG_ID],0),4),0)</f>
        <v>0</v>
      </c>
      <c r="BO80" s="9">
        <f xml:space="preserve"> IF(CABLES[[#This Row],[SEG3]] &gt;0, INDEX(SEGMENTS[], MATCH(CABLES[[#Headers],[SEG3]],SEGMENTS[SEG_ID],0),4),0)</f>
        <v>0</v>
      </c>
      <c r="BP80" s="9">
        <f xml:space="preserve"> IF(CABLES[[#This Row],[SEG4]] &gt;0, INDEX(SEGMENTS[], MATCH(CABLES[[#Headers],[SEG4]],SEGMENTS[SEG_ID],0),4),0)</f>
        <v>0</v>
      </c>
      <c r="BQ80" s="9">
        <f xml:space="preserve"> IF(CABLES[[#This Row],[SEG5]] &gt;0,INDEX(SEGMENTS[], MATCH(CABLES[[#Headers],[SEG5]],SEGMENTS[SEG_ID],0),4),0)</f>
        <v>0</v>
      </c>
      <c r="BR80" s="9">
        <f xml:space="preserve"> IF(CABLES[[#This Row],[SEG6]] &gt;0,INDEX(SEGMENTS[], MATCH(CABLES[[#Headers],[SEG6]],SEGMENTS[SEG_ID],0),4),0)</f>
        <v>0</v>
      </c>
      <c r="BS80" s="9">
        <f xml:space="preserve"> IF(CABLES[[#This Row],[SEG7]] &gt;0,INDEX(SEGMENTS[], MATCH(CABLES[[#Headers],[SEG7]],SEGMENTS[SEG_ID],0),4),0)</f>
        <v>0</v>
      </c>
      <c r="BT80" s="9">
        <f xml:space="preserve"> IF(CABLES[[#This Row],[SEG8]] &gt;0,INDEX(SEGMENTS[], MATCH(CABLES[[#Headers],[SEG8]],SEGMENTS[SEG_ID],0),4),0)</f>
        <v>0</v>
      </c>
      <c r="BU80" s="9">
        <f xml:space="preserve"> IF(CABLES[[#This Row],[SEG9]] &gt;0,INDEX(SEGMENTS[], MATCH(CABLES[[#Headers],[SEG9]],SEGMENTS[SEG_ID],0),4),0)</f>
        <v>0</v>
      </c>
      <c r="BV80" s="9">
        <f xml:space="preserve"> IF(CABLES[[#This Row],[SEG10]] &gt;0,INDEX(SEGMENTS[], MATCH(CABLES[[#Headers],[SEG10]],SEGMENTS[SEG_ID],0),4),0)</f>
        <v>0</v>
      </c>
      <c r="BW80" s="9">
        <f xml:space="preserve"> IF(CABLES[[#This Row],[SEG11]] &gt;0,INDEX(SEGMENTS[], MATCH(CABLES[[#Headers],[SEG11]],SEGMENTS[SEG_ID],0),4),0)</f>
        <v>0</v>
      </c>
      <c r="BX80" s="9">
        <f>IF(CABLES[[#This Row],[SEG12]] &gt;0, INDEX(SEGMENTS[], MATCH(CABLES[[#Headers],[SEG12]],SEGMENTS[SEG_ID],0),4),0)</f>
        <v>0</v>
      </c>
      <c r="BY80" s="9">
        <f xml:space="preserve"> IF(CABLES[[#This Row],[SEG13]] &gt;0,INDEX(SEGMENTS[], MATCH(CABLES[[#Headers],[SEG13]],SEGMENTS[SEG_ID],0),4),0)</f>
        <v>0</v>
      </c>
      <c r="BZ80" s="9">
        <f xml:space="preserve"> IF(CABLES[[#This Row],[SEG14]] &gt;0,INDEX(SEGMENTS[], MATCH(CABLES[[#Headers],[SEG14]],SEGMENTS[SEG_ID],0),4),0)</f>
        <v>0</v>
      </c>
      <c r="CA80" s="9">
        <f xml:space="preserve"> IF(CABLES[[#This Row],[SEG15]] &gt;0,INDEX(SEGMENTS[], MATCH(CABLES[[#Headers],[SEG15]],SEGMENTS[SEG_ID],0),4),0)</f>
        <v>0</v>
      </c>
      <c r="CB80" s="9">
        <f xml:space="preserve"> IF(CABLES[[#This Row],[SEG16]] &gt;0,INDEX(SEGMENTS[], MATCH(CABLES[[#Headers],[SEG16]],SEGMENTS[SEG_ID],0),4),0)</f>
        <v>0</v>
      </c>
      <c r="CC80" s="9">
        <f xml:space="preserve"> IF(CABLES[[#This Row],[SEG17]] &gt;0,INDEX(SEGMENTS[], MATCH(CABLES[[#Headers],[SEG17]],SEGMENTS[SEG_ID],0),4),0)</f>
        <v>0</v>
      </c>
      <c r="CD80" s="9">
        <f xml:space="preserve"> IF(CABLES[[#This Row],[SEG18]] &gt;0,INDEX(SEGMENTS[], MATCH(CABLES[[#Headers],[SEG18]],SEGMENTS[SEG_ID],0),4),0)</f>
        <v>0</v>
      </c>
      <c r="CE80" s="9">
        <f>IF(CABLES[[#This Row],[SEG19]] &gt;0, INDEX(SEGMENTS[], MATCH(CABLES[[#Headers],[SEG19]],SEGMENTS[SEG_ID],0),4),0)</f>
        <v>0</v>
      </c>
      <c r="CF80" s="9">
        <f>IF(CABLES[[#This Row],[SEG20]] &gt;0, INDEX(SEGMENTS[], MATCH(CABLES[[#Headers],[SEG20]],SEGMENTS[SEG_ID],0),4),0)</f>
        <v>0</v>
      </c>
      <c r="CG80" s="9">
        <f xml:space="preserve"> IF(CABLES[[#This Row],[SEG21]] &gt;0,INDEX(SEGMENTS[], MATCH(CABLES[[#Headers],[SEG21]],SEGMENTS[SEG_ID],0),4),0)</f>
        <v>0</v>
      </c>
      <c r="CH80" s="9">
        <f xml:space="preserve"> IF(CABLES[[#This Row],[SEG22]] &gt;0,INDEX(SEGMENTS[], MATCH(CABLES[[#Headers],[SEG22]],SEGMENTS[SEG_ID],0),4),0)</f>
        <v>0</v>
      </c>
      <c r="CI80" s="9">
        <f>IF(CABLES[[#This Row],[SEG23]] &gt;0, INDEX(SEGMENTS[], MATCH(CABLES[[#Headers],[SEG23]],SEGMENTS[SEG_ID],0),4),0)</f>
        <v>0</v>
      </c>
      <c r="CJ80" s="9">
        <f xml:space="preserve"> IF(CABLES[[#This Row],[SEG24]] &gt;0,INDEX(SEGMENTS[], MATCH(CABLES[[#Headers],[SEG24]],SEGMENTS[SEG_ID],0),4),0)</f>
        <v>0</v>
      </c>
      <c r="CK80" s="9">
        <f>IF(CABLES[[#This Row],[SEG25]] &gt;0, INDEX(SEGMENTS[], MATCH(CABLES[[#Headers],[SEG25]],SEGMENTS[SEG_ID],0),4),0)</f>
        <v>0</v>
      </c>
      <c r="CL80" s="9">
        <f>IF(CABLES[[#This Row],[SEG26]] &gt;0, INDEX(SEGMENTS[], MATCH(CABLES[[#Headers],[SEG26]],SEGMENTS[SEG_ID],0),4),0)</f>
        <v>0</v>
      </c>
      <c r="CM80" s="9">
        <f xml:space="preserve"> IF(CABLES[[#This Row],[SEG27]] &gt;0,INDEX(SEGMENTS[], MATCH(CABLES[[#Headers],[SEG27]],SEGMENTS[SEG_ID],0),4),0)</f>
        <v>0</v>
      </c>
      <c r="CN80" s="9">
        <f xml:space="preserve"> IF(CABLES[[#This Row],[SEG28]] &gt;0,INDEX(SEGMENTS[], MATCH(CABLES[[#Headers],[SEG28]],SEGMENTS[SEG_ID],0),4),0)</f>
        <v>0</v>
      </c>
      <c r="CO80" s="9">
        <f xml:space="preserve"> IF(CABLES[[#This Row],[SEG29]] &gt;0,INDEX(SEGMENTS[], MATCH(CABLES[[#Headers],[SEG29]],SEGMENTS[SEG_ID],0),4),0)</f>
        <v>0</v>
      </c>
      <c r="CP80" s="9">
        <f xml:space="preserve"> IF(CABLES[[#This Row],[SEG30]] &gt;0,INDEX(SEGMENTS[], MATCH(CABLES[[#Headers],[SEG30]],SEGMENTS[SEG_ID],0),4),0)</f>
        <v>6</v>
      </c>
      <c r="CQ80" s="9">
        <f>IF(CABLES[[#This Row],[SEG31]] &gt;0, INDEX(SEGMENTS[], MATCH(CABLES[[#Headers],[SEG31]],SEGMENTS[SEG_ID],0),4),0)</f>
        <v>3</v>
      </c>
      <c r="CR80" s="9">
        <f xml:space="preserve"> IF(CABLES[[#This Row],[SEG32]] &gt;0,INDEX(SEGMENTS[], MATCH(CABLES[[#Headers],[SEG32]],SEGMENTS[SEG_ID],0),4),0)</f>
        <v>0</v>
      </c>
      <c r="CS80" s="9">
        <f xml:space="preserve"> IF(CABLES[[#This Row],[SEG33]] &gt;0,INDEX(SEGMENTS[], MATCH(CABLES[[#Headers],[SEG33]],SEGMENTS[SEG_ID],0),4),0)</f>
        <v>0</v>
      </c>
      <c r="CT80" s="9">
        <f>IF(CABLES[[#This Row],[SEG34]] &gt;0, INDEX(SEGMENTS[], MATCH(CABLES[[#Headers],[SEG34]],SEGMENTS[SEG_ID],0),4),0)</f>
        <v>0</v>
      </c>
      <c r="CU80" s="9">
        <f xml:space="preserve"> IF(CABLES[[#This Row],[SEG35]] &gt;0,INDEX(SEGMENTS[], MATCH(CABLES[[#Headers],[SEG35]],SEGMENTS[SEG_ID],0),4),0)</f>
        <v>0</v>
      </c>
      <c r="CV80" s="9">
        <f xml:space="preserve"> IF(CABLES[[#This Row],[SEG36]] &gt;0,INDEX(SEGMENTS[], MATCH(CABLES[[#Headers],[SEG36]],SEGMENTS[SEG_ID],0),4),0)</f>
        <v>0</v>
      </c>
      <c r="CW80" s="9">
        <f xml:space="preserve"> IF(CABLES[[#This Row],[SEG37]] &gt;0,INDEX(SEGMENTS[], MATCH(CABLES[[#Headers],[SEG37]],SEGMENTS[SEG_ID],0),4),0)</f>
        <v>0</v>
      </c>
      <c r="CX80" s="9">
        <f xml:space="preserve"> IF(CABLES[[#This Row],[SEG38]] &gt;0,INDEX(SEGMENTS[], MATCH(CABLES[[#Headers],[SEG38]],SEGMENTS[SEG_ID],0),4),0)</f>
        <v>0</v>
      </c>
      <c r="CY80" s="9">
        <f xml:space="preserve"> IF(CABLES[[#This Row],[SEG39]] &gt;0,INDEX(SEGMENTS[], MATCH(CABLES[[#Headers],[SEG39]],SEGMENTS[SEG_ID],0),4),0)</f>
        <v>8</v>
      </c>
      <c r="CZ80" s="9">
        <f xml:space="preserve"> IF(CABLES[[#This Row],[SEG40]] &gt;0,INDEX(SEGMENTS[], MATCH(CABLES[[#Headers],[SEG40]],SEGMENTS[SEG_ID],0),4),0)</f>
        <v>0</v>
      </c>
      <c r="DA80" s="9">
        <f xml:space="preserve"> IF(CABLES[[#This Row],[SEG41]] &gt;0,INDEX(SEGMENTS[], MATCH(CABLES[[#Headers],[SEG41]],SEGMENTS[SEG_ID],0),4),0)</f>
        <v>8</v>
      </c>
      <c r="DB80" s="9">
        <f xml:space="preserve"> IF(CABLES[[#This Row],[SEG42]] &gt;0,INDEX(SEGMENTS[], MATCH(CABLES[[#Headers],[SEG42]],SEGMENTS[SEG_ID],0),4),0)</f>
        <v>0</v>
      </c>
      <c r="DC80" s="9">
        <f xml:space="preserve"> IF(CABLES[[#This Row],[SEG43]] &gt;0,INDEX(SEGMENTS[], MATCH(CABLES[[#Headers],[SEG43]],SEGMENTS[SEG_ID],0),4),0)</f>
        <v>0</v>
      </c>
      <c r="DD80" s="9">
        <f xml:space="preserve"> IF(CABLES[[#This Row],[SEG44]] &gt;0,INDEX(SEGMENTS[], MATCH(CABLES[[#Headers],[SEG44]],SEGMENTS[SEG_ID],0),4),0)</f>
        <v>0</v>
      </c>
      <c r="DE80" s="9">
        <f xml:space="preserve"> IF(CABLES[[#This Row],[SEG45]] &gt;0,INDEX(SEGMENTS[], MATCH(CABLES[[#Headers],[SEG45]],SEGMENTS[SEG_ID],0),4),0)</f>
        <v>9</v>
      </c>
      <c r="DF80" s="9">
        <f xml:space="preserve"> IF(CABLES[[#This Row],[SEG46]] &gt;0,INDEX(SEGMENTS[], MATCH(CABLES[[#Headers],[SEG46]],SEGMENTS[SEG_ID],0),4),0)</f>
        <v>0</v>
      </c>
      <c r="DG80" s="9">
        <f xml:space="preserve"> IF(CABLES[[#This Row],[SEG47]] &gt;0,INDEX(SEGMENTS[], MATCH(CABLES[[#Headers],[SEG47]],SEGMENTS[SEG_ID],0),4),0)</f>
        <v>12</v>
      </c>
      <c r="DH80" s="9">
        <f xml:space="preserve"> IF(CABLES[[#This Row],[SEG48]] &gt;0,INDEX(SEGMENTS[], MATCH(CABLES[[#Headers],[SEG48]],SEGMENTS[SEG_ID],0),4),0)</f>
        <v>0</v>
      </c>
      <c r="DI80" s="9">
        <f xml:space="preserve"> IF(CABLES[[#This Row],[SEG49]] &gt;0,INDEX(SEGMENTS[], MATCH(CABLES[[#Headers],[SEG49]],SEGMENTS[SEG_ID],0),4),0)</f>
        <v>20</v>
      </c>
      <c r="DJ80" s="9">
        <f xml:space="preserve"> IF(CABLES[[#This Row],[SEG50]] &gt;0,INDEX(SEGMENTS[], MATCH(CABLES[[#Headers],[SEG50]],SEGMENTS[SEG_ID],0),4),0)</f>
        <v>17</v>
      </c>
      <c r="DK80" s="9">
        <f xml:space="preserve"> IF(CABLES[[#This Row],[SEG51]] &gt;0,INDEX(SEGMENTS[], MATCH(CABLES[[#Headers],[SEG51]],SEGMENTS[SEG_ID],0),4),0)</f>
        <v>0</v>
      </c>
      <c r="DL80" s="9">
        <f xml:space="preserve"> IF(CABLES[[#This Row],[SEG52]] &gt;0,INDEX(SEGMENTS[], MATCH(CABLES[[#Headers],[SEG52]],SEGMENTS[SEG_ID],0),4),0)</f>
        <v>0</v>
      </c>
      <c r="DM80" s="9">
        <f xml:space="preserve"> IF(CABLES[[#This Row],[SEG53]] &gt;0,INDEX(SEGMENTS[], MATCH(CABLES[[#Headers],[SEG53]],SEGMENTS[SEG_ID],0),4),0)</f>
        <v>0</v>
      </c>
      <c r="DN80" s="9">
        <f xml:space="preserve"> IF(CABLES[[#This Row],[SEG54]] &gt;0,INDEX(SEGMENTS[], MATCH(CABLES[[#Headers],[SEG54]],SEGMENTS[SEG_ID],0),4),0)</f>
        <v>0</v>
      </c>
      <c r="DO80" s="9">
        <f xml:space="preserve"> IF(CABLES[[#This Row],[SEG55]] &gt;0,INDEX(SEGMENTS[], MATCH(CABLES[[#Headers],[SEG55]],SEGMENTS[SEG_ID],0),4),0)</f>
        <v>0</v>
      </c>
      <c r="DP80" s="9">
        <f xml:space="preserve"> IF(CABLES[[#This Row],[SEG56]] &gt;0,INDEX(SEGMENTS[], MATCH(CABLES[[#Headers],[SEG56]],SEGMENTS[SEG_ID],0),4),0)</f>
        <v>0</v>
      </c>
      <c r="DQ80" s="9">
        <f xml:space="preserve"> IF(CABLES[[#This Row],[SEG57]] &gt;0,INDEX(SEGMENTS[], MATCH(CABLES[[#Headers],[SEG57]],SEGMENTS[SEG_ID],0),4),0)</f>
        <v>0</v>
      </c>
      <c r="DR80" s="9">
        <f xml:space="preserve"> IF(CABLES[[#This Row],[SEG58]] &gt;0,INDEX(SEGMENTS[], MATCH(CABLES[[#Headers],[SEG58]],SEGMENTS[SEG_ID],0),4),0)</f>
        <v>0</v>
      </c>
      <c r="DS80" s="9">
        <f xml:space="preserve"> IF(CABLES[[#This Row],[SEG59]] &gt;0,INDEX(SEGMENTS[], MATCH(CABLES[[#Headers],[SEG59]],SEGMENTS[SEG_ID],0),4),0)</f>
        <v>0</v>
      </c>
      <c r="DT80" s="9">
        <f xml:space="preserve"> IF(CABLES[[#This Row],[SEG60]] &gt;0,INDEX(SEGMENTS[], MATCH(CABLES[[#Headers],[SEG60]],SEGMENTS[SEG_ID],0),4),0)</f>
        <v>0</v>
      </c>
      <c r="DU80" s="10">
        <f>SUM(CABLES[[#This Row],[SEGL1]:[SEGL60]])</f>
        <v>83</v>
      </c>
      <c r="DV80" s="10">
        <v>5</v>
      </c>
      <c r="DW80" s="10">
        <v>1.2</v>
      </c>
      <c r="DX80" s="10">
        <f xml:space="preserve"> IF(CABLES[[#This Row],[SEGL_TOTAL]]&gt;0, (CABLES[[#This Row],[SEGL_TOTAL]] + CABLES[[#This Row],[FITOFF]]) *CABLES[[#This Row],[XCAPACITY]],0)</f>
        <v>105.6</v>
      </c>
      <c r="DY80" s="10">
        <f>IF(CABLES[[#This Row],[SEG1]]&gt;0,CABLES[[#This Row],[CABLE_DIAMETER]],0)</f>
        <v>0</v>
      </c>
      <c r="DZ80" s="10">
        <f>IF(CABLES[[#This Row],[SEG2]]&gt;0,CABLES[[#This Row],[CABLE_DIAMETER]],0)</f>
        <v>0</v>
      </c>
      <c r="EA80" s="10">
        <f>IF(CABLES[[#This Row],[SEG3]]&gt;0,CABLES[[#This Row],[CABLE_DIAMETER]],0)</f>
        <v>0</v>
      </c>
      <c r="EB80" s="10">
        <f>IF(CABLES[[#This Row],[SEG4]]&gt;0,CABLES[[#This Row],[CABLE_DIAMETER]],0)</f>
        <v>0</v>
      </c>
      <c r="EC80" s="10">
        <f>IF(CABLES[[#This Row],[SEG5]]&gt;0,CABLES[[#This Row],[CABLE_DIAMETER]],0)</f>
        <v>0</v>
      </c>
      <c r="ED80" s="10">
        <f>IF(CABLES[[#This Row],[SEG6]]&gt;0,CABLES[[#This Row],[CABLE_DIAMETER]],0)</f>
        <v>0</v>
      </c>
      <c r="EE80" s="10">
        <f>IF(CABLES[[#This Row],[SEG7]]&gt;0,CABLES[[#This Row],[CABLE_DIAMETER]],0)</f>
        <v>0</v>
      </c>
      <c r="EF80" s="10">
        <f>IF(CABLES[[#This Row],[SEG9]]&gt;0,CABLES[[#This Row],[CABLE_DIAMETER]],0)</f>
        <v>0</v>
      </c>
      <c r="EG80" s="10">
        <f>IF(CABLES[[#This Row],[SEG9]]&gt;0,CABLES[[#This Row],[CABLE_DIAMETER]],0)</f>
        <v>0</v>
      </c>
      <c r="EH80" s="10">
        <f>IF(CABLES[[#This Row],[SEG10]]&gt;0,CABLES[[#This Row],[CABLE_DIAMETER]],0)</f>
        <v>0</v>
      </c>
      <c r="EI80" s="10">
        <f>IF(CABLES[[#This Row],[SEG11]]&gt;0,CABLES[[#This Row],[CABLE_DIAMETER]],0)</f>
        <v>0</v>
      </c>
      <c r="EJ80" s="10">
        <f>IF(CABLES[[#This Row],[SEG12]]&gt;0,CABLES[[#This Row],[CABLE_DIAMETER]],0)</f>
        <v>0</v>
      </c>
      <c r="EK80" s="10">
        <f>IF(CABLES[[#This Row],[SEG13]]&gt;0,CABLES[[#This Row],[CABLE_DIAMETER]],0)</f>
        <v>0</v>
      </c>
      <c r="EL80" s="10">
        <f>IF(CABLES[[#This Row],[SEG14]]&gt;0,CABLES[[#This Row],[CABLE_DIAMETER]],0)</f>
        <v>0</v>
      </c>
      <c r="EM80" s="10">
        <f>IF(CABLES[[#This Row],[SEG15]]&gt;0,CABLES[[#This Row],[CABLE_DIAMETER]],0)</f>
        <v>0</v>
      </c>
      <c r="EN80" s="10">
        <f>IF(CABLES[[#This Row],[SEG16]]&gt;0,CABLES[[#This Row],[CABLE_DIAMETER]],0)</f>
        <v>0</v>
      </c>
      <c r="EO80" s="10">
        <f>IF(CABLES[[#This Row],[SEG17]]&gt;0,CABLES[[#This Row],[CABLE_DIAMETER]],0)</f>
        <v>0</v>
      </c>
      <c r="EP80" s="10">
        <f>IF(CABLES[[#This Row],[SEG18]]&gt;0,CABLES[[#This Row],[CABLE_DIAMETER]],0)</f>
        <v>0</v>
      </c>
      <c r="EQ80" s="10">
        <f>IF(CABLES[[#This Row],[SEG19]]&gt;0,CABLES[[#This Row],[CABLE_DIAMETER]],0)</f>
        <v>0</v>
      </c>
      <c r="ER80" s="10">
        <f>IF(CABLES[[#This Row],[SEG20]]&gt;0,CABLES[[#This Row],[CABLE_DIAMETER]],0)</f>
        <v>0</v>
      </c>
      <c r="ES80" s="10">
        <f>IF(CABLES[[#This Row],[SEG21]]&gt;0,CABLES[[#This Row],[CABLE_DIAMETER]],0)</f>
        <v>0</v>
      </c>
      <c r="ET80" s="10">
        <f>IF(CABLES[[#This Row],[SEG22]]&gt;0,CABLES[[#This Row],[CABLE_DIAMETER]],0)</f>
        <v>0</v>
      </c>
      <c r="EU80" s="10">
        <f>IF(CABLES[[#This Row],[SEG23]]&gt;0,CABLES[[#This Row],[CABLE_DIAMETER]],0)</f>
        <v>0</v>
      </c>
      <c r="EV80" s="10">
        <f>IF(CABLES[[#This Row],[SEG24]]&gt;0,CABLES[[#This Row],[CABLE_DIAMETER]],0)</f>
        <v>0</v>
      </c>
      <c r="EW80" s="10">
        <f>IF(CABLES[[#This Row],[SEG25]]&gt;0,CABLES[[#This Row],[CABLE_DIAMETER]],0)</f>
        <v>0</v>
      </c>
      <c r="EX80" s="10">
        <f>IF(CABLES[[#This Row],[SEG26]]&gt;0,CABLES[[#This Row],[CABLE_DIAMETER]],0)</f>
        <v>0</v>
      </c>
      <c r="EY80" s="10">
        <f>IF(CABLES[[#This Row],[SEG27]]&gt;0,CABLES[[#This Row],[CABLE_DIAMETER]],0)</f>
        <v>0</v>
      </c>
      <c r="EZ80" s="10">
        <f>IF(CABLES[[#This Row],[SEG28]]&gt;0,CABLES[[#This Row],[CABLE_DIAMETER]],0)</f>
        <v>0</v>
      </c>
      <c r="FA80" s="10">
        <f>IF(CABLES[[#This Row],[SEG29]]&gt;0,CABLES[[#This Row],[CABLE_DIAMETER]],0)</f>
        <v>0</v>
      </c>
      <c r="FB80" s="10">
        <f>IF(CABLES[[#This Row],[SEG30]]&gt;0,CABLES[[#This Row],[CABLE_DIAMETER]],0)</f>
        <v>12</v>
      </c>
      <c r="FC80" s="10">
        <f>IF(CABLES[[#This Row],[SEG31]]&gt;0,CABLES[[#This Row],[CABLE_DIAMETER]],0)</f>
        <v>12</v>
      </c>
      <c r="FD80" s="10">
        <f>IF(CABLES[[#This Row],[SEG32]]&gt;0,CABLES[[#This Row],[CABLE_DIAMETER]],0)</f>
        <v>0</v>
      </c>
      <c r="FE80" s="10">
        <f>IF(CABLES[[#This Row],[SEG33]]&gt;0,CABLES[[#This Row],[CABLE_DIAMETER]],0)</f>
        <v>0</v>
      </c>
      <c r="FF80" s="10">
        <f>IF(CABLES[[#This Row],[SEG34]]&gt;0,CABLES[[#This Row],[CABLE_DIAMETER]],0)</f>
        <v>0</v>
      </c>
      <c r="FG80" s="10">
        <f>IF(CABLES[[#This Row],[SEG35]]&gt;0,CABLES[[#This Row],[CABLE_DIAMETER]],0)</f>
        <v>0</v>
      </c>
      <c r="FH80" s="10">
        <f>IF(CABLES[[#This Row],[SEG36]]&gt;0,CABLES[[#This Row],[CABLE_DIAMETER]],0)</f>
        <v>0</v>
      </c>
      <c r="FI80" s="10">
        <f>IF(CABLES[[#This Row],[SEG37]]&gt;0,CABLES[[#This Row],[CABLE_DIAMETER]],0)</f>
        <v>0</v>
      </c>
      <c r="FJ80" s="10">
        <f>IF(CABLES[[#This Row],[SEG38]]&gt;0,CABLES[[#This Row],[CABLE_DIAMETER]],0)</f>
        <v>0</v>
      </c>
      <c r="FK80" s="10">
        <f>IF(CABLES[[#This Row],[SEG39]]&gt;0,CABLES[[#This Row],[CABLE_DIAMETER]],0)</f>
        <v>12</v>
      </c>
      <c r="FL80" s="10">
        <f>IF(CABLES[[#This Row],[SEG40]]&gt;0,CABLES[[#This Row],[CABLE_DIAMETER]],0)</f>
        <v>0</v>
      </c>
      <c r="FM80" s="10">
        <f>IF(CABLES[[#This Row],[SEG41]]&gt;0,CABLES[[#This Row],[CABLE_DIAMETER]],0)</f>
        <v>12</v>
      </c>
      <c r="FN80" s="10">
        <f>IF(CABLES[[#This Row],[SEG42]]&gt;0,CABLES[[#This Row],[CABLE_DIAMETER]],0)</f>
        <v>0</v>
      </c>
      <c r="FO80" s="10">
        <f>IF(CABLES[[#This Row],[SEG43]]&gt;0,CABLES[[#This Row],[CABLE_DIAMETER]],0)</f>
        <v>0</v>
      </c>
      <c r="FP80" s="10">
        <f>IF(CABLES[[#This Row],[SEG44]]&gt;0,CABLES[[#This Row],[CABLE_DIAMETER]],0)</f>
        <v>0</v>
      </c>
      <c r="FQ80" s="10">
        <f>IF(CABLES[[#This Row],[SEG45]]&gt;0,CABLES[[#This Row],[CABLE_DIAMETER]],0)</f>
        <v>12</v>
      </c>
      <c r="FR80" s="10">
        <f>IF(CABLES[[#This Row],[SEG46]]&gt;0,CABLES[[#This Row],[CABLE_DIAMETER]],0)</f>
        <v>0</v>
      </c>
      <c r="FS80" s="10">
        <f>IF(CABLES[[#This Row],[SEG47]]&gt;0,CABLES[[#This Row],[CABLE_DIAMETER]],0)</f>
        <v>12</v>
      </c>
      <c r="FT80" s="10">
        <f>IF(CABLES[[#This Row],[SEG48]]&gt;0,CABLES[[#This Row],[CABLE_DIAMETER]],0)</f>
        <v>0</v>
      </c>
      <c r="FU80" s="10">
        <f>IF(CABLES[[#This Row],[SEG49]]&gt;0,CABLES[[#This Row],[CABLE_DIAMETER]],0)</f>
        <v>12</v>
      </c>
      <c r="FV80" s="10">
        <f>IF(CABLES[[#This Row],[SEG50]]&gt;0,CABLES[[#This Row],[CABLE_DIAMETER]],0)</f>
        <v>12</v>
      </c>
      <c r="FW80" s="10">
        <f>IF(CABLES[[#This Row],[SEG51]]&gt;0,CABLES[[#This Row],[CABLE_DIAMETER]],0)</f>
        <v>0</v>
      </c>
      <c r="FX80" s="10">
        <f>IF(CABLES[[#This Row],[SEG52]]&gt;0,CABLES[[#This Row],[CABLE_DIAMETER]],0)</f>
        <v>0</v>
      </c>
      <c r="FY80" s="10">
        <f>IF(CABLES[[#This Row],[SEG53]]&gt;0,CABLES[[#This Row],[CABLE_DIAMETER]],0)</f>
        <v>0</v>
      </c>
      <c r="FZ80" s="10">
        <f>IF(CABLES[[#This Row],[SEG54]]&gt;0,CABLES[[#This Row],[CABLE_DIAMETER]],0)</f>
        <v>0</v>
      </c>
      <c r="GA80" s="10">
        <f>IF(CABLES[[#This Row],[SEG55]]&gt;0,CABLES[[#This Row],[CABLE_DIAMETER]],0)</f>
        <v>0</v>
      </c>
      <c r="GB80" s="10">
        <f>IF(CABLES[[#This Row],[SEG56]]&gt;0,CABLES[[#This Row],[CABLE_DIAMETER]],0)</f>
        <v>0</v>
      </c>
      <c r="GC80" s="10">
        <f>IF(CABLES[[#This Row],[SEG57]]&gt;0,CABLES[[#This Row],[CABLE_DIAMETER]],0)</f>
        <v>0</v>
      </c>
      <c r="GD80" s="10">
        <f>IF(CABLES[[#This Row],[SEG58]]&gt;0,CABLES[[#This Row],[CABLE_DIAMETER]],0)</f>
        <v>0</v>
      </c>
      <c r="GE80" s="10">
        <f>IF(CABLES[[#This Row],[SEG59]]&gt;0,CABLES[[#This Row],[CABLE_DIAMETER]],0)</f>
        <v>0</v>
      </c>
      <c r="GF80" s="10">
        <f>IF(CABLES[[#This Row],[SEG60]]&gt;0,CABLES[[#This Row],[CABLE_DIAMETER]],0)</f>
        <v>0</v>
      </c>
      <c r="GG80" s="10">
        <f>IF(CABLES[[#This Row],[SEG1]]&gt;0,CABLES[[#This Row],[CABLE_MASS]],0)</f>
        <v>0</v>
      </c>
      <c r="GH80" s="10">
        <f>IF(CABLES[[#This Row],[SEG2]]&gt;0,CABLES[[#This Row],[CABLE_MASS]],0)</f>
        <v>0</v>
      </c>
      <c r="GI80" s="10">
        <f>IF(CABLES[[#This Row],[SEG3]]&gt;0,CABLES[[#This Row],[CABLE_MASS]],0)</f>
        <v>0</v>
      </c>
      <c r="GJ80" s="10">
        <f>IF(CABLES[[#This Row],[SEG4]]&gt;0,CABLES[[#This Row],[CABLE_MASS]],0)</f>
        <v>0</v>
      </c>
      <c r="GK80" s="10">
        <f>IF(CABLES[[#This Row],[SEG5]]&gt;0,CABLES[[#This Row],[CABLE_MASS]],0)</f>
        <v>0</v>
      </c>
      <c r="GL80" s="10">
        <f>IF(CABLES[[#This Row],[SEG6]]&gt;0,CABLES[[#This Row],[CABLE_MASS]],0)</f>
        <v>0</v>
      </c>
      <c r="GM80" s="10">
        <f>IF(CABLES[[#This Row],[SEG7]]&gt;0,CABLES[[#This Row],[CABLE_MASS]],0)</f>
        <v>0</v>
      </c>
      <c r="GN80" s="10">
        <f>IF(CABLES[[#This Row],[SEG8]]&gt;0,CABLES[[#This Row],[CABLE_MASS]],0)</f>
        <v>0</v>
      </c>
      <c r="GO80" s="10">
        <f>IF(CABLES[[#This Row],[SEG9]]&gt;0,CABLES[[#This Row],[CABLE_MASS]],0)</f>
        <v>0</v>
      </c>
      <c r="GP80" s="10">
        <f>IF(CABLES[[#This Row],[SEG10]]&gt;0,CABLES[[#This Row],[CABLE_MASS]],0)</f>
        <v>0</v>
      </c>
      <c r="GQ80" s="10">
        <f>IF(CABLES[[#This Row],[SEG11]]&gt;0,CABLES[[#This Row],[CABLE_MASS]],0)</f>
        <v>0</v>
      </c>
      <c r="GR80" s="10">
        <f>IF(CABLES[[#This Row],[SEG12]]&gt;0,CABLES[[#This Row],[CABLE_MASS]],0)</f>
        <v>0</v>
      </c>
      <c r="GS80" s="10">
        <f>IF(CABLES[[#This Row],[SEG13]]&gt;0,CABLES[[#This Row],[CABLE_MASS]],0)</f>
        <v>0</v>
      </c>
      <c r="GT80" s="10">
        <f>IF(CABLES[[#This Row],[SEG14]]&gt;0,CABLES[[#This Row],[CABLE_MASS]],0)</f>
        <v>0</v>
      </c>
      <c r="GU80" s="10">
        <f>IF(CABLES[[#This Row],[SEG15]]&gt;0,CABLES[[#This Row],[CABLE_MASS]],0)</f>
        <v>0</v>
      </c>
      <c r="GV80" s="10">
        <f>IF(CABLES[[#This Row],[SEG16]]&gt;0,CABLES[[#This Row],[CABLE_MASS]],0)</f>
        <v>0</v>
      </c>
      <c r="GW80" s="10">
        <f>IF(CABLES[[#This Row],[SEG17]]&gt;0,CABLES[[#This Row],[CABLE_MASS]],0)</f>
        <v>0</v>
      </c>
      <c r="GX80" s="10">
        <f>IF(CABLES[[#This Row],[SEG18]]&gt;0,CABLES[[#This Row],[CABLE_MASS]],0)</f>
        <v>0</v>
      </c>
      <c r="GY80" s="10">
        <f>IF(CABLES[[#This Row],[SEG19]]&gt;0,CABLES[[#This Row],[CABLE_MASS]],0)</f>
        <v>0</v>
      </c>
      <c r="GZ80" s="10">
        <f>IF(CABLES[[#This Row],[SEG20]]&gt;0,CABLES[[#This Row],[CABLE_MASS]],0)</f>
        <v>0</v>
      </c>
      <c r="HA80" s="10">
        <f>IF(CABLES[[#This Row],[SEG21]]&gt;0,CABLES[[#This Row],[CABLE_MASS]],0)</f>
        <v>0</v>
      </c>
      <c r="HB80" s="10">
        <f>IF(CABLES[[#This Row],[SEG22]]&gt;0,CABLES[[#This Row],[CABLE_MASS]],0)</f>
        <v>0</v>
      </c>
      <c r="HC80" s="10">
        <f>IF(CABLES[[#This Row],[SEG23]]&gt;0,CABLES[[#This Row],[CABLE_MASS]],0)</f>
        <v>0</v>
      </c>
      <c r="HD80" s="10">
        <f>IF(CABLES[[#This Row],[SEG24]]&gt;0,CABLES[[#This Row],[CABLE_MASS]],0)</f>
        <v>0</v>
      </c>
      <c r="HE80" s="10">
        <f>IF(CABLES[[#This Row],[SEG25]]&gt;0,CABLES[[#This Row],[CABLE_MASS]],0)</f>
        <v>0</v>
      </c>
      <c r="HF80" s="10">
        <f>IF(CABLES[[#This Row],[SEG26]]&gt;0,CABLES[[#This Row],[CABLE_MASS]],0)</f>
        <v>0</v>
      </c>
      <c r="HG80" s="10">
        <f>IF(CABLES[[#This Row],[SEG27]]&gt;0,CABLES[[#This Row],[CABLE_MASS]],0)</f>
        <v>0</v>
      </c>
      <c r="HH80" s="10">
        <f>IF(CABLES[[#This Row],[SEG28]]&gt;0,CABLES[[#This Row],[CABLE_MASS]],0)</f>
        <v>0</v>
      </c>
      <c r="HI80" s="10">
        <f>IF(CABLES[[#This Row],[SEG29]]&gt;0,CABLES[[#This Row],[CABLE_MASS]],0)</f>
        <v>0</v>
      </c>
      <c r="HJ80" s="10">
        <f>IF(CABLES[[#This Row],[SEG30]]&gt;0,CABLES[[#This Row],[CABLE_MASS]],0)</f>
        <v>0.21</v>
      </c>
      <c r="HK80" s="10">
        <f>IF(CABLES[[#This Row],[SEG31]]&gt;0,CABLES[[#This Row],[CABLE_MASS]],0)</f>
        <v>0.21</v>
      </c>
      <c r="HL80" s="10">
        <f>IF(CABLES[[#This Row],[SEG32]]&gt;0,CABLES[[#This Row],[CABLE_MASS]],0)</f>
        <v>0</v>
      </c>
      <c r="HM80" s="10">
        <f>IF(CABLES[[#This Row],[SEG33]]&gt;0,CABLES[[#This Row],[CABLE_MASS]],0)</f>
        <v>0</v>
      </c>
      <c r="HN80" s="10">
        <f>IF(CABLES[[#This Row],[SEG34]]&gt;0,CABLES[[#This Row],[CABLE_MASS]],0)</f>
        <v>0</v>
      </c>
      <c r="HO80" s="10">
        <f>IF(CABLES[[#This Row],[SEG35]]&gt;0,CABLES[[#This Row],[CABLE_MASS]],0)</f>
        <v>0</v>
      </c>
      <c r="HP80" s="10">
        <f>IF(CABLES[[#This Row],[SEG36]]&gt;0,CABLES[[#This Row],[CABLE_MASS]],0)</f>
        <v>0</v>
      </c>
      <c r="HQ80" s="10">
        <f>IF(CABLES[[#This Row],[SEG37]]&gt;0,CABLES[[#This Row],[CABLE_MASS]],0)</f>
        <v>0</v>
      </c>
      <c r="HR80" s="10">
        <f>IF(CABLES[[#This Row],[SEG38]]&gt;0,CABLES[[#This Row],[CABLE_MASS]],0)</f>
        <v>0</v>
      </c>
      <c r="HS80" s="10">
        <f>IF(CABLES[[#This Row],[SEG39]]&gt;0,CABLES[[#This Row],[CABLE_MASS]],0)</f>
        <v>0.21</v>
      </c>
      <c r="HT80" s="10">
        <f>IF(CABLES[[#This Row],[SEG40]]&gt;0,CABLES[[#This Row],[CABLE_MASS]],0)</f>
        <v>0</v>
      </c>
      <c r="HU80" s="10">
        <f>IF(CABLES[[#This Row],[SEG41]]&gt;0,CABLES[[#This Row],[CABLE_MASS]],0)</f>
        <v>0.21</v>
      </c>
      <c r="HV80" s="10">
        <f>IF(CABLES[[#This Row],[SEG42]]&gt;0,CABLES[[#This Row],[CABLE_MASS]],0)</f>
        <v>0</v>
      </c>
      <c r="HW80" s="10">
        <f>IF(CABLES[[#This Row],[SEG43]]&gt;0,CABLES[[#This Row],[CABLE_MASS]],0)</f>
        <v>0</v>
      </c>
      <c r="HX80" s="10">
        <f>IF(CABLES[[#This Row],[SEG44]]&gt;0,CABLES[[#This Row],[CABLE_MASS]],0)</f>
        <v>0</v>
      </c>
      <c r="HY80" s="10">
        <f>IF(CABLES[[#This Row],[SEG45]]&gt;0,CABLES[[#This Row],[CABLE_MASS]],0)</f>
        <v>0.21</v>
      </c>
      <c r="HZ80" s="10">
        <f>IF(CABLES[[#This Row],[SEG46]]&gt;0,CABLES[[#This Row],[CABLE_MASS]],0)</f>
        <v>0</v>
      </c>
      <c r="IA80" s="10">
        <f>IF(CABLES[[#This Row],[SEG47]]&gt;0,CABLES[[#This Row],[CABLE_MASS]],0)</f>
        <v>0.21</v>
      </c>
      <c r="IB80" s="10">
        <f>IF(CABLES[[#This Row],[SEG48]]&gt;0,CABLES[[#This Row],[CABLE_MASS]],0)</f>
        <v>0</v>
      </c>
      <c r="IC80" s="10">
        <f>IF(CABLES[[#This Row],[SEG49]]&gt;0,CABLES[[#This Row],[CABLE_MASS]],0)</f>
        <v>0.21</v>
      </c>
      <c r="ID80" s="10">
        <f>IF(CABLES[[#This Row],[SEG50]]&gt;0,CABLES[[#This Row],[CABLE_MASS]],0)</f>
        <v>0.21</v>
      </c>
      <c r="IE80" s="10">
        <f>IF(CABLES[[#This Row],[SEG51]]&gt;0,CABLES[[#This Row],[CABLE_MASS]],0)</f>
        <v>0</v>
      </c>
      <c r="IF80" s="10">
        <f>IF(CABLES[[#This Row],[SEG52]]&gt;0,CABLES[[#This Row],[CABLE_MASS]],0)</f>
        <v>0</v>
      </c>
      <c r="IG80" s="10">
        <f>IF(CABLES[[#This Row],[SEG53]]&gt;0,CABLES[[#This Row],[CABLE_MASS]],0)</f>
        <v>0</v>
      </c>
      <c r="IH80" s="10">
        <f>IF(CABLES[[#This Row],[SEG54]]&gt;0,CABLES[[#This Row],[CABLE_MASS]],0)</f>
        <v>0</v>
      </c>
      <c r="II80" s="10">
        <f>IF(CABLES[[#This Row],[SEG55]]&gt;0,CABLES[[#This Row],[CABLE_MASS]],0)</f>
        <v>0</v>
      </c>
      <c r="IJ80" s="10">
        <f>IF(CABLES[[#This Row],[SEG56]]&gt;0,CABLES[[#This Row],[CABLE_MASS]],0)</f>
        <v>0</v>
      </c>
      <c r="IK80" s="10">
        <f>IF(CABLES[[#This Row],[SEG57]]&gt;0,CABLES[[#This Row],[CABLE_MASS]],0)</f>
        <v>0</v>
      </c>
      <c r="IL80" s="10">
        <f>IF(CABLES[[#This Row],[SEG58]]&gt;0,CABLES[[#This Row],[CABLE_MASS]],0)</f>
        <v>0</v>
      </c>
      <c r="IM80" s="10">
        <f>IF(CABLES[[#This Row],[SEG59]]&gt;0,CABLES[[#This Row],[CABLE_MASS]],0)</f>
        <v>0</v>
      </c>
      <c r="IN80" s="10">
        <f>IF(CABLES[[#This Row],[SEG60]]&gt;0,CABLES[[#This Row],[CABLE_MASS]],0)</f>
        <v>0</v>
      </c>
      <c r="IO80" s="10">
        <f xml:space="preserve">  (CABLES[[#This Row],[LOAD_KW]]/(SQRT(3)*SYSTEM_VOLTAGE*POWER_FACTOR))*1000</f>
        <v>6.4150029909958413</v>
      </c>
      <c r="IP80" s="10">
        <v>45</v>
      </c>
      <c r="IQ80" s="10">
        <f xml:space="preserve"> INDEX(AS3000_AMBIENTDERATE[], MATCH(CABLES[[#This Row],[AMBIENT]],AS3000_AMBIENTDERATE[AMBIENT],0), 2)</f>
        <v>0.94</v>
      </c>
      <c r="IR80" s="10">
        <f xml:space="preserve"> ROUNDUP( CABLES[[#This Row],[CALCULATED_AMPS]]/CABLES[[#This Row],[AMBIENT_DERATING]],1)</f>
        <v>6.8999999999999995</v>
      </c>
      <c r="IS80" s="10" t="s">
        <v>531</v>
      </c>
      <c r="IT80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0" s="10">
        <f t="shared" si="2"/>
        <v>28.000000000000004</v>
      </c>
      <c r="IV80" s="10">
        <f>(1000*CABLES[[#This Row],[MAX_VDROP]])/(CABLES[[#This Row],[ESTIMATED_CABLE_LENGTH]]*CABLES[[#This Row],[AMP_RATING]])</f>
        <v>38.427755819060181</v>
      </c>
      <c r="IW80" s="10">
        <f xml:space="preserve"> INDEX(AS3000_VDROP[], MATCH(CABLES[[#This Row],[VC_CALC]],AS3000_VDROP[Vc],1),1)</f>
        <v>2.5</v>
      </c>
      <c r="IX80" s="10">
        <f>MAX(CABLES[[#This Row],[CABLESIZE_METHOD1]],CABLES[[#This Row],[CABLESIZE_METHOD2]])</f>
        <v>2.5</v>
      </c>
      <c r="IY80" s="10"/>
      <c r="IZ80" s="10">
        <f>IF(LEN(CABLES[[#This Row],[OVERRIDE_CABLESIZE]])&gt;0,CABLES[[#This Row],[OVERRIDE_CABLESIZE]],CABLES[[#This Row],[INITIAL_CABLESIZE]])</f>
        <v>2.5</v>
      </c>
      <c r="JA80" s="10">
        <f>INDEX(PROTECTIVE_DEVICE[DEVICE], MATCH(CABLES[[#This Row],[CALCULATED_AMPS]],PROTECTIVE_DEVICE[DEVICE],-1),1)</f>
        <v>10</v>
      </c>
      <c r="JB80" s="10"/>
      <c r="JC80" s="10">
        <f>IF(LEN(CABLES[[#This Row],[OVERRIDE_PDEVICE]])&gt;0, CABLES[[#This Row],[OVERRIDE_PDEVICE]],CABLES[[#This Row],[RECOMMEND_PDEVICE]])</f>
        <v>10</v>
      </c>
      <c r="JD80" s="10" t="s">
        <v>450</v>
      </c>
      <c r="JE80" s="10">
        <f xml:space="preserve"> CABLES[[#This Row],[SELECTED_PDEVICE]] * INDEX(DEVICE_CURVE[], MATCH(CABLES[[#This Row],[PDEVICE_CURVE]], DEVICE_CURVE[DEVICE_CURVE],0),2)</f>
        <v>65</v>
      </c>
      <c r="JF80" s="10" t="s">
        <v>458</v>
      </c>
      <c r="JG80" s="10">
        <f xml:space="preserve"> INDEX(CONDUCTOR_MATERIAL[], MATCH(CABLES[[#This Row],[CONDUCTOR_MATERIAL]],CONDUCTOR_MATERIAL[CONDUCTOR_MATERIAL],0),2)</f>
        <v>2.2499999999999999E-2</v>
      </c>
      <c r="JH80" s="10">
        <f>CABLES[[#This Row],[SELECTED_CABLESIZE]]</f>
        <v>2.5</v>
      </c>
      <c r="JI80" s="10">
        <f xml:space="preserve"> INDEX( EARTH_CONDUCTOR_SIZE[], MATCH(CABLES[[#This Row],[SPH]],EARTH_CONDUCTOR_SIZE[MM^2],-1), 2)</f>
        <v>2.5</v>
      </c>
      <c r="JJ80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80" s="10" t="str">
        <f>IF(CABLES[[#This Row],[LMAX]]&gt;CABLES[[#This Row],[ESTIMATED_CABLE_LENGTH]], "PASS", "ERROR")</f>
        <v>PASS</v>
      </c>
      <c r="JL80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80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80" s="6">
        <f xml:space="preserve"> ROUNDUP( CABLES[[#This Row],[CALCULATED_AMPS]],1)</f>
        <v>6.5</v>
      </c>
      <c r="JO80" s="6">
        <f>CABLES[[#This Row],[SELECTED_CABLESIZE]]</f>
        <v>2.5</v>
      </c>
      <c r="JP80" s="10">
        <f>CABLES[[#This Row],[ESTIMATED_CABLE_LENGTH]]</f>
        <v>105.6</v>
      </c>
      <c r="JQ80" s="6">
        <f>CABLES[[#This Row],[SELECTED_PDEVICE]]</f>
        <v>10</v>
      </c>
    </row>
    <row r="81" spans="1:277" x14ac:dyDescent="0.35">
      <c r="A81" s="5" t="s">
        <v>78</v>
      </c>
      <c r="B81" s="5" t="s">
        <v>514</v>
      </c>
      <c r="C81" s="10" t="s">
        <v>262</v>
      </c>
      <c r="D81" s="9">
        <v>4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</v>
      </c>
      <c r="AI81" s="9">
        <v>1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1</v>
      </c>
      <c r="AR81" s="9">
        <v>0</v>
      </c>
      <c r="AS81" s="9">
        <v>1</v>
      </c>
      <c r="AT81" s="9">
        <v>0</v>
      </c>
      <c r="AU81" s="9">
        <v>0</v>
      </c>
      <c r="AV81" s="9">
        <v>0</v>
      </c>
      <c r="AW81" s="9">
        <v>1</v>
      </c>
      <c r="AX81" s="9">
        <v>0</v>
      </c>
      <c r="AY81" s="9">
        <v>1</v>
      </c>
      <c r="AZ81" s="9">
        <v>0</v>
      </c>
      <c r="BA81" s="9">
        <v>1</v>
      </c>
      <c r="BB81" s="9">
        <v>1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f xml:space="preserve"> IF(CABLES[[#This Row],[SEG1]] &gt;0, INDEX(SEGMENTS[], MATCH(CABLES[[#Headers],[SEG1]],SEGMENTS[SEG_ID],0),4),0)</f>
        <v>0</v>
      </c>
      <c r="BN81" s="9">
        <f xml:space="preserve"> IF(CABLES[[#This Row],[SEG2]] &gt;0, INDEX(SEGMENTS[], MATCH(CABLES[[#Headers],[SEG2]],SEGMENTS[SEG_ID],0),4),0)</f>
        <v>0</v>
      </c>
      <c r="BO81" s="9">
        <f xml:space="preserve"> IF(CABLES[[#This Row],[SEG3]] &gt;0, INDEX(SEGMENTS[], MATCH(CABLES[[#Headers],[SEG3]],SEGMENTS[SEG_ID],0),4),0)</f>
        <v>0</v>
      </c>
      <c r="BP81" s="9">
        <f xml:space="preserve"> IF(CABLES[[#This Row],[SEG4]] &gt;0, INDEX(SEGMENTS[], MATCH(CABLES[[#Headers],[SEG4]],SEGMENTS[SEG_ID],0),4),0)</f>
        <v>0</v>
      </c>
      <c r="BQ81" s="9">
        <f xml:space="preserve"> IF(CABLES[[#This Row],[SEG5]] &gt;0,INDEX(SEGMENTS[], MATCH(CABLES[[#Headers],[SEG5]],SEGMENTS[SEG_ID],0),4),0)</f>
        <v>0</v>
      </c>
      <c r="BR81" s="9">
        <f xml:space="preserve"> IF(CABLES[[#This Row],[SEG6]] &gt;0,INDEX(SEGMENTS[], MATCH(CABLES[[#Headers],[SEG6]],SEGMENTS[SEG_ID],0),4),0)</f>
        <v>0</v>
      </c>
      <c r="BS81" s="9">
        <f xml:space="preserve"> IF(CABLES[[#This Row],[SEG7]] &gt;0,INDEX(SEGMENTS[], MATCH(CABLES[[#Headers],[SEG7]],SEGMENTS[SEG_ID],0),4),0)</f>
        <v>0</v>
      </c>
      <c r="BT81" s="9">
        <f xml:space="preserve"> IF(CABLES[[#This Row],[SEG8]] &gt;0,INDEX(SEGMENTS[], MATCH(CABLES[[#Headers],[SEG8]],SEGMENTS[SEG_ID],0),4),0)</f>
        <v>0</v>
      </c>
      <c r="BU81" s="9">
        <f xml:space="preserve"> IF(CABLES[[#This Row],[SEG9]] &gt;0,INDEX(SEGMENTS[], MATCH(CABLES[[#Headers],[SEG9]],SEGMENTS[SEG_ID],0),4),0)</f>
        <v>0</v>
      </c>
      <c r="BV81" s="9">
        <f xml:space="preserve"> IF(CABLES[[#This Row],[SEG10]] &gt;0,INDEX(SEGMENTS[], MATCH(CABLES[[#Headers],[SEG10]],SEGMENTS[SEG_ID],0),4),0)</f>
        <v>0</v>
      </c>
      <c r="BW81" s="9">
        <f xml:space="preserve"> IF(CABLES[[#This Row],[SEG11]] &gt;0,INDEX(SEGMENTS[], MATCH(CABLES[[#Headers],[SEG11]],SEGMENTS[SEG_ID],0),4),0)</f>
        <v>0</v>
      </c>
      <c r="BX81" s="9">
        <f>IF(CABLES[[#This Row],[SEG12]] &gt;0, INDEX(SEGMENTS[], MATCH(CABLES[[#Headers],[SEG12]],SEGMENTS[SEG_ID],0),4),0)</f>
        <v>0</v>
      </c>
      <c r="BY81" s="9">
        <f xml:space="preserve"> IF(CABLES[[#This Row],[SEG13]] &gt;0,INDEX(SEGMENTS[], MATCH(CABLES[[#Headers],[SEG13]],SEGMENTS[SEG_ID],0),4),0)</f>
        <v>0</v>
      </c>
      <c r="BZ81" s="9">
        <f xml:space="preserve"> IF(CABLES[[#This Row],[SEG14]] &gt;0,INDEX(SEGMENTS[], MATCH(CABLES[[#Headers],[SEG14]],SEGMENTS[SEG_ID],0),4),0)</f>
        <v>0</v>
      </c>
      <c r="CA81" s="9">
        <f xml:space="preserve"> IF(CABLES[[#This Row],[SEG15]] &gt;0,INDEX(SEGMENTS[], MATCH(CABLES[[#Headers],[SEG15]],SEGMENTS[SEG_ID],0),4),0)</f>
        <v>0</v>
      </c>
      <c r="CB81" s="9">
        <f xml:space="preserve"> IF(CABLES[[#This Row],[SEG16]] &gt;0,INDEX(SEGMENTS[], MATCH(CABLES[[#Headers],[SEG16]],SEGMENTS[SEG_ID],0),4),0)</f>
        <v>0</v>
      </c>
      <c r="CC81" s="9">
        <f xml:space="preserve"> IF(CABLES[[#This Row],[SEG17]] &gt;0,INDEX(SEGMENTS[], MATCH(CABLES[[#Headers],[SEG17]],SEGMENTS[SEG_ID],0),4),0)</f>
        <v>0</v>
      </c>
      <c r="CD81" s="9">
        <f xml:space="preserve"> IF(CABLES[[#This Row],[SEG18]] &gt;0,INDEX(SEGMENTS[], MATCH(CABLES[[#Headers],[SEG18]],SEGMENTS[SEG_ID],0),4),0)</f>
        <v>0</v>
      </c>
      <c r="CE81" s="9">
        <f>IF(CABLES[[#This Row],[SEG19]] &gt;0, INDEX(SEGMENTS[], MATCH(CABLES[[#Headers],[SEG19]],SEGMENTS[SEG_ID],0),4),0)</f>
        <v>0</v>
      </c>
      <c r="CF81" s="9">
        <f>IF(CABLES[[#This Row],[SEG20]] &gt;0, INDEX(SEGMENTS[], MATCH(CABLES[[#Headers],[SEG20]],SEGMENTS[SEG_ID],0),4),0)</f>
        <v>0</v>
      </c>
      <c r="CG81" s="9">
        <f xml:space="preserve"> IF(CABLES[[#This Row],[SEG21]] &gt;0,INDEX(SEGMENTS[], MATCH(CABLES[[#Headers],[SEG21]],SEGMENTS[SEG_ID],0),4),0)</f>
        <v>0</v>
      </c>
      <c r="CH81" s="9">
        <f xml:space="preserve"> IF(CABLES[[#This Row],[SEG22]] &gt;0,INDEX(SEGMENTS[], MATCH(CABLES[[#Headers],[SEG22]],SEGMENTS[SEG_ID],0),4),0)</f>
        <v>0</v>
      </c>
      <c r="CI81" s="9">
        <f>IF(CABLES[[#This Row],[SEG23]] &gt;0, INDEX(SEGMENTS[], MATCH(CABLES[[#Headers],[SEG23]],SEGMENTS[SEG_ID],0),4),0)</f>
        <v>0</v>
      </c>
      <c r="CJ81" s="9">
        <f xml:space="preserve"> IF(CABLES[[#This Row],[SEG24]] &gt;0,INDEX(SEGMENTS[], MATCH(CABLES[[#Headers],[SEG24]],SEGMENTS[SEG_ID],0),4),0)</f>
        <v>0</v>
      </c>
      <c r="CK81" s="9">
        <f>IF(CABLES[[#This Row],[SEG25]] &gt;0, INDEX(SEGMENTS[], MATCH(CABLES[[#Headers],[SEG25]],SEGMENTS[SEG_ID],0),4),0)</f>
        <v>0</v>
      </c>
      <c r="CL81" s="9">
        <f>IF(CABLES[[#This Row],[SEG26]] &gt;0, INDEX(SEGMENTS[], MATCH(CABLES[[#Headers],[SEG26]],SEGMENTS[SEG_ID],0),4),0)</f>
        <v>0</v>
      </c>
      <c r="CM81" s="9">
        <f xml:space="preserve"> IF(CABLES[[#This Row],[SEG27]] &gt;0,INDEX(SEGMENTS[], MATCH(CABLES[[#Headers],[SEG27]],SEGMENTS[SEG_ID],0),4),0)</f>
        <v>0</v>
      </c>
      <c r="CN81" s="9">
        <f xml:space="preserve"> IF(CABLES[[#This Row],[SEG28]] &gt;0,INDEX(SEGMENTS[], MATCH(CABLES[[#Headers],[SEG28]],SEGMENTS[SEG_ID],0),4),0)</f>
        <v>0</v>
      </c>
      <c r="CO81" s="9">
        <f xml:space="preserve"> IF(CABLES[[#This Row],[SEG29]] &gt;0,INDEX(SEGMENTS[], MATCH(CABLES[[#Headers],[SEG29]],SEGMENTS[SEG_ID],0),4),0)</f>
        <v>0</v>
      </c>
      <c r="CP81" s="9">
        <f xml:space="preserve"> IF(CABLES[[#This Row],[SEG30]] &gt;0,INDEX(SEGMENTS[], MATCH(CABLES[[#Headers],[SEG30]],SEGMENTS[SEG_ID],0),4),0)</f>
        <v>6</v>
      </c>
      <c r="CQ81" s="9">
        <f>IF(CABLES[[#This Row],[SEG31]] &gt;0, INDEX(SEGMENTS[], MATCH(CABLES[[#Headers],[SEG31]],SEGMENTS[SEG_ID],0),4),0)</f>
        <v>3</v>
      </c>
      <c r="CR81" s="9">
        <f xml:space="preserve"> IF(CABLES[[#This Row],[SEG32]] &gt;0,INDEX(SEGMENTS[], MATCH(CABLES[[#Headers],[SEG32]],SEGMENTS[SEG_ID],0),4),0)</f>
        <v>0</v>
      </c>
      <c r="CS81" s="9">
        <f xml:space="preserve"> IF(CABLES[[#This Row],[SEG33]] &gt;0,INDEX(SEGMENTS[], MATCH(CABLES[[#Headers],[SEG33]],SEGMENTS[SEG_ID],0),4),0)</f>
        <v>0</v>
      </c>
      <c r="CT81" s="9">
        <f>IF(CABLES[[#This Row],[SEG34]] &gt;0, INDEX(SEGMENTS[], MATCH(CABLES[[#Headers],[SEG34]],SEGMENTS[SEG_ID],0),4),0)</f>
        <v>0</v>
      </c>
      <c r="CU81" s="9">
        <f xml:space="preserve"> IF(CABLES[[#This Row],[SEG35]] &gt;0,INDEX(SEGMENTS[], MATCH(CABLES[[#Headers],[SEG35]],SEGMENTS[SEG_ID],0),4),0)</f>
        <v>0</v>
      </c>
      <c r="CV81" s="9">
        <f xml:space="preserve"> IF(CABLES[[#This Row],[SEG36]] &gt;0,INDEX(SEGMENTS[], MATCH(CABLES[[#Headers],[SEG36]],SEGMENTS[SEG_ID],0),4),0)</f>
        <v>0</v>
      </c>
      <c r="CW81" s="9">
        <f xml:space="preserve"> IF(CABLES[[#This Row],[SEG37]] &gt;0,INDEX(SEGMENTS[], MATCH(CABLES[[#Headers],[SEG37]],SEGMENTS[SEG_ID],0),4),0)</f>
        <v>0</v>
      </c>
      <c r="CX81" s="9">
        <f xml:space="preserve"> IF(CABLES[[#This Row],[SEG38]] &gt;0,INDEX(SEGMENTS[], MATCH(CABLES[[#Headers],[SEG38]],SEGMENTS[SEG_ID],0),4),0)</f>
        <v>0</v>
      </c>
      <c r="CY81" s="9">
        <f xml:space="preserve"> IF(CABLES[[#This Row],[SEG39]] &gt;0,INDEX(SEGMENTS[], MATCH(CABLES[[#Headers],[SEG39]],SEGMENTS[SEG_ID],0),4),0)</f>
        <v>8</v>
      </c>
      <c r="CZ81" s="9">
        <f xml:space="preserve"> IF(CABLES[[#This Row],[SEG40]] &gt;0,INDEX(SEGMENTS[], MATCH(CABLES[[#Headers],[SEG40]],SEGMENTS[SEG_ID],0),4),0)</f>
        <v>0</v>
      </c>
      <c r="DA81" s="9">
        <f xml:space="preserve"> IF(CABLES[[#This Row],[SEG41]] &gt;0,INDEX(SEGMENTS[], MATCH(CABLES[[#Headers],[SEG41]],SEGMENTS[SEG_ID],0),4),0)</f>
        <v>8</v>
      </c>
      <c r="DB81" s="9">
        <f xml:space="preserve"> IF(CABLES[[#This Row],[SEG42]] &gt;0,INDEX(SEGMENTS[], MATCH(CABLES[[#Headers],[SEG42]],SEGMENTS[SEG_ID],0),4),0)</f>
        <v>0</v>
      </c>
      <c r="DC81" s="9">
        <f xml:space="preserve"> IF(CABLES[[#This Row],[SEG43]] &gt;0,INDEX(SEGMENTS[], MATCH(CABLES[[#Headers],[SEG43]],SEGMENTS[SEG_ID],0),4),0)</f>
        <v>0</v>
      </c>
      <c r="DD81" s="9">
        <f xml:space="preserve"> IF(CABLES[[#This Row],[SEG44]] &gt;0,INDEX(SEGMENTS[], MATCH(CABLES[[#Headers],[SEG44]],SEGMENTS[SEG_ID],0),4),0)</f>
        <v>0</v>
      </c>
      <c r="DE81" s="9">
        <f xml:space="preserve"> IF(CABLES[[#This Row],[SEG45]] &gt;0,INDEX(SEGMENTS[], MATCH(CABLES[[#Headers],[SEG45]],SEGMENTS[SEG_ID],0),4),0)</f>
        <v>9</v>
      </c>
      <c r="DF81" s="9">
        <f xml:space="preserve"> IF(CABLES[[#This Row],[SEG46]] &gt;0,INDEX(SEGMENTS[], MATCH(CABLES[[#Headers],[SEG46]],SEGMENTS[SEG_ID],0),4),0)</f>
        <v>0</v>
      </c>
      <c r="DG81" s="9">
        <f xml:space="preserve"> IF(CABLES[[#This Row],[SEG47]] &gt;0,INDEX(SEGMENTS[], MATCH(CABLES[[#Headers],[SEG47]],SEGMENTS[SEG_ID],0),4),0)</f>
        <v>12</v>
      </c>
      <c r="DH81" s="9">
        <f xml:space="preserve"> IF(CABLES[[#This Row],[SEG48]] &gt;0,INDEX(SEGMENTS[], MATCH(CABLES[[#Headers],[SEG48]],SEGMENTS[SEG_ID],0),4),0)</f>
        <v>0</v>
      </c>
      <c r="DI81" s="9">
        <f xml:space="preserve"> IF(CABLES[[#This Row],[SEG49]] &gt;0,INDEX(SEGMENTS[], MATCH(CABLES[[#Headers],[SEG49]],SEGMENTS[SEG_ID],0),4),0)</f>
        <v>20</v>
      </c>
      <c r="DJ81" s="9">
        <f xml:space="preserve"> IF(CABLES[[#This Row],[SEG50]] &gt;0,INDEX(SEGMENTS[], MATCH(CABLES[[#Headers],[SEG50]],SEGMENTS[SEG_ID],0),4),0)</f>
        <v>17</v>
      </c>
      <c r="DK81" s="9">
        <f xml:space="preserve"> IF(CABLES[[#This Row],[SEG51]] &gt;0,INDEX(SEGMENTS[], MATCH(CABLES[[#Headers],[SEG51]],SEGMENTS[SEG_ID],0),4),0)</f>
        <v>0</v>
      </c>
      <c r="DL81" s="9">
        <f xml:space="preserve"> IF(CABLES[[#This Row],[SEG52]] &gt;0,INDEX(SEGMENTS[], MATCH(CABLES[[#Headers],[SEG52]],SEGMENTS[SEG_ID],0),4),0)</f>
        <v>0</v>
      </c>
      <c r="DM81" s="9">
        <f xml:space="preserve"> IF(CABLES[[#This Row],[SEG53]] &gt;0,INDEX(SEGMENTS[], MATCH(CABLES[[#Headers],[SEG53]],SEGMENTS[SEG_ID],0),4),0)</f>
        <v>0</v>
      </c>
      <c r="DN81" s="9">
        <f xml:space="preserve"> IF(CABLES[[#This Row],[SEG54]] &gt;0,INDEX(SEGMENTS[], MATCH(CABLES[[#Headers],[SEG54]],SEGMENTS[SEG_ID],0),4),0)</f>
        <v>0</v>
      </c>
      <c r="DO81" s="9">
        <f xml:space="preserve"> IF(CABLES[[#This Row],[SEG55]] &gt;0,INDEX(SEGMENTS[], MATCH(CABLES[[#Headers],[SEG55]],SEGMENTS[SEG_ID],0),4),0)</f>
        <v>0</v>
      </c>
      <c r="DP81" s="9">
        <f xml:space="preserve"> IF(CABLES[[#This Row],[SEG56]] &gt;0,INDEX(SEGMENTS[], MATCH(CABLES[[#Headers],[SEG56]],SEGMENTS[SEG_ID],0),4),0)</f>
        <v>0</v>
      </c>
      <c r="DQ81" s="9">
        <f xml:space="preserve"> IF(CABLES[[#This Row],[SEG57]] &gt;0,INDEX(SEGMENTS[], MATCH(CABLES[[#Headers],[SEG57]],SEGMENTS[SEG_ID],0),4),0)</f>
        <v>0</v>
      </c>
      <c r="DR81" s="9">
        <f xml:space="preserve"> IF(CABLES[[#This Row],[SEG58]] &gt;0,INDEX(SEGMENTS[], MATCH(CABLES[[#Headers],[SEG58]],SEGMENTS[SEG_ID],0),4),0)</f>
        <v>0</v>
      </c>
      <c r="DS81" s="9">
        <f xml:space="preserve"> IF(CABLES[[#This Row],[SEG59]] &gt;0,INDEX(SEGMENTS[], MATCH(CABLES[[#Headers],[SEG59]],SEGMENTS[SEG_ID],0),4),0)</f>
        <v>0</v>
      </c>
      <c r="DT81" s="9">
        <f xml:space="preserve"> IF(CABLES[[#This Row],[SEG60]] &gt;0,INDEX(SEGMENTS[], MATCH(CABLES[[#Headers],[SEG60]],SEGMENTS[SEG_ID],0),4),0)</f>
        <v>0</v>
      </c>
      <c r="DU81" s="10">
        <f>SUM(CABLES[[#This Row],[SEGL1]:[SEGL60]])</f>
        <v>83</v>
      </c>
      <c r="DV81" s="10">
        <v>5</v>
      </c>
      <c r="DW81" s="10">
        <v>1.2</v>
      </c>
      <c r="DX81" s="10">
        <f xml:space="preserve"> IF(CABLES[[#This Row],[SEGL_TOTAL]]&gt;0, (CABLES[[#This Row],[SEGL_TOTAL]] + CABLES[[#This Row],[FITOFF]]) *CABLES[[#This Row],[XCAPACITY]],0)</f>
        <v>105.6</v>
      </c>
      <c r="DY81" s="10">
        <f>IF(CABLES[[#This Row],[SEG1]]&gt;0,CABLES[[#This Row],[CABLE_DIAMETER]],0)</f>
        <v>0</v>
      </c>
      <c r="DZ81" s="10">
        <f>IF(CABLES[[#This Row],[SEG2]]&gt;0,CABLES[[#This Row],[CABLE_DIAMETER]],0)</f>
        <v>0</v>
      </c>
      <c r="EA81" s="10">
        <f>IF(CABLES[[#This Row],[SEG3]]&gt;0,CABLES[[#This Row],[CABLE_DIAMETER]],0)</f>
        <v>0</v>
      </c>
      <c r="EB81" s="10">
        <f>IF(CABLES[[#This Row],[SEG4]]&gt;0,CABLES[[#This Row],[CABLE_DIAMETER]],0)</f>
        <v>0</v>
      </c>
      <c r="EC81" s="10">
        <f>IF(CABLES[[#This Row],[SEG5]]&gt;0,CABLES[[#This Row],[CABLE_DIAMETER]],0)</f>
        <v>0</v>
      </c>
      <c r="ED81" s="10">
        <f>IF(CABLES[[#This Row],[SEG6]]&gt;0,CABLES[[#This Row],[CABLE_DIAMETER]],0)</f>
        <v>0</v>
      </c>
      <c r="EE81" s="10">
        <f>IF(CABLES[[#This Row],[SEG7]]&gt;0,CABLES[[#This Row],[CABLE_DIAMETER]],0)</f>
        <v>0</v>
      </c>
      <c r="EF81" s="10">
        <f>IF(CABLES[[#This Row],[SEG9]]&gt;0,CABLES[[#This Row],[CABLE_DIAMETER]],0)</f>
        <v>0</v>
      </c>
      <c r="EG81" s="10">
        <f>IF(CABLES[[#This Row],[SEG9]]&gt;0,CABLES[[#This Row],[CABLE_DIAMETER]],0)</f>
        <v>0</v>
      </c>
      <c r="EH81" s="10">
        <f>IF(CABLES[[#This Row],[SEG10]]&gt;0,CABLES[[#This Row],[CABLE_DIAMETER]],0)</f>
        <v>0</v>
      </c>
      <c r="EI81" s="10">
        <f>IF(CABLES[[#This Row],[SEG11]]&gt;0,CABLES[[#This Row],[CABLE_DIAMETER]],0)</f>
        <v>0</v>
      </c>
      <c r="EJ81" s="10">
        <f>IF(CABLES[[#This Row],[SEG12]]&gt;0,CABLES[[#This Row],[CABLE_DIAMETER]],0)</f>
        <v>0</v>
      </c>
      <c r="EK81" s="10">
        <f>IF(CABLES[[#This Row],[SEG13]]&gt;0,CABLES[[#This Row],[CABLE_DIAMETER]],0)</f>
        <v>0</v>
      </c>
      <c r="EL81" s="10">
        <f>IF(CABLES[[#This Row],[SEG14]]&gt;0,CABLES[[#This Row],[CABLE_DIAMETER]],0)</f>
        <v>0</v>
      </c>
      <c r="EM81" s="10">
        <f>IF(CABLES[[#This Row],[SEG15]]&gt;0,CABLES[[#This Row],[CABLE_DIAMETER]],0)</f>
        <v>0</v>
      </c>
      <c r="EN81" s="10">
        <f>IF(CABLES[[#This Row],[SEG16]]&gt;0,CABLES[[#This Row],[CABLE_DIAMETER]],0)</f>
        <v>0</v>
      </c>
      <c r="EO81" s="10">
        <f>IF(CABLES[[#This Row],[SEG17]]&gt;0,CABLES[[#This Row],[CABLE_DIAMETER]],0)</f>
        <v>0</v>
      </c>
      <c r="EP81" s="10">
        <f>IF(CABLES[[#This Row],[SEG18]]&gt;0,CABLES[[#This Row],[CABLE_DIAMETER]],0)</f>
        <v>0</v>
      </c>
      <c r="EQ81" s="10">
        <f>IF(CABLES[[#This Row],[SEG19]]&gt;0,CABLES[[#This Row],[CABLE_DIAMETER]],0)</f>
        <v>0</v>
      </c>
      <c r="ER81" s="10">
        <f>IF(CABLES[[#This Row],[SEG20]]&gt;0,CABLES[[#This Row],[CABLE_DIAMETER]],0)</f>
        <v>0</v>
      </c>
      <c r="ES81" s="10">
        <f>IF(CABLES[[#This Row],[SEG21]]&gt;0,CABLES[[#This Row],[CABLE_DIAMETER]],0)</f>
        <v>0</v>
      </c>
      <c r="ET81" s="10">
        <f>IF(CABLES[[#This Row],[SEG22]]&gt;0,CABLES[[#This Row],[CABLE_DIAMETER]],0)</f>
        <v>0</v>
      </c>
      <c r="EU81" s="10">
        <f>IF(CABLES[[#This Row],[SEG23]]&gt;0,CABLES[[#This Row],[CABLE_DIAMETER]],0)</f>
        <v>0</v>
      </c>
      <c r="EV81" s="10">
        <f>IF(CABLES[[#This Row],[SEG24]]&gt;0,CABLES[[#This Row],[CABLE_DIAMETER]],0)</f>
        <v>0</v>
      </c>
      <c r="EW81" s="10">
        <f>IF(CABLES[[#This Row],[SEG25]]&gt;0,CABLES[[#This Row],[CABLE_DIAMETER]],0)</f>
        <v>0</v>
      </c>
      <c r="EX81" s="10">
        <f>IF(CABLES[[#This Row],[SEG26]]&gt;0,CABLES[[#This Row],[CABLE_DIAMETER]],0)</f>
        <v>0</v>
      </c>
      <c r="EY81" s="10">
        <f>IF(CABLES[[#This Row],[SEG27]]&gt;0,CABLES[[#This Row],[CABLE_DIAMETER]],0)</f>
        <v>0</v>
      </c>
      <c r="EZ81" s="10">
        <f>IF(CABLES[[#This Row],[SEG28]]&gt;0,CABLES[[#This Row],[CABLE_DIAMETER]],0)</f>
        <v>0</v>
      </c>
      <c r="FA81" s="10">
        <f>IF(CABLES[[#This Row],[SEG29]]&gt;0,CABLES[[#This Row],[CABLE_DIAMETER]],0)</f>
        <v>0</v>
      </c>
      <c r="FB81" s="10">
        <f>IF(CABLES[[#This Row],[SEG30]]&gt;0,CABLES[[#This Row],[CABLE_DIAMETER]],0)</f>
        <v>12</v>
      </c>
      <c r="FC81" s="10">
        <f>IF(CABLES[[#This Row],[SEG31]]&gt;0,CABLES[[#This Row],[CABLE_DIAMETER]],0)</f>
        <v>12</v>
      </c>
      <c r="FD81" s="10">
        <f>IF(CABLES[[#This Row],[SEG32]]&gt;0,CABLES[[#This Row],[CABLE_DIAMETER]],0)</f>
        <v>0</v>
      </c>
      <c r="FE81" s="10">
        <f>IF(CABLES[[#This Row],[SEG33]]&gt;0,CABLES[[#This Row],[CABLE_DIAMETER]],0)</f>
        <v>0</v>
      </c>
      <c r="FF81" s="10">
        <f>IF(CABLES[[#This Row],[SEG34]]&gt;0,CABLES[[#This Row],[CABLE_DIAMETER]],0)</f>
        <v>0</v>
      </c>
      <c r="FG81" s="10">
        <f>IF(CABLES[[#This Row],[SEG35]]&gt;0,CABLES[[#This Row],[CABLE_DIAMETER]],0)</f>
        <v>0</v>
      </c>
      <c r="FH81" s="10">
        <f>IF(CABLES[[#This Row],[SEG36]]&gt;0,CABLES[[#This Row],[CABLE_DIAMETER]],0)</f>
        <v>0</v>
      </c>
      <c r="FI81" s="10">
        <f>IF(CABLES[[#This Row],[SEG37]]&gt;0,CABLES[[#This Row],[CABLE_DIAMETER]],0)</f>
        <v>0</v>
      </c>
      <c r="FJ81" s="10">
        <f>IF(CABLES[[#This Row],[SEG38]]&gt;0,CABLES[[#This Row],[CABLE_DIAMETER]],0)</f>
        <v>0</v>
      </c>
      <c r="FK81" s="10">
        <f>IF(CABLES[[#This Row],[SEG39]]&gt;0,CABLES[[#This Row],[CABLE_DIAMETER]],0)</f>
        <v>12</v>
      </c>
      <c r="FL81" s="10">
        <f>IF(CABLES[[#This Row],[SEG40]]&gt;0,CABLES[[#This Row],[CABLE_DIAMETER]],0)</f>
        <v>0</v>
      </c>
      <c r="FM81" s="10">
        <f>IF(CABLES[[#This Row],[SEG41]]&gt;0,CABLES[[#This Row],[CABLE_DIAMETER]],0)</f>
        <v>12</v>
      </c>
      <c r="FN81" s="10">
        <f>IF(CABLES[[#This Row],[SEG42]]&gt;0,CABLES[[#This Row],[CABLE_DIAMETER]],0)</f>
        <v>0</v>
      </c>
      <c r="FO81" s="10">
        <f>IF(CABLES[[#This Row],[SEG43]]&gt;0,CABLES[[#This Row],[CABLE_DIAMETER]],0)</f>
        <v>0</v>
      </c>
      <c r="FP81" s="10">
        <f>IF(CABLES[[#This Row],[SEG44]]&gt;0,CABLES[[#This Row],[CABLE_DIAMETER]],0)</f>
        <v>0</v>
      </c>
      <c r="FQ81" s="10">
        <f>IF(CABLES[[#This Row],[SEG45]]&gt;0,CABLES[[#This Row],[CABLE_DIAMETER]],0)</f>
        <v>12</v>
      </c>
      <c r="FR81" s="10">
        <f>IF(CABLES[[#This Row],[SEG46]]&gt;0,CABLES[[#This Row],[CABLE_DIAMETER]],0)</f>
        <v>0</v>
      </c>
      <c r="FS81" s="10">
        <f>IF(CABLES[[#This Row],[SEG47]]&gt;0,CABLES[[#This Row],[CABLE_DIAMETER]],0)</f>
        <v>12</v>
      </c>
      <c r="FT81" s="10">
        <f>IF(CABLES[[#This Row],[SEG48]]&gt;0,CABLES[[#This Row],[CABLE_DIAMETER]],0)</f>
        <v>0</v>
      </c>
      <c r="FU81" s="10">
        <f>IF(CABLES[[#This Row],[SEG49]]&gt;0,CABLES[[#This Row],[CABLE_DIAMETER]],0)</f>
        <v>12</v>
      </c>
      <c r="FV81" s="10">
        <f>IF(CABLES[[#This Row],[SEG50]]&gt;0,CABLES[[#This Row],[CABLE_DIAMETER]],0)</f>
        <v>12</v>
      </c>
      <c r="FW81" s="10">
        <f>IF(CABLES[[#This Row],[SEG51]]&gt;0,CABLES[[#This Row],[CABLE_DIAMETER]],0)</f>
        <v>0</v>
      </c>
      <c r="FX81" s="10">
        <f>IF(CABLES[[#This Row],[SEG52]]&gt;0,CABLES[[#This Row],[CABLE_DIAMETER]],0)</f>
        <v>0</v>
      </c>
      <c r="FY81" s="10">
        <f>IF(CABLES[[#This Row],[SEG53]]&gt;0,CABLES[[#This Row],[CABLE_DIAMETER]],0)</f>
        <v>0</v>
      </c>
      <c r="FZ81" s="10">
        <f>IF(CABLES[[#This Row],[SEG54]]&gt;0,CABLES[[#This Row],[CABLE_DIAMETER]],0)</f>
        <v>0</v>
      </c>
      <c r="GA81" s="10">
        <f>IF(CABLES[[#This Row],[SEG55]]&gt;0,CABLES[[#This Row],[CABLE_DIAMETER]],0)</f>
        <v>0</v>
      </c>
      <c r="GB81" s="10">
        <f>IF(CABLES[[#This Row],[SEG56]]&gt;0,CABLES[[#This Row],[CABLE_DIAMETER]],0)</f>
        <v>0</v>
      </c>
      <c r="GC81" s="10">
        <f>IF(CABLES[[#This Row],[SEG57]]&gt;0,CABLES[[#This Row],[CABLE_DIAMETER]],0)</f>
        <v>0</v>
      </c>
      <c r="GD81" s="10">
        <f>IF(CABLES[[#This Row],[SEG58]]&gt;0,CABLES[[#This Row],[CABLE_DIAMETER]],0)</f>
        <v>0</v>
      </c>
      <c r="GE81" s="10">
        <f>IF(CABLES[[#This Row],[SEG59]]&gt;0,CABLES[[#This Row],[CABLE_DIAMETER]],0)</f>
        <v>0</v>
      </c>
      <c r="GF81" s="10">
        <f>IF(CABLES[[#This Row],[SEG60]]&gt;0,CABLES[[#This Row],[CABLE_DIAMETER]],0)</f>
        <v>0</v>
      </c>
      <c r="GG81" s="10">
        <f>IF(CABLES[[#This Row],[SEG1]]&gt;0,CABLES[[#This Row],[CABLE_MASS]],0)</f>
        <v>0</v>
      </c>
      <c r="GH81" s="10">
        <f>IF(CABLES[[#This Row],[SEG2]]&gt;0,CABLES[[#This Row],[CABLE_MASS]],0)</f>
        <v>0</v>
      </c>
      <c r="GI81" s="10">
        <f>IF(CABLES[[#This Row],[SEG3]]&gt;0,CABLES[[#This Row],[CABLE_MASS]],0)</f>
        <v>0</v>
      </c>
      <c r="GJ81" s="10">
        <f>IF(CABLES[[#This Row],[SEG4]]&gt;0,CABLES[[#This Row],[CABLE_MASS]],0)</f>
        <v>0</v>
      </c>
      <c r="GK81" s="10">
        <f>IF(CABLES[[#This Row],[SEG5]]&gt;0,CABLES[[#This Row],[CABLE_MASS]],0)</f>
        <v>0</v>
      </c>
      <c r="GL81" s="10">
        <f>IF(CABLES[[#This Row],[SEG6]]&gt;0,CABLES[[#This Row],[CABLE_MASS]],0)</f>
        <v>0</v>
      </c>
      <c r="GM81" s="10">
        <f>IF(CABLES[[#This Row],[SEG7]]&gt;0,CABLES[[#This Row],[CABLE_MASS]],0)</f>
        <v>0</v>
      </c>
      <c r="GN81" s="10">
        <f>IF(CABLES[[#This Row],[SEG8]]&gt;0,CABLES[[#This Row],[CABLE_MASS]],0)</f>
        <v>0</v>
      </c>
      <c r="GO81" s="10">
        <f>IF(CABLES[[#This Row],[SEG9]]&gt;0,CABLES[[#This Row],[CABLE_MASS]],0)</f>
        <v>0</v>
      </c>
      <c r="GP81" s="10">
        <f>IF(CABLES[[#This Row],[SEG10]]&gt;0,CABLES[[#This Row],[CABLE_MASS]],0)</f>
        <v>0</v>
      </c>
      <c r="GQ81" s="10">
        <f>IF(CABLES[[#This Row],[SEG11]]&gt;0,CABLES[[#This Row],[CABLE_MASS]],0)</f>
        <v>0</v>
      </c>
      <c r="GR81" s="10">
        <f>IF(CABLES[[#This Row],[SEG12]]&gt;0,CABLES[[#This Row],[CABLE_MASS]],0)</f>
        <v>0</v>
      </c>
      <c r="GS81" s="10">
        <f>IF(CABLES[[#This Row],[SEG13]]&gt;0,CABLES[[#This Row],[CABLE_MASS]],0)</f>
        <v>0</v>
      </c>
      <c r="GT81" s="10">
        <f>IF(CABLES[[#This Row],[SEG14]]&gt;0,CABLES[[#This Row],[CABLE_MASS]],0)</f>
        <v>0</v>
      </c>
      <c r="GU81" s="10">
        <f>IF(CABLES[[#This Row],[SEG15]]&gt;0,CABLES[[#This Row],[CABLE_MASS]],0)</f>
        <v>0</v>
      </c>
      <c r="GV81" s="10">
        <f>IF(CABLES[[#This Row],[SEG16]]&gt;0,CABLES[[#This Row],[CABLE_MASS]],0)</f>
        <v>0</v>
      </c>
      <c r="GW81" s="10">
        <f>IF(CABLES[[#This Row],[SEG17]]&gt;0,CABLES[[#This Row],[CABLE_MASS]],0)</f>
        <v>0</v>
      </c>
      <c r="GX81" s="10">
        <f>IF(CABLES[[#This Row],[SEG18]]&gt;0,CABLES[[#This Row],[CABLE_MASS]],0)</f>
        <v>0</v>
      </c>
      <c r="GY81" s="10">
        <f>IF(CABLES[[#This Row],[SEG19]]&gt;0,CABLES[[#This Row],[CABLE_MASS]],0)</f>
        <v>0</v>
      </c>
      <c r="GZ81" s="10">
        <f>IF(CABLES[[#This Row],[SEG20]]&gt;0,CABLES[[#This Row],[CABLE_MASS]],0)</f>
        <v>0</v>
      </c>
      <c r="HA81" s="10">
        <f>IF(CABLES[[#This Row],[SEG21]]&gt;0,CABLES[[#This Row],[CABLE_MASS]],0)</f>
        <v>0</v>
      </c>
      <c r="HB81" s="10">
        <f>IF(CABLES[[#This Row],[SEG22]]&gt;0,CABLES[[#This Row],[CABLE_MASS]],0)</f>
        <v>0</v>
      </c>
      <c r="HC81" s="10">
        <f>IF(CABLES[[#This Row],[SEG23]]&gt;0,CABLES[[#This Row],[CABLE_MASS]],0)</f>
        <v>0</v>
      </c>
      <c r="HD81" s="10">
        <f>IF(CABLES[[#This Row],[SEG24]]&gt;0,CABLES[[#This Row],[CABLE_MASS]],0)</f>
        <v>0</v>
      </c>
      <c r="HE81" s="10">
        <f>IF(CABLES[[#This Row],[SEG25]]&gt;0,CABLES[[#This Row],[CABLE_MASS]],0)</f>
        <v>0</v>
      </c>
      <c r="HF81" s="10">
        <f>IF(CABLES[[#This Row],[SEG26]]&gt;0,CABLES[[#This Row],[CABLE_MASS]],0)</f>
        <v>0</v>
      </c>
      <c r="HG81" s="10">
        <f>IF(CABLES[[#This Row],[SEG27]]&gt;0,CABLES[[#This Row],[CABLE_MASS]],0)</f>
        <v>0</v>
      </c>
      <c r="HH81" s="10">
        <f>IF(CABLES[[#This Row],[SEG28]]&gt;0,CABLES[[#This Row],[CABLE_MASS]],0)</f>
        <v>0</v>
      </c>
      <c r="HI81" s="10">
        <f>IF(CABLES[[#This Row],[SEG29]]&gt;0,CABLES[[#This Row],[CABLE_MASS]],0)</f>
        <v>0</v>
      </c>
      <c r="HJ81" s="10">
        <f>IF(CABLES[[#This Row],[SEG30]]&gt;0,CABLES[[#This Row],[CABLE_MASS]],0)</f>
        <v>0.21</v>
      </c>
      <c r="HK81" s="10">
        <f>IF(CABLES[[#This Row],[SEG31]]&gt;0,CABLES[[#This Row],[CABLE_MASS]],0)</f>
        <v>0.21</v>
      </c>
      <c r="HL81" s="10">
        <f>IF(CABLES[[#This Row],[SEG32]]&gt;0,CABLES[[#This Row],[CABLE_MASS]],0)</f>
        <v>0</v>
      </c>
      <c r="HM81" s="10">
        <f>IF(CABLES[[#This Row],[SEG33]]&gt;0,CABLES[[#This Row],[CABLE_MASS]],0)</f>
        <v>0</v>
      </c>
      <c r="HN81" s="10">
        <f>IF(CABLES[[#This Row],[SEG34]]&gt;0,CABLES[[#This Row],[CABLE_MASS]],0)</f>
        <v>0</v>
      </c>
      <c r="HO81" s="10">
        <f>IF(CABLES[[#This Row],[SEG35]]&gt;0,CABLES[[#This Row],[CABLE_MASS]],0)</f>
        <v>0</v>
      </c>
      <c r="HP81" s="10">
        <f>IF(CABLES[[#This Row],[SEG36]]&gt;0,CABLES[[#This Row],[CABLE_MASS]],0)</f>
        <v>0</v>
      </c>
      <c r="HQ81" s="10">
        <f>IF(CABLES[[#This Row],[SEG37]]&gt;0,CABLES[[#This Row],[CABLE_MASS]],0)</f>
        <v>0</v>
      </c>
      <c r="HR81" s="10">
        <f>IF(CABLES[[#This Row],[SEG38]]&gt;0,CABLES[[#This Row],[CABLE_MASS]],0)</f>
        <v>0</v>
      </c>
      <c r="HS81" s="10">
        <f>IF(CABLES[[#This Row],[SEG39]]&gt;0,CABLES[[#This Row],[CABLE_MASS]],0)</f>
        <v>0.21</v>
      </c>
      <c r="HT81" s="10">
        <f>IF(CABLES[[#This Row],[SEG40]]&gt;0,CABLES[[#This Row],[CABLE_MASS]],0)</f>
        <v>0</v>
      </c>
      <c r="HU81" s="10">
        <f>IF(CABLES[[#This Row],[SEG41]]&gt;0,CABLES[[#This Row],[CABLE_MASS]],0)</f>
        <v>0.21</v>
      </c>
      <c r="HV81" s="10">
        <f>IF(CABLES[[#This Row],[SEG42]]&gt;0,CABLES[[#This Row],[CABLE_MASS]],0)</f>
        <v>0</v>
      </c>
      <c r="HW81" s="10">
        <f>IF(CABLES[[#This Row],[SEG43]]&gt;0,CABLES[[#This Row],[CABLE_MASS]],0)</f>
        <v>0</v>
      </c>
      <c r="HX81" s="10">
        <f>IF(CABLES[[#This Row],[SEG44]]&gt;0,CABLES[[#This Row],[CABLE_MASS]],0)</f>
        <v>0</v>
      </c>
      <c r="HY81" s="10">
        <f>IF(CABLES[[#This Row],[SEG45]]&gt;0,CABLES[[#This Row],[CABLE_MASS]],0)</f>
        <v>0.21</v>
      </c>
      <c r="HZ81" s="10">
        <f>IF(CABLES[[#This Row],[SEG46]]&gt;0,CABLES[[#This Row],[CABLE_MASS]],0)</f>
        <v>0</v>
      </c>
      <c r="IA81" s="10">
        <f>IF(CABLES[[#This Row],[SEG47]]&gt;0,CABLES[[#This Row],[CABLE_MASS]],0)</f>
        <v>0.21</v>
      </c>
      <c r="IB81" s="10">
        <f>IF(CABLES[[#This Row],[SEG48]]&gt;0,CABLES[[#This Row],[CABLE_MASS]],0)</f>
        <v>0</v>
      </c>
      <c r="IC81" s="10">
        <f>IF(CABLES[[#This Row],[SEG49]]&gt;0,CABLES[[#This Row],[CABLE_MASS]],0)</f>
        <v>0.21</v>
      </c>
      <c r="ID81" s="10">
        <f>IF(CABLES[[#This Row],[SEG50]]&gt;0,CABLES[[#This Row],[CABLE_MASS]],0)</f>
        <v>0.21</v>
      </c>
      <c r="IE81" s="10">
        <f>IF(CABLES[[#This Row],[SEG51]]&gt;0,CABLES[[#This Row],[CABLE_MASS]],0)</f>
        <v>0</v>
      </c>
      <c r="IF81" s="10">
        <f>IF(CABLES[[#This Row],[SEG52]]&gt;0,CABLES[[#This Row],[CABLE_MASS]],0)</f>
        <v>0</v>
      </c>
      <c r="IG81" s="10">
        <f>IF(CABLES[[#This Row],[SEG53]]&gt;0,CABLES[[#This Row],[CABLE_MASS]],0)</f>
        <v>0</v>
      </c>
      <c r="IH81" s="10">
        <f>IF(CABLES[[#This Row],[SEG54]]&gt;0,CABLES[[#This Row],[CABLE_MASS]],0)</f>
        <v>0</v>
      </c>
      <c r="II81" s="10">
        <f>IF(CABLES[[#This Row],[SEG55]]&gt;0,CABLES[[#This Row],[CABLE_MASS]],0)</f>
        <v>0</v>
      </c>
      <c r="IJ81" s="10">
        <f>IF(CABLES[[#This Row],[SEG56]]&gt;0,CABLES[[#This Row],[CABLE_MASS]],0)</f>
        <v>0</v>
      </c>
      <c r="IK81" s="10">
        <f>IF(CABLES[[#This Row],[SEG57]]&gt;0,CABLES[[#This Row],[CABLE_MASS]],0)</f>
        <v>0</v>
      </c>
      <c r="IL81" s="10">
        <f>IF(CABLES[[#This Row],[SEG58]]&gt;0,CABLES[[#This Row],[CABLE_MASS]],0)</f>
        <v>0</v>
      </c>
      <c r="IM81" s="10">
        <f>IF(CABLES[[#This Row],[SEG59]]&gt;0,CABLES[[#This Row],[CABLE_MASS]],0)</f>
        <v>0</v>
      </c>
      <c r="IN81" s="10">
        <f>IF(CABLES[[#This Row],[SEG60]]&gt;0,CABLES[[#This Row],[CABLE_MASS]],0)</f>
        <v>0</v>
      </c>
      <c r="IO81" s="10">
        <f xml:space="preserve">  (CABLES[[#This Row],[LOAD_KW]]/(SQRT(3)*SYSTEM_VOLTAGE*POWER_FACTOR))*1000</f>
        <v>6.4150029909958413</v>
      </c>
      <c r="IP81" s="10">
        <v>45</v>
      </c>
      <c r="IQ81" s="10">
        <f xml:space="preserve"> INDEX(AS3000_AMBIENTDERATE[], MATCH(CABLES[[#This Row],[AMBIENT]],AS3000_AMBIENTDERATE[AMBIENT],0), 2)</f>
        <v>0.94</v>
      </c>
      <c r="IR81" s="10">
        <f xml:space="preserve"> ROUNDUP( CABLES[[#This Row],[CALCULATED_AMPS]]/CABLES[[#This Row],[AMBIENT_DERATING]],1)</f>
        <v>6.8999999999999995</v>
      </c>
      <c r="IS81" s="10" t="s">
        <v>531</v>
      </c>
      <c r="IT81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1" s="10">
        <f t="shared" si="2"/>
        <v>28.000000000000004</v>
      </c>
      <c r="IV81" s="10">
        <f>(1000*CABLES[[#This Row],[MAX_VDROP]])/(CABLES[[#This Row],[ESTIMATED_CABLE_LENGTH]]*CABLES[[#This Row],[AMP_RATING]])</f>
        <v>38.427755819060181</v>
      </c>
      <c r="IW81" s="10">
        <f xml:space="preserve"> INDEX(AS3000_VDROP[], MATCH(CABLES[[#This Row],[VC_CALC]],AS3000_VDROP[Vc],1),1)</f>
        <v>2.5</v>
      </c>
      <c r="IX81" s="10">
        <f>MAX(CABLES[[#This Row],[CABLESIZE_METHOD1]],CABLES[[#This Row],[CABLESIZE_METHOD2]])</f>
        <v>2.5</v>
      </c>
      <c r="IY81" s="10"/>
      <c r="IZ81" s="10">
        <f>IF(LEN(CABLES[[#This Row],[OVERRIDE_CABLESIZE]])&gt;0,CABLES[[#This Row],[OVERRIDE_CABLESIZE]],CABLES[[#This Row],[INITIAL_CABLESIZE]])</f>
        <v>2.5</v>
      </c>
      <c r="JA81" s="10">
        <f>INDEX(PROTECTIVE_DEVICE[DEVICE], MATCH(CABLES[[#This Row],[CALCULATED_AMPS]],PROTECTIVE_DEVICE[DEVICE],-1),1)</f>
        <v>10</v>
      </c>
      <c r="JB81" s="10"/>
      <c r="JC81" s="10">
        <f>IF(LEN(CABLES[[#This Row],[OVERRIDE_PDEVICE]])&gt;0, CABLES[[#This Row],[OVERRIDE_PDEVICE]],CABLES[[#This Row],[RECOMMEND_PDEVICE]])</f>
        <v>10</v>
      </c>
      <c r="JD81" s="10" t="s">
        <v>450</v>
      </c>
      <c r="JE81" s="10">
        <f xml:space="preserve"> CABLES[[#This Row],[SELECTED_PDEVICE]] * INDEX(DEVICE_CURVE[], MATCH(CABLES[[#This Row],[PDEVICE_CURVE]], DEVICE_CURVE[DEVICE_CURVE],0),2)</f>
        <v>65</v>
      </c>
      <c r="JF81" s="10" t="s">
        <v>458</v>
      </c>
      <c r="JG81" s="10">
        <f xml:space="preserve"> INDEX(CONDUCTOR_MATERIAL[], MATCH(CABLES[[#This Row],[CONDUCTOR_MATERIAL]],CONDUCTOR_MATERIAL[CONDUCTOR_MATERIAL],0),2)</f>
        <v>2.2499999999999999E-2</v>
      </c>
      <c r="JH81" s="10">
        <f>CABLES[[#This Row],[SELECTED_CABLESIZE]]</f>
        <v>2.5</v>
      </c>
      <c r="JI81" s="10">
        <f xml:space="preserve"> INDEX( EARTH_CONDUCTOR_SIZE[], MATCH(CABLES[[#This Row],[SPH]],EARTH_CONDUCTOR_SIZE[MM^2],-1), 2)</f>
        <v>2.5</v>
      </c>
      <c r="JJ81" s="10">
        <f>(0.8*PHASE_VOLTAGE*CABLES[[#This Row],[SPH]]*CABLES[[#This Row],[SPE]])/(CABLES[[#This Row],[PDEVICE_IA]]*CABLES[[#This Row],[MATERIAL_CONSTANT]]*(CABLES[[#This Row],[SPH]]+CABLES[[#This Row],[SPE]]))</f>
        <v>157.26495726495727</v>
      </c>
      <c r="JK81" s="10" t="str">
        <f>IF(CABLES[[#This Row],[LMAX]]&gt;CABLES[[#This Row],[ESTIMATED_CABLE_LENGTH]], "PASS", "ERROR")</f>
        <v>PASS</v>
      </c>
      <c r="JL81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81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81" s="6">
        <f xml:space="preserve"> ROUNDUP( CABLES[[#This Row],[CALCULATED_AMPS]],1)</f>
        <v>6.5</v>
      </c>
      <c r="JO81" s="6">
        <f>CABLES[[#This Row],[SELECTED_CABLESIZE]]</f>
        <v>2.5</v>
      </c>
      <c r="JP81" s="10">
        <f>CABLES[[#This Row],[ESTIMATED_CABLE_LENGTH]]</f>
        <v>105.6</v>
      </c>
      <c r="JQ81" s="6">
        <f>CABLES[[#This Row],[SELECTED_PDEVICE]]</f>
        <v>10</v>
      </c>
    </row>
    <row r="82" spans="1:277" x14ac:dyDescent="0.35">
      <c r="A82" s="5" t="s">
        <v>515</v>
      </c>
      <c r="B82" s="5" t="s">
        <v>516</v>
      </c>
      <c r="C82" s="10" t="s">
        <v>262</v>
      </c>
      <c r="D82" s="9">
        <v>2.2000000000000002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10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1</v>
      </c>
      <c r="AI82" s="9">
        <v>1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1</v>
      </c>
      <c r="AR82" s="9">
        <v>0</v>
      </c>
      <c r="AS82" s="9">
        <v>1</v>
      </c>
      <c r="AT82" s="9">
        <v>0</v>
      </c>
      <c r="AU82" s="9">
        <v>0</v>
      </c>
      <c r="AV82" s="9">
        <v>0</v>
      </c>
      <c r="AW82" s="9">
        <v>1</v>
      </c>
      <c r="AX82" s="9">
        <v>0</v>
      </c>
      <c r="AY82" s="9">
        <v>1</v>
      </c>
      <c r="AZ82" s="9">
        <v>0</v>
      </c>
      <c r="BA82" s="9">
        <v>1</v>
      </c>
      <c r="BB82" s="9">
        <v>1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f xml:space="preserve"> IF(CABLES[[#This Row],[SEG1]] &gt;0, INDEX(SEGMENTS[], MATCH(CABLES[[#Headers],[SEG1]],SEGMENTS[SEG_ID],0),4),0)</f>
        <v>0</v>
      </c>
      <c r="BN82" s="10">
        <f xml:space="preserve"> IF(CABLES[[#This Row],[SEG2]] &gt;0, INDEX(SEGMENTS[], MATCH(CABLES[[#Headers],[SEG2]],SEGMENTS[SEG_ID],0),4),0)</f>
        <v>0</v>
      </c>
      <c r="BO82" s="10">
        <f xml:space="preserve"> IF(CABLES[[#This Row],[SEG3]] &gt;0, INDEX(SEGMENTS[], MATCH(CABLES[[#Headers],[SEG3]],SEGMENTS[SEG_ID],0),4),0)</f>
        <v>0</v>
      </c>
      <c r="BP82" s="10">
        <f xml:space="preserve"> IF(CABLES[[#This Row],[SEG4]] &gt;0, INDEX(SEGMENTS[], MATCH(CABLES[[#Headers],[SEG4]],SEGMENTS[SEG_ID],0),4),0)</f>
        <v>0</v>
      </c>
      <c r="BQ82" s="10">
        <f xml:space="preserve"> IF(CABLES[[#This Row],[SEG5]] &gt;0,INDEX(SEGMENTS[], MATCH(CABLES[[#Headers],[SEG5]],SEGMENTS[SEG_ID],0),4),0)</f>
        <v>0</v>
      </c>
      <c r="BR82" s="10">
        <f xml:space="preserve"> IF(CABLES[[#This Row],[SEG6]] &gt;0,INDEX(SEGMENTS[], MATCH(CABLES[[#Headers],[SEG6]],SEGMENTS[SEG_ID],0),4),0)</f>
        <v>0</v>
      </c>
      <c r="BS82" s="10">
        <f xml:space="preserve"> IF(CABLES[[#This Row],[SEG7]] &gt;0,INDEX(SEGMENTS[], MATCH(CABLES[[#Headers],[SEG7]],SEGMENTS[SEG_ID],0),4),0)</f>
        <v>0</v>
      </c>
      <c r="BT82" s="10">
        <f xml:space="preserve"> IF(CABLES[[#This Row],[SEG8]] &gt;0,INDEX(SEGMENTS[], MATCH(CABLES[[#Headers],[SEG8]],SEGMENTS[SEG_ID],0),4),0)</f>
        <v>0</v>
      </c>
      <c r="BU82" s="10">
        <f xml:space="preserve"> IF(CABLES[[#This Row],[SEG9]] &gt;0,INDEX(SEGMENTS[], MATCH(CABLES[[#Headers],[SEG9]],SEGMENTS[SEG_ID],0),4),0)</f>
        <v>0</v>
      </c>
      <c r="BV82" s="10">
        <f xml:space="preserve"> IF(CABLES[[#This Row],[SEG10]] &gt;0,INDEX(SEGMENTS[], MATCH(CABLES[[#Headers],[SEG10]],SEGMENTS[SEG_ID],0),4),0)</f>
        <v>0</v>
      </c>
      <c r="BW82" s="10">
        <f xml:space="preserve"> IF(CABLES[[#This Row],[SEG11]] &gt;0,INDEX(SEGMENTS[], MATCH(CABLES[[#Headers],[SEG11]],SEGMENTS[SEG_ID],0),4),0)</f>
        <v>0</v>
      </c>
      <c r="BX82" s="10">
        <f>IF(CABLES[[#This Row],[SEG12]] &gt;0, INDEX(SEGMENTS[], MATCH(CABLES[[#Headers],[SEG12]],SEGMENTS[SEG_ID],0),4),0)</f>
        <v>0</v>
      </c>
      <c r="BY82" s="10">
        <f xml:space="preserve"> IF(CABLES[[#This Row],[SEG13]] &gt;0,INDEX(SEGMENTS[], MATCH(CABLES[[#Headers],[SEG13]],SEGMENTS[SEG_ID],0),4),0)</f>
        <v>0</v>
      </c>
      <c r="BZ82" s="10">
        <f xml:space="preserve"> IF(CABLES[[#This Row],[SEG14]] &gt;0,INDEX(SEGMENTS[], MATCH(CABLES[[#Headers],[SEG14]],SEGMENTS[SEG_ID],0),4),0)</f>
        <v>0</v>
      </c>
      <c r="CA82" s="10">
        <f xml:space="preserve"> IF(CABLES[[#This Row],[SEG15]] &gt;0,INDEX(SEGMENTS[], MATCH(CABLES[[#Headers],[SEG15]],SEGMENTS[SEG_ID],0),4),0)</f>
        <v>0</v>
      </c>
      <c r="CB82" s="10">
        <f xml:space="preserve"> IF(CABLES[[#This Row],[SEG16]] &gt;0,INDEX(SEGMENTS[], MATCH(CABLES[[#Headers],[SEG16]],SEGMENTS[SEG_ID],0),4),0)</f>
        <v>0</v>
      </c>
      <c r="CC82" s="10">
        <f xml:space="preserve"> IF(CABLES[[#This Row],[SEG17]] &gt;0,INDEX(SEGMENTS[], MATCH(CABLES[[#Headers],[SEG17]],SEGMENTS[SEG_ID],0),4),0)</f>
        <v>0</v>
      </c>
      <c r="CD82" s="10">
        <f xml:space="preserve"> IF(CABLES[[#This Row],[SEG18]] &gt;0,INDEX(SEGMENTS[], MATCH(CABLES[[#Headers],[SEG18]],SEGMENTS[SEG_ID],0),4),0)</f>
        <v>0</v>
      </c>
      <c r="CE82" s="10">
        <f>IF(CABLES[[#This Row],[SEG19]] &gt;0, INDEX(SEGMENTS[], MATCH(CABLES[[#Headers],[SEG19]],SEGMENTS[SEG_ID],0),4),0)</f>
        <v>0</v>
      </c>
      <c r="CF82" s="10">
        <f>IF(CABLES[[#This Row],[SEG20]] &gt;0, INDEX(SEGMENTS[], MATCH(CABLES[[#Headers],[SEG20]],SEGMENTS[SEG_ID],0),4),0)</f>
        <v>0</v>
      </c>
      <c r="CG82" s="10">
        <f xml:space="preserve"> IF(CABLES[[#This Row],[SEG21]] &gt;0,INDEX(SEGMENTS[], MATCH(CABLES[[#Headers],[SEG21]],SEGMENTS[SEG_ID],0),4),0)</f>
        <v>0</v>
      </c>
      <c r="CH82" s="10">
        <f xml:space="preserve"> IF(CABLES[[#This Row],[SEG22]] &gt;0,INDEX(SEGMENTS[], MATCH(CABLES[[#Headers],[SEG22]],SEGMENTS[SEG_ID],0),4),0)</f>
        <v>0</v>
      </c>
      <c r="CI82" s="10">
        <f>IF(CABLES[[#This Row],[SEG23]] &gt;0, INDEX(SEGMENTS[], MATCH(CABLES[[#Headers],[SEG23]],SEGMENTS[SEG_ID],0),4),0)</f>
        <v>0</v>
      </c>
      <c r="CJ82" s="10">
        <f xml:space="preserve"> IF(CABLES[[#This Row],[SEG24]] &gt;0,INDEX(SEGMENTS[], MATCH(CABLES[[#Headers],[SEG24]],SEGMENTS[SEG_ID],0),4),0)</f>
        <v>0</v>
      </c>
      <c r="CK82" s="10">
        <f>IF(CABLES[[#This Row],[SEG25]] &gt;0, INDEX(SEGMENTS[], MATCH(CABLES[[#Headers],[SEG25]],SEGMENTS[SEG_ID],0),4),0)</f>
        <v>0</v>
      </c>
      <c r="CL82" s="10">
        <f>IF(CABLES[[#This Row],[SEG26]] &gt;0, INDEX(SEGMENTS[], MATCH(CABLES[[#Headers],[SEG26]],SEGMENTS[SEG_ID],0),4),0)</f>
        <v>0</v>
      </c>
      <c r="CM82" s="10">
        <f xml:space="preserve"> IF(CABLES[[#This Row],[SEG27]] &gt;0,INDEX(SEGMENTS[], MATCH(CABLES[[#Headers],[SEG27]],SEGMENTS[SEG_ID],0),4),0)</f>
        <v>0</v>
      </c>
      <c r="CN82" s="10">
        <f xml:space="preserve"> IF(CABLES[[#This Row],[SEG28]] &gt;0,INDEX(SEGMENTS[], MATCH(CABLES[[#Headers],[SEG28]],SEGMENTS[SEG_ID],0),4),0)</f>
        <v>0</v>
      </c>
      <c r="CO82" s="10">
        <f xml:space="preserve"> IF(CABLES[[#This Row],[SEG29]] &gt;0,INDEX(SEGMENTS[], MATCH(CABLES[[#Headers],[SEG29]],SEGMENTS[SEG_ID],0),4),0)</f>
        <v>0</v>
      </c>
      <c r="CP82" s="10">
        <f xml:space="preserve"> IF(CABLES[[#This Row],[SEG30]] &gt;0,INDEX(SEGMENTS[], MATCH(CABLES[[#Headers],[SEG30]],SEGMENTS[SEG_ID],0),4),0)</f>
        <v>6</v>
      </c>
      <c r="CQ82" s="10">
        <f>IF(CABLES[[#This Row],[SEG31]] &gt;0, INDEX(SEGMENTS[], MATCH(CABLES[[#Headers],[SEG31]],SEGMENTS[SEG_ID],0),4),0)</f>
        <v>3</v>
      </c>
      <c r="CR82" s="10">
        <f xml:space="preserve"> IF(CABLES[[#This Row],[SEG32]] &gt;0,INDEX(SEGMENTS[], MATCH(CABLES[[#Headers],[SEG32]],SEGMENTS[SEG_ID],0),4),0)</f>
        <v>0</v>
      </c>
      <c r="CS82" s="10">
        <f xml:space="preserve"> IF(CABLES[[#This Row],[SEG33]] &gt;0,INDEX(SEGMENTS[], MATCH(CABLES[[#Headers],[SEG33]],SEGMENTS[SEG_ID],0),4),0)</f>
        <v>0</v>
      </c>
      <c r="CT82" s="10">
        <f>IF(CABLES[[#This Row],[SEG34]] &gt;0, INDEX(SEGMENTS[], MATCH(CABLES[[#Headers],[SEG34]],SEGMENTS[SEG_ID],0),4),0)</f>
        <v>0</v>
      </c>
      <c r="CU82" s="10">
        <f xml:space="preserve"> IF(CABLES[[#This Row],[SEG35]] &gt;0,INDEX(SEGMENTS[], MATCH(CABLES[[#Headers],[SEG35]],SEGMENTS[SEG_ID],0),4),0)</f>
        <v>0</v>
      </c>
      <c r="CV82" s="10">
        <f xml:space="preserve"> IF(CABLES[[#This Row],[SEG36]] &gt;0,INDEX(SEGMENTS[], MATCH(CABLES[[#Headers],[SEG36]],SEGMENTS[SEG_ID],0),4),0)</f>
        <v>0</v>
      </c>
      <c r="CW82" s="10">
        <f xml:space="preserve"> IF(CABLES[[#This Row],[SEG37]] &gt;0,INDEX(SEGMENTS[], MATCH(CABLES[[#Headers],[SEG37]],SEGMENTS[SEG_ID],0),4),0)</f>
        <v>0</v>
      </c>
      <c r="CX82" s="10">
        <f xml:space="preserve"> IF(CABLES[[#This Row],[SEG38]] &gt;0,INDEX(SEGMENTS[], MATCH(CABLES[[#Headers],[SEG38]],SEGMENTS[SEG_ID],0),4),0)</f>
        <v>0</v>
      </c>
      <c r="CY82" s="10">
        <f xml:space="preserve"> IF(CABLES[[#This Row],[SEG39]] &gt;0,INDEX(SEGMENTS[], MATCH(CABLES[[#Headers],[SEG39]],SEGMENTS[SEG_ID],0),4),0)</f>
        <v>8</v>
      </c>
      <c r="CZ82" s="10">
        <f xml:space="preserve"> IF(CABLES[[#This Row],[SEG40]] &gt;0,INDEX(SEGMENTS[], MATCH(CABLES[[#Headers],[SEG40]],SEGMENTS[SEG_ID],0),4),0)</f>
        <v>0</v>
      </c>
      <c r="DA82" s="10">
        <f xml:space="preserve"> IF(CABLES[[#This Row],[SEG41]] &gt;0,INDEX(SEGMENTS[], MATCH(CABLES[[#Headers],[SEG41]],SEGMENTS[SEG_ID],0),4),0)</f>
        <v>8</v>
      </c>
      <c r="DB82" s="10">
        <f xml:space="preserve"> IF(CABLES[[#This Row],[SEG42]] &gt;0,INDEX(SEGMENTS[], MATCH(CABLES[[#Headers],[SEG42]],SEGMENTS[SEG_ID],0),4),0)</f>
        <v>0</v>
      </c>
      <c r="DC82" s="10">
        <f xml:space="preserve"> IF(CABLES[[#This Row],[SEG43]] &gt;0,INDEX(SEGMENTS[], MATCH(CABLES[[#Headers],[SEG43]],SEGMENTS[SEG_ID],0),4),0)</f>
        <v>0</v>
      </c>
      <c r="DD82" s="10">
        <f xml:space="preserve"> IF(CABLES[[#This Row],[SEG44]] &gt;0,INDEX(SEGMENTS[], MATCH(CABLES[[#Headers],[SEG44]],SEGMENTS[SEG_ID],0),4),0)</f>
        <v>0</v>
      </c>
      <c r="DE82" s="10">
        <f xml:space="preserve"> IF(CABLES[[#This Row],[SEG45]] &gt;0,INDEX(SEGMENTS[], MATCH(CABLES[[#Headers],[SEG45]],SEGMENTS[SEG_ID],0),4),0)</f>
        <v>9</v>
      </c>
      <c r="DF82" s="10">
        <f xml:space="preserve"> IF(CABLES[[#This Row],[SEG46]] &gt;0,INDEX(SEGMENTS[], MATCH(CABLES[[#Headers],[SEG46]],SEGMENTS[SEG_ID],0),4),0)</f>
        <v>0</v>
      </c>
      <c r="DG82" s="10">
        <f xml:space="preserve"> IF(CABLES[[#This Row],[SEG47]] &gt;0,INDEX(SEGMENTS[], MATCH(CABLES[[#Headers],[SEG47]],SEGMENTS[SEG_ID],0),4),0)</f>
        <v>12</v>
      </c>
      <c r="DH82" s="10">
        <f xml:space="preserve"> IF(CABLES[[#This Row],[SEG48]] &gt;0,INDEX(SEGMENTS[], MATCH(CABLES[[#Headers],[SEG48]],SEGMENTS[SEG_ID],0),4),0)</f>
        <v>0</v>
      </c>
      <c r="DI82" s="10">
        <f xml:space="preserve"> IF(CABLES[[#This Row],[SEG49]] &gt;0,INDEX(SEGMENTS[], MATCH(CABLES[[#Headers],[SEG49]],SEGMENTS[SEG_ID],0),4),0)</f>
        <v>20</v>
      </c>
      <c r="DJ82" s="10">
        <f xml:space="preserve"> IF(CABLES[[#This Row],[SEG50]] &gt;0,INDEX(SEGMENTS[], MATCH(CABLES[[#Headers],[SEG50]],SEGMENTS[SEG_ID],0),4),0)</f>
        <v>17</v>
      </c>
      <c r="DK82" s="10">
        <f xml:space="preserve"> IF(CABLES[[#This Row],[SEG51]] &gt;0,INDEX(SEGMENTS[], MATCH(CABLES[[#Headers],[SEG51]],SEGMENTS[SEG_ID],0),4),0)</f>
        <v>0</v>
      </c>
      <c r="DL82" s="10">
        <f xml:space="preserve"> IF(CABLES[[#This Row],[SEG52]] &gt;0,INDEX(SEGMENTS[], MATCH(CABLES[[#Headers],[SEG52]],SEGMENTS[SEG_ID],0),4),0)</f>
        <v>0</v>
      </c>
      <c r="DM82" s="10">
        <f xml:space="preserve"> IF(CABLES[[#This Row],[SEG53]] &gt;0,INDEX(SEGMENTS[], MATCH(CABLES[[#Headers],[SEG53]],SEGMENTS[SEG_ID],0),4),0)</f>
        <v>0</v>
      </c>
      <c r="DN82" s="10">
        <f xml:space="preserve"> IF(CABLES[[#This Row],[SEG54]] &gt;0,INDEX(SEGMENTS[], MATCH(CABLES[[#Headers],[SEG54]],SEGMENTS[SEG_ID],0),4),0)</f>
        <v>0</v>
      </c>
      <c r="DO82" s="10">
        <f xml:space="preserve"> IF(CABLES[[#This Row],[SEG55]] &gt;0,INDEX(SEGMENTS[], MATCH(CABLES[[#Headers],[SEG55]],SEGMENTS[SEG_ID],0),4),0)</f>
        <v>0</v>
      </c>
      <c r="DP82" s="10">
        <f xml:space="preserve"> IF(CABLES[[#This Row],[SEG56]] &gt;0,INDEX(SEGMENTS[], MATCH(CABLES[[#Headers],[SEG56]],SEGMENTS[SEG_ID],0),4),0)</f>
        <v>0</v>
      </c>
      <c r="DQ82" s="10">
        <f xml:space="preserve"> IF(CABLES[[#This Row],[SEG57]] &gt;0,INDEX(SEGMENTS[], MATCH(CABLES[[#Headers],[SEG57]],SEGMENTS[SEG_ID],0),4),0)</f>
        <v>0</v>
      </c>
      <c r="DR82" s="10">
        <f xml:space="preserve"> IF(CABLES[[#This Row],[SEG58]] &gt;0,INDEX(SEGMENTS[], MATCH(CABLES[[#Headers],[SEG58]],SEGMENTS[SEG_ID],0),4),0)</f>
        <v>0</v>
      </c>
      <c r="DS82" s="10">
        <f xml:space="preserve"> IF(CABLES[[#This Row],[SEG59]] &gt;0,INDEX(SEGMENTS[], MATCH(CABLES[[#Headers],[SEG59]],SEGMENTS[SEG_ID],0),4),0)</f>
        <v>0</v>
      </c>
      <c r="DT82" s="10">
        <f xml:space="preserve"> IF(CABLES[[#This Row],[SEG60]] &gt;0,INDEX(SEGMENTS[], MATCH(CABLES[[#Headers],[SEG60]],SEGMENTS[SEG_ID],0),4),0)</f>
        <v>0</v>
      </c>
      <c r="DU82" s="10">
        <f>SUM(CABLES[[#This Row],[SEGL1]:[SEGL60]])</f>
        <v>83</v>
      </c>
      <c r="DV82" s="10">
        <v>5</v>
      </c>
      <c r="DW82" s="10">
        <v>1.2</v>
      </c>
      <c r="DX82" s="10">
        <f xml:space="preserve"> IF(CABLES[[#This Row],[SEGL_TOTAL]]&gt;0, (CABLES[[#This Row],[SEGL_TOTAL]] + CABLES[[#This Row],[FITOFF]]) *CABLES[[#This Row],[XCAPACITY]],0)</f>
        <v>105.6</v>
      </c>
      <c r="DY82" s="10">
        <f>IF(CABLES[[#This Row],[SEG1]]&gt;0,CABLES[[#This Row],[CABLE_DIAMETER]],0)</f>
        <v>0</v>
      </c>
      <c r="DZ82" s="10">
        <f>IF(CABLES[[#This Row],[SEG2]]&gt;0,CABLES[[#This Row],[CABLE_DIAMETER]],0)</f>
        <v>0</v>
      </c>
      <c r="EA82" s="10">
        <f>IF(CABLES[[#This Row],[SEG3]]&gt;0,CABLES[[#This Row],[CABLE_DIAMETER]],0)</f>
        <v>0</v>
      </c>
      <c r="EB82" s="10">
        <f>IF(CABLES[[#This Row],[SEG4]]&gt;0,CABLES[[#This Row],[CABLE_DIAMETER]],0)</f>
        <v>0</v>
      </c>
      <c r="EC82" s="10">
        <f>IF(CABLES[[#This Row],[SEG5]]&gt;0,CABLES[[#This Row],[CABLE_DIAMETER]],0)</f>
        <v>0</v>
      </c>
      <c r="ED82" s="10">
        <f>IF(CABLES[[#This Row],[SEG6]]&gt;0,CABLES[[#This Row],[CABLE_DIAMETER]],0)</f>
        <v>0</v>
      </c>
      <c r="EE82" s="10">
        <f>IF(CABLES[[#This Row],[SEG7]]&gt;0,CABLES[[#This Row],[CABLE_DIAMETER]],0)</f>
        <v>0</v>
      </c>
      <c r="EF82" s="10">
        <f>IF(CABLES[[#This Row],[SEG9]]&gt;0,CABLES[[#This Row],[CABLE_DIAMETER]],0)</f>
        <v>0</v>
      </c>
      <c r="EG82" s="10">
        <f>IF(CABLES[[#This Row],[SEG9]]&gt;0,CABLES[[#This Row],[CABLE_DIAMETER]],0)</f>
        <v>0</v>
      </c>
      <c r="EH82" s="10">
        <f>IF(CABLES[[#This Row],[SEG10]]&gt;0,CABLES[[#This Row],[CABLE_DIAMETER]],0)</f>
        <v>0</v>
      </c>
      <c r="EI82" s="10">
        <f>IF(CABLES[[#This Row],[SEG11]]&gt;0,CABLES[[#This Row],[CABLE_DIAMETER]],0)</f>
        <v>0</v>
      </c>
      <c r="EJ82" s="10">
        <f>IF(CABLES[[#This Row],[SEG12]]&gt;0,CABLES[[#This Row],[CABLE_DIAMETER]],0)</f>
        <v>0</v>
      </c>
      <c r="EK82" s="10">
        <f>IF(CABLES[[#This Row],[SEG13]]&gt;0,CABLES[[#This Row],[CABLE_DIAMETER]],0)</f>
        <v>0</v>
      </c>
      <c r="EL82" s="10">
        <f>IF(CABLES[[#This Row],[SEG14]]&gt;0,CABLES[[#This Row],[CABLE_DIAMETER]],0)</f>
        <v>0</v>
      </c>
      <c r="EM82" s="10">
        <f>IF(CABLES[[#This Row],[SEG15]]&gt;0,CABLES[[#This Row],[CABLE_DIAMETER]],0)</f>
        <v>0</v>
      </c>
      <c r="EN82" s="10">
        <f>IF(CABLES[[#This Row],[SEG16]]&gt;0,CABLES[[#This Row],[CABLE_DIAMETER]],0)</f>
        <v>0</v>
      </c>
      <c r="EO82" s="10">
        <f>IF(CABLES[[#This Row],[SEG17]]&gt;0,CABLES[[#This Row],[CABLE_DIAMETER]],0)</f>
        <v>0</v>
      </c>
      <c r="EP82" s="10">
        <f>IF(CABLES[[#This Row],[SEG18]]&gt;0,CABLES[[#This Row],[CABLE_DIAMETER]],0)</f>
        <v>0</v>
      </c>
      <c r="EQ82" s="10">
        <f>IF(CABLES[[#This Row],[SEG19]]&gt;0,CABLES[[#This Row],[CABLE_DIAMETER]],0)</f>
        <v>0</v>
      </c>
      <c r="ER82" s="10">
        <f>IF(CABLES[[#This Row],[SEG20]]&gt;0,CABLES[[#This Row],[CABLE_DIAMETER]],0)</f>
        <v>0</v>
      </c>
      <c r="ES82" s="10">
        <f>IF(CABLES[[#This Row],[SEG21]]&gt;0,CABLES[[#This Row],[CABLE_DIAMETER]],0)</f>
        <v>0</v>
      </c>
      <c r="ET82" s="10">
        <f>IF(CABLES[[#This Row],[SEG22]]&gt;0,CABLES[[#This Row],[CABLE_DIAMETER]],0)</f>
        <v>0</v>
      </c>
      <c r="EU82" s="10">
        <f>IF(CABLES[[#This Row],[SEG23]]&gt;0,CABLES[[#This Row],[CABLE_DIAMETER]],0)</f>
        <v>0</v>
      </c>
      <c r="EV82" s="10">
        <f>IF(CABLES[[#This Row],[SEG24]]&gt;0,CABLES[[#This Row],[CABLE_DIAMETER]],0)</f>
        <v>0</v>
      </c>
      <c r="EW82" s="10">
        <f>IF(CABLES[[#This Row],[SEG25]]&gt;0,CABLES[[#This Row],[CABLE_DIAMETER]],0)</f>
        <v>0</v>
      </c>
      <c r="EX82" s="10">
        <f>IF(CABLES[[#This Row],[SEG26]]&gt;0,CABLES[[#This Row],[CABLE_DIAMETER]],0)</f>
        <v>0</v>
      </c>
      <c r="EY82" s="10">
        <f>IF(CABLES[[#This Row],[SEG27]]&gt;0,CABLES[[#This Row],[CABLE_DIAMETER]],0)</f>
        <v>0</v>
      </c>
      <c r="EZ82" s="10">
        <f>IF(CABLES[[#This Row],[SEG28]]&gt;0,CABLES[[#This Row],[CABLE_DIAMETER]],0)</f>
        <v>0</v>
      </c>
      <c r="FA82" s="10">
        <f>IF(CABLES[[#This Row],[SEG29]]&gt;0,CABLES[[#This Row],[CABLE_DIAMETER]],0)</f>
        <v>0</v>
      </c>
      <c r="FB82" s="10">
        <f>IF(CABLES[[#This Row],[SEG30]]&gt;0,CABLES[[#This Row],[CABLE_DIAMETER]],0)</f>
        <v>12</v>
      </c>
      <c r="FC82" s="10">
        <f>IF(CABLES[[#This Row],[SEG31]]&gt;0,CABLES[[#This Row],[CABLE_DIAMETER]],0)</f>
        <v>12</v>
      </c>
      <c r="FD82" s="10">
        <f>IF(CABLES[[#This Row],[SEG32]]&gt;0,CABLES[[#This Row],[CABLE_DIAMETER]],0)</f>
        <v>0</v>
      </c>
      <c r="FE82" s="10">
        <f>IF(CABLES[[#This Row],[SEG33]]&gt;0,CABLES[[#This Row],[CABLE_DIAMETER]],0)</f>
        <v>0</v>
      </c>
      <c r="FF82" s="10">
        <f>IF(CABLES[[#This Row],[SEG34]]&gt;0,CABLES[[#This Row],[CABLE_DIAMETER]],0)</f>
        <v>0</v>
      </c>
      <c r="FG82" s="10">
        <f>IF(CABLES[[#This Row],[SEG35]]&gt;0,CABLES[[#This Row],[CABLE_DIAMETER]],0)</f>
        <v>0</v>
      </c>
      <c r="FH82" s="10">
        <f>IF(CABLES[[#This Row],[SEG36]]&gt;0,CABLES[[#This Row],[CABLE_DIAMETER]],0)</f>
        <v>0</v>
      </c>
      <c r="FI82" s="10">
        <f>IF(CABLES[[#This Row],[SEG37]]&gt;0,CABLES[[#This Row],[CABLE_DIAMETER]],0)</f>
        <v>0</v>
      </c>
      <c r="FJ82" s="10">
        <f>IF(CABLES[[#This Row],[SEG38]]&gt;0,CABLES[[#This Row],[CABLE_DIAMETER]],0)</f>
        <v>0</v>
      </c>
      <c r="FK82" s="10">
        <f>IF(CABLES[[#This Row],[SEG39]]&gt;0,CABLES[[#This Row],[CABLE_DIAMETER]],0)</f>
        <v>12</v>
      </c>
      <c r="FL82" s="10">
        <f>IF(CABLES[[#This Row],[SEG40]]&gt;0,CABLES[[#This Row],[CABLE_DIAMETER]],0)</f>
        <v>0</v>
      </c>
      <c r="FM82" s="10">
        <f>IF(CABLES[[#This Row],[SEG41]]&gt;0,CABLES[[#This Row],[CABLE_DIAMETER]],0)</f>
        <v>12</v>
      </c>
      <c r="FN82" s="10">
        <f>IF(CABLES[[#This Row],[SEG42]]&gt;0,CABLES[[#This Row],[CABLE_DIAMETER]],0)</f>
        <v>0</v>
      </c>
      <c r="FO82" s="10">
        <f>IF(CABLES[[#This Row],[SEG43]]&gt;0,CABLES[[#This Row],[CABLE_DIAMETER]],0)</f>
        <v>0</v>
      </c>
      <c r="FP82" s="10">
        <f>IF(CABLES[[#This Row],[SEG44]]&gt;0,CABLES[[#This Row],[CABLE_DIAMETER]],0)</f>
        <v>0</v>
      </c>
      <c r="FQ82" s="10">
        <f>IF(CABLES[[#This Row],[SEG45]]&gt;0,CABLES[[#This Row],[CABLE_DIAMETER]],0)</f>
        <v>12</v>
      </c>
      <c r="FR82" s="10">
        <f>IF(CABLES[[#This Row],[SEG46]]&gt;0,CABLES[[#This Row],[CABLE_DIAMETER]],0)</f>
        <v>0</v>
      </c>
      <c r="FS82" s="10">
        <f>IF(CABLES[[#This Row],[SEG47]]&gt;0,CABLES[[#This Row],[CABLE_DIAMETER]],0)</f>
        <v>12</v>
      </c>
      <c r="FT82" s="10">
        <f>IF(CABLES[[#This Row],[SEG48]]&gt;0,CABLES[[#This Row],[CABLE_DIAMETER]],0)</f>
        <v>0</v>
      </c>
      <c r="FU82" s="10">
        <f>IF(CABLES[[#This Row],[SEG49]]&gt;0,CABLES[[#This Row],[CABLE_DIAMETER]],0)</f>
        <v>12</v>
      </c>
      <c r="FV82" s="10">
        <f>IF(CABLES[[#This Row],[SEG50]]&gt;0,CABLES[[#This Row],[CABLE_DIAMETER]],0)</f>
        <v>12</v>
      </c>
      <c r="FW82" s="10">
        <f>IF(CABLES[[#This Row],[SEG51]]&gt;0,CABLES[[#This Row],[CABLE_DIAMETER]],0)</f>
        <v>0</v>
      </c>
      <c r="FX82" s="10">
        <f>IF(CABLES[[#This Row],[SEG52]]&gt;0,CABLES[[#This Row],[CABLE_DIAMETER]],0)</f>
        <v>0</v>
      </c>
      <c r="FY82" s="10">
        <f>IF(CABLES[[#This Row],[SEG53]]&gt;0,CABLES[[#This Row],[CABLE_DIAMETER]],0)</f>
        <v>0</v>
      </c>
      <c r="FZ82" s="10">
        <f>IF(CABLES[[#This Row],[SEG54]]&gt;0,CABLES[[#This Row],[CABLE_DIAMETER]],0)</f>
        <v>0</v>
      </c>
      <c r="GA82" s="10">
        <f>IF(CABLES[[#This Row],[SEG55]]&gt;0,CABLES[[#This Row],[CABLE_DIAMETER]],0)</f>
        <v>0</v>
      </c>
      <c r="GB82" s="10">
        <f>IF(CABLES[[#This Row],[SEG56]]&gt;0,CABLES[[#This Row],[CABLE_DIAMETER]],0)</f>
        <v>0</v>
      </c>
      <c r="GC82" s="10">
        <f>IF(CABLES[[#This Row],[SEG57]]&gt;0,CABLES[[#This Row],[CABLE_DIAMETER]],0)</f>
        <v>0</v>
      </c>
      <c r="GD82" s="10">
        <f>IF(CABLES[[#This Row],[SEG58]]&gt;0,CABLES[[#This Row],[CABLE_DIAMETER]],0)</f>
        <v>0</v>
      </c>
      <c r="GE82" s="10">
        <f>IF(CABLES[[#This Row],[SEG59]]&gt;0,CABLES[[#This Row],[CABLE_DIAMETER]],0)</f>
        <v>0</v>
      </c>
      <c r="GF82" s="10">
        <f>IF(CABLES[[#This Row],[SEG60]]&gt;0,CABLES[[#This Row],[CABLE_DIAMETER]],0)</f>
        <v>0</v>
      </c>
      <c r="GG82" s="10">
        <f>IF(CABLES[[#This Row],[SEG1]]&gt;0,CABLES[[#This Row],[CABLE_MASS]],0)</f>
        <v>0</v>
      </c>
      <c r="GH82" s="10">
        <f>IF(CABLES[[#This Row],[SEG2]]&gt;0,CABLES[[#This Row],[CABLE_MASS]],0)</f>
        <v>0</v>
      </c>
      <c r="GI82" s="10">
        <f>IF(CABLES[[#This Row],[SEG3]]&gt;0,CABLES[[#This Row],[CABLE_MASS]],0)</f>
        <v>0</v>
      </c>
      <c r="GJ82" s="10">
        <f>IF(CABLES[[#This Row],[SEG4]]&gt;0,CABLES[[#This Row],[CABLE_MASS]],0)</f>
        <v>0</v>
      </c>
      <c r="GK82" s="10">
        <f>IF(CABLES[[#This Row],[SEG5]]&gt;0,CABLES[[#This Row],[CABLE_MASS]],0)</f>
        <v>0</v>
      </c>
      <c r="GL82" s="10">
        <f>IF(CABLES[[#This Row],[SEG6]]&gt;0,CABLES[[#This Row],[CABLE_MASS]],0)</f>
        <v>0</v>
      </c>
      <c r="GM82" s="10">
        <f>IF(CABLES[[#This Row],[SEG7]]&gt;0,CABLES[[#This Row],[CABLE_MASS]],0)</f>
        <v>0</v>
      </c>
      <c r="GN82" s="10">
        <f>IF(CABLES[[#This Row],[SEG8]]&gt;0,CABLES[[#This Row],[CABLE_MASS]],0)</f>
        <v>0</v>
      </c>
      <c r="GO82" s="10">
        <f>IF(CABLES[[#This Row],[SEG9]]&gt;0,CABLES[[#This Row],[CABLE_MASS]],0)</f>
        <v>0</v>
      </c>
      <c r="GP82" s="10">
        <f>IF(CABLES[[#This Row],[SEG10]]&gt;0,CABLES[[#This Row],[CABLE_MASS]],0)</f>
        <v>0</v>
      </c>
      <c r="GQ82" s="10">
        <f>IF(CABLES[[#This Row],[SEG11]]&gt;0,CABLES[[#This Row],[CABLE_MASS]],0)</f>
        <v>0</v>
      </c>
      <c r="GR82" s="10">
        <f>IF(CABLES[[#This Row],[SEG12]]&gt;0,CABLES[[#This Row],[CABLE_MASS]],0)</f>
        <v>0</v>
      </c>
      <c r="GS82" s="10">
        <f>IF(CABLES[[#This Row],[SEG13]]&gt;0,CABLES[[#This Row],[CABLE_MASS]],0)</f>
        <v>0</v>
      </c>
      <c r="GT82" s="10">
        <f>IF(CABLES[[#This Row],[SEG14]]&gt;0,CABLES[[#This Row],[CABLE_MASS]],0)</f>
        <v>0</v>
      </c>
      <c r="GU82" s="10">
        <f>IF(CABLES[[#This Row],[SEG15]]&gt;0,CABLES[[#This Row],[CABLE_MASS]],0)</f>
        <v>0</v>
      </c>
      <c r="GV82" s="10">
        <f>IF(CABLES[[#This Row],[SEG16]]&gt;0,CABLES[[#This Row],[CABLE_MASS]],0)</f>
        <v>0</v>
      </c>
      <c r="GW82" s="10">
        <f>IF(CABLES[[#This Row],[SEG17]]&gt;0,CABLES[[#This Row],[CABLE_MASS]],0)</f>
        <v>0</v>
      </c>
      <c r="GX82" s="10">
        <f>IF(CABLES[[#This Row],[SEG18]]&gt;0,CABLES[[#This Row],[CABLE_MASS]],0)</f>
        <v>0</v>
      </c>
      <c r="GY82" s="10">
        <f>IF(CABLES[[#This Row],[SEG19]]&gt;0,CABLES[[#This Row],[CABLE_MASS]],0)</f>
        <v>0</v>
      </c>
      <c r="GZ82" s="10">
        <f>IF(CABLES[[#This Row],[SEG20]]&gt;0,CABLES[[#This Row],[CABLE_MASS]],0)</f>
        <v>0</v>
      </c>
      <c r="HA82" s="10">
        <f>IF(CABLES[[#This Row],[SEG21]]&gt;0,CABLES[[#This Row],[CABLE_MASS]],0)</f>
        <v>0</v>
      </c>
      <c r="HB82" s="10">
        <f>IF(CABLES[[#This Row],[SEG22]]&gt;0,CABLES[[#This Row],[CABLE_MASS]],0)</f>
        <v>0</v>
      </c>
      <c r="HC82" s="10">
        <f>IF(CABLES[[#This Row],[SEG23]]&gt;0,CABLES[[#This Row],[CABLE_MASS]],0)</f>
        <v>0</v>
      </c>
      <c r="HD82" s="10">
        <f>IF(CABLES[[#This Row],[SEG24]]&gt;0,CABLES[[#This Row],[CABLE_MASS]],0)</f>
        <v>0</v>
      </c>
      <c r="HE82" s="10">
        <f>IF(CABLES[[#This Row],[SEG25]]&gt;0,CABLES[[#This Row],[CABLE_MASS]],0)</f>
        <v>0</v>
      </c>
      <c r="HF82" s="10">
        <f>IF(CABLES[[#This Row],[SEG26]]&gt;0,CABLES[[#This Row],[CABLE_MASS]],0)</f>
        <v>0</v>
      </c>
      <c r="HG82" s="10">
        <f>IF(CABLES[[#This Row],[SEG27]]&gt;0,CABLES[[#This Row],[CABLE_MASS]],0)</f>
        <v>0</v>
      </c>
      <c r="HH82" s="10">
        <f>IF(CABLES[[#This Row],[SEG28]]&gt;0,CABLES[[#This Row],[CABLE_MASS]],0)</f>
        <v>0</v>
      </c>
      <c r="HI82" s="10">
        <f>IF(CABLES[[#This Row],[SEG29]]&gt;0,CABLES[[#This Row],[CABLE_MASS]],0)</f>
        <v>0</v>
      </c>
      <c r="HJ82" s="10">
        <f>IF(CABLES[[#This Row],[SEG30]]&gt;0,CABLES[[#This Row],[CABLE_MASS]],0)</f>
        <v>0.21</v>
      </c>
      <c r="HK82" s="10">
        <f>IF(CABLES[[#This Row],[SEG31]]&gt;0,CABLES[[#This Row],[CABLE_MASS]],0)</f>
        <v>0.21</v>
      </c>
      <c r="HL82" s="10">
        <f>IF(CABLES[[#This Row],[SEG32]]&gt;0,CABLES[[#This Row],[CABLE_MASS]],0)</f>
        <v>0</v>
      </c>
      <c r="HM82" s="10">
        <f>IF(CABLES[[#This Row],[SEG33]]&gt;0,CABLES[[#This Row],[CABLE_MASS]],0)</f>
        <v>0</v>
      </c>
      <c r="HN82" s="10">
        <f>IF(CABLES[[#This Row],[SEG34]]&gt;0,CABLES[[#This Row],[CABLE_MASS]],0)</f>
        <v>0</v>
      </c>
      <c r="HO82" s="10">
        <f>IF(CABLES[[#This Row],[SEG35]]&gt;0,CABLES[[#This Row],[CABLE_MASS]],0)</f>
        <v>0</v>
      </c>
      <c r="HP82" s="10">
        <f>IF(CABLES[[#This Row],[SEG36]]&gt;0,CABLES[[#This Row],[CABLE_MASS]],0)</f>
        <v>0</v>
      </c>
      <c r="HQ82" s="10">
        <f>IF(CABLES[[#This Row],[SEG37]]&gt;0,CABLES[[#This Row],[CABLE_MASS]],0)</f>
        <v>0</v>
      </c>
      <c r="HR82" s="10">
        <f>IF(CABLES[[#This Row],[SEG38]]&gt;0,CABLES[[#This Row],[CABLE_MASS]],0)</f>
        <v>0</v>
      </c>
      <c r="HS82" s="10">
        <f>IF(CABLES[[#This Row],[SEG39]]&gt;0,CABLES[[#This Row],[CABLE_MASS]],0)</f>
        <v>0.21</v>
      </c>
      <c r="HT82" s="10">
        <f>IF(CABLES[[#This Row],[SEG40]]&gt;0,CABLES[[#This Row],[CABLE_MASS]],0)</f>
        <v>0</v>
      </c>
      <c r="HU82" s="10">
        <f>IF(CABLES[[#This Row],[SEG41]]&gt;0,CABLES[[#This Row],[CABLE_MASS]],0)</f>
        <v>0.21</v>
      </c>
      <c r="HV82" s="10">
        <f>IF(CABLES[[#This Row],[SEG42]]&gt;0,CABLES[[#This Row],[CABLE_MASS]],0)</f>
        <v>0</v>
      </c>
      <c r="HW82" s="10">
        <f>IF(CABLES[[#This Row],[SEG43]]&gt;0,CABLES[[#This Row],[CABLE_MASS]],0)</f>
        <v>0</v>
      </c>
      <c r="HX82" s="10">
        <f>IF(CABLES[[#This Row],[SEG44]]&gt;0,CABLES[[#This Row],[CABLE_MASS]],0)</f>
        <v>0</v>
      </c>
      <c r="HY82" s="10">
        <f>IF(CABLES[[#This Row],[SEG45]]&gt;0,CABLES[[#This Row],[CABLE_MASS]],0)</f>
        <v>0.21</v>
      </c>
      <c r="HZ82" s="10">
        <f>IF(CABLES[[#This Row],[SEG46]]&gt;0,CABLES[[#This Row],[CABLE_MASS]],0)</f>
        <v>0</v>
      </c>
      <c r="IA82" s="10">
        <f>IF(CABLES[[#This Row],[SEG47]]&gt;0,CABLES[[#This Row],[CABLE_MASS]],0)</f>
        <v>0.21</v>
      </c>
      <c r="IB82" s="10">
        <f>IF(CABLES[[#This Row],[SEG48]]&gt;0,CABLES[[#This Row],[CABLE_MASS]],0)</f>
        <v>0</v>
      </c>
      <c r="IC82" s="10">
        <f>IF(CABLES[[#This Row],[SEG49]]&gt;0,CABLES[[#This Row],[CABLE_MASS]],0)</f>
        <v>0.21</v>
      </c>
      <c r="ID82" s="10">
        <f>IF(CABLES[[#This Row],[SEG50]]&gt;0,CABLES[[#This Row],[CABLE_MASS]],0)</f>
        <v>0.21</v>
      </c>
      <c r="IE82" s="10">
        <f>IF(CABLES[[#This Row],[SEG51]]&gt;0,CABLES[[#This Row],[CABLE_MASS]],0)</f>
        <v>0</v>
      </c>
      <c r="IF82" s="10">
        <f>IF(CABLES[[#This Row],[SEG52]]&gt;0,CABLES[[#This Row],[CABLE_MASS]],0)</f>
        <v>0</v>
      </c>
      <c r="IG82" s="10">
        <f>IF(CABLES[[#This Row],[SEG53]]&gt;0,CABLES[[#This Row],[CABLE_MASS]],0)</f>
        <v>0</v>
      </c>
      <c r="IH82" s="10">
        <f>IF(CABLES[[#This Row],[SEG54]]&gt;0,CABLES[[#This Row],[CABLE_MASS]],0)</f>
        <v>0</v>
      </c>
      <c r="II82" s="10">
        <f>IF(CABLES[[#This Row],[SEG55]]&gt;0,CABLES[[#This Row],[CABLE_MASS]],0)</f>
        <v>0</v>
      </c>
      <c r="IJ82" s="10">
        <f>IF(CABLES[[#This Row],[SEG56]]&gt;0,CABLES[[#This Row],[CABLE_MASS]],0)</f>
        <v>0</v>
      </c>
      <c r="IK82" s="10">
        <f>IF(CABLES[[#This Row],[SEG57]]&gt;0,CABLES[[#This Row],[CABLE_MASS]],0)</f>
        <v>0</v>
      </c>
      <c r="IL82" s="10">
        <f>IF(CABLES[[#This Row],[SEG58]]&gt;0,CABLES[[#This Row],[CABLE_MASS]],0)</f>
        <v>0</v>
      </c>
      <c r="IM82" s="10">
        <f>IF(CABLES[[#This Row],[SEG59]]&gt;0,CABLES[[#This Row],[CABLE_MASS]],0)</f>
        <v>0</v>
      </c>
      <c r="IN82" s="10">
        <f>IF(CABLES[[#This Row],[SEG60]]&gt;0,CABLES[[#This Row],[CABLE_MASS]],0)</f>
        <v>0</v>
      </c>
      <c r="IO82" s="10">
        <f xml:space="preserve">  (CABLES[[#This Row],[LOAD_KW]]/(SQRT(3)*SYSTEM_VOLTAGE*POWER_FACTOR))*1000</f>
        <v>3.528251645047713</v>
      </c>
      <c r="IP82" s="10">
        <v>45</v>
      </c>
      <c r="IQ82" s="10">
        <f xml:space="preserve"> INDEX(AS3000_AMBIENTDERATE[], MATCH(CABLES[[#This Row],[AMBIENT]],AS3000_AMBIENTDERATE[AMBIENT],0), 2)</f>
        <v>0.94</v>
      </c>
      <c r="IR82" s="10">
        <f xml:space="preserve"> ROUNDUP( CABLES[[#This Row],[CALCULATED_AMPS]]/CABLES[[#This Row],[AMBIENT_DERATING]],1)</f>
        <v>3.8000000000000003</v>
      </c>
      <c r="IS82" s="10" t="s">
        <v>531</v>
      </c>
      <c r="IT82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2" s="10">
        <f>SYSTEM_VOLTAGE * MAX_VDROP_PERCENT</f>
        <v>28.000000000000004</v>
      </c>
      <c r="IV82" s="10">
        <f>(1000*CABLES[[#This Row],[MAX_VDROP]])/(CABLES[[#This Row],[ESTIMATED_CABLE_LENGTH]]*CABLES[[#This Row],[AMP_RATING]])</f>
        <v>69.776714513556627</v>
      </c>
      <c r="IW82" s="10">
        <f xml:space="preserve"> INDEX(AS3000_VDROP[], MATCH(CABLES[[#This Row],[VC_CALC]],AS3000_VDROP[Vc],1),1)</f>
        <v>2.5</v>
      </c>
      <c r="IX82" s="10">
        <f>MAX(CABLES[[#This Row],[CABLESIZE_METHOD1]],CABLES[[#This Row],[CABLESIZE_METHOD2]])</f>
        <v>2.5</v>
      </c>
      <c r="IY82" s="10">
        <f>MAX(CABLES[[#This Row],[CABLESIZE_METHOD1]],CABLES[[#This Row],[CABLESIZE_METHOD2]])</f>
        <v>2.5</v>
      </c>
      <c r="IZ82" s="10">
        <f>IF(LEN(CABLES[[#This Row],[OVERRIDE_CABLESIZE]])&gt;0,CABLES[[#This Row],[OVERRIDE_CABLESIZE]],CABLES[[#This Row],[INITIAL_CABLESIZE]])</f>
        <v>2.5</v>
      </c>
      <c r="JA82" s="10">
        <f>INDEX(PROTECTIVE_DEVICE[DEVICE], MATCH(CABLES[[#This Row],[CALCULATED_AMPS]],PROTECTIVE_DEVICE[DEVICE],-1),1)</f>
        <v>6</v>
      </c>
      <c r="JB82" s="10"/>
      <c r="JC82" s="10">
        <f>IF(LEN(CABLES[[#This Row],[OVERRIDE_PDEVICE]])&gt;0, CABLES[[#This Row],[OVERRIDE_PDEVICE]],CABLES[[#This Row],[RECOMMEND_PDEVICE]])</f>
        <v>6</v>
      </c>
      <c r="JD82" s="10" t="s">
        <v>450</v>
      </c>
      <c r="JE82" s="10">
        <f xml:space="preserve"> CABLES[[#This Row],[SELECTED_PDEVICE]] * INDEX(DEVICE_CURVE[], MATCH(CABLES[[#This Row],[PDEVICE_CURVE]], DEVICE_CURVE[DEVICE_CURVE],0),2)</f>
        <v>39</v>
      </c>
      <c r="JF82" s="10" t="s">
        <v>458</v>
      </c>
      <c r="JG82" s="10">
        <f xml:space="preserve"> INDEX(CONDUCTOR_MATERIAL[], MATCH(CABLES[[#This Row],[CONDUCTOR_MATERIAL]],CONDUCTOR_MATERIAL[CONDUCTOR_MATERIAL],0),2)</f>
        <v>2.2499999999999999E-2</v>
      </c>
      <c r="JH82" s="10">
        <f>CABLES[[#This Row],[SELECTED_CABLESIZE]]</f>
        <v>2.5</v>
      </c>
      <c r="JI82" s="10">
        <f xml:space="preserve"> INDEX( EARTH_CONDUCTOR_SIZE[], MATCH(CABLES[[#This Row],[SPH]],EARTH_CONDUCTOR_SIZE[MM^2],-1), 2)</f>
        <v>2.5</v>
      </c>
      <c r="JJ82" s="10">
        <f>(0.8*PHASE_VOLTAGE*CABLES[[#This Row],[SPH]]*CABLES[[#This Row],[SPE]])/(CABLES[[#This Row],[PDEVICE_IA]]*CABLES[[#This Row],[MATERIAL_CONSTANT]]*(CABLES[[#This Row],[SPH]]+CABLES[[#This Row],[SPE]]))</f>
        <v>262.10826210826212</v>
      </c>
      <c r="JK82" s="10" t="str">
        <f>IF(CABLES[[#This Row],[LMAX]]&gt;CABLES[[#This Row],[ESTIMATED_CABLE_LENGTH]], "PASS", "ERROR")</f>
        <v>PASS</v>
      </c>
      <c r="JL82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82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82" s="6">
        <f xml:space="preserve"> ROUNDUP( CABLES[[#This Row],[CALCULATED_AMPS]],1)</f>
        <v>3.6</v>
      </c>
      <c r="JO82" s="6">
        <f>CABLES[[#This Row],[SELECTED_CABLESIZE]]</f>
        <v>2.5</v>
      </c>
      <c r="JP82" s="10">
        <f>CABLES[[#This Row],[ESTIMATED_CABLE_LENGTH]]</f>
        <v>105.6</v>
      </c>
      <c r="JQ82" s="6">
        <f>CABLES[[#This Row],[SELECTED_PDEVICE]]</f>
        <v>6</v>
      </c>
    </row>
    <row r="83" spans="1:277" x14ac:dyDescent="0.35">
      <c r="A83" s="5" t="s">
        <v>521</v>
      </c>
      <c r="B83" s="5" t="s">
        <v>119</v>
      </c>
      <c r="C83" s="10" t="s">
        <v>263</v>
      </c>
      <c r="D83" s="9">
        <v>75</v>
      </c>
      <c r="E83" s="9">
        <v>1</v>
      </c>
      <c r="F83" s="9">
        <v>1</v>
      </c>
      <c r="G83" s="9">
        <v>0</v>
      </c>
      <c r="H83" s="9">
        <v>1</v>
      </c>
      <c r="I83" s="9">
        <v>0</v>
      </c>
      <c r="J83" s="9">
        <v>1</v>
      </c>
      <c r="K83" s="9">
        <v>0</v>
      </c>
      <c r="L83" s="9">
        <v>1</v>
      </c>
      <c r="M83" s="9">
        <v>0</v>
      </c>
      <c r="N83" s="9">
        <v>1</v>
      </c>
      <c r="O83" s="9">
        <v>0</v>
      </c>
      <c r="P83" s="9">
        <v>0</v>
      </c>
      <c r="Q83" s="9">
        <v>1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1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f xml:space="preserve"> IF(CABLES[[#This Row],[SEG1]] &gt;0, INDEX(SEGMENTS[], MATCH(CABLES[[#Headers],[SEG1]],SEGMENTS[SEG_ID],0),4),0)</f>
        <v>13</v>
      </c>
      <c r="BN83" s="9">
        <f xml:space="preserve"> IF(CABLES[[#This Row],[SEG2]] &gt;0, INDEX(SEGMENTS[], MATCH(CABLES[[#Headers],[SEG2]],SEGMENTS[SEG_ID],0),4),0)</f>
        <v>2</v>
      </c>
      <c r="BO83" s="9">
        <f xml:space="preserve"> IF(CABLES[[#This Row],[SEG3]] &gt;0, INDEX(SEGMENTS[], MATCH(CABLES[[#Headers],[SEG3]],SEGMENTS[SEG_ID],0),4),0)</f>
        <v>0</v>
      </c>
      <c r="BP83" s="9">
        <f xml:space="preserve"> IF(CABLES[[#This Row],[SEG4]] &gt;0, INDEX(SEGMENTS[], MATCH(CABLES[[#Headers],[SEG4]],SEGMENTS[SEG_ID],0),4),0)</f>
        <v>14</v>
      </c>
      <c r="BQ83" s="9">
        <f xml:space="preserve"> IF(CABLES[[#This Row],[SEG5]] &gt;0,INDEX(SEGMENTS[], MATCH(CABLES[[#Headers],[SEG5]],SEGMENTS[SEG_ID],0),4),0)</f>
        <v>0</v>
      </c>
      <c r="BR83" s="9">
        <f xml:space="preserve"> IF(CABLES[[#This Row],[SEG6]] &gt;0,INDEX(SEGMENTS[], MATCH(CABLES[[#Headers],[SEG6]],SEGMENTS[SEG_ID],0),4),0)</f>
        <v>2</v>
      </c>
      <c r="BS83" s="9">
        <f xml:space="preserve"> IF(CABLES[[#This Row],[SEG7]] &gt;0,INDEX(SEGMENTS[], MATCH(CABLES[[#Headers],[SEG7]],SEGMENTS[SEG_ID],0),4),0)</f>
        <v>0</v>
      </c>
      <c r="BT83" s="9">
        <f xml:space="preserve"> IF(CABLES[[#This Row],[SEG8]] &gt;0,INDEX(SEGMENTS[], MATCH(CABLES[[#Headers],[SEG8]],SEGMENTS[SEG_ID],0),4),0)</f>
        <v>3</v>
      </c>
      <c r="BU83" s="9">
        <f xml:space="preserve"> IF(CABLES[[#This Row],[SEG9]] &gt;0,INDEX(SEGMENTS[], MATCH(CABLES[[#Headers],[SEG9]],SEGMENTS[SEG_ID],0),4),0)</f>
        <v>0</v>
      </c>
      <c r="BV83" s="9">
        <f xml:space="preserve"> IF(CABLES[[#This Row],[SEG10]] &gt;0,INDEX(SEGMENTS[], MATCH(CABLES[[#Headers],[SEG10]],SEGMENTS[SEG_ID],0),4),0)</f>
        <v>9</v>
      </c>
      <c r="BW83" s="9">
        <f xml:space="preserve"> IF(CABLES[[#This Row],[SEG11]] &gt;0,INDEX(SEGMENTS[], MATCH(CABLES[[#Headers],[SEG11]],SEGMENTS[SEG_ID],0),4),0)</f>
        <v>0</v>
      </c>
      <c r="BX83" s="9">
        <f>IF(CABLES[[#This Row],[SEG12]] &gt;0, INDEX(SEGMENTS[], MATCH(CABLES[[#Headers],[SEG12]],SEGMENTS[SEG_ID],0),4),0)</f>
        <v>0</v>
      </c>
      <c r="BY83" s="9">
        <f xml:space="preserve"> IF(CABLES[[#This Row],[SEG13]] &gt;0,INDEX(SEGMENTS[], MATCH(CABLES[[#Headers],[SEG13]],SEGMENTS[SEG_ID],0),4),0)</f>
        <v>3</v>
      </c>
      <c r="BZ83" s="9">
        <f xml:space="preserve"> IF(CABLES[[#This Row],[SEG14]] &gt;0,INDEX(SEGMENTS[], MATCH(CABLES[[#Headers],[SEG14]],SEGMENTS[SEG_ID],0),4),0)</f>
        <v>0</v>
      </c>
      <c r="CA83" s="9">
        <f xml:space="preserve"> IF(CABLES[[#This Row],[SEG15]] &gt;0,INDEX(SEGMENTS[], MATCH(CABLES[[#Headers],[SEG15]],SEGMENTS[SEG_ID],0),4),0)</f>
        <v>0</v>
      </c>
      <c r="CB83" s="9">
        <f xml:space="preserve"> IF(CABLES[[#This Row],[SEG16]] &gt;0,INDEX(SEGMENTS[], MATCH(CABLES[[#Headers],[SEG16]],SEGMENTS[SEG_ID],0),4),0)</f>
        <v>0</v>
      </c>
      <c r="CC83" s="9">
        <f xml:space="preserve"> IF(CABLES[[#This Row],[SEG17]] &gt;0,INDEX(SEGMENTS[], MATCH(CABLES[[#Headers],[SEG17]],SEGMENTS[SEG_ID],0),4),0)</f>
        <v>0</v>
      </c>
      <c r="CD83" s="9">
        <f xml:space="preserve"> IF(CABLES[[#This Row],[SEG18]] &gt;0,INDEX(SEGMENTS[], MATCH(CABLES[[#Headers],[SEG18]],SEGMENTS[SEG_ID],0),4),0)</f>
        <v>0</v>
      </c>
      <c r="CE83" s="9">
        <f>IF(CABLES[[#This Row],[SEG19]] &gt;0, INDEX(SEGMENTS[], MATCH(CABLES[[#Headers],[SEG19]],SEGMENTS[SEG_ID],0),4),0)</f>
        <v>0</v>
      </c>
      <c r="CF83" s="9">
        <f>IF(CABLES[[#This Row],[SEG20]] &gt;0, INDEX(SEGMENTS[], MATCH(CABLES[[#Headers],[SEG20]],SEGMENTS[SEG_ID],0),4),0)</f>
        <v>0</v>
      </c>
      <c r="CG83" s="9">
        <f xml:space="preserve"> IF(CABLES[[#This Row],[SEG21]] &gt;0,INDEX(SEGMENTS[], MATCH(CABLES[[#Headers],[SEG21]],SEGMENTS[SEG_ID],0),4),0)</f>
        <v>0</v>
      </c>
      <c r="CH83" s="9">
        <f xml:space="preserve"> IF(CABLES[[#This Row],[SEG22]] &gt;0,INDEX(SEGMENTS[], MATCH(CABLES[[#Headers],[SEG22]],SEGMENTS[SEG_ID],0),4),0)</f>
        <v>0</v>
      </c>
      <c r="CI83" s="9">
        <f>IF(CABLES[[#This Row],[SEG23]] &gt;0, INDEX(SEGMENTS[], MATCH(CABLES[[#Headers],[SEG23]],SEGMENTS[SEG_ID],0),4),0)</f>
        <v>0</v>
      </c>
      <c r="CJ83" s="9">
        <f xml:space="preserve"> IF(CABLES[[#This Row],[SEG24]] &gt;0,INDEX(SEGMENTS[], MATCH(CABLES[[#Headers],[SEG24]],SEGMENTS[SEG_ID],0),4),0)</f>
        <v>21</v>
      </c>
      <c r="CK83" s="9">
        <f>IF(CABLES[[#This Row],[SEG25]] &gt;0, INDEX(SEGMENTS[], MATCH(CABLES[[#Headers],[SEG25]],SEGMENTS[SEG_ID],0),4),0)</f>
        <v>0</v>
      </c>
      <c r="CL83" s="9">
        <f>IF(CABLES[[#This Row],[SEG26]] &gt;0, INDEX(SEGMENTS[], MATCH(CABLES[[#Headers],[SEG26]],SEGMENTS[SEG_ID],0),4),0)</f>
        <v>0</v>
      </c>
      <c r="CM83" s="9">
        <f xml:space="preserve"> IF(CABLES[[#This Row],[SEG27]] &gt;0,INDEX(SEGMENTS[], MATCH(CABLES[[#Headers],[SEG27]],SEGMENTS[SEG_ID],0),4),0)</f>
        <v>0</v>
      </c>
      <c r="CN83" s="9">
        <f xml:space="preserve"> IF(CABLES[[#This Row],[SEG28]] &gt;0,INDEX(SEGMENTS[], MATCH(CABLES[[#Headers],[SEG28]],SEGMENTS[SEG_ID],0),4),0)</f>
        <v>0</v>
      </c>
      <c r="CO83" s="9">
        <f xml:space="preserve"> IF(CABLES[[#This Row],[SEG29]] &gt;0,INDEX(SEGMENTS[], MATCH(CABLES[[#Headers],[SEG29]],SEGMENTS[SEG_ID],0),4),0)</f>
        <v>0</v>
      </c>
      <c r="CP83" s="9">
        <f xml:space="preserve"> IF(CABLES[[#This Row],[SEG30]] &gt;0,INDEX(SEGMENTS[], MATCH(CABLES[[#Headers],[SEG30]],SEGMENTS[SEG_ID],0),4),0)</f>
        <v>0</v>
      </c>
      <c r="CQ83" s="9">
        <f>IF(CABLES[[#This Row],[SEG31]] &gt;0, INDEX(SEGMENTS[], MATCH(CABLES[[#Headers],[SEG31]],SEGMENTS[SEG_ID],0),4),0)</f>
        <v>0</v>
      </c>
      <c r="CR83" s="9">
        <f xml:space="preserve"> IF(CABLES[[#This Row],[SEG32]] &gt;0,INDEX(SEGMENTS[], MATCH(CABLES[[#Headers],[SEG32]],SEGMENTS[SEG_ID],0),4),0)</f>
        <v>0</v>
      </c>
      <c r="CS83" s="9">
        <f xml:space="preserve"> IF(CABLES[[#This Row],[SEG33]] &gt;0,INDEX(SEGMENTS[], MATCH(CABLES[[#Headers],[SEG33]],SEGMENTS[SEG_ID],0),4),0)</f>
        <v>0</v>
      </c>
      <c r="CT83" s="9">
        <f>IF(CABLES[[#This Row],[SEG34]] &gt;0, INDEX(SEGMENTS[], MATCH(CABLES[[#Headers],[SEG34]],SEGMENTS[SEG_ID],0),4),0)</f>
        <v>0</v>
      </c>
      <c r="CU83" s="9">
        <f xml:space="preserve"> IF(CABLES[[#This Row],[SEG35]] &gt;0,INDEX(SEGMENTS[], MATCH(CABLES[[#Headers],[SEG35]],SEGMENTS[SEG_ID],0),4),0)</f>
        <v>0</v>
      </c>
      <c r="CV83" s="9">
        <f xml:space="preserve"> IF(CABLES[[#This Row],[SEG36]] &gt;0,INDEX(SEGMENTS[], MATCH(CABLES[[#Headers],[SEG36]],SEGMENTS[SEG_ID],0),4),0)</f>
        <v>0</v>
      </c>
      <c r="CW83" s="9">
        <f xml:space="preserve"> IF(CABLES[[#This Row],[SEG37]] &gt;0,INDEX(SEGMENTS[], MATCH(CABLES[[#Headers],[SEG37]],SEGMENTS[SEG_ID],0),4),0)</f>
        <v>0</v>
      </c>
      <c r="CX83" s="9">
        <f xml:space="preserve"> IF(CABLES[[#This Row],[SEG38]] &gt;0,INDEX(SEGMENTS[], MATCH(CABLES[[#Headers],[SEG38]],SEGMENTS[SEG_ID],0),4),0)</f>
        <v>0</v>
      </c>
      <c r="CY83" s="9">
        <f xml:space="preserve"> IF(CABLES[[#This Row],[SEG39]] &gt;0,INDEX(SEGMENTS[], MATCH(CABLES[[#Headers],[SEG39]],SEGMENTS[SEG_ID],0),4),0)</f>
        <v>0</v>
      </c>
      <c r="CZ83" s="9">
        <f xml:space="preserve"> IF(CABLES[[#This Row],[SEG40]] &gt;0,INDEX(SEGMENTS[], MATCH(CABLES[[#Headers],[SEG40]],SEGMENTS[SEG_ID],0),4),0)</f>
        <v>0</v>
      </c>
      <c r="DA83" s="9">
        <f xml:space="preserve"> IF(CABLES[[#This Row],[SEG41]] &gt;0,INDEX(SEGMENTS[], MATCH(CABLES[[#Headers],[SEG41]],SEGMENTS[SEG_ID],0),4),0)</f>
        <v>0</v>
      </c>
      <c r="DB83" s="9">
        <f xml:space="preserve"> IF(CABLES[[#This Row],[SEG42]] &gt;0,INDEX(SEGMENTS[], MATCH(CABLES[[#Headers],[SEG42]],SEGMENTS[SEG_ID],0),4),0)</f>
        <v>0</v>
      </c>
      <c r="DC83" s="9">
        <f xml:space="preserve"> IF(CABLES[[#This Row],[SEG43]] &gt;0,INDEX(SEGMENTS[], MATCH(CABLES[[#Headers],[SEG43]],SEGMENTS[SEG_ID],0),4),0)</f>
        <v>0</v>
      </c>
      <c r="DD83" s="9">
        <f xml:space="preserve"> IF(CABLES[[#This Row],[SEG44]] &gt;0,INDEX(SEGMENTS[], MATCH(CABLES[[#Headers],[SEG44]],SEGMENTS[SEG_ID],0),4),0)</f>
        <v>0</v>
      </c>
      <c r="DE83" s="9">
        <f xml:space="preserve"> IF(CABLES[[#This Row],[SEG45]] &gt;0,INDEX(SEGMENTS[], MATCH(CABLES[[#Headers],[SEG45]],SEGMENTS[SEG_ID],0),4),0)</f>
        <v>0</v>
      </c>
      <c r="DF83" s="9">
        <f xml:space="preserve"> IF(CABLES[[#This Row],[SEG46]] &gt;0,INDEX(SEGMENTS[], MATCH(CABLES[[#Headers],[SEG46]],SEGMENTS[SEG_ID],0),4),0)</f>
        <v>0</v>
      </c>
      <c r="DG83" s="9">
        <f xml:space="preserve"> IF(CABLES[[#This Row],[SEG47]] &gt;0,INDEX(SEGMENTS[], MATCH(CABLES[[#Headers],[SEG47]],SEGMENTS[SEG_ID],0),4),0)</f>
        <v>0</v>
      </c>
      <c r="DH83" s="9">
        <f xml:space="preserve"> IF(CABLES[[#This Row],[SEG48]] &gt;0,INDEX(SEGMENTS[], MATCH(CABLES[[#Headers],[SEG48]],SEGMENTS[SEG_ID],0),4),0)</f>
        <v>0</v>
      </c>
      <c r="DI83" s="9">
        <f xml:space="preserve"> IF(CABLES[[#This Row],[SEG49]] &gt;0,INDEX(SEGMENTS[], MATCH(CABLES[[#Headers],[SEG49]],SEGMENTS[SEG_ID],0),4),0)</f>
        <v>0</v>
      </c>
      <c r="DJ83" s="9">
        <f xml:space="preserve"> IF(CABLES[[#This Row],[SEG50]] &gt;0,INDEX(SEGMENTS[], MATCH(CABLES[[#Headers],[SEG50]],SEGMENTS[SEG_ID],0),4),0)</f>
        <v>0</v>
      </c>
      <c r="DK83" s="9">
        <f xml:space="preserve"> IF(CABLES[[#This Row],[SEG51]] &gt;0,INDEX(SEGMENTS[], MATCH(CABLES[[#Headers],[SEG51]],SEGMENTS[SEG_ID],0),4),0)</f>
        <v>0</v>
      </c>
      <c r="DL83" s="9">
        <f xml:space="preserve"> IF(CABLES[[#This Row],[SEG52]] &gt;0,INDEX(SEGMENTS[], MATCH(CABLES[[#Headers],[SEG52]],SEGMENTS[SEG_ID],0),4),0)</f>
        <v>0</v>
      </c>
      <c r="DM83" s="9">
        <f xml:space="preserve"> IF(CABLES[[#This Row],[SEG53]] &gt;0,INDEX(SEGMENTS[], MATCH(CABLES[[#Headers],[SEG53]],SEGMENTS[SEG_ID],0),4),0)</f>
        <v>0</v>
      </c>
      <c r="DN83" s="9">
        <f xml:space="preserve"> IF(CABLES[[#This Row],[SEG54]] &gt;0,INDEX(SEGMENTS[], MATCH(CABLES[[#Headers],[SEG54]],SEGMENTS[SEG_ID],0),4),0)</f>
        <v>0</v>
      </c>
      <c r="DO83" s="9">
        <f xml:space="preserve"> IF(CABLES[[#This Row],[SEG55]] &gt;0,INDEX(SEGMENTS[], MATCH(CABLES[[#Headers],[SEG55]],SEGMENTS[SEG_ID],0),4),0)</f>
        <v>0</v>
      </c>
      <c r="DP83" s="9">
        <f xml:space="preserve"> IF(CABLES[[#This Row],[SEG56]] &gt;0,INDEX(SEGMENTS[], MATCH(CABLES[[#Headers],[SEG56]],SEGMENTS[SEG_ID],0),4),0)</f>
        <v>0</v>
      </c>
      <c r="DQ83" s="9">
        <f xml:space="preserve"> IF(CABLES[[#This Row],[SEG57]] &gt;0,INDEX(SEGMENTS[], MATCH(CABLES[[#Headers],[SEG57]],SEGMENTS[SEG_ID],0),4),0)</f>
        <v>0</v>
      </c>
      <c r="DR83" s="9">
        <f xml:space="preserve"> IF(CABLES[[#This Row],[SEG58]] &gt;0,INDEX(SEGMENTS[], MATCH(CABLES[[#Headers],[SEG58]],SEGMENTS[SEG_ID],0),4),0)</f>
        <v>0</v>
      </c>
      <c r="DS83" s="9">
        <f xml:space="preserve"> IF(CABLES[[#This Row],[SEG59]] &gt;0,INDEX(SEGMENTS[], MATCH(CABLES[[#Headers],[SEG59]],SEGMENTS[SEG_ID],0),4),0)</f>
        <v>0</v>
      </c>
      <c r="DT83" s="9">
        <f xml:space="preserve"> IF(CABLES[[#This Row],[SEG60]] &gt;0,INDEX(SEGMENTS[], MATCH(CABLES[[#Headers],[SEG60]],SEGMENTS[SEG_ID],0),4),0)</f>
        <v>0</v>
      </c>
      <c r="DU83" s="10">
        <f>SUM(CABLES[[#This Row],[SEGL1]:[SEGL60]])</f>
        <v>67</v>
      </c>
      <c r="DV83" s="10">
        <v>5</v>
      </c>
      <c r="DW83" s="10">
        <v>1.2</v>
      </c>
      <c r="DX83" s="10">
        <f xml:space="preserve"> IF(CABLES[[#This Row],[SEGL_TOTAL]]&gt;0, (CABLES[[#This Row],[SEGL_TOTAL]] + CABLES[[#This Row],[FITOFF]]) *CABLES[[#This Row],[XCAPACITY]],0)</f>
        <v>86.399999999999991</v>
      </c>
      <c r="DY83" s="10">
        <f>IF(CABLES[[#This Row],[SEG1]]&gt;0,CABLES[[#This Row],[CABLE_DIAMETER]],0)</f>
        <v>41</v>
      </c>
      <c r="DZ83" s="10">
        <f>IF(CABLES[[#This Row],[SEG2]]&gt;0,CABLES[[#This Row],[CABLE_DIAMETER]],0)</f>
        <v>41</v>
      </c>
      <c r="EA83" s="10">
        <f>IF(CABLES[[#This Row],[SEG3]]&gt;0,CABLES[[#This Row],[CABLE_DIAMETER]],0)</f>
        <v>0</v>
      </c>
      <c r="EB83" s="10">
        <f>IF(CABLES[[#This Row],[SEG4]]&gt;0,CABLES[[#This Row],[CABLE_DIAMETER]],0)</f>
        <v>41</v>
      </c>
      <c r="EC83" s="10">
        <f>IF(CABLES[[#This Row],[SEG5]]&gt;0,CABLES[[#This Row],[CABLE_DIAMETER]],0)</f>
        <v>0</v>
      </c>
      <c r="ED83" s="10">
        <f>IF(CABLES[[#This Row],[SEG6]]&gt;0,CABLES[[#This Row],[CABLE_DIAMETER]],0)</f>
        <v>41</v>
      </c>
      <c r="EE83" s="10">
        <f>IF(CABLES[[#This Row],[SEG7]]&gt;0,CABLES[[#This Row],[CABLE_DIAMETER]],0)</f>
        <v>0</v>
      </c>
      <c r="EF83" s="10">
        <f>IF(CABLES[[#This Row],[SEG9]]&gt;0,CABLES[[#This Row],[CABLE_DIAMETER]],0)</f>
        <v>0</v>
      </c>
      <c r="EG83" s="10">
        <f>IF(CABLES[[#This Row],[SEG9]]&gt;0,CABLES[[#This Row],[CABLE_DIAMETER]],0)</f>
        <v>0</v>
      </c>
      <c r="EH83" s="10">
        <f>IF(CABLES[[#This Row],[SEG10]]&gt;0,CABLES[[#This Row],[CABLE_DIAMETER]],0)</f>
        <v>41</v>
      </c>
      <c r="EI83" s="10">
        <f>IF(CABLES[[#This Row],[SEG11]]&gt;0,CABLES[[#This Row],[CABLE_DIAMETER]],0)</f>
        <v>0</v>
      </c>
      <c r="EJ83" s="10">
        <f>IF(CABLES[[#This Row],[SEG12]]&gt;0,CABLES[[#This Row],[CABLE_DIAMETER]],0)</f>
        <v>0</v>
      </c>
      <c r="EK83" s="10">
        <f>IF(CABLES[[#This Row],[SEG13]]&gt;0,CABLES[[#This Row],[CABLE_DIAMETER]],0)</f>
        <v>41</v>
      </c>
      <c r="EL83" s="10">
        <f>IF(CABLES[[#This Row],[SEG14]]&gt;0,CABLES[[#This Row],[CABLE_DIAMETER]],0)</f>
        <v>0</v>
      </c>
      <c r="EM83" s="10">
        <f>IF(CABLES[[#This Row],[SEG15]]&gt;0,CABLES[[#This Row],[CABLE_DIAMETER]],0)</f>
        <v>0</v>
      </c>
      <c r="EN83" s="10">
        <f>IF(CABLES[[#This Row],[SEG16]]&gt;0,CABLES[[#This Row],[CABLE_DIAMETER]],0)</f>
        <v>0</v>
      </c>
      <c r="EO83" s="10">
        <f>IF(CABLES[[#This Row],[SEG17]]&gt;0,CABLES[[#This Row],[CABLE_DIAMETER]],0)</f>
        <v>0</v>
      </c>
      <c r="EP83" s="10">
        <f>IF(CABLES[[#This Row],[SEG18]]&gt;0,CABLES[[#This Row],[CABLE_DIAMETER]],0)</f>
        <v>0</v>
      </c>
      <c r="EQ83" s="10">
        <f>IF(CABLES[[#This Row],[SEG19]]&gt;0,CABLES[[#This Row],[CABLE_DIAMETER]],0)</f>
        <v>0</v>
      </c>
      <c r="ER83" s="10">
        <f>IF(CABLES[[#This Row],[SEG20]]&gt;0,CABLES[[#This Row],[CABLE_DIAMETER]],0)</f>
        <v>0</v>
      </c>
      <c r="ES83" s="10">
        <f>IF(CABLES[[#This Row],[SEG21]]&gt;0,CABLES[[#This Row],[CABLE_DIAMETER]],0)</f>
        <v>0</v>
      </c>
      <c r="ET83" s="10">
        <f>IF(CABLES[[#This Row],[SEG22]]&gt;0,CABLES[[#This Row],[CABLE_DIAMETER]],0)</f>
        <v>0</v>
      </c>
      <c r="EU83" s="10">
        <f>IF(CABLES[[#This Row],[SEG23]]&gt;0,CABLES[[#This Row],[CABLE_DIAMETER]],0)</f>
        <v>0</v>
      </c>
      <c r="EV83" s="10">
        <f>IF(CABLES[[#This Row],[SEG24]]&gt;0,CABLES[[#This Row],[CABLE_DIAMETER]],0)</f>
        <v>41</v>
      </c>
      <c r="EW83" s="10">
        <f>IF(CABLES[[#This Row],[SEG25]]&gt;0,CABLES[[#This Row],[CABLE_DIAMETER]],0)</f>
        <v>0</v>
      </c>
      <c r="EX83" s="10">
        <f>IF(CABLES[[#This Row],[SEG26]]&gt;0,CABLES[[#This Row],[CABLE_DIAMETER]],0)</f>
        <v>0</v>
      </c>
      <c r="EY83" s="10">
        <f>IF(CABLES[[#This Row],[SEG27]]&gt;0,CABLES[[#This Row],[CABLE_DIAMETER]],0)</f>
        <v>0</v>
      </c>
      <c r="EZ83" s="10">
        <f>IF(CABLES[[#This Row],[SEG28]]&gt;0,CABLES[[#This Row],[CABLE_DIAMETER]],0)</f>
        <v>0</v>
      </c>
      <c r="FA83" s="10">
        <f>IF(CABLES[[#This Row],[SEG29]]&gt;0,CABLES[[#This Row],[CABLE_DIAMETER]],0)</f>
        <v>0</v>
      </c>
      <c r="FB83" s="10">
        <f>IF(CABLES[[#This Row],[SEG30]]&gt;0,CABLES[[#This Row],[CABLE_DIAMETER]],0)</f>
        <v>0</v>
      </c>
      <c r="FC83" s="10">
        <f>IF(CABLES[[#This Row],[SEG31]]&gt;0,CABLES[[#This Row],[CABLE_DIAMETER]],0)</f>
        <v>0</v>
      </c>
      <c r="FD83" s="10">
        <f>IF(CABLES[[#This Row],[SEG32]]&gt;0,CABLES[[#This Row],[CABLE_DIAMETER]],0)</f>
        <v>0</v>
      </c>
      <c r="FE83" s="10">
        <f>IF(CABLES[[#This Row],[SEG33]]&gt;0,CABLES[[#This Row],[CABLE_DIAMETER]],0)</f>
        <v>0</v>
      </c>
      <c r="FF83" s="10">
        <f>IF(CABLES[[#This Row],[SEG34]]&gt;0,CABLES[[#This Row],[CABLE_DIAMETER]],0)</f>
        <v>0</v>
      </c>
      <c r="FG83" s="10">
        <f>IF(CABLES[[#This Row],[SEG35]]&gt;0,CABLES[[#This Row],[CABLE_DIAMETER]],0)</f>
        <v>0</v>
      </c>
      <c r="FH83" s="10">
        <f>IF(CABLES[[#This Row],[SEG36]]&gt;0,CABLES[[#This Row],[CABLE_DIAMETER]],0)</f>
        <v>0</v>
      </c>
      <c r="FI83" s="10">
        <f>IF(CABLES[[#This Row],[SEG37]]&gt;0,CABLES[[#This Row],[CABLE_DIAMETER]],0)</f>
        <v>0</v>
      </c>
      <c r="FJ83" s="10">
        <f>IF(CABLES[[#This Row],[SEG38]]&gt;0,CABLES[[#This Row],[CABLE_DIAMETER]],0)</f>
        <v>0</v>
      </c>
      <c r="FK83" s="10">
        <f>IF(CABLES[[#This Row],[SEG39]]&gt;0,CABLES[[#This Row],[CABLE_DIAMETER]],0)</f>
        <v>0</v>
      </c>
      <c r="FL83" s="10">
        <f>IF(CABLES[[#This Row],[SEG40]]&gt;0,CABLES[[#This Row],[CABLE_DIAMETER]],0)</f>
        <v>0</v>
      </c>
      <c r="FM83" s="10">
        <f>IF(CABLES[[#This Row],[SEG41]]&gt;0,CABLES[[#This Row],[CABLE_DIAMETER]],0)</f>
        <v>0</v>
      </c>
      <c r="FN83" s="10">
        <f>IF(CABLES[[#This Row],[SEG42]]&gt;0,CABLES[[#This Row],[CABLE_DIAMETER]],0)</f>
        <v>0</v>
      </c>
      <c r="FO83" s="10">
        <f>IF(CABLES[[#This Row],[SEG43]]&gt;0,CABLES[[#This Row],[CABLE_DIAMETER]],0)</f>
        <v>0</v>
      </c>
      <c r="FP83" s="10">
        <f>IF(CABLES[[#This Row],[SEG44]]&gt;0,CABLES[[#This Row],[CABLE_DIAMETER]],0)</f>
        <v>0</v>
      </c>
      <c r="FQ83" s="10">
        <f>IF(CABLES[[#This Row],[SEG45]]&gt;0,CABLES[[#This Row],[CABLE_DIAMETER]],0)</f>
        <v>0</v>
      </c>
      <c r="FR83" s="10">
        <f>IF(CABLES[[#This Row],[SEG46]]&gt;0,CABLES[[#This Row],[CABLE_DIAMETER]],0)</f>
        <v>0</v>
      </c>
      <c r="FS83" s="10">
        <f>IF(CABLES[[#This Row],[SEG47]]&gt;0,CABLES[[#This Row],[CABLE_DIAMETER]],0)</f>
        <v>0</v>
      </c>
      <c r="FT83" s="10">
        <f>IF(CABLES[[#This Row],[SEG48]]&gt;0,CABLES[[#This Row],[CABLE_DIAMETER]],0)</f>
        <v>0</v>
      </c>
      <c r="FU83" s="10">
        <f>IF(CABLES[[#This Row],[SEG49]]&gt;0,CABLES[[#This Row],[CABLE_DIAMETER]],0)</f>
        <v>0</v>
      </c>
      <c r="FV83" s="10">
        <f>IF(CABLES[[#This Row],[SEG50]]&gt;0,CABLES[[#This Row],[CABLE_DIAMETER]],0)</f>
        <v>0</v>
      </c>
      <c r="FW83" s="10">
        <f>IF(CABLES[[#This Row],[SEG51]]&gt;0,CABLES[[#This Row],[CABLE_DIAMETER]],0)</f>
        <v>0</v>
      </c>
      <c r="FX83" s="10">
        <f>IF(CABLES[[#This Row],[SEG52]]&gt;0,CABLES[[#This Row],[CABLE_DIAMETER]],0)</f>
        <v>0</v>
      </c>
      <c r="FY83" s="10">
        <f>IF(CABLES[[#This Row],[SEG53]]&gt;0,CABLES[[#This Row],[CABLE_DIAMETER]],0)</f>
        <v>0</v>
      </c>
      <c r="FZ83" s="10">
        <f>IF(CABLES[[#This Row],[SEG54]]&gt;0,CABLES[[#This Row],[CABLE_DIAMETER]],0)</f>
        <v>0</v>
      </c>
      <c r="GA83" s="10">
        <f>IF(CABLES[[#This Row],[SEG55]]&gt;0,CABLES[[#This Row],[CABLE_DIAMETER]],0)</f>
        <v>0</v>
      </c>
      <c r="GB83" s="10">
        <f>IF(CABLES[[#This Row],[SEG56]]&gt;0,CABLES[[#This Row],[CABLE_DIAMETER]],0)</f>
        <v>0</v>
      </c>
      <c r="GC83" s="10">
        <f>IF(CABLES[[#This Row],[SEG57]]&gt;0,CABLES[[#This Row],[CABLE_DIAMETER]],0)</f>
        <v>0</v>
      </c>
      <c r="GD83" s="10">
        <f>IF(CABLES[[#This Row],[SEG58]]&gt;0,CABLES[[#This Row],[CABLE_DIAMETER]],0)</f>
        <v>0</v>
      </c>
      <c r="GE83" s="10">
        <f>IF(CABLES[[#This Row],[SEG59]]&gt;0,CABLES[[#This Row],[CABLE_DIAMETER]],0)</f>
        <v>0</v>
      </c>
      <c r="GF83" s="10">
        <f>IF(CABLES[[#This Row],[SEG60]]&gt;0,CABLES[[#This Row],[CABLE_DIAMETER]],0)</f>
        <v>0</v>
      </c>
      <c r="GG83" s="10">
        <f>IF(CABLES[[#This Row],[SEG1]]&gt;0,CABLES[[#This Row],[CABLE_MASS]],0)</f>
        <v>3.86</v>
      </c>
      <c r="GH83" s="10">
        <f>IF(CABLES[[#This Row],[SEG2]]&gt;0,CABLES[[#This Row],[CABLE_MASS]],0)</f>
        <v>3.86</v>
      </c>
      <c r="GI83" s="10">
        <f>IF(CABLES[[#This Row],[SEG3]]&gt;0,CABLES[[#This Row],[CABLE_MASS]],0)</f>
        <v>0</v>
      </c>
      <c r="GJ83" s="10">
        <f>IF(CABLES[[#This Row],[SEG4]]&gt;0,CABLES[[#This Row],[CABLE_MASS]],0)</f>
        <v>3.86</v>
      </c>
      <c r="GK83" s="10">
        <f>IF(CABLES[[#This Row],[SEG5]]&gt;0,CABLES[[#This Row],[CABLE_MASS]],0)</f>
        <v>0</v>
      </c>
      <c r="GL83" s="10">
        <f>IF(CABLES[[#This Row],[SEG6]]&gt;0,CABLES[[#This Row],[CABLE_MASS]],0)</f>
        <v>3.86</v>
      </c>
      <c r="GM83" s="10">
        <f>IF(CABLES[[#This Row],[SEG7]]&gt;0,CABLES[[#This Row],[CABLE_MASS]],0)</f>
        <v>0</v>
      </c>
      <c r="GN83" s="10">
        <f>IF(CABLES[[#This Row],[SEG8]]&gt;0,CABLES[[#This Row],[CABLE_MASS]],0)</f>
        <v>3.86</v>
      </c>
      <c r="GO83" s="10">
        <f>IF(CABLES[[#This Row],[SEG9]]&gt;0,CABLES[[#This Row],[CABLE_MASS]],0)</f>
        <v>0</v>
      </c>
      <c r="GP83" s="10">
        <f>IF(CABLES[[#This Row],[SEG10]]&gt;0,CABLES[[#This Row],[CABLE_MASS]],0)</f>
        <v>3.86</v>
      </c>
      <c r="GQ83" s="10">
        <f>IF(CABLES[[#This Row],[SEG11]]&gt;0,CABLES[[#This Row],[CABLE_MASS]],0)</f>
        <v>0</v>
      </c>
      <c r="GR83" s="10">
        <f>IF(CABLES[[#This Row],[SEG12]]&gt;0,CABLES[[#This Row],[CABLE_MASS]],0)</f>
        <v>0</v>
      </c>
      <c r="GS83" s="10">
        <f>IF(CABLES[[#This Row],[SEG13]]&gt;0,CABLES[[#This Row],[CABLE_MASS]],0)</f>
        <v>3.86</v>
      </c>
      <c r="GT83" s="10">
        <f>IF(CABLES[[#This Row],[SEG14]]&gt;0,CABLES[[#This Row],[CABLE_MASS]],0)</f>
        <v>0</v>
      </c>
      <c r="GU83" s="10">
        <f>IF(CABLES[[#This Row],[SEG15]]&gt;0,CABLES[[#This Row],[CABLE_MASS]],0)</f>
        <v>0</v>
      </c>
      <c r="GV83" s="10">
        <f>IF(CABLES[[#This Row],[SEG16]]&gt;0,CABLES[[#This Row],[CABLE_MASS]],0)</f>
        <v>0</v>
      </c>
      <c r="GW83" s="10">
        <f>IF(CABLES[[#This Row],[SEG17]]&gt;0,CABLES[[#This Row],[CABLE_MASS]],0)</f>
        <v>0</v>
      </c>
      <c r="GX83" s="10">
        <f>IF(CABLES[[#This Row],[SEG18]]&gt;0,CABLES[[#This Row],[CABLE_MASS]],0)</f>
        <v>0</v>
      </c>
      <c r="GY83" s="10">
        <f>IF(CABLES[[#This Row],[SEG19]]&gt;0,CABLES[[#This Row],[CABLE_MASS]],0)</f>
        <v>0</v>
      </c>
      <c r="GZ83" s="10">
        <f>IF(CABLES[[#This Row],[SEG20]]&gt;0,CABLES[[#This Row],[CABLE_MASS]],0)</f>
        <v>0</v>
      </c>
      <c r="HA83" s="10">
        <f>IF(CABLES[[#This Row],[SEG21]]&gt;0,CABLES[[#This Row],[CABLE_MASS]],0)</f>
        <v>0</v>
      </c>
      <c r="HB83" s="10">
        <f>IF(CABLES[[#This Row],[SEG22]]&gt;0,CABLES[[#This Row],[CABLE_MASS]],0)</f>
        <v>0</v>
      </c>
      <c r="HC83" s="10">
        <f>IF(CABLES[[#This Row],[SEG23]]&gt;0,CABLES[[#This Row],[CABLE_MASS]],0)</f>
        <v>0</v>
      </c>
      <c r="HD83" s="10">
        <f>IF(CABLES[[#This Row],[SEG24]]&gt;0,CABLES[[#This Row],[CABLE_MASS]],0)</f>
        <v>3.86</v>
      </c>
      <c r="HE83" s="10">
        <f>IF(CABLES[[#This Row],[SEG25]]&gt;0,CABLES[[#This Row],[CABLE_MASS]],0)</f>
        <v>0</v>
      </c>
      <c r="HF83" s="10">
        <f>IF(CABLES[[#This Row],[SEG26]]&gt;0,CABLES[[#This Row],[CABLE_MASS]],0)</f>
        <v>0</v>
      </c>
      <c r="HG83" s="10">
        <f>IF(CABLES[[#This Row],[SEG27]]&gt;0,CABLES[[#This Row],[CABLE_MASS]],0)</f>
        <v>0</v>
      </c>
      <c r="HH83" s="10">
        <f>IF(CABLES[[#This Row],[SEG28]]&gt;0,CABLES[[#This Row],[CABLE_MASS]],0)</f>
        <v>0</v>
      </c>
      <c r="HI83" s="10">
        <f>IF(CABLES[[#This Row],[SEG29]]&gt;0,CABLES[[#This Row],[CABLE_MASS]],0)</f>
        <v>0</v>
      </c>
      <c r="HJ83" s="10">
        <f>IF(CABLES[[#This Row],[SEG30]]&gt;0,CABLES[[#This Row],[CABLE_MASS]],0)</f>
        <v>0</v>
      </c>
      <c r="HK83" s="10">
        <f>IF(CABLES[[#This Row],[SEG31]]&gt;0,CABLES[[#This Row],[CABLE_MASS]],0)</f>
        <v>0</v>
      </c>
      <c r="HL83" s="10">
        <f>IF(CABLES[[#This Row],[SEG32]]&gt;0,CABLES[[#This Row],[CABLE_MASS]],0)</f>
        <v>0</v>
      </c>
      <c r="HM83" s="10">
        <f>IF(CABLES[[#This Row],[SEG33]]&gt;0,CABLES[[#This Row],[CABLE_MASS]],0)</f>
        <v>0</v>
      </c>
      <c r="HN83" s="10">
        <f>IF(CABLES[[#This Row],[SEG34]]&gt;0,CABLES[[#This Row],[CABLE_MASS]],0)</f>
        <v>0</v>
      </c>
      <c r="HO83" s="10">
        <f>IF(CABLES[[#This Row],[SEG35]]&gt;0,CABLES[[#This Row],[CABLE_MASS]],0)</f>
        <v>0</v>
      </c>
      <c r="HP83" s="10">
        <f>IF(CABLES[[#This Row],[SEG36]]&gt;0,CABLES[[#This Row],[CABLE_MASS]],0)</f>
        <v>0</v>
      </c>
      <c r="HQ83" s="10">
        <f>IF(CABLES[[#This Row],[SEG37]]&gt;0,CABLES[[#This Row],[CABLE_MASS]],0)</f>
        <v>0</v>
      </c>
      <c r="HR83" s="10">
        <f>IF(CABLES[[#This Row],[SEG38]]&gt;0,CABLES[[#This Row],[CABLE_MASS]],0)</f>
        <v>0</v>
      </c>
      <c r="HS83" s="10">
        <f>IF(CABLES[[#This Row],[SEG39]]&gt;0,CABLES[[#This Row],[CABLE_MASS]],0)</f>
        <v>0</v>
      </c>
      <c r="HT83" s="10">
        <f>IF(CABLES[[#This Row],[SEG40]]&gt;0,CABLES[[#This Row],[CABLE_MASS]],0)</f>
        <v>0</v>
      </c>
      <c r="HU83" s="10">
        <f>IF(CABLES[[#This Row],[SEG41]]&gt;0,CABLES[[#This Row],[CABLE_MASS]],0)</f>
        <v>0</v>
      </c>
      <c r="HV83" s="10">
        <f>IF(CABLES[[#This Row],[SEG42]]&gt;0,CABLES[[#This Row],[CABLE_MASS]],0)</f>
        <v>0</v>
      </c>
      <c r="HW83" s="10">
        <f>IF(CABLES[[#This Row],[SEG43]]&gt;0,CABLES[[#This Row],[CABLE_MASS]],0)</f>
        <v>0</v>
      </c>
      <c r="HX83" s="10">
        <f>IF(CABLES[[#This Row],[SEG44]]&gt;0,CABLES[[#This Row],[CABLE_MASS]],0)</f>
        <v>0</v>
      </c>
      <c r="HY83" s="10">
        <f>IF(CABLES[[#This Row],[SEG45]]&gt;0,CABLES[[#This Row],[CABLE_MASS]],0)</f>
        <v>0</v>
      </c>
      <c r="HZ83" s="10">
        <f>IF(CABLES[[#This Row],[SEG46]]&gt;0,CABLES[[#This Row],[CABLE_MASS]],0)</f>
        <v>0</v>
      </c>
      <c r="IA83" s="10">
        <f>IF(CABLES[[#This Row],[SEG47]]&gt;0,CABLES[[#This Row],[CABLE_MASS]],0)</f>
        <v>0</v>
      </c>
      <c r="IB83" s="10">
        <f>IF(CABLES[[#This Row],[SEG48]]&gt;0,CABLES[[#This Row],[CABLE_MASS]],0)</f>
        <v>0</v>
      </c>
      <c r="IC83" s="10">
        <f>IF(CABLES[[#This Row],[SEG49]]&gt;0,CABLES[[#This Row],[CABLE_MASS]],0)</f>
        <v>0</v>
      </c>
      <c r="ID83" s="10">
        <f>IF(CABLES[[#This Row],[SEG50]]&gt;0,CABLES[[#This Row],[CABLE_MASS]],0)</f>
        <v>0</v>
      </c>
      <c r="IE83" s="10">
        <f>IF(CABLES[[#This Row],[SEG51]]&gt;0,CABLES[[#This Row],[CABLE_MASS]],0)</f>
        <v>0</v>
      </c>
      <c r="IF83" s="10">
        <f>IF(CABLES[[#This Row],[SEG52]]&gt;0,CABLES[[#This Row],[CABLE_MASS]],0)</f>
        <v>0</v>
      </c>
      <c r="IG83" s="10">
        <f>IF(CABLES[[#This Row],[SEG53]]&gt;0,CABLES[[#This Row],[CABLE_MASS]],0)</f>
        <v>0</v>
      </c>
      <c r="IH83" s="10">
        <f>IF(CABLES[[#This Row],[SEG54]]&gt;0,CABLES[[#This Row],[CABLE_MASS]],0)</f>
        <v>0</v>
      </c>
      <c r="II83" s="10">
        <f>IF(CABLES[[#This Row],[SEG55]]&gt;0,CABLES[[#This Row],[CABLE_MASS]],0)</f>
        <v>0</v>
      </c>
      <c r="IJ83" s="10">
        <f>IF(CABLES[[#This Row],[SEG56]]&gt;0,CABLES[[#This Row],[CABLE_MASS]],0)</f>
        <v>0</v>
      </c>
      <c r="IK83" s="10">
        <f>IF(CABLES[[#This Row],[SEG57]]&gt;0,CABLES[[#This Row],[CABLE_MASS]],0)</f>
        <v>0</v>
      </c>
      <c r="IL83" s="10">
        <f>IF(CABLES[[#This Row],[SEG58]]&gt;0,CABLES[[#This Row],[CABLE_MASS]],0)</f>
        <v>0</v>
      </c>
      <c r="IM83" s="10">
        <f>IF(CABLES[[#This Row],[SEG59]]&gt;0,CABLES[[#This Row],[CABLE_MASS]],0)</f>
        <v>0</v>
      </c>
      <c r="IN83" s="10">
        <f>IF(CABLES[[#This Row],[SEG60]]&gt;0,CABLES[[#This Row],[CABLE_MASS]],0)</f>
        <v>0</v>
      </c>
      <c r="IO83" s="10">
        <f xml:space="preserve">  (CABLES[[#This Row],[LOAD_KW]]/(SQRT(3)*SYSTEM_VOLTAGE*POWER_FACTOR))*1000</f>
        <v>120.28130608117203</v>
      </c>
      <c r="IP83" s="10">
        <v>45</v>
      </c>
      <c r="IQ83" s="10">
        <f xml:space="preserve"> INDEX(AS3000_AMBIENTDERATE[], MATCH(CABLES[[#This Row],[AMBIENT]],AS3000_AMBIENTDERATE[AMBIENT],0), 2)</f>
        <v>0.94</v>
      </c>
      <c r="IR83" s="10">
        <f xml:space="preserve"> ROUNDUP( CABLES[[#This Row],[CALCULATED_AMPS]]/CABLES[[#This Row],[AMBIENT_DERATING]],1)</f>
        <v>128</v>
      </c>
      <c r="IS83" s="10" t="s">
        <v>531</v>
      </c>
      <c r="IT83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50</v>
      </c>
      <c r="IU83" s="10">
        <f t="shared" si="2"/>
        <v>28.000000000000004</v>
      </c>
      <c r="IV83" s="10">
        <f>(1000*CABLES[[#This Row],[MAX_VDROP]])/(CABLES[[#This Row],[ESTIMATED_CABLE_LENGTH]]*CABLES[[#This Row],[AMP_RATING]])</f>
        <v>2.5318287037037042</v>
      </c>
      <c r="IW83" s="10">
        <f xml:space="preserve"> INDEX(AS3000_VDROP[], MATCH(CABLES[[#This Row],[VC_CALC]],AS3000_VDROP[Vc],1),1)</f>
        <v>16</v>
      </c>
      <c r="IX83" s="10">
        <f>MAX(CABLES[[#This Row],[CABLESIZE_METHOD1]],CABLES[[#This Row],[CABLESIZE_METHOD2]])</f>
        <v>50</v>
      </c>
      <c r="IY83" s="10">
        <v>70</v>
      </c>
      <c r="IZ83" s="10">
        <f>IF(LEN(CABLES[[#This Row],[OVERRIDE_CABLESIZE]])&gt;0,CABLES[[#This Row],[OVERRIDE_CABLESIZE]],CABLES[[#This Row],[INITIAL_CABLESIZE]])</f>
        <v>70</v>
      </c>
      <c r="JA83" s="10">
        <f>INDEX(PROTECTIVE_DEVICE[DEVICE], MATCH(CABLES[[#This Row],[CALCULATED_AMPS]],PROTECTIVE_DEVICE[DEVICE],-1),1)</f>
        <v>125</v>
      </c>
      <c r="JB83" s="10">
        <v>160</v>
      </c>
      <c r="JC83" s="10">
        <f>IF(LEN(CABLES[[#This Row],[OVERRIDE_PDEVICE]])&gt;0, CABLES[[#This Row],[OVERRIDE_PDEVICE]],CABLES[[#This Row],[RECOMMEND_PDEVICE]])</f>
        <v>160</v>
      </c>
      <c r="JD83" s="10" t="s">
        <v>450</v>
      </c>
      <c r="JE83" s="10">
        <f xml:space="preserve"> CABLES[[#This Row],[SELECTED_PDEVICE]] * INDEX(DEVICE_CURVE[], MATCH(CABLES[[#This Row],[PDEVICE_CURVE]], DEVICE_CURVE[DEVICE_CURVE],0),2)</f>
        <v>1040</v>
      </c>
      <c r="JF83" s="10" t="s">
        <v>458</v>
      </c>
      <c r="JG83" s="10">
        <f xml:space="preserve"> INDEX(CONDUCTOR_MATERIAL[], MATCH(CABLES[[#This Row],[CONDUCTOR_MATERIAL]],CONDUCTOR_MATERIAL[CONDUCTOR_MATERIAL],0),2)</f>
        <v>2.2499999999999999E-2</v>
      </c>
      <c r="JH83" s="10">
        <f>CABLES[[#This Row],[SELECTED_CABLESIZE]]</f>
        <v>70</v>
      </c>
      <c r="JI83" s="10">
        <f xml:space="preserve"> INDEX( EARTH_CONDUCTOR_SIZE[], MATCH(CABLES[[#This Row],[SPH]],EARTH_CONDUCTOR_SIZE[MM^2],-1), 2)</f>
        <v>25</v>
      </c>
      <c r="JJ83" s="10">
        <f>(0.8*PHASE_VOLTAGE*CABLES[[#This Row],[SPH]]*CABLES[[#This Row],[SPE]])/(CABLES[[#This Row],[PDEVICE_IA]]*CABLES[[#This Row],[MATERIAL_CONSTANT]]*(CABLES[[#This Row],[SPH]]+CABLES[[#This Row],[SPE]]))</f>
        <v>144.84930274403959</v>
      </c>
      <c r="JK83" s="10" t="str">
        <f>IF(CABLES[[#This Row],[LMAX]]&gt;CABLES[[#This Row],[ESTIMATED_CABLE_LENGTH]], "PASS", "ERROR")</f>
        <v>PASS</v>
      </c>
      <c r="JL83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41</v>
      </c>
      <c r="JM83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3.86</v>
      </c>
      <c r="JN83" s="6">
        <f xml:space="preserve"> ROUNDUP( CABLES[[#This Row],[CALCULATED_AMPS]],1)</f>
        <v>120.3</v>
      </c>
      <c r="JO83" s="6">
        <f>CABLES[[#This Row],[SELECTED_CABLESIZE]]</f>
        <v>70</v>
      </c>
      <c r="JP83" s="10">
        <f>CABLES[[#This Row],[ESTIMATED_CABLE_LENGTH]]</f>
        <v>86.399999999999991</v>
      </c>
      <c r="JQ83" s="6">
        <f>CABLES[[#This Row],[SELECTED_PDEVICE]]</f>
        <v>160</v>
      </c>
    </row>
    <row r="84" spans="1:277" x14ac:dyDescent="0.35">
      <c r="A84" s="5" t="s">
        <v>522</v>
      </c>
      <c r="B84" s="5" t="s">
        <v>120</v>
      </c>
      <c r="C84" s="10" t="s">
        <v>263</v>
      </c>
      <c r="D84" s="9">
        <v>87</v>
      </c>
      <c r="E84" s="9">
        <v>1</v>
      </c>
      <c r="F84" s="9">
        <v>1</v>
      </c>
      <c r="G84" s="9">
        <v>0</v>
      </c>
      <c r="H84" s="9">
        <v>1</v>
      </c>
      <c r="I84" s="9">
        <v>0</v>
      </c>
      <c r="J84" s="9">
        <v>1</v>
      </c>
      <c r="K84" s="9">
        <v>0</v>
      </c>
      <c r="L84" s="9">
        <v>1</v>
      </c>
      <c r="M84" s="9">
        <v>0</v>
      </c>
      <c r="N84" s="9">
        <v>1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f xml:space="preserve"> IF(CABLES[[#This Row],[SEG1]] &gt;0, INDEX(SEGMENTS[], MATCH(CABLES[[#Headers],[SEG1]],SEGMENTS[SEG_ID],0),4),0)</f>
        <v>13</v>
      </c>
      <c r="BN84" s="9">
        <f xml:space="preserve"> IF(CABLES[[#This Row],[SEG2]] &gt;0, INDEX(SEGMENTS[], MATCH(CABLES[[#Headers],[SEG2]],SEGMENTS[SEG_ID],0),4),0)</f>
        <v>2</v>
      </c>
      <c r="BO84" s="9">
        <f xml:space="preserve"> IF(CABLES[[#This Row],[SEG3]] &gt;0, INDEX(SEGMENTS[], MATCH(CABLES[[#Headers],[SEG3]],SEGMENTS[SEG_ID],0),4),0)</f>
        <v>0</v>
      </c>
      <c r="BP84" s="9">
        <f xml:space="preserve"> IF(CABLES[[#This Row],[SEG4]] &gt;0, INDEX(SEGMENTS[], MATCH(CABLES[[#Headers],[SEG4]],SEGMENTS[SEG_ID],0),4),0)</f>
        <v>14</v>
      </c>
      <c r="BQ84" s="9">
        <f xml:space="preserve"> IF(CABLES[[#This Row],[SEG5]] &gt;0,INDEX(SEGMENTS[], MATCH(CABLES[[#Headers],[SEG5]],SEGMENTS[SEG_ID],0),4),0)</f>
        <v>0</v>
      </c>
      <c r="BR84" s="9">
        <f xml:space="preserve"> IF(CABLES[[#This Row],[SEG6]] &gt;0,INDEX(SEGMENTS[], MATCH(CABLES[[#Headers],[SEG6]],SEGMENTS[SEG_ID],0),4),0)</f>
        <v>2</v>
      </c>
      <c r="BS84" s="9">
        <f xml:space="preserve"> IF(CABLES[[#This Row],[SEG7]] &gt;0,INDEX(SEGMENTS[], MATCH(CABLES[[#Headers],[SEG7]],SEGMENTS[SEG_ID],0),4),0)</f>
        <v>0</v>
      </c>
      <c r="BT84" s="9">
        <f xml:space="preserve"> IF(CABLES[[#This Row],[SEG8]] &gt;0,INDEX(SEGMENTS[], MATCH(CABLES[[#Headers],[SEG8]],SEGMENTS[SEG_ID],0),4),0)</f>
        <v>3</v>
      </c>
      <c r="BU84" s="9">
        <f xml:space="preserve"> IF(CABLES[[#This Row],[SEG9]] &gt;0,INDEX(SEGMENTS[], MATCH(CABLES[[#Headers],[SEG9]],SEGMENTS[SEG_ID],0),4),0)</f>
        <v>0</v>
      </c>
      <c r="BV84" s="9">
        <f xml:space="preserve"> IF(CABLES[[#This Row],[SEG10]] &gt;0,INDEX(SEGMENTS[], MATCH(CABLES[[#Headers],[SEG10]],SEGMENTS[SEG_ID],0),4),0)</f>
        <v>9</v>
      </c>
      <c r="BW84" s="9">
        <f xml:space="preserve"> IF(CABLES[[#This Row],[SEG11]] &gt;0,INDEX(SEGMENTS[], MATCH(CABLES[[#Headers],[SEG11]],SEGMENTS[SEG_ID],0),4),0)</f>
        <v>8</v>
      </c>
      <c r="BX84" s="9">
        <f>IF(CABLES[[#This Row],[SEG12]] &gt;0, INDEX(SEGMENTS[], MATCH(CABLES[[#Headers],[SEG12]],SEGMENTS[SEG_ID],0),4),0)</f>
        <v>0</v>
      </c>
      <c r="BY84" s="9">
        <f xml:space="preserve"> IF(CABLES[[#This Row],[SEG13]] &gt;0,INDEX(SEGMENTS[], MATCH(CABLES[[#Headers],[SEG13]],SEGMENTS[SEG_ID],0),4),0)</f>
        <v>0</v>
      </c>
      <c r="BZ84" s="9">
        <f xml:space="preserve"> IF(CABLES[[#This Row],[SEG14]] &gt;0,INDEX(SEGMENTS[], MATCH(CABLES[[#Headers],[SEG14]],SEGMENTS[SEG_ID],0),4),0)</f>
        <v>0</v>
      </c>
      <c r="CA84" s="9">
        <f xml:space="preserve"> IF(CABLES[[#This Row],[SEG15]] &gt;0,INDEX(SEGMENTS[], MATCH(CABLES[[#Headers],[SEG15]],SEGMENTS[SEG_ID],0),4),0)</f>
        <v>0</v>
      </c>
      <c r="CB84" s="9">
        <f xml:space="preserve"> IF(CABLES[[#This Row],[SEG16]] &gt;0,INDEX(SEGMENTS[], MATCH(CABLES[[#Headers],[SEG16]],SEGMENTS[SEG_ID],0),4),0)</f>
        <v>0</v>
      </c>
      <c r="CC84" s="9">
        <f xml:space="preserve"> IF(CABLES[[#This Row],[SEG17]] &gt;0,INDEX(SEGMENTS[], MATCH(CABLES[[#Headers],[SEG17]],SEGMENTS[SEG_ID],0),4),0)</f>
        <v>0</v>
      </c>
      <c r="CD84" s="9">
        <f xml:space="preserve"> IF(CABLES[[#This Row],[SEG18]] &gt;0,INDEX(SEGMENTS[], MATCH(CABLES[[#Headers],[SEG18]],SEGMENTS[SEG_ID],0),4),0)</f>
        <v>0</v>
      </c>
      <c r="CE84" s="9">
        <f>IF(CABLES[[#This Row],[SEG19]] &gt;0, INDEX(SEGMENTS[], MATCH(CABLES[[#Headers],[SEG19]],SEGMENTS[SEG_ID],0),4),0)</f>
        <v>0</v>
      </c>
      <c r="CF84" s="9">
        <f>IF(CABLES[[#This Row],[SEG20]] &gt;0, INDEX(SEGMENTS[], MATCH(CABLES[[#Headers],[SEG20]],SEGMENTS[SEG_ID],0),4),0)</f>
        <v>0</v>
      </c>
      <c r="CG84" s="9">
        <f xml:space="preserve"> IF(CABLES[[#This Row],[SEG21]] &gt;0,INDEX(SEGMENTS[], MATCH(CABLES[[#Headers],[SEG21]],SEGMENTS[SEG_ID],0),4),0)</f>
        <v>0</v>
      </c>
      <c r="CH84" s="9">
        <f xml:space="preserve"> IF(CABLES[[#This Row],[SEG22]] &gt;0,INDEX(SEGMENTS[], MATCH(CABLES[[#Headers],[SEG22]],SEGMENTS[SEG_ID],0),4),0)</f>
        <v>0</v>
      </c>
      <c r="CI84" s="9">
        <f>IF(CABLES[[#This Row],[SEG23]] &gt;0, INDEX(SEGMENTS[], MATCH(CABLES[[#Headers],[SEG23]],SEGMENTS[SEG_ID],0),4),0)</f>
        <v>0</v>
      </c>
      <c r="CJ84" s="9">
        <f xml:space="preserve"> IF(CABLES[[#This Row],[SEG24]] &gt;0,INDEX(SEGMENTS[], MATCH(CABLES[[#Headers],[SEG24]],SEGMENTS[SEG_ID],0),4),0)</f>
        <v>0</v>
      </c>
      <c r="CK84" s="9">
        <f>IF(CABLES[[#This Row],[SEG25]] &gt;0, INDEX(SEGMENTS[], MATCH(CABLES[[#Headers],[SEG25]],SEGMENTS[SEG_ID],0),4),0)</f>
        <v>0</v>
      </c>
      <c r="CL84" s="9">
        <f>IF(CABLES[[#This Row],[SEG26]] &gt;0, INDEX(SEGMENTS[], MATCH(CABLES[[#Headers],[SEG26]],SEGMENTS[SEG_ID],0),4),0)</f>
        <v>0</v>
      </c>
      <c r="CM84" s="9">
        <f xml:space="preserve"> IF(CABLES[[#This Row],[SEG27]] &gt;0,INDEX(SEGMENTS[], MATCH(CABLES[[#Headers],[SEG27]],SEGMENTS[SEG_ID],0),4),0)</f>
        <v>0</v>
      </c>
      <c r="CN84" s="9">
        <f xml:space="preserve"> IF(CABLES[[#This Row],[SEG28]] &gt;0,INDEX(SEGMENTS[], MATCH(CABLES[[#Headers],[SEG28]],SEGMENTS[SEG_ID],0),4),0)</f>
        <v>0</v>
      </c>
      <c r="CO84" s="9">
        <f xml:space="preserve"> IF(CABLES[[#This Row],[SEG29]] &gt;0,INDEX(SEGMENTS[], MATCH(CABLES[[#Headers],[SEG29]],SEGMENTS[SEG_ID],0),4),0)</f>
        <v>0</v>
      </c>
      <c r="CP84" s="9">
        <f xml:space="preserve"> IF(CABLES[[#This Row],[SEG30]] &gt;0,INDEX(SEGMENTS[], MATCH(CABLES[[#Headers],[SEG30]],SEGMENTS[SEG_ID],0),4),0)</f>
        <v>0</v>
      </c>
      <c r="CQ84" s="9">
        <f>IF(CABLES[[#This Row],[SEG31]] &gt;0, INDEX(SEGMENTS[], MATCH(CABLES[[#Headers],[SEG31]],SEGMENTS[SEG_ID],0),4),0)</f>
        <v>0</v>
      </c>
      <c r="CR84" s="9">
        <f xml:space="preserve"> IF(CABLES[[#This Row],[SEG32]] &gt;0,INDEX(SEGMENTS[], MATCH(CABLES[[#Headers],[SEG32]],SEGMENTS[SEG_ID],0),4),0)</f>
        <v>0</v>
      </c>
      <c r="CS84" s="9">
        <f xml:space="preserve"> IF(CABLES[[#This Row],[SEG33]] &gt;0,INDEX(SEGMENTS[], MATCH(CABLES[[#Headers],[SEG33]],SEGMENTS[SEG_ID],0),4),0)</f>
        <v>0</v>
      </c>
      <c r="CT84" s="9">
        <f>IF(CABLES[[#This Row],[SEG34]] &gt;0, INDEX(SEGMENTS[], MATCH(CABLES[[#Headers],[SEG34]],SEGMENTS[SEG_ID],0),4),0)</f>
        <v>0</v>
      </c>
      <c r="CU84" s="9">
        <f xml:space="preserve"> IF(CABLES[[#This Row],[SEG35]] &gt;0,INDEX(SEGMENTS[], MATCH(CABLES[[#Headers],[SEG35]],SEGMENTS[SEG_ID],0),4),0)</f>
        <v>0</v>
      </c>
      <c r="CV84" s="9">
        <f xml:space="preserve"> IF(CABLES[[#This Row],[SEG36]] &gt;0,INDEX(SEGMENTS[], MATCH(CABLES[[#Headers],[SEG36]],SEGMENTS[SEG_ID],0),4),0)</f>
        <v>0</v>
      </c>
      <c r="CW84" s="9">
        <f xml:space="preserve"> IF(CABLES[[#This Row],[SEG37]] &gt;0,INDEX(SEGMENTS[], MATCH(CABLES[[#Headers],[SEG37]],SEGMENTS[SEG_ID],0),4),0)</f>
        <v>0</v>
      </c>
      <c r="CX84" s="9">
        <f xml:space="preserve"> IF(CABLES[[#This Row],[SEG38]] &gt;0,INDEX(SEGMENTS[], MATCH(CABLES[[#Headers],[SEG38]],SEGMENTS[SEG_ID],0),4),0)</f>
        <v>0</v>
      </c>
      <c r="CY84" s="9">
        <f xml:space="preserve"> IF(CABLES[[#This Row],[SEG39]] &gt;0,INDEX(SEGMENTS[], MATCH(CABLES[[#Headers],[SEG39]],SEGMENTS[SEG_ID],0),4),0)</f>
        <v>0</v>
      </c>
      <c r="CZ84" s="9">
        <f xml:space="preserve"> IF(CABLES[[#This Row],[SEG40]] &gt;0,INDEX(SEGMENTS[], MATCH(CABLES[[#Headers],[SEG40]],SEGMENTS[SEG_ID],0),4),0)</f>
        <v>0</v>
      </c>
      <c r="DA84" s="9">
        <f xml:space="preserve"> IF(CABLES[[#This Row],[SEG41]] &gt;0,INDEX(SEGMENTS[], MATCH(CABLES[[#Headers],[SEG41]],SEGMENTS[SEG_ID],0),4),0)</f>
        <v>0</v>
      </c>
      <c r="DB84" s="9">
        <f xml:space="preserve"> IF(CABLES[[#This Row],[SEG42]] &gt;0,INDEX(SEGMENTS[], MATCH(CABLES[[#Headers],[SEG42]],SEGMENTS[SEG_ID],0),4),0)</f>
        <v>0</v>
      </c>
      <c r="DC84" s="9">
        <f xml:space="preserve"> IF(CABLES[[#This Row],[SEG43]] &gt;0,INDEX(SEGMENTS[], MATCH(CABLES[[#Headers],[SEG43]],SEGMENTS[SEG_ID],0),4),0)</f>
        <v>0</v>
      </c>
      <c r="DD84" s="9">
        <f xml:space="preserve"> IF(CABLES[[#This Row],[SEG44]] &gt;0,INDEX(SEGMENTS[], MATCH(CABLES[[#Headers],[SEG44]],SEGMENTS[SEG_ID],0),4),0)</f>
        <v>0</v>
      </c>
      <c r="DE84" s="9">
        <f xml:space="preserve"> IF(CABLES[[#This Row],[SEG45]] &gt;0,INDEX(SEGMENTS[], MATCH(CABLES[[#Headers],[SEG45]],SEGMENTS[SEG_ID],0),4),0)</f>
        <v>0</v>
      </c>
      <c r="DF84" s="9">
        <f xml:space="preserve"> IF(CABLES[[#This Row],[SEG46]] &gt;0,INDEX(SEGMENTS[], MATCH(CABLES[[#Headers],[SEG46]],SEGMENTS[SEG_ID],0),4),0)</f>
        <v>0</v>
      </c>
      <c r="DG84" s="9">
        <f xml:space="preserve"> IF(CABLES[[#This Row],[SEG47]] &gt;0,INDEX(SEGMENTS[], MATCH(CABLES[[#Headers],[SEG47]],SEGMENTS[SEG_ID],0),4),0)</f>
        <v>0</v>
      </c>
      <c r="DH84" s="9">
        <f xml:space="preserve"> IF(CABLES[[#This Row],[SEG48]] &gt;0,INDEX(SEGMENTS[], MATCH(CABLES[[#Headers],[SEG48]],SEGMENTS[SEG_ID],0),4),0)</f>
        <v>0</v>
      </c>
      <c r="DI84" s="9">
        <f xml:space="preserve"> IF(CABLES[[#This Row],[SEG49]] &gt;0,INDEX(SEGMENTS[], MATCH(CABLES[[#Headers],[SEG49]],SEGMENTS[SEG_ID],0),4),0)</f>
        <v>0</v>
      </c>
      <c r="DJ84" s="9">
        <f xml:space="preserve"> IF(CABLES[[#This Row],[SEG50]] &gt;0,INDEX(SEGMENTS[], MATCH(CABLES[[#Headers],[SEG50]],SEGMENTS[SEG_ID],0),4),0)</f>
        <v>0</v>
      </c>
      <c r="DK84" s="9">
        <f xml:space="preserve"> IF(CABLES[[#This Row],[SEG51]] &gt;0,INDEX(SEGMENTS[], MATCH(CABLES[[#Headers],[SEG51]],SEGMENTS[SEG_ID],0),4),0)</f>
        <v>0</v>
      </c>
      <c r="DL84" s="9">
        <f xml:space="preserve"> IF(CABLES[[#This Row],[SEG52]] &gt;0,INDEX(SEGMENTS[], MATCH(CABLES[[#Headers],[SEG52]],SEGMENTS[SEG_ID],0),4),0)</f>
        <v>0</v>
      </c>
      <c r="DM84" s="9">
        <f xml:space="preserve"> IF(CABLES[[#This Row],[SEG53]] &gt;0,INDEX(SEGMENTS[], MATCH(CABLES[[#Headers],[SEG53]],SEGMENTS[SEG_ID],0),4),0)</f>
        <v>0</v>
      </c>
      <c r="DN84" s="9">
        <f xml:space="preserve"> IF(CABLES[[#This Row],[SEG54]] &gt;0,INDEX(SEGMENTS[], MATCH(CABLES[[#Headers],[SEG54]],SEGMENTS[SEG_ID],0),4),0)</f>
        <v>0</v>
      </c>
      <c r="DO84" s="9">
        <f xml:space="preserve"> IF(CABLES[[#This Row],[SEG55]] &gt;0,INDEX(SEGMENTS[], MATCH(CABLES[[#Headers],[SEG55]],SEGMENTS[SEG_ID],0),4),0)</f>
        <v>0</v>
      </c>
      <c r="DP84" s="9">
        <f xml:space="preserve"> IF(CABLES[[#This Row],[SEG56]] &gt;0,INDEX(SEGMENTS[], MATCH(CABLES[[#Headers],[SEG56]],SEGMENTS[SEG_ID],0),4),0)</f>
        <v>0</v>
      </c>
      <c r="DQ84" s="9">
        <f xml:space="preserve"> IF(CABLES[[#This Row],[SEG57]] &gt;0,INDEX(SEGMENTS[], MATCH(CABLES[[#Headers],[SEG57]],SEGMENTS[SEG_ID],0),4),0)</f>
        <v>0</v>
      </c>
      <c r="DR84" s="9">
        <f xml:space="preserve"> IF(CABLES[[#This Row],[SEG58]] &gt;0,INDEX(SEGMENTS[], MATCH(CABLES[[#Headers],[SEG58]],SEGMENTS[SEG_ID],0),4),0)</f>
        <v>0</v>
      </c>
      <c r="DS84" s="9">
        <f xml:space="preserve"> IF(CABLES[[#This Row],[SEG59]] &gt;0,INDEX(SEGMENTS[], MATCH(CABLES[[#Headers],[SEG59]],SEGMENTS[SEG_ID],0),4),0)</f>
        <v>0</v>
      </c>
      <c r="DT84" s="9">
        <f xml:space="preserve"> IF(CABLES[[#This Row],[SEG60]] &gt;0,INDEX(SEGMENTS[], MATCH(CABLES[[#Headers],[SEG60]],SEGMENTS[SEG_ID],0),4),0)</f>
        <v>0</v>
      </c>
      <c r="DU84" s="10">
        <f>SUM(CABLES[[#This Row],[SEGL1]:[SEGL60]])</f>
        <v>51</v>
      </c>
      <c r="DV84" s="10">
        <v>5</v>
      </c>
      <c r="DW84" s="10">
        <v>1.2</v>
      </c>
      <c r="DX84" s="10">
        <f xml:space="preserve"> IF(CABLES[[#This Row],[SEGL_TOTAL]]&gt;0, (CABLES[[#This Row],[SEGL_TOTAL]] + CABLES[[#This Row],[FITOFF]]) *CABLES[[#This Row],[XCAPACITY]],0)</f>
        <v>67.2</v>
      </c>
      <c r="DY84" s="10">
        <f>IF(CABLES[[#This Row],[SEG1]]&gt;0,CABLES[[#This Row],[CABLE_DIAMETER]],0)</f>
        <v>41</v>
      </c>
      <c r="DZ84" s="10">
        <f>IF(CABLES[[#This Row],[SEG2]]&gt;0,CABLES[[#This Row],[CABLE_DIAMETER]],0)</f>
        <v>41</v>
      </c>
      <c r="EA84" s="10">
        <f>IF(CABLES[[#This Row],[SEG3]]&gt;0,CABLES[[#This Row],[CABLE_DIAMETER]],0)</f>
        <v>0</v>
      </c>
      <c r="EB84" s="10">
        <f>IF(CABLES[[#This Row],[SEG4]]&gt;0,CABLES[[#This Row],[CABLE_DIAMETER]],0)</f>
        <v>41</v>
      </c>
      <c r="EC84" s="10">
        <f>IF(CABLES[[#This Row],[SEG5]]&gt;0,CABLES[[#This Row],[CABLE_DIAMETER]],0)</f>
        <v>0</v>
      </c>
      <c r="ED84" s="10">
        <f>IF(CABLES[[#This Row],[SEG6]]&gt;0,CABLES[[#This Row],[CABLE_DIAMETER]],0)</f>
        <v>41</v>
      </c>
      <c r="EE84" s="10">
        <f>IF(CABLES[[#This Row],[SEG7]]&gt;0,CABLES[[#This Row],[CABLE_DIAMETER]],0)</f>
        <v>0</v>
      </c>
      <c r="EF84" s="10">
        <f>IF(CABLES[[#This Row],[SEG9]]&gt;0,CABLES[[#This Row],[CABLE_DIAMETER]],0)</f>
        <v>0</v>
      </c>
      <c r="EG84" s="10">
        <f>IF(CABLES[[#This Row],[SEG9]]&gt;0,CABLES[[#This Row],[CABLE_DIAMETER]],0)</f>
        <v>0</v>
      </c>
      <c r="EH84" s="10">
        <f>IF(CABLES[[#This Row],[SEG10]]&gt;0,CABLES[[#This Row],[CABLE_DIAMETER]],0)</f>
        <v>41</v>
      </c>
      <c r="EI84" s="10">
        <f>IF(CABLES[[#This Row],[SEG11]]&gt;0,CABLES[[#This Row],[CABLE_DIAMETER]],0)</f>
        <v>41</v>
      </c>
      <c r="EJ84" s="10">
        <f>IF(CABLES[[#This Row],[SEG12]]&gt;0,CABLES[[#This Row],[CABLE_DIAMETER]],0)</f>
        <v>0</v>
      </c>
      <c r="EK84" s="10">
        <f>IF(CABLES[[#This Row],[SEG13]]&gt;0,CABLES[[#This Row],[CABLE_DIAMETER]],0)</f>
        <v>0</v>
      </c>
      <c r="EL84" s="10">
        <f>IF(CABLES[[#This Row],[SEG14]]&gt;0,CABLES[[#This Row],[CABLE_DIAMETER]],0)</f>
        <v>0</v>
      </c>
      <c r="EM84" s="10">
        <f>IF(CABLES[[#This Row],[SEG15]]&gt;0,CABLES[[#This Row],[CABLE_DIAMETER]],0)</f>
        <v>0</v>
      </c>
      <c r="EN84" s="10">
        <f>IF(CABLES[[#This Row],[SEG16]]&gt;0,CABLES[[#This Row],[CABLE_DIAMETER]],0)</f>
        <v>0</v>
      </c>
      <c r="EO84" s="10">
        <f>IF(CABLES[[#This Row],[SEG17]]&gt;0,CABLES[[#This Row],[CABLE_DIAMETER]],0)</f>
        <v>0</v>
      </c>
      <c r="EP84" s="10">
        <f>IF(CABLES[[#This Row],[SEG18]]&gt;0,CABLES[[#This Row],[CABLE_DIAMETER]],0)</f>
        <v>0</v>
      </c>
      <c r="EQ84" s="10">
        <f>IF(CABLES[[#This Row],[SEG19]]&gt;0,CABLES[[#This Row],[CABLE_DIAMETER]],0)</f>
        <v>0</v>
      </c>
      <c r="ER84" s="10">
        <f>IF(CABLES[[#This Row],[SEG20]]&gt;0,CABLES[[#This Row],[CABLE_DIAMETER]],0)</f>
        <v>0</v>
      </c>
      <c r="ES84" s="10">
        <f>IF(CABLES[[#This Row],[SEG21]]&gt;0,CABLES[[#This Row],[CABLE_DIAMETER]],0)</f>
        <v>0</v>
      </c>
      <c r="ET84" s="10">
        <f>IF(CABLES[[#This Row],[SEG22]]&gt;0,CABLES[[#This Row],[CABLE_DIAMETER]],0)</f>
        <v>0</v>
      </c>
      <c r="EU84" s="10">
        <f>IF(CABLES[[#This Row],[SEG23]]&gt;0,CABLES[[#This Row],[CABLE_DIAMETER]],0)</f>
        <v>0</v>
      </c>
      <c r="EV84" s="10">
        <f>IF(CABLES[[#This Row],[SEG24]]&gt;0,CABLES[[#This Row],[CABLE_DIAMETER]],0)</f>
        <v>0</v>
      </c>
      <c r="EW84" s="10">
        <f>IF(CABLES[[#This Row],[SEG25]]&gt;0,CABLES[[#This Row],[CABLE_DIAMETER]],0)</f>
        <v>0</v>
      </c>
      <c r="EX84" s="10">
        <f>IF(CABLES[[#This Row],[SEG26]]&gt;0,CABLES[[#This Row],[CABLE_DIAMETER]],0)</f>
        <v>0</v>
      </c>
      <c r="EY84" s="10">
        <f>IF(CABLES[[#This Row],[SEG27]]&gt;0,CABLES[[#This Row],[CABLE_DIAMETER]],0)</f>
        <v>0</v>
      </c>
      <c r="EZ84" s="10">
        <f>IF(CABLES[[#This Row],[SEG28]]&gt;0,CABLES[[#This Row],[CABLE_DIAMETER]],0)</f>
        <v>0</v>
      </c>
      <c r="FA84" s="10">
        <f>IF(CABLES[[#This Row],[SEG29]]&gt;0,CABLES[[#This Row],[CABLE_DIAMETER]],0)</f>
        <v>0</v>
      </c>
      <c r="FB84" s="10">
        <f>IF(CABLES[[#This Row],[SEG30]]&gt;0,CABLES[[#This Row],[CABLE_DIAMETER]],0)</f>
        <v>0</v>
      </c>
      <c r="FC84" s="10">
        <f>IF(CABLES[[#This Row],[SEG31]]&gt;0,CABLES[[#This Row],[CABLE_DIAMETER]],0)</f>
        <v>0</v>
      </c>
      <c r="FD84" s="10">
        <f>IF(CABLES[[#This Row],[SEG32]]&gt;0,CABLES[[#This Row],[CABLE_DIAMETER]],0)</f>
        <v>0</v>
      </c>
      <c r="FE84" s="10">
        <f>IF(CABLES[[#This Row],[SEG33]]&gt;0,CABLES[[#This Row],[CABLE_DIAMETER]],0)</f>
        <v>0</v>
      </c>
      <c r="FF84" s="10">
        <f>IF(CABLES[[#This Row],[SEG34]]&gt;0,CABLES[[#This Row],[CABLE_DIAMETER]],0)</f>
        <v>0</v>
      </c>
      <c r="FG84" s="10">
        <f>IF(CABLES[[#This Row],[SEG35]]&gt;0,CABLES[[#This Row],[CABLE_DIAMETER]],0)</f>
        <v>0</v>
      </c>
      <c r="FH84" s="10">
        <f>IF(CABLES[[#This Row],[SEG36]]&gt;0,CABLES[[#This Row],[CABLE_DIAMETER]],0)</f>
        <v>0</v>
      </c>
      <c r="FI84" s="10">
        <f>IF(CABLES[[#This Row],[SEG37]]&gt;0,CABLES[[#This Row],[CABLE_DIAMETER]],0)</f>
        <v>0</v>
      </c>
      <c r="FJ84" s="10">
        <f>IF(CABLES[[#This Row],[SEG38]]&gt;0,CABLES[[#This Row],[CABLE_DIAMETER]],0)</f>
        <v>0</v>
      </c>
      <c r="FK84" s="10">
        <f>IF(CABLES[[#This Row],[SEG39]]&gt;0,CABLES[[#This Row],[CABLE_DIAMETER]],0)</f>
        <v>0</v>
      </c>
      <c r="FL84" s="10">
        <f>IF(CABLES[[#This Row],[SEG40]]&gt;0,CABLES[[#This Row],[CABLE_DIAMETER]],0)</f>
        <v>0</v>
      </c>
      <c r="FM84" s="10">
        <f>IF(CABLES[[#This Row],[SEG41]]&gt;0,CABLES[[#This Row],[CABLE_DIAMETER]],0)</f>
        <v>0</v>
      </c>
      <c r="FN84" s="10">
        <f>IF(CABLES[[#This Row],[SEG42]]&gt;0,CABLES[[#This Row],[CABLE_DIAMETER]],0)</f>
        <v>0</v>
      </c>
      <c r="FO84" s="10">
        <f>IF(CABLES[[#This Row],[SEG43]]&gt;0,CABLES[[#This Row],[CABLE_DIAMETER]],0)</f>
        <v>0</v>
      </c>
      <c r="FP84" s="10">
        <f>IF(CABLES[[#This Row],[SEG44]]&gt;0,CABLES[[#This Row],[CABLE_DIAMETER]],0)</f>
        <v>0</v>
      </c>
      <c r="FQ84" s="10">
        <f>IF(CABLES[[#This Row],[SEG45]]&gt;0,CABLES[[#This Row],[CABLE_DIAMETER]],0)</f>
        <v>0</v>
      </c>
      <c r="FR84" s="10">
        <f>IF(CABLES[[#This Row],[SEG46]]&gt;0,CABLES[[#This Row],[CABLE_DIAMETER]],0)</f>
        <v>0</v>
      </c>
      <c r="FS84" s="10">
        <f>IF(CABLES[[#This Row],[SEG47]]&gt;0,CABLES[[#This Row],[CABLE_DIAMETER]],0)</f>
        <v>0</v>
      </c>
      <c r="FT84" s="10">
        <f>IF(CABLES[[#This Row],[SEG48]]&gt;0,CABLES[[#This Row],[CABLE_DIAMETER]],0)</f>
        <v>0</v>
      </c>
      <c r="FU84" s="10">
        <f>IF(CABLES[[#This Row],[SEG49]]&gt;0,CABLES[[#This Row],[CABLE_DIAMETER]],0)</f>
        <v>0</v>
      </c>
      <c r="FV84" s="10">
        <f>IF(CABLES[[#This Row],[SEG50]]&gt;0,CABLES[[#This Row],[CABLE_DIAMETER]],0)</f>
        <v>0</v>
      </c>
      <c r="FW84" s="10">
        <f>IF(CABLES[[#This Row],[SEG51]]&gt;0,CABLES[[#This Row],[CABLE_DIAMETER]],0)</f>
        <v>0</v>
      </c>
      <c r="FX84" s="10">
        <f>IF(CABLES[[#This Row],[SEG52]]&gt;0,CABLES[[#This Row],[CABLE_DIAMETER]],0)</f>
        <v>0</v>
      </c>
      <c r="FY84" s="10">
        <f>IF(CABLES[[#This Row],[SEG53]]&gt;0,CABLES[[#This Row],[CABLE_DIAMETER]],0)</f>
        <v>0</v>
      </c>
      <c r="FZ84" s="10">
        <f>IF(CABLES[[#This Row],[SEG54]]&gt;0,CABLES[[#This Row],[CABLE_DIAMETER]],0)</f>
        <v>0</v>
      </c>
      <c r="GA84" s="10">
        <f>IF(CABLES[[#This Row],[SEG55]]&gt;0,CABLES[[#This Row],[CABLE_DIAMETER]],0)</f>
        <v>0</v>
      </c>
      <c r="GB84" s="10">
        <f>IF(CABLES[[#This Row],[SEG56]]&gt;0,CABLES[[#This Row],[CABLE_DIAMETER]],0)</f>
        <v>0</v>
      </c>
      <c r="GC84" s="10">
        <f>IF(CABLES[[#This Row],[SEG57]]&gt;0,CABLES[[#This Row],[CABLE_DIAMETER]],0)</f>
        <v>0</v>
      </c>
      <c r="GD84" s="10">
        <f>IF(CABLES[[#This Row],[SEG58]]&gt;0,CABLES[[#This Row],[CABLE_DIAMETER]],0)</f>
        <v>0</v>
      </c>
      <c r="GE84" s="10">
        <f>IF(CABLES[[#This Row],[SEG59]]&gt;0,CABLES[[#This Row],[CABLE_DIAMETER]],0)</f>
        <v>0</v>
      </c>
      <c r="GF84" s="10">
        <f>IF(CABLES[[#This Row],[SEG60]]&gt;0,CABLES[[#This Row],[CABLE_DIAMETER]],0)</f>
        <v>0</v>
      </c>
      <c r="GG84" s="10">
        <f>IF(CABLES[[#This Row],[SEG1]]&gt;0,CABLES[[#This Row],[CABLE_MASS]],0)</f>
        <v>3.86</v>
      </c>
      <c r="GH84" s="10">
        <f>IF(CABLES[[#This Row],[SEG2]]&gt;0,CABLES[[#This Row],[CABLE_MASS]],0)</f>
        <v>3.86</v>
      </c>
      <c r="GI84" s="10">
        <f>IF(CABLES[[#This Row],[SEG3]]&gt;0,CABLES[[#This Row],[CABLE_MASS]],0)</f>
        <v>0</v>
      </c>
      <c r="GJ84" s="10">
        <f>IF(CABLES[[#This Row],[SEG4]]&gt;0,CABLES[[#This Row],[CABLE_MASS]],0)</f>
        <v>3.86</v>
      </c>
      <c r="GK84" s="10">
        <f>IF(CABLES[[#This Row],[SEG5]]&gt;0,CABLES[[#This Row],[CABLE_MASS]],0)</f>
        <v>0</v>
      </c>
      <c r="GL84" s="10">
        <f>IF(CABLES[[#This Row],[SEG6]]&gt;0,CABLES[[#This Row],[CABLE_MASS]],0)</f>
        <v>3.86</v>
      </c>
      <c r="GM84" s="10">
        <f>IF(CABLES[[#This Row],[SEG7]]&gt;0,CABLES[[#This Row],[CABLE_MASS]],0)</f>
        <v>0</v>
      </c>
      <c r="GN84" s="10">
        <f>IF(CABLES[[#This Row],[SEG8]]&gt;0,CABLES[[#This Row],[CABLE_MASS]],0)</f>
        <v>3.86</v>
      </c>
      <c r="GO84" s="10">
        <f>IF(CABLES[[#This Row],[SEG9]]&gt;0,CABLES[[#This Row],[CABLE_MASS]],0)</f>
        <v>0</v>
      </c>
      <c r="GP84" s="10">
        <f>IF(CABLES[[#This Row],[SEG10]]&gt;0,CABLES[[#This Row],[CABLE_MASS]],0)</f>
        <v>3.86</v>
      </c>
      <c r="GQ84" s="10">
        <f>IF(CABLES[[#This Row],[SEG11]]&gt;0,CABLES[[#This Row],[CABLE_MASS]],0)</f>
        <v>3.86</v>
      </c>
      <c r="GR84" s="10">
        <f>IF(CABLES[[#This Row],[SEG12]]&gt;0,CABLES[[#This Row],[CABLE_MASS]],0)</f>
        <v>0</v>
      </c>
      <c r="GS84" s="10">
        <f>IF(CABLES[[#This Row],[SEG13]]&gt;0,CABLES[[#This Row],[CABLE_MASS]],0)</f>
        <v>0</v>
      </c>
      <c r="GT84" s="10">
        <f>IF(CABLES[[#This Row],[SEG14]]&gt;0,CABLES[[#This Row],[CABLE_MASS]],0)</f>
        <v>0</v>
      </c>
      <c r="GU84" s="10">
        <f>IF(CABLES[[#This Row],[SEG15]]&gt;0,CABLES[[#This Row],[CABLE_MASS]],0)</f>
        <v>0</v>
      </c>
      <c r="GV84" s="10">
        <f>IF(CABLES[[#This Row],[SEG16]]&gt;0,CABLES[[#This Row],[CABLE_MASS]],0)</f>
        <v>0</v>
      </c>
      <c r="GW84" s="10">
        <f>IF(CABLES[[#This Row],[SEG17]]&gt;0,CABLES[[#This Row],[CABLE_MASS]],0)</f>
        <v>0</v>
      </c>
      <c r="GX84" s="10">
        <f>IF(CABLES[[#This Row],[SEG18]]&gt;0,CABLES[[#This Row],[CABLE_MASS]],0)</f>
        <v>0</v>
      </c>
      <c r="GY84" s="10">
        <f>IF(CABLES[[#This Row],[SEG19]]&gt;0,CABLES[[#This Row],[CABLE_MASS]],0)</f>
        <v>0</v>
      </c>
      <c r="GZ84" s="10">
        <f>IF(CABLES[[#This Row],[SEG20]]&gt;0,CABLES[[#This Row],[CABLE_MASS]],0)</f>
        <v>0</v>
      </c>
      <c r="HA84" s="10">
        <f>IF(CABLES[[#This Row],[SEG21]]&gt;0,CABLES[[#This Row],[CABLE_MASS]],0)</f>
        <v>0</v>
      </c>
      <c r="HB84" s="10">
        <f>IF(CABLES[[#This Row],[SEG22]]&gt;0,CABLES[[#This Row],[CABLE_MASS]],0)</f>
        <v>0</v>
      </c>
      <c r="HC84" s="10">
        <f>IF(CABLES[[#This Row],[SEG23]]&gt;0,CABLES[[#This Row],[CABLE_MASS]],0)</f>
        <v>0</v>
      </c>
      <c r="HD84" s="10">
        <f>IF(CABLES[[#This Row],[SEG24]]&gt;0,CABLES[[#This Row],[CABLE_MASS]],0)</f>
        <v>0</v>
      </c>
      <c r="HE84" s="10">
        <f>IF(CABLES[[#This Row],[SEG25]]&gt;0,CABLES[[#This Row],[CABLE_MASS]],0)</f>
        <v>0</v>
      </c>
      <c r="HF84" s="10">
        <f>IF(CABLES[[#This Row],[SEG26]]&gt;0,CABLES[[#This Row],[CABLE_MASS]],0)</f>
        <v>0</v>
      </c>
      <c r="HG84" s="10">
        <f>IF(CABLES[[#This Row],[SEG27]]&gt;0,CABLES[[#This Row],[CABLE_MASS]],0)</f>
        <v>0</v>
      </c>
      <c r="HH84" s="10">
        <f>IF(CABLES[[#This Row],[SEG28]]&gt;0,CABLES[[#This Row],[CABLE_MASS]],0)</f>
        <v>0</v>
      </c>
      <c r="HI84" s="10">
        <f>IF(CABLES[[#This Row],[SEG29]]&gt;0,CABLES[[#This Row],[CABLE_MASS]],0)</f>
        <v>0</v>
      </c>
      <c r="HJ84" s="10">
        <f>IF(CABLES[[#This Row],[SEG30]]&gt;0,CABLES[[#This Row],[CABLE_MASS]],0)</f>
        <v>0</v>
      </c>
      <c r="HK84" s="10">
        <f>IF(CABLES[[#This Row],[SEG31]]&gt;0,CABLES[[#This Row],[CABLE_MASS]],0)</f>
        <v>0</v>
      </c>
      <c r="HL84" s="10">
        <f>IF(CABLES[[#This Row],[SEG32]]&gt;0,CABLES[[#This Row],[CABLE_MASS]],0)</f>
        <v>0</v>
      </c>
      <c r="HM84" s="10">
        <f>IF(CABLES[[#This Row],[SEG33]]&gt;0,CABLES[[#This Row],[CABLE_MASS]],0)</f>
        <v>0</v>
      </c>
      <c r="HN84" s="10">
        <f>IF(CABLES[[#This Row],[SEG34]]&gt;0,CABLES[[#This Row],[CABLE_MASS]],0)</f>
        <v>0</v>
      </c>
      <c r="HO84" s="10">
        <f>IF(CABLES[[#This Row],[SEG35]]&gt;0,CABLES[[#This Row],[CABLE_MASS]],0)</f>
        <v>0</v>
      </c>
      <c r="HP84" s="10">
        <f>IF(CABLES[[#This Row],[SEG36]]&gt;0,CABLES[[#This Row],[CABLE_MASS]],0)</f>
        <v>0</v>
      </c>
      <c r="HQ84" s="10">
        <f>IF(CABLES[[#This Row],[SEG37]]&gt;0,CABLES[[#This Row],[CABLE_MASS]],0)</f>
        <v>0</v>
      </c>
      <c r="HR84" s="10">
        <f>IF(CABLES[[#This Row],[SEG38]]&gt;0,CABLES[[#This Row],[CABLE_MASS]],0)</f>
        <v>0</v>
      </c>
      <c r="HS84" s="10">
        <f>IF(CABLES[[#This Row],[SEG39]]&gt;0,CABLES[[#This Row],[CABLE_MASS]],0)</f>
        <v>0</v>
      </c>
      <c r="HT84" s="10">
        <f>IF(CABLES[[#This Row],[SEG40]]&gt;0,CABLES[[#This Row],[CABLE_MASS]],0)</f>
        <v>0</v>
      </c>
      <c r="HU84" s="10">
        <f>IF(CABLES[[#This Row],[SEG41]]&gt;0,CABLES[[#This Row],[CABLE_MASS]],0)</f>
        <v>0</v>
      </c>
      <c r="HV84" s="10">
        <f>IF(CABLES[[#This Row],[SEG42]]&gt;0,CABLES[[#This Row],[CABLE_MASS]],0)</f>
        <v>0</v>
      </c>
      <c r="HW84" s="10">
        <f>IF(CABLES[[#This Row],[SEG43]]&gt;0,CABLES[[#This Row],[CABLE_MASS]],0)</f>
        <v>0</v>
      </c>
      <c r="HX84" s="10">
        <f>IF(CABLES[[#This Row],[SEG44]]&gt;0,CABLES[[#This Row],[CABLE_MASS]],0)</f>
        <v>0</v>
      </c>
      <c r="HY84" s="10">
        <f>IF(CABLES[[#This Row],[SEG45]]&gt;0,CABLES[[#This Row],[CABLE_MASS]],0)</f>
        <v>0</v>
      </c>
      <c r="HZ84" s="10">
        <f>IF(CABLES[[#This Row],[SEG46]]&gt;0,CABLES[[#This Row],[CABLE_MASS]],0)</f>
        <v>0</v>
      </c>
      <c r="IA84" s="10">
        <f>IF(CABLES[[#This Row],[SEG47]]&gt;0,CABLES[[#This Row],[CABLE_MASS]],0)</f>
        <v>0</v>
      </c>
      <c r="IB84" s="10">
        <f>IF(CABLES[[#This Row],[SEG48]]&gt;0,CABLES[[#This Row],[CABLE_MASS]],0)</f>
        <v>0</v>
      </c>
      <c r="IC84" s="10">
        <f>IF(CABLES[[#This Row],[SEG49]]&gt;0,CABLES[[#This Row],[CABLE_MASS]],0)</f>
        <v>0</v>
      </c>
      <c r="ID84" s="10">
        <f>IF(CABLES[[#This Row],[SEG50]]&gt;0,CABLES[[#This Row],[CABLE_MASS]],0)</f>
        <v>0</v>
      </c>
      <c r="IE84" s="10">
        <f>IF(CABLES[[#This Row],[SEG51]]&gt;0,CABLES[[#This Row],[CABLE_MASS]],0)</f>
        <v>0</v>
      </c>
      <c r="IF84" s="10">
        <f>IF(CABLES[[#This Row],[SEG52]]&gt;0,CABLES[[#This Row],[CABLE_MASS]],0)</f>
        <v>0</v>
      </c>
      <c r="IG84" s="10">
        <f>IF(CABLES[[#This Row],[SEG53]]&gt;0,CABLES[[#This Row],[CABLE_MASS]],0)</f>
        <v>0</v>
      </c>
      <c r="IH84" s="10">
        <f>IF(CABLES[[#This Row],[SEG54]]&gt;0,CABLES[[#This Row],[CABLE_MASS]],0)</f>
        <v>0</v>
      </c>
      <c r="II84" s="10">
        <f>IF(CABLES[[#This Row],[SEG55]]&gt;0,CABLES[[#This Row],[CABLE_MASS]],0)</f>
        <v>0</v>
      </c>
      <c r="IJ84" s="10">
        <f>IF(CABLES[[#This Row],[SEG56]]&gt;0,CABLES[[#This Row],[CABLE_MASS]],0)</f>
        <v>0</v>
      </c>
      <c r="IK84" s="10">
        <f>IF(CABLES[[#This Row],[SEG57]]&gt;0,CABLES[[#This Row],[CABLE_MASS]],0)</f>
        <v>0</v>
      </c>
      <c r="IL84" s="10">
        <f>IF(CABLES[[#This Row],[SEG58]]&gt;0,CABLES[[#This Row],[CABLE_MASS]],0)</f>
        <v>0</v>
      </c>
      <c r="IM84" s="10">
        <f>IF(CABLES[[#This Row],[SEG59]]&gt;0,CABLES[[#This Row],[CABLE_MASS]],0)</f>
        <v>0</v>
      </c>
      <c r="IN84" s="10">
        <f>IF(CABLES[[#This Row],[SEG60]]&gt;0,CABLES[[#This Row],[CABLE_MASS]],0)</f>
        <v>0</v>
      </c>
      <c r="IO84" s="10">
        <f xml:space="preserve">  (CABLES[[#This Row],[LOAD_KW]]/(SQRT(3)*SYSTEM_VOLTAGE*POWER_FACTOR))*1000</f>
        <v>139.52631505415954</v>
      </c>
      <c r="IP84" s="10">
        <v>45</v>
      </c>
      <c r="IQ84" s="10">
        <f xml:space="preserve"> INDEX(AS3000_AMBIENTDERATE[], MATCH(CABLES[[#This Row],[AMBIENT]],AS3000_AMBIENTDERATE[AMBIENT],0), 2)</f>
        <v>0.94</v>
      </c>
      <c r="IR84" s="10">
        <f xml:space="preserve"> ROUNDUP( CABLES[[#This Row],[CALCULATED_AMPS]]/CABLES[[#This Row],[AMBIENT_DERATING]],1)</f>
        <v>148.5</v>
      </c>
      <c r="IS84" s="10" t="s">
        <v>531</v>
      </c>
      <c r="IT84" s="10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70</v>
      </c>
      <c r="IU84" s="10">
        <f t="shared" si="2"/>
        <v>28.000000000000004</v>
      </c>
      <c r="IV84" s="10">
        <f>(1000*CABLES[[#This Row],[MAX_VDROP]])/(CABLES[[#This Row],[ESTIMATED_CABLE_LENGTH]]*CABLES[[#This Row],[AMP_RATING]])</f>
        <v>2.8058361391694726</v>
      </c>
      <c r="IW84" s="10">
        <f xml:space="preserve"> INDEX(AS3000_VDROP[], MATCH(CABLES[[#This Row],[VC_CALC]],AS3000_VDROP[Vc],1),1)</f>
        <v>16</v>
      </c>
      <c r="IX84" s="10">
        <f>MAX(CABLES[[#This Row],[CABLESIZE_METHOD1]],CABLES[[#This Row],[CABLESIZE_METHOD2]])</f>
        <v>70</v>
      </c>
      <c r="IY84" s="10"/>
      <c r="IZ84" s="10">
        <f>IF(LEN(CABLES[[#This Row],[OVERRIDE_CABLESIZE]])&gt;0,CABLES[[#This Row],[OVERRIDE_CABLESIZE]],CABLES[[#This Row],[INITIAL_CABLESIZE]])</f>
        <v>70</v>
      </c>
      <c r="JA84" s="10">
        <f>INDEX(PROTECTIVE_DEVICE[DEVICE], MATCH(CABLES[[#This Row],[CALCULATED_AMPS]],PROTECTIVE_DEVICE[DEVICE],-1),1)</f>
        <v>160</v>
      </c>
      <c r="JB84" s="10">
        <v>200</v>
      </c>
      <c r="JC84" s="10">
        <f>IF(LEN(CABLES[[#This Row],[OVERRIDE_PDEVICE]])&gt;0, CABLES[[#This Row],[OVERRIDE_PDEVICE]],CABLES[[#This Row],[RECOMMEND_PDEVICE]])</f>
        <v>200</v>
      </c>
      <c r="JD84" s="10" t="s">
        <v>450</v>
      </c>
      <c r="JE84" s="10">
        <f xml:space="preserve"> CABLES[[#This Row],[SELECTED_PDEVICE]] * INDEX(DEVICE_CURVE[], MATCH(CABLES[[#This Row],[PDEVICE_CURVE]], DEVICE_CURVE[DEVICE_CURVE],0),2)</f>
        <v>1300</v>
      </c>
      <c r="JF84" s="10" t="s">
        <v>458</v>
      </c>
      <c r="JG84" s="10">
        <f xml:space="preserve"> INDEX(CONDUCTOR_MATERIAL[], MATCH(CABLES[[#This Row],[CONDUCTOR_MATERIAL]],CONDUCTOR_MATERIAL[CONDUCTOR_MATERIAL],0),2)</f>
        <v>2.2499999999999999E-2</v>
      </c>
      <c r="JH84" s="10">
        <f>CABLES[[#This Row],[SELECTED_CABLESIZE]]</f>
        <v>70</v>
      </c>
      <c r="JI84" s="10">
        <f xml:space="preserve"> INDEX( EARTH_CONDUCTOR_SIZE[], MATCH(CABLES[[#This Row],[SPH]],EARTH_CONDUCTOR_SIZE[MM^2],-1), 2)</f>
        <v>25</v>
      </c>
      <c r="JJ84" s="10">
        <f>(0.8*PHASE_VOLTAGE*CABLES[[#This Row],[SPH]]*CABLES[[#This Row],[SPE]])/(CABLES[[#This Row],[PDEVICE_IA]]*CABLES[[#This Row],[MATERIAL_CONSTANT]]*(CABLES[[#This Row],[SPH]]+CABLES[[#This Row],[SPE]]))</f>
        <v>115.87944219523168</v>
      </c>
      <c r="JK84" s="10" t="str">
        <f>IF(CABLES[[#This Row],[LMAX]]&gt;CABLES[[#This Row],[ESTIMATED_CABLE_LENGTH]], "PASS", "ERROR")</f>
        <v>PASS</v>
      </c>
      <c r="JL84" s="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41</v>
      </c>
      <c r="JM84" s="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3.86</v>
      </c>
      <c r="JN84" s="6">
        <f xml:space="preserve"> ROUNDUP( CABLES[[#This Row],[CALCULATED_AMPS]],1)</f>
        <v>139.6</v>
      </c>
      <c r="JO84" s="6">
        <f>CABLES[[#This Row],[SELECTED_CABLESIZE]]</f>
        <v>70</v>
      </c>
      <c r="JP84" s="10">
        <f>CABLES[[#This Row],[ESTIMATED_CABLE_LENGTH]]</f>
        <v>67.2</v>
      </c>
      <c r="JQ84" s="6">
        <f>CABLES[[#This Row],[SELECTED_PDEVICE]]</f>
        <v>200</v>
      </c>
    </row>
    <row r="85" spans="1:277" x14ac:dyDescent="0.35">
      <c r="A85" s="13" t="s">
        <v>543</v>
      </c>
      <c r="B85" s="13" t="s">
        <v>544</v>
      </c>
      <c r="C85" s="14" t="s">
        <v>261</v>
      </c>
      <c r="D85" s="15">
        <v>1.1000000000000001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4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1</v>
      </c>
      <c r="AI85" s="15">
        <v>1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1</v>
      </c>
      <c r="AR85" s="15">
        <v>0</v>
      </c>
      <c r="AS85" s="15">
        <v>1</v>
      </c>
      <c r="AT85" s="15">
        <v>0</v>
      </c>
      <c r="AU85" s="15">
        <v>0</v>
      </c>
      <c r="AV85" s="15">
        <v>0</v>
      </c>
      <c r="AW85" s="15">
        <v>1</v>
      </c>
      <c r="AX85" s="15">
        <v>1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f xml:space="preserve"> IF(CABLES[[#This Row],[SEG1]] &gt;0, INDEX(SEGMENTS[], MATCH(CABLES[[#Headers],[SEG1]],SEGMENTS[SEG_ID],0),4),0)</f>
        <v>0</v>
      </c>
      <c r="BN85" s="14">
        <f xml:space="preserve"> IF(CABLES[[#This Row],[SEG2]] &gt;0, INDEX(SEGMENTS[], MATCH(CABLES[[#Headers],[SEG2]],SEGMENTS[SEG_ID],0),4),0)</f>
        <v>0</v>
      </c>
      <c r="BO85" s="14">
        <f xml:space="preserve"> IF(CABLES[[#This Row],[SEG3]] &gt;0, INDEX(SEGMENTS[], MATCH(CABLES[[#Headers],[SEG3]],SEGMENTS[SEG_ID],0),4),0)</f>
        <v>0</v>
      </c>
      <c r="BP85" s="14">
        <f xml:space="preserve"> IF(CABLES[[#This Row],[SEG4]] &gt;0, INDEX(SEGMENTS[], MATCH(CABLES[[#Headers],[SEG4]],SEGMENTS[SEG_ID],0),4),0)</f>
        <v>0</v>
      </c>
      <c r="BQ85" s="14">
        <f xml:space="preserve"> IF(CABLES[[#This Row],[SEG5]] &gt;0,INDEX(SEGMENTS[], MATCH(CABLES[[#Headers],[SEG5]],SEGMENTS[SEG_ID],0),4),0)</f>
        <v>0</v>
      </c>
      <c r="BR85" s="14">
        <f xml:space="preserve"> IF(CABLES[[#This Row],[SEG6]] &gt;0,INDEX(SEGMENTS[], MATCH(CABLES[[#Headers],[SEG6]],SEGMENTS[SEG_ID],0),4),0)</f>
        <v>0</v>
      </c>
      <c r="BS85" s="14">
        <f xml:space="preserve"> IF(CABLES[[#This Row],[SEG7]] &gt;0,INDEX(SEGMENTS[], MATCH(CABLES[[#Headers],[SEG7]],SEGMENTS[SEG_ID],0),4),0)</f>
        <v>0</v>
      </c>
      <c r="BT85" s="14">
        <f xml:space="preserve"> IF(CABLES[[#This Row],[SEG8]] &gt;0,INDEX(SEGMENTS[], MATCH(CABLES[[#Headers],[SEG8]],SEGMENTS[SEG_ID],0),4),0)</f>
        <v>0</v>
      </c>
      <c r="BU85" s="14">
        <f xml:space="preserve"> IF(CABLES[[#This Row],[SEG9]] &gt;0,INDEX(SEGMENTS[], MATCH(CABLES[[#Headers],[SEG9]],SEGMENTS[SEG_ID],0),4),0)</f>
        <v>0</v>
      </c>
      <c r="BV85" s="14">
        <f xml:space="preserve"> IF(CABLES[[#This Row],[SEG10]] &gt;0,INDEX(SEGMENTS[], MATCH(CABLES[[#Headers],[SEG10]],SEGMENTS[SEG_ID],0),4),0)</f>
        <v>0</v>
      </c>
      <c r="BW85" s="14">
        <f xml:space="preserve"> IF(CABLES[[#This Row],[SEG11]] &gt;0,INDEX(SEGMENTS[], MATCH(CABLES[[#Headers],[SEG11]],SEGMENTS[SEG_ID],0),4),0)</f>
        <v>0</v>
      </c>
      <c r="BX85" s="14">
        <f>IF(CABLES[[#This Row],[SEG12]] &gt;0, INDEX(SEGMENTS[], MATCH(CABLES[[#Headers],[SEG12]],SEGMENTS[SEG_ID],0),4),0)</f>
        <v>0</v>
      </c>
      <c r="BY85" s="14">
        <f xml:space="preserve"> IF(CABLES[[#This Row],[SEG13]] &gt;0,INDEX(SEGMENTS[], MATCH(CABLES[[#Headers],[SEG13]],SEGMENTS[SEG_ID],0),4),0)</f>
        <v>0</v>
      </c>
      <c r="BZ85" s="14">
        <f xml:space="preserve"> IF(CABLES[[#This Row],[SEG14]] &gt;0,INDEX(SEGMENTS[], MATCH(CABLES[[#Headers],[SEG14]],SEGMENTS[SEG_ID],0),4),0)</f>
        <v>0</v>
      </c>
      <c r="CA85" s="14">
        <f xml:space="preserve"> IF(CABLES[[#This Row],[SEG15]] &gt;0,INDEX(SEGMENTS[], MATCH(CABLES[[#Headers],[SEG15]],SEGMENTS[SEG_ID],0),4),0)</f>
        <v>0</v>
      </c>
      <c r="CB85" s="14">
        <f xml:space="preserve"> IF(CABLES[[#This Row],[SEG16]] &gt;0,INDEX(SEGMENTS[], MATCH(CABLES[[#Headers],[SEG16]],SEGMENTS[SEG_ID],0),4),0)</f>
        <v>0</v>
      </c>
      <c r="CC85" s="14">
        <f xml:space="preserve"> IF(CABLES[[#This Row],[SEG17]] &gt;0,INDEX(SEGMENTS[], MATCH(CABLES[[#Headers],[SEG17]],SEGMENTS[SEG_ID],0),4),0)</f>
        <v>0</v>
      </c>
      <c r="CD85" s="14">
        <f xml:space="preserve"> IF(CABLES[[#This Row],[SEG18]] &gt;0,INDEX(SEGMENTS[], MATCH(CABLES[[#Headers],[SEG18]],SEGMENTS[SEG_ID],0),4),0)</f>
        <v>0</v>
      </c>
      <c r="CE85" s="14">
        <f>IF(CABLES[[#This Row],[SEG19]] &gt;0, INDEX(SEGMENTS[], MATCH(CABLES[[#Headers],[SEG19]],SEGMENTS[SEG_ID],0),4),0)</f>
        <v>0</v>
      </c>
      <c r="CF85" s="14">
        <f>IF(CABLES[[#This Row],[SEG20]] &gt;0, INDEX(SEGMENTS[], MATCH(CABLES[[#Headers],[SEG20]],SEGMENTS[SEG_ID],0),4),0)</f>
        <v>0</v>
      </c>
      <c r="CG85" s="14">
        <f xml:space="preserve"> IF(CABLES[[#This Row],[SEG21]] &gt;0,INDEX(SEGMENTS[], MATCH(CABLES[[#Headers],[SEG21]],SEGMENTS[SEG_ID],0),4),0)</f>
        <v>0</v>
      </c>
      <c r="CH85" s="14">
        <f xml:space="preserve"> IF(CABLES[[#This Row],[SEG22]] &gt;0,INDEX(SEGMENTS[], MATCH(CABLES[[#Headers],[SEG22]],SEGMENTS[SEG_ID],0),4),0)</f>
        <v>0</v>
      </c>
      <c r="CI85" s="14">
        <f>IF(CABLES[[#This Row],[SEG23]] &gt;0, INDEX(SEGMENTS[], MATCH(CABLES[[#Headers],[SEG23]],SEGMENTS[SEG_ID],0),4),0)</f>
        <v>0</v>
      </c>
      <c r="CJ85" s="14">
        <f xml:space="preserve"> IF(CABLES[[#This Row],[SEG24]] &gt;0,INDEX(SEGMENTS[], MATCH(CABLES[[#Headers],[SEG24]],SEGMENTS[SEG_ID],0),4),0)</f>
        <v>0</v>
      </c>
      <c r="CK85" s="14">
        <f>IF(CABLES[[#This Row],[SEG25]] &gt;0, INDEX(SEGMENTS[], MATCH(CABLES[[#Headers],[SEG25]],SEGMENTS[SEG_ID],0),4),0)</f>
        <v>0</v>
      </c>
      <c r="CL85" s="14">
        <f>IF(CABLES[[#This Row],[SEG26]] &gt;0, INDEX(SEGMENTS[], MATCH(CABLES[[#Headers],[SEG26]],SEGMENTS[SEG_ID],0),4),0)</f>
        <v>0</v>
      </c>
      <c r="CM85" s="14">
        <f xml:space="preserve"> IF(CABLES[[#This Row],[SEG27]] &gt;0,INDEX(SEGMENTS[], MATCH(CABLES[[#Headers],[SEG27]],SEGMENTS[SEG_ID],0),4),0)</f>
        <v>0</v>
      </c>
      <c r="CN85" s="14">
        <f xml:space="preserve"> IF(CABLES[[#This Row],[SEG28]] &gt;0,INDEX(SEGMENTS[], MATCH(CABLES[[#Headers],[SEG28]],SEGMENTS[SEG_ID],0),4),0)</f>
        <v>0</v>
      </c>
      <c r="CO85" s="14">
        <f xml:space="preserve"> IF(CABLES[[#This Row],[SEG29]] &gt;0,INDEX(SEGMENTS[], MATCH(CABLES[[#Headers],[SEG29]],SEGMENTS[SEG_ID],0),4),0)</f>
        <v>0</v>
      </c>
      <c r="CP85" s="14">
        <f xml:space="preserve"> IF(CABLES[[#This Row],[SEG30]] &gt;0,INDEX(SEGMENTS[], MATCH(CABLES[[#Headers],[SEG30]],SEGMENTS[SEG_ID],0),4),0)</f>
        <v>6</v>
      </c>
      <c r="CQ85" s="14">
        <f>IF(CABLES[[#This Row],[SEG31]] &gt;0, INDEX(SEGMENTS[], MATCH(CABLES[[#Headers],[SEG31]],SEGMENTS[SEG_ID],0),4),0)</f>
        <v>3</v>
      </c>
      <c r="CR85" s="14">
        <f xml:space="preserve"> IF(CABLES[[#This Row],[SEG32]] &gt;0,INDEX(SEGMENTS[], MATCH(CABLES[[#Headers],[SEG32]],SEGMENTS[SEG_ID],0),4),0)</f>
        <v>0</v>
      </c>
      <c r="CS85" s="14">
        <f xml:space="preserve"> IF(CABLES[[#This Row],[SEG33]] &gt;0,INDEX(SEGMENTS[], MATCH(CABLES[[#Headers],[SEG33]],SEGMENTS[SEG_ID],0),4),0)</f>
        <v>0</v>
      </c>
      <c r="CT85" s="14">
        <f>IF(CABLES[[#This Row],[SEG34]] &gt;0, INDEX(SEGMENTS[], MATCH(CABLES[[#Headers],[SEG34]],SEGMENTS[SEG_ID],0),4),0)</f>
        <v>0</v>
      </c>
      <c r="CU85" s="14">
        <f xml:space="preserve"> IF(CABLES[[#This Row],[SEG35]] &gt;0,INDEX(SEGMENTS[], MATCH(CABLES[[#Headers],[SEG35]],SEGMENTS[SEG_ID],0),4),0)</f>
        <v>0</v>
      </c>
      <c r="CV85" s="14">
        <f xml:space="preserve"> IF(CABLES[[#This Row],[SEG36]] &gt;0,INDEX(SEGMENTS[], MATCH(CABLES[[#Headers],[SEG36]],SEGMENTS[SEG_ID],0),4),0)</f>
        <v>0</v>
      </c>
      <c r="CW85" s="14">
        <f xml:space="preserve"> IF(CABLES[[#This Row],[SEG37]] &gt;0,INDEX(SEGMENTS[], MATCH(CABLES[[#Headers],[SEG37]],SEGMENTS[SEG_ID],0),4),0)</f>
        <v>0</v>
      </c>
      <c r="CX85" s="14">
        <f xml:space="preserve"> IF(CABLES[[#This Row],[SEG38]] &gt;0,INDEX(SEGMENTS[], MATCH(CABLES[[#Headers],[SEG38]],SEGMENTS[SEG_ID],0),4),0)</f>
        <v>0</v>
      </c>
      <c r="CY85" s="14">
        <f xml:space="preserve"> IF(CABLES[[#This Row],[SEG39]] &gt;0,INDEX(SEGMENTS[], MATCH(CABLES[[#Headers],[SEG39]],SEGMENTS[SEG_ID],0),4),0)</f>
        <v>8</v>
      </c>
      <c r="CZ85" s="14">
        <f xml:space="preserve"> IF(CABLES[[#This Row],[SEG40]] &gt;0,INDEX(SEGMENTS[], MATCH(CABLES[[#Headers],[SEG40]],SEGMENTS[SEG_ID],0),4),0)</f>
        <v>0</v>
      </c>
      <c r="DA85" s="14">
        <f xml:space="preserve"> IF(CABLES[[#This Row],[SEG41]] &gt;0,INDEX(SEGMENTS[], MATCH(CABLES[[#Headers],[SEG41]],SEGMENTS[SEG_ID],0),4),0)</f>
        <v>8</v>
      </c>
      <c r="DB85" s="14">
        <f xml:space="preserve"> IF(CABLES[[#This Row],[SEG42]] &gt;0,INDEX(SEGMENTS[], MATCH(CABLES[[#Headers],[SEG42]],SEGMENTS[SEG_ID],0),4),0)</f>
        <v>0</v>
      </c>
      <c r="DC85" s="14">
        <f xml:space="preserve"> IF(CABLES[[#This Row],[SEG43]] &gt;0,INDEX(SEGMENTS[], MATCH(CABLES[[#Headers],[SEG43]],SEGMENTS[SEG_ID],0),4),0)</f>
        <v>0</v>
      </c>
      <c r="DD85" s="14">
        <f xml:space="preserve"> IF(CABLES[[#This Row],[SEG44]] &gt;0,INDEX(SEGMENTS[], MATCH(CABLES[[#Headers],[SEG44]],SEGMENTS[SEG_ID],0),4),0)</f>
        <v>0</v>
      </c>
      <c r="DE85" s="14">
        <f xml:space="preserve"> IF(CABLES[[#This Row],[SEG45]] &gt;0,INDEX(SEGMENTS[], MATCH(CABLES[[#Headers],[SEG45]],SEGMENTS[SEG_ID],0),4),0)</f>
        <v>9</v>
      </c>
      <c r="DF85" s="14">
        <f xml:space="preserve"> IF(CABLES[[#This Row],[SEG46]] &gt;0,INDEX(SEGMENTS[], MATCH(CABLES[[#Headers],[SEG46]],SEGMENTS[SEG_ID],0),4),0)</f>
        <v>14</v>
      </c>
      <c r="DG85" s="14">
        <f xml:space="preserve"> IF(CABLES[[#This Row],[SEG47]] &gt;0,INDEX(SEGMENTS[], MATCH(CABLES[[#Headers],[SEG47]],SEGMENTS[SEG_ID],0),4),0)</f>
        <v>0</v>
      </c>
      <c r="DH85" s="14">
        <f xml:space="preserve"> IF(CABLES[[#This Row],[SEG48]] &gt;0,INDEX(SEGMENTS[], MATCH(CABLES[[#Headers],[SEG48]],SEGMENTS[SEG_ID],0),4),0)</f>
        <v>0</v>
      </c>
      <c r="DI85" s="14">
        <f xml:space="preserve"> IF(CABLES[[#This Row],[SEG49]] &gt;0,INDEX(SEGMENTS[], MATCH(CABLES[[#Headers],[SEG49]],SEGMENTS[SEG_ID],0),4),0)</f>
        <v>0</v>
      </c>
      <c r="DJ85" s="14">
        <f xml:space="preserve"> IF(CABLES[[#This Row],[SEG50]] &gt;0,INDEX(SEGMENTS[], MATCH(CABLES[[#Headers],[SEG50]],SEGMENTS[SEG_ID],0),4),0)</f>
        <v>0</v>
      </c>
      <c r="DK85" s="14">
        <f xml:space="preserve"> IF(CABLES[[#This Row],[SEG51]] &gt;0,INDEX(SEGMENTS[], MATCH(CABLES[[#Headers],[SEG51]],SEGMENTS[SEG_ID],0),4),0)</f>
        <v>0</v>
      </c>
      <c r="DL85" s="14">
        <f xml:space="preserve"> IF(CABLES[[#This Row],[SEG52]] &gt;0,INDEX(SEGMENTS[], MATCH(CABLES[[#Headers],[SEG52]],SEGMENTS[SEG_ID],0),4),0)</f>
        <v>0</v>
      </c>
      <c r="DM85" s="14">
        <f xml:space="preserve"> IF(CABLES[[#This Row],[SEG53]] &gt;0,INDEX(SEGMENTS[], MATCH(CABLES[[#Headers],[SEG53]],SEGMENTS[SEG_ID],0),4),0)</f>
        <v>0</v>
      </c>
      <c r="DN85" s="14">
        <f xml:space="preserve"> IF(CABLES[[#This Row],[SEG54]] &gt;0,INDEX(SEGMENTS[], MATCH(CABLES[[#Headers],[SEG54]],SEGMENTS[SEG_ID],0),4),0)</f>
        <v>0</v>
      </c>
      <c r="DO85" s="14">
        <f xml:space="preserve"> IF(CABLES[[#This Row],[SEG55]] &gt;0,INDEX(SEGMENTS[], MATCH(CABLES[[#Headers],[SEG55]],SEGMENTS[SEG_ID],0),4),0)</f>
        <v>0</v>
      </c>
      <c r="DP85" s="14">
        <f xml:space="preserve"> IF(CABLES[[#This Row],[SEG56]] &gt;0,INDEX(SEGMENTS[], MATCH(CABLES[[#Headers],[SEG56]],SEGMENTS[SEG_ID],0),4),0)</f>
        <v>0</v>
      </c>
      <c r="DQ85" s="14">
        <f xml:space="preserve"> IF(CABLES[[#This Row],[SEG57]] &gt;0,INDEX(SEGMENTS[], MATCH(CABLES[[#Headers],[SEG57]],SEGMENTS[SEG_ID],0),4),0)</f>
        <v>0</v>
      </c>
      <c r="DR85" s="14">
        <f xml:space="preserve"> IF(CABLES[[#This Row],[SEG58]] &gt;0,INDEX(SEGMENTS[], MATCH(CABLES[[#Headers],[SEG58]],SEGMENTS[SEG_ID],0),4),0)</f>
        <v>0</v>
      </c>
      <c r="DS85" s="14">
        <f xml:space="preserve"> IF(CABLES[[#This Row],[SEG59]] &gt;0,INDEX(SEGMENTS[], MATCH(CABLES[[#Headers],[SEG59]],SEGMENTS[SEG_ID],0),4),0)</f>
        <v>0</v>
      </c>
      <c r="DT85" s="14">
        <f xml:space="preserve"> IF(CABLES[[#This Row],[SEG60]] &gt;0,INDEX(SEGMENTS[], MATCH(CABLES[[#Headers],[SEG60]],SEGMENTS[SEG_ID],0),4),0)</f>
        <v>0</v>
      </c>
      <c r="DU85" s="14">
        <f>SUM(CABLES[[#This Row],[SEGL1]:[SEGL60]])</f>
        <v>48</v>
      </c>
      <c r="DV85" s="14">
        <v>5</v>
      </c>
      <c r="DW85" s="14">
        <v>1.2</v>
      </c>
      <c r="DX85" s="14">
        <f xml:space="preserve"> IF(CABLES[[#This Row],[SEGL_TOTAL]]&gt;0, (CABLES[[#This Row],[SEGL_TOTAL]] + CABLES[[#This Row],[FITOFF]]) *CABLES[[#This Row],[XCAPACITY]],0)</f>
        <v>63.599999999999994</v>
      </c>
      <c r="DY85" s="14">
        <f>IF(CABLES[[#This Row],[SEG1]]&gt;0,CABLES[[#This Row],[CABLE_DIAMETER]],0)</f>
        <v>0</v>
      </c>
      <c r="DZ85" s="14">
        <f>IF(CABLES[[#This Row],[SEG2]]&gt;0,CABLES[[#This Row],[CABLE_DIAMETER]],0)</f>
        <v>0</v>
      </c>
      <c r="EA85" s="14">
        <f>IF(CABLES[[#This Row],[SEG3]]&gt;0,CABLES[[#This Row],[CABLE_DIAMETER]],0)</f>
        <v>0</v>
      </c>
      <c r="EB85" s="14">
        <f>IF(CABLES[[#This Row],[SEG4]]&gt;0,CABLES[[#This Row],[CABLE_DIAMETER]],0)</f>
        <v>0</v>
      </c>
      <c r="EC85" s="14">
        <f>IF(CABLES[[#This Row],[SEG5]]&gt;0,CABLES[[#This Row],[CABLE_DIAMETER]],0)</f>
        <v>0</v>
      </c>
      <c r="ED85" s="14">
        <f>IF(CABLES[[#This Row],[SEG6]]&gt;0,CABLES[[#This Row],[CABLE_DIAMETER]],0)</f>
        <v>0</v>
      </c>
      <c r="EE85" s="14">
        <f>IF(CABLES[[#This Row],[SEG7]]&gt;0,CABLES[[#This Row],[CABLE_DIAMETER]],0)</f>
        <v>0</v>
      </c>
      <c r="EF85" s="14">
        <f>IF(CABLES[[#This Row],[SEG9]]&gt;0,CABLES[[#This Row],[CABLE_DIAMETER]],0)</f>
        <v>0</v>
      </c>
      <c r="EG85" s="14">
        <f>IF(CABLES[[#This Row],[SEG9]]&gt;0,CABLES[[#This Row],[CABLE_DIAMETER]],0)</f>
        <v>0</v>
      </c>
      <c r="EH85" s="14">
        <f>IF(CABLES[[#This Row],[SEG10]]&gt;0,CABLES[[#This Row],[CABLE_DIAMETER]],0)</f>
        <v>0</v>
      </c>
      <c r="EI85" s="14">
        <f>IF(CABLES[[#This Row],[SEG11]]&gt;0,CABLES[[#This Row],[CABLE_DIAMETER]],0)</f>
        <v>0</v>
      </c>
      <c r="EJ85" s="14">
        <f>IF(CABLES[[#This Row],[SEG12]]&gt;0,CABLES[[#This Row],[CABLE_DIAMETER]],0)</f>
        <v>0</v>
      </c>
      <c r="EK85" s="14">
        <f>IF(CABLES[[#This Row],[SEG13]]&gt;0,CABLES[[#This Row],[CABLE_DIAMETER]],0)</f>
        <v>0</v>
      </c>
      <c r="EL85" s="14">
        <f>IF(CABLES[[#This Row],[SEG14]]&gt;0,CABLES[[#This Row],[CABLE_DIAMETER]],0)</f>
        <v>0</v>
      </c>
      <c r="EM85" s="14">
        <f>IF(CABLES[[#This Row],[SEG15]]&gt;0,CABLES[[#This Row],[CABLE_DIAMETER]],0)</f>
        <v>0</v>
      </c>
      <c r="EN85" s="14">
        <f>IF(CABLES[[#This Row],[SEG16]]&gt;0,CABLES[[#This Row],[CABLE_DIAMETER]],0)</f>
        <v>0</v>
      </c>
      <c r="EO85" s="14">
        <f>IF(CABLES[[#This Row],[SEG17]]&gt;0,CABLES[[#This Row],[CABLE_DIAMETER]],0)</f>
        <v>0</v>
      </c>
      <c r="EP85" s="14">
        <f>IF(CABLES[[#This Row],[SEG18]]&gt;0,CABLES[[#This Row],[CABLE_DIAMETER]],0)</f>
        <v>0</v>
      </c>
      <c r="EQ85" s="14">
        <f>IF(CABLES[[#This Row],[SEG19]]&gt;0,CABLES[[#This Row],[CABLE_DIAMETER]],0)</f>
        <v>0</v>
      </c>
      <c r="ER85" s="14">
        <f>IF(CABLES[[#This Row],[SEG20]]&gt;0,CABLES[[#This Row],[CABLE_DIAMETER]],0)</f>
        <v>0</v>
      </c>
      <c r="ES85" s="14">
        <f>IF(CABLES[[#This Row],[SEG21]]&gt;0,CABLES[[#This Row],[CABLE_DIAMETER]],0)</f>
        <v>0</v>
      </c>
      <c r="ET85" s="14">
        <f>IF(CABLES[[#This Row],[SEG22]]&gt;0,CABLES[[#This Row],[CABLE_DIAMETER]],0)</f>
        <v>0</v>
      </c>
      <c r="EU85" s="14">
        <f>IF(CABLES[[#This Row],[SEG23]]&gt;0,CABLES[[#This Row],[CABLE_DIAMETER]],0)</f>
        <v>0</v>
      </c>
      <c r="EV85" s="14">
        <f>IF(CABLES[[#This Row],[SEG24]]&gt;0,CABLES[[#This Row],[CABLE_DIAMETER]],0)</f>
        <v>0</v>
      </c>
      <c r="EW85" s="14">
        <f>IF(CABLES[[#This Row],[SEG25]]&gt;0,CABLES[[#This Row],[CABLE_DIAMETER]],0)</f>
        <v>0</v>
      </c>
      <c r="EX85" s="14">
        <f>IF(CABLES[[#This Row],[SEG26]]&gt;0,CABLES[[#This Row],[CABLE_DIAMETER]],0)</f>
        <v>0</v>
      </c>
      <c r="EY85" s="14">
        <f>IF(CABLES[[#This Row],[SEG27]]&gt;0,CABLES[[#This Row],[CABLE_DIAMETER]],0)</f>
        <v>0</v>
      </c>
      <c r="EZ85" s="14">
        <f>IF(CABLES[[#This Row],[SEG28]]&gt;0,CABLES[[#This Row],[CABLE_DIAMETER]],0)</f>
        <v>0</v>
      </c>
      <c r="FA85" s="14">
        <f>IF(CABLES[[#This Row],[SEG29]]&gt;0,CABLES[[#This Row],[CABLE_DIAMETER]],0)</f>
        <v>0</v>
      </c>
      <c r="FB85" s="14">
        <f>IF(CABLES[[#This Row],[SEG30]]&gt;0,CABLES[[#This Row],[CABLE_DIAMETER]],0)</f>
        <v>14.5</v>
      </c>
      <c r="FC85" s="14">
        <f>IF(CABLES[[#This Row],[SEG31]]&gt;0,CABLES[[#This Row],[CABLE_DIAMETER]],0)</f>
        <v>14.5</v>
      </c>
      <c r="FD85" s="14">
        <f>IF(CABLES[[#This Row],[SEG32]]&gt;0,CABLES[[#This Row],[CABLE_DIAMETER]],0)</f>
        <v>0</v>
      </c>
      <c r="FE85" s="14">
        <f>IF(CABLES[[#This Row],[SEG33]]&gt;0,CABLES[[#This Row],[CABLE_DIAMETER]],0)</f>
        <v>0</v>
      </c>
      <c r="FF85" s="14">
        <f>IF(CABLES[[#This Row],[SEG34]]&gt;0,CABLES[[#This Row],[CABLE_DIAMETER]],0)</f>
        <v>0</v>
      </c>
      <c r="FG85" s="14">
        <f>IF(CABLES[[#This Row],[SEG35]]&gt;0,CABLES[[#This Row],[CABLE_DIAMETER]],0)</f>
        <v>0</v>
      </c>
      <c r="FH85" s="14">
        <f>IF(CABLES[[#This Row],[SEG36]]&gt;0,CABLES[[#This Row],[CABLE_DIAMETER]],0)</f>
        <v>0</v>
      </c>
      <c r="FI85" s="14">
        <f>IF(CABLES[[#This Row],[SEG37]]&gt;0,CABLES[[#This Row],[CABLE_DIAMETER]],0)</f>
        <v>0</v>
      </c>
      <c r="FJ85" s="14">
        <f>IF(CABLES[[#This Row],[SEG38]]&gt;0,CABLES[[#This Row],[CABLE_DIAMETER]],0)</f>
        <v>0</v>
      </c>
      <c r="FK85" s="14">
        <f>IF(CABLES[[#This Row],[SEG39]]&gt;0,CABLES[[#This Row],[CABLE_DIAMETER]],0)</f>
        <v>14.5</v>
      </c>
      <c r="FL85" s="14">
        <f>IF(CABLES[[#This Row],[SEG40]]&gt;0,CABLES[[#This Row],[CABLE_DIAMETER]],0)</f>
        <v>0</v>
      </c>
      <c r="FM85" s="14">
        <f>IF(CABLES[[#This Row],[SEG41]]&gt;0,CABLES[[#This Row],[CABLE_DIAMETER]],0)</f>
        <v>14.5</v>
      </c>
      <c r="FN85" s="14">
        <f>IF(CABLES[[#This Row],[SEG42]]&gt;0,CABLES[[#This Row],[CABLE_DIAMETER]],0)</f>
        <v>0</v>
      </c>
      <c r="FO85" s="14">
        <f>IF(CABLES[[#This Row],[SEG43]]&gt;0,CABLES[[#This Row],[CABLE_DIAMETER]],0)</f>
        <v>0</v>
      </c>
      <c r="FP85" s="14">
        <f>IF(CABLES[[#This Row],[SEG44]]&gt;0,CABLES[[#This Row],[CABLE_DIAMETER]],0)</f>
        <v>0</v>
      </c>
      <c r="FQ85" s="14">
        <f>IF(CABLES[[#This Row],[SEG45]]&gt;0,CABLES[[#This Row],[CABLE_DIAMETER]],0)</f>
        <v>14.5</v>
      </c>
      <c r="FR85" s="14">
        <f>IF(CABLES[[#This Row],[SEG46]]&gt;0,CABLES[[#This Row],[CABLE_DIAMETER]],0)</f>
        <v>14.5</v>
      </c>
      <c r="FS85" s="14">
        <f>IF(CABLES[[#This Row],[SEG47]]&gt;0,CABLES[[#This Row],[CABLE_DIAMETER]],0)</f>
        <v>0</v>
      </c>
      <c r="FT85" s="14">
        <f>IF(CABLES[[#This Row],[SEG48]]&gt;0,CABLES[[#This Row],[CABLE_DIAMETER]],0)</f>
        <v>0</v>
      </c>
      <c r="FU85" s="14">
        <f>IF(CABLES[[#This Row],[SEG49]]&gt;0,CABLES[[#This Row],[CABLE_DIAMETER]],0)</f>
        <v>0</v>
      </c>
      <c r="FV85" s="14">
        <f>IF(CABLES[[#This Row],[SEG50]]&gt;0,CABLES[[#This Row],[CABLE_DIAMETER]],0)</f>
        <v>0</v>
      </c>
      <c r="FW85" s="14">
        <f>IF(CABLES[[#This Row],[SEG51]]&gt;0,CABLES[[#This Row],[CABLE_DIAMETER]],0)</f>
        <v>0</v>
      </c>
      <c r="FX85" s="14">
        <f>IF(CABLES[[#This Row],[SEG52]]&gt;0,CABLES[[#This Row],[CABLE_DIAMETER]],0)</f>
        <v>0</v>
      </c>
      <c r="FY85" s="14">
        <f>IF(CABLES[[#This Row],[SEG53]]&gt;0,CABLES[[#This Row],[CABLE_DIAMETER]],0)</f>
        <v>0</v>
      </c>
      <c r="FZ85" s="14">
        <f>IF(CABLES[[#This Row],[SEG54]]&gt;0,CABLES[[#This Row],[CABLE_DIAMETER]],0)</f>
        <v>0</v>
      </c>
      <c r="GA85" s="14">
        <f>IF(CABLES[[#This Row],[SEG55]]&gt;0,CABLES[[#This Row],[CABLE_DIAMETER]],0)</f>
        <v>0</v>
      </c>
      <c r="GB85" s="14">
        <f>IF(CABLES[[#This Row],[SEG56]]&gt;0,CABLES[[#This Row],[CABLE_DIAMETER]],0)</f>
        <v>0</v>
      </c>
      <c r="GC85" s="14">
        <f>IF(CABLES[[#This Row],[SEG57]]&gt;0,CABLES[[#This Row],[CABLE_DIAMETER]],0)</f>
        <v>0</v>
      </c>
      <c r="GD85" s="14">
        <f>IF(CABLES[[#This Row],[SEG58]]&gt;0,CABLES[[#This Row],[CABLE_DIAMETER]],0)</f>
        <v>0</v>
      </c>
      <c r="GE85" s="14">
        <f>IF(CABLES[[#This Row],[SEG59]]&gt;0,CABLES[[#This Row],[CABLE_DIAMETER]],0)</f>
        <v>0</v>
      </c>
      <c r="GF85" s="14">
        <f>IF(CABLES[[#This Row],[SEG60]]&gt;0,CABLES[[#This Row],[CABLE_DIAMETER]],0)</f>
        <v>0</v>
      </c>
      <c r="GG85" s="14">
        <f>IF(CABLES[[#This Row],[SEG1]]&gt;0,CABLES[[#This Row],[CABLE_MASS]],0)</f>
        <v>0</v>
      </c>
      <c r="GH85" s="14">
        <f>IF(CABLES[[#This Row],[SEG2]]&gt;0,CABLES[[#This Row],[CABLE_MASS]],0)</f>
        <v>0</v>
      </c>
      <c r="GI85" s="14">
        <f>IF(CABLES[[#This Row],[SEG3]]&gt;0,CABLES[[#This Row],[CABLE_MASS]],0)</f>
        <v>0</v>
      </c>
      <c r="GJ85" s="14">
        <f>IF(CABLES[[#This Row],[SEG4]]&gt;0,CABLES[[#This Row],[CABLE_MASS]],0)</f>
        <v>0</v>
      </c>
      <c r="GK85" s="14">
        <f>IF(CABLES[[#This Row],[SEG5]]&gt;0,CABLES[[#This Row],[CABLE_MASS]],0)</f>
        <v>0</v>
      </c>
      <c r="GL85" s="14">
        <f>IF(CABLES[[#This Row],[SEG6]]&gt;0,CABLES[[#This Row],[CABLE_MASS]],0)</f>
        <v>0</v>
      </c>
      <c r="GM85" s="14">
        <f>IF(CABLES[[#This Row],[SEG7]]&gt;0,CABLES[[#This Row],[CABLE_MASS]],0)</f>
        <v>0</v>
      </c>
      <c r="GN85" s="14">
        <f>IF(CABLES[[#This Row],[SEG8]]&gt;0,CABLES[[#This Row],[CABLE_MASS]],0)</f>
        <v>0</v>
      </c>
      <c r="GO85" s="14">
        <f>IF(CABLES[[#This Row],[SEG9]]&gt;0,CABLES[[#This Row],[CABLE_MASS]],0)</f>
        <v>0</v>
      </c>
      <c r="GP85" s="14">
        <f>IF(CABLES[[#This Row],[SEG10]]&gt;0,CABLES[[#This Row],[CABLE_MASS]],0)</f>
        <v>0</v>
      </c>
      <c r="GQ85" s="14">
        <f>IF(CABLES[[#This Row],[SEG11]]&gt;0,CABLES[[#This Row],[CABLE_MASS]],0)</f>
        <v>0</v>
      </c>
      <c r="GR85" s="14">
        <f>IF(CABLES[[#This Row],[SEG12]]&gt;0,CABLES[[#This Row],[CABLE_MASS]],0)</f>
        <v>0</v>
      </c>
      <c r="GS85" s="14">
        <f>IF(CABLES[[#This Row],[SEG13]]&gt;0,CABLES[[#This Row],[CABLE_MASS]],0)</f>
        <v>0</v>
      </c>
      <c r="GT85" s="14">
        <f>IF(CABLES[[#This Row],[SEG14]]&gt;0,CABLES[[#This Row],[CABLE_MASS]],0)</f>
        <v>0</v>
      </c>
      <c r="GU85" s="14">
        <f>IF(CABLES[[#This Row],[SEG15]]&gt;0,CABLES[[#This Row],[CABLE_MASS]],0)</f>
        <v>0</v>
      </c>
      <c r="GV85" s="14">
        <f>IF(CABLES[[#This Row],[SEG16]]&gt;0,CABLES[[#This Row],[CABLE_MASS]],0)</f>
        <v>0</v>
      </c>
      <c r="GW85" s="14">
        <f>IF(CABLES[[#This Row],[SEG17]]&gt;0,CABLES[[#This Row],[CABLE_MASS]],0)</f>
        <v>0</v>
      </c>
      <c r="GX85" s="14">
        <f>IF(CABLES[[#This Row],[SEG18]]&gt;0,CABLES[[#This Row],[CABLE_MASS]],0)</f>
        <v>0</v>
      </c>
      <c r="GY85" s="14">
        <f>IF(CABLES[[#This Row],[SEG19]]&gt;0,CABLES[[#This Row],[CABLE_MASS]],0)</f>
        <v>0</v>
      </c>
      <c r="GZ85" s="14">
        <f>IF(CABLES[[#This Row],[SEG20]]&gt;0,CABLES[[#This Row],[CABLE_MASS]],0)</f>
        <v>0</v>
      </c>
      <c r="HA85" s="14">
        <f>IF(CABLES[[#This Row],[SEG21]]&gt;0,CABLES[[#This Row],[CABLE_MASS]],0)</f>
        <v>0</v>
      </c>
      <c r="HB85" s="14">
        <f>IF(CABLES[[#This Row],[SEG22]]&gt;0,CABLES[[#This Row],[CABLE_MASS]],0)</f>
        <v>0</v>
      </c>
      <c r="HC85" s="14">
        <f>IF(CABLES[[#This Row],[SEG23]]&gt;0,CABLES[[#This Row],[CABLE_MASS]],0)</f>
        <v>0</v>
      </c>
      <c r="HD85" s="14">
        <f>IF(CABLES[[#This Row],[SEG24]]&gt;0,CABLES[[#This Row],[CABLE_MASS]],0)</f>
        <v>0</v>
      </c>
      <c r="HE85" s="14">
        <f>IF(CABLES[[#This Row],[SEG25]]&gt;0,CABLES[[#This Row],[CABLE_MASS]],0)</f>
        <v>0</v>
      </c>
      <c r="HF85" s="14">
        <f>IF(CABLES[[#This Row],[SEG26]]&gt;0,CABLES[[#This Row],[CABLE_MASS]],0)</f>
        <v>0</v>
      </c>
      <c r="HG85" s="14">
        <f>IF(CABLES[[#This Row],[SEG27]]&gt;0,CABLES[[#This Row],[CABLE_MASS]],0)</f>
        <v>0</v>
      </c>
      <c r="HH85" s="14">
        <f>IF(CABLES[[#This Row],[SEG28]]&gt;0,CABLES[[#This Row],[CABLE_MASS]],0)</f>
        <v>0</v>
      </c>
      <c r="HI85" s="14">
        <f>IF(CABLES[[#This Row],[SEG29]]&gt;0,CABLES[[#This Row],[CABLE_MASS]],0)</f>
        <v>0</v>
      </c>
      <c r="HJ85" s="14">
        <f>IF(CABLES[[#This Row],[SEG30]]&gt;0,CABLES[[#This Row],[CABLE_MASS]],0)</f>
        <v>0.33</v>
      </c>
      <c r="HK85" s="14">
        <f>IF(CABLES[[#This Row],[SEG31]]&gt;0,CABLES[[#This Row],[CABLE_MASS]],0)</f>
        <v>0.33</v>
      </c>
      <c r="HL85" s="14">
        <f>IF(CABLES[[#This Row],[SEG32]]&gt;0,CABLES[[#This Row],[CABLE_MASS]],0)</f>
        <v>0</v>
      </c>
      <c r="HM85" s="14">
        <f>IF(CABLES[[#This Row],[SEG33]]&gt;0,CABLES[[#This Row],[CABLE_MASS]],0)</f>
        <v>0</v>
      </c>
      <c r="HN85" s="14">
        <f>IF(CABLES[[#This Row],[SEG34]]&gt;0,CABLES[[#This Row],[CABLE_MASS]],0)</f>
        <v>0</v>
      </c>
      <c r="HO85" s="14">
        <f>IF(CABLES[[#This Row],[SEG35]]&gt;0,CABLES[[#This Row],[CABLE_MASS]],0)</f>
        <v>0</v>
      </c>
      <c r="HP85" s="14">
        <f>IF(CABLES[[#This Row],[SEG36]]&gt;0,CABLES[[#This Row],[CABLE_MASS]],0)</f>
        <v>0</v>
      </c>
      <c r="HQ85" s="14">
        <f>IF(CABLES[[#This Row],[SEG37]]&gt;0,CABLES[[#This Row],[CABLE_MASS]],0)</f>
        <v>0</v>
      </c>
      <c r="HR85" s="14">
        <f>IF(CABLES[[#This Row],[SEG38]]&gt;0,CABLES[[#This Row],[CABLE_MASS]],0)</f>
        <v>0</v>
      </c>
      <c r="HS85" s="14">
        <f>IF(CABLES[[#This Row],[SEG39]]&gt;0,CABLES[[#This Row],[CABLE_MASS]],0)</f>
        <v>0.33</v>
      </c>
      <c r="HT85" s="14">
        <f>IF(CABLES[[#This Row],[SEG40]]&gt;0,CABLES[[#This Row],[CABLE_MASS]],0)</f>
        <v>0</v>
      </c>
      <c r="HU85" s="14">
        <f>IF(CABLES[[#This Row],[SEG41]]&gt;0,CABLES[[#This Row],[CABLE_MASS]],0)</f>
        <v>0.33</v>
      </c>
      <c r="HV85" s="14">
        <f>IF(CABLES[[#This Row],[SEG42]]&gt;0,CABLES[[#This Row],[CABLE_MASS]],0)</f>
        <v>0</v>
      </c>
      <c r="HW85" s="14">
        <f>IF(CABLES[[#This Row],[SEG43]]&gt;0,CABLES[[#This Row],[CABLE_MASS]],0)</f>
        <v>0</v>
      </c>
      <c r="HX85" s="14">
        <f>IF(CABLES[[#This Row],[SEG44]]&gt;0,CABLES[[#This Row],[CABLE_MASS]],0)</f>
        <v>0</v>
      </c>
      <c r="HY85" s="14">
        <f>IF(CABLES[[#This Row],[SEG45]]&gt;0,CABLES[[#This Row],[CABLE_MASS]],0)</f>
        <v>0.33</v>
      </c>
      <c r="HZ85" s="14">
        <f>IF(CABLES[[#This Row],[SEG46]]&gt;0,CABLES[[#This Row],[CABLE_MASS]],0)</f>
        <v>0.33</v>
      </c>
      <c r="IA85" s="14">
        <f>IF(CABLES[[#This Row],[SEG47]]&gt;0,CABLES[[#This Row],[CABLE_MASS]],0)</f>
        <v>0</v>
      </c>
      <c r="IB85" s="14">
        <f>IF(CABLES[[#This Row],[SEG48]]&gt;0,CABLES[[#This Row],[CABLE_MASS]],0)</f>
        <v>0</v>
      </c>
      <c r="IC85" s="14">
        <f>IF(CABLES[[#This Row],[SEG49]]&gt;0,CABLES[[#This Row],[CABLE_MASS]],0)</f>
        <v>0</v>
      </c>
      <c r="ID85" s="14">
        <f>IF(CABLES[[#This Row],[SEG50]]&gt;0,CABLES[[#This Row],[CABLE_MASS]],0)</f>
        <v>0</v>
      </c>
      <c r="IE85" s="14">
        <f>IF(CABLES[[#This Row],[SEG51]]&gt;0,CABLES[[#This Row],[CABLE_MASS]],0)</f>
        <v>0</v>
      </c>
      <c r="IF85" s="14">
        <f>IF(CABLES[[#This Row],[SEG52]]&gt;0,CABLES[[#This Row],[CABLE_MASS]],0)</f>
        <v>0</v>
      </c>
      <c r="IG85" s="14">
        <f>IF(CABLES[[#This Row],[SEG53]]&gt;0,CABLES[[#This Row],[CABLE_MASS]],0)</f>
        <v>0</v>
      </c>
      <c r="IH85" s="14">
        <f>IF(CABLES[[#This Row],[SEG54]]&gt;0,CABLES[[#This Row],[CABLE_MASS]],0)</f>
        <v>0</v>
      </c>
      <c r="II85" s="14">
        <f>IF(CABLES[[#This Row],[SEG55]]&gt;0,CABLES[[#This Row],[CABLE_MASS]],0)</f>
        <v>0</v>
      </c>
      <c r="IJ85" s="14">
        <f>IF(CABLES[[#This Row],[SEG56]]&gt;0,CABLES[[#This Row],[CABLE_MASS]],0)</f>
        <v>0</v>
      </c>
      <c r="IK85" s="14">
        <f>IF(CABLES[[#This Row],[SEG57]]&gt;0,CABLES[[#This Row],[CABLE_MASS]],0)</f>
        <v>0</v>
      </c>
      <c r="IL85" s="14">
        <f>IF(CABLES[[#This Row],[SEG58]]&gt;0,CABLES[[#This Row],[CABLE_MASS]],0)</f>
        <v>0</v>
      </c>
      <c r="IM85" s="14">
        <f>IF(CABLES[[#This Row],[SEG59]]&gt;0,CABLES[[#This Row],[CABLE_MASS]],0)</f>
        <v>0</v>
      </c>
      <c r="IN85" s="14">
        <f>IF(CABLES[[#This Row],[SEG60]]&gt;0,CABLES[[#This Row],[CABLE_MASS]],0)</f>
        <v>0</v>
      </c>
      <c r="IO85" s="14">
        <f xml:space="preserve">  (CABLES[[#This Row],[LOAD_KW]]/(SQRT(3)*SYSTEM_VOLTAGE*POWER_FACTOR))*1000</f>
        <v>1.7641258225238565</v>
      </c>
      <c r="IP85" s="14">
        <v>45</v>
      </c>
      <c r="IQ85" s="14">
        <f xml:space="preserve"> INDEX(AS3000_AMBIENTDERATE[], MATCH(CABLES[[#This Row],[AMBIENT]],AS3000_AMBIENTDERATE[AMBIENT],0), 2)</f>
        <v>0.94</v>
      </c>
      <c r="IR85" s="14">
        <f xml:space="preserve"> ROUNDUP( CABLES[[#This Row],[CALCULATED_AMPS]]/CABLES[[#This Row],[AMBIENT_DERATING]],1)</f>
        <v>1.9000000000000001</v>
      </c>
      <c r="IS85" s="14" t="s">
        <v>531</v>
      </c>
      <c r="IT85" s="14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5" s="14">
        <f>SYSTEM_VOLTAGE * MAX_VDROP_PERCENT</f>
        <v>28.000000000000004</v>
      </c>
      <c r="IV85" s="14">
        <f>(1000*CABLES[[#This Row],[MAX_VDROP]])/(CABLES[[#This Row],[ESTIMATED_CABLE_LENGTH]]*CABLES[[#This Row],[AMP_RATING]])</f>
        <v>231.71135385633897</v>
      </c>
      <c r="IW85" s="14">
        <f xml:space="preserve"> INDEX(AS3000_VDROP[], MATCH(CABLES[[#This Row],[VC_CALC]],AS3000_VDROP[Vc],1),1)</f>
        <v>2.5</v>
      </c>
      <c r="IX85" s="14">
        <f>MAX(CABLES[[#This Row],[CABLESIZE_METHOD1]],CABLES[[#This Row],[CABLESIZE_METHOD2]])</f>
        <v>2.5</v>
      </c>
      <c r="IY85" s="14"/>
      <c r="IZ85" s="14">
        <f>IF(LEN(CABLES[[#This Row],[OVERRIDE_CABLESIZE]])&gt;0,CABLES[[#This Row],[OVERRIDE_CABLESIZE]],CABLES[[#This Row],[INITIAL_CABLESIZE]])</f>
        <v>2.5</v>
      </c>
      <c r="JA85" s="14">
        <f>INDEX(PROTECTIVE_DEVICE[DEVICE], MATCH(CABLES[[#This Row],[CALCULATED_AMPS]],PROTECTIVE_DEVICE[DEVICE],-1),1)</f>
        <v>6</v>
      </c>
      <c r="JB85" s="14"/>
      <c r="JC85" s="14">
        <f>IF(LEN(CABLES[[#This Row],[OVERRIDE_PDEVICE]])&gt;0, CABLES[[#This Row],[OVERRIDE_PDEVICE]],CABLES[[#This Row],[RECOMMEND_PDEVICE]])</f>
        <v>6</v>
      </c>
      <c r="JD85" s="14" t="s">
        <v>450</v>
      </c>
      <c r="JE85" s="14">
        <f xml:space="preserve"> CABLES[[#This Row],[SELECTED_PDEVICE]] * INDEX(DEVICE_CURVE[], MATCH(CABLES[[#This Row],[PDEVICE_CURVE]], DEVICE_CURVE[DEVICE_CURVE],0),2)</f>
        <v>39</v>
      </c>
      <c r="JF85" s="14" t="s">
        <v>458</v>
      </c>
      <c r="JG85" s="14">
        <f xml:space="preserve"> INDEX(CONDUCTOR_MATERIAL[], MATCH(CABLES[[#This Row],[CONDUCTOR_MATERIAL]],CONDUCTOR_MATERIAL[CONDUCTOR_MATERIAL],0),2)</f>
        <v>2.2499999999999999E-2</v>
      </c>
      <c r="JH85" s="14">
        <f>CABLES[[#This Row],[SELECTED_CABLESIZE]]</f>
        <v>2.5</v>
      </c>
      <c r="JI85" s="14">
        <f xml:space="preserve"> INDEX( EARTH_CONDUCTOR_SIZE[], MATCH(CABLES[[#This Row],[SPH]],EARTH_CONDUCTOR_SIZE[MM^2],-1), 2)</f>
        <v>2.5</v>
      </c>
      <c r="JJ85" s="14">
        <f>(0.8*PHASE_VOLTAGE*CABLES[[#This Row],[SPH]]*CABLES[[#This Row],[SPE]])/(CABLES[[#This Row],[PDEVICE_IA]]*CABLES[[#This Row],[MATERIAL_CONSTANT]]*(CABLES[[#This Row],[SPH]]+CABLES[[#This Row],[SPE]]))</f>
        <v>262.10826210826212</v>
      </c>
      <c r="JK85" s="14" t="str">
        <f>IF(CABLES[[#This Row],[LMAX]]&gt;CABLES[[#This Row],[ESTIMATED_CABLE_LENGTH]], "PASS", "ERROR")</f>
        <v>PASS</v>
      </c>
      <c r="JL85" s="1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14.5</v>
      </c>
      <c r="JM85" s="1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0.33</v>
      </c>
      <c r="JN85" s="16">
        <f xml:space="preserve"> ROUNDUP( CABLES[[#This Row],[CALCULATED_AMPS]],1)</f>
        <v>1.8</v>
      </c>
      <c r="JO85" s="16">
        <f>CABLES[[#This Row],[SELECTED_CABLESIZE]]</f>
        <v>2.5</v>
      </c>
      <c r="JP85" s="14">
        <f>CABLES[[#This Row],[ESTIMATED_CABLE_LENGTH]]</f>
        <v>63.599999999999994</v>
      </c>
      <c r="JQ85" s="16">
        <f>CABLES[[#This Row],[SELECTED_PDEVICE]]</f>
        <v>6</v>
      </c>
    </row>
    <row r="86" spans="1:277" x14ac:dyDescent="0.35">
      <c r="A86" s="13" t="s">
        <v>545</v>
      </c>
      <c r="B86" s="13" t="s">
        <v>546</v>
      </c>
      <c r="C86" s="14" t="s">
        <v>262</v>
      </c>
      <c r="D86" s="15">
        <v>0.37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1</v>
      </c>
      <c r="AI86" s="13">
        <v>1</v>
      </c>
      <c r="AJ86" s="13">
        <v>1</v>
      </c>
      <c r="AK86" s="13">
        <v>0</v>
      </c>
      <c r="AL86" s="13">
        <v>1</v>
      </c>
      <c r="AM86" s="13">
        <v>1</v>
      </c>
      <c r="AN86" s="13">
        <v>1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5">
        <f xml:space="preserve"> IF(CABLES[[#This Row],[SEG1]] &gt;0, INDEX(SEGMENTS[], MATCH(CABLES[[#Headers],[SEG1]],SEGMENTS[SEG_ID],0),4),0)</f>
        <v>0</v>
      </c>
      <c r="BN86" s="14">
        <f xml:space="preserve"> IF(CABLES[[#This Row],[SEG2]] &gt;0, INDEX(SEGMENTS[], MATCH(CABLES[[#Headers],[SEG2]],SEGMENTS[SEG_ID],0),4),0)</f>
        <v>0</v>
      </c>
      <c r="BO86" s="14">
        <f xml:space="preserve"> IF(CABLES[[#This Row],[SEG3]] &gt;0, INDEX(SEGMENTS[], MATCH(CABLES[[#Headers],[SEG3]],SEGMENTS[SEG_ID],0),4),0)</f>
        <v>0</v>
      </c>
      <c r="BP86" s="14">
        <f xml:space="preserve"> IF(CABLES[[#This Row],[SEG4]] &gt;0, INDEX(SEGMENTS[], MATCH(CABLES[[#Headers],[SEG4]],SEGMENTS[SEG_ID],0),4),0)</f>
        <v>0</v>
      </c>
      <c r="BQ86" s="14">
        <f xml:space="preserve"> IF(CABLES[[#This Row],[SEG5]] &gt;0,INDEX(SEGMENTS[], MATCH(CABLES[[#Headers],[SEG5]],SEGMENTS[SEG_ID],0),4),0)</f>
        <v>0</v>
      </c>
      <c r="BR86" s="14">
        <f xml:space="preserve"> IF(CABLES[[#This Row],[SEG6]] &gt;0,INDEX(SEGMENTS[], MATCH(CABLES[[#Headers],[SEG6]],SEGMENTS[SEG_ID],0),4),0)</f>
        <v>0</v>
      </c>
      <c r="BS86" s="14">
        <f xml:space="preserve"> IF(CABLES[[#This Row],[SEG7]] &gt;0,INDEX(SEGMENTS[], MATCH(CABLES[[#Headers],[SEG7]],SEGMENTS[SEG_ID],0),4),0)</f>
        <v>0</v>
      </c>
      <c r="BT86" s="14">
        <f xml:space="preserve"> IF(CABLES[[#This Row],[SEG8]] &gt;0,INDEX(SEGMENTS[], MATCH(CABLES[[#Headers],[SEG8]],SEGMENTS[SEG_ID],0),4),0)</f>
        <v>0</v>
      </c>
      <c r="BU86" s="14">
        <f xml:space="preserve"> IF(CABLES[[#This Row],[SEG9]] &gt;0,INDEX(SEGMENTS[], MATCH(CABLES[[#Headers],[SEG9]],SEGMENTS[SEG_ID],0),4),0)</f>
        <v>0</v>
      </c>
      <c r="BV86" s="14">
        <f xml:space="preserve"> IF(CABLES[[#This Row],[SEG10]] &gt;0,INDEX(SEGMENTS[], MATCH(CABLES[[#Headers],[SEG10]],SEGMENTS[SEG_ID],0),4),0)</f>
        <v>0</v>
      </c>
      <c r="BW86" s="14">
        <f xml:space="preserve"> IF(CABLES[[#This Row],[SEG11]] &gt;0,INDEX(SEGMENTS[], MATCH(CABLES[[#Headers],[SEG11]],SEGMENTS[SEG_ID],0),4),0)</f>
        <v>0</v>
      </c>
      <c r="BX86" s="14">
        <f>IF(CABLES[[#This Row],[SEG12]] &gt;0, INDEX(SEGMENTS[], MATCH(CABLES[[#Headers],[SEG12]],SEGMENTS[SEG_ID],0),4),0)</f>
        <v>0</v>
      </c>
      <c r="BY86" s="14">
        <f xml:space="preserve"> IF(CABLES[[#This Row],[SEG13]] &gt;0,INDEX(SEGMENTS[], MATCH(CABLES[[#Headers],[SEG13]],SEGMENTS[SEG_ID],0),4),0)</f>
        <v>0</v>
      </c>
      <c r="BZ86" s="14">
        <f xml:space="preserve"> IF(CABLES[[#This Row],[SEG14]] &gt;0,INDEX(SEGMENTS[], MATCH(CABLES[[#Headers],[SEG14]],SEGMENTS[SEG_ID],0),4),0)</f>
        <v>0</v>
      </c>
      <c r="CA86" s="14">
        <f xml:space="preserve"> IF(CABLES[[#This Row],[SEG15]] &gt;0,INDEX(SEGMENTS[], MATCH(CABLES[[#Headers],[SEG15]],SEGMENTS[SEG_ID],0),4),0)</f>
        <v>0</v>
      </c>
      <c r="CB86" s="14">
        <f xml:space="preserve"> IF(CABLES[[#This Row],[SEG16]] &gt;0,INDEX(SEGMENTS[], MATCH(CABLES[[#Headers],[SEG16]],SEGMENTS[SEG_ID],0),4),0)</f>
        <v>0</v>
      </c>
      <c r="CC86" s="14">
        <f xml:space="preserve"> IF(CABLES[[#This Row],[SEG17]] &gt;0,INDEX(SEGMENTS[], MATCH(CABLES[[#Headers],[SEG17]],SEGMENTS[SEG_ID],0),4),0)</f>
        <v>0</v>
      </c>
      <c r="CD86" s="14">
        <f xml:space="preserve"> IF(CABLES[[#This Row],[SEG18]] &gt;0,INDEX(SEGMENTS[], MATCH(CABLES[[#Headers],[SEG18]],SEGMENTS[SEG_ID],0),4),0)</f>
        <v>0</v>
      </c>
      <c r="CE86" s="14">
        <f>IF(CABLES[[#This Row],[SEG19]] &gt;0, INDEX(SEGMENTS[], MATCH(CABLES[[#Headers],[SEG19]],SEGMENTS[SEG_ID],0),4),0)</f>
        <v>0</v>
      </c>
      <c r="CF86" s="14">
        <f>IF(CABLES[[#This Row],[SEG20]] &gt;0, INDEX(SEGMENTS[], MATCH(CABLES[[#Headers],[SEG20]],SEGMENTS[SEG_ID],0),4),0)</f>
        <v>0</v>
      </c>
      <c r="CG86" s="14">
        <f xml:space="preserve"> IF(CABLES[[#This Row],[SEG21]] &gt;0,INDEX(SEGMENTS[], MATCH(CABLES[[#Headers],[SEG21]],SEGMENTS[SEG_ID],0),4),0)</f>
        <v>0</v>
      </c>
      <c r="CH86" s="14">
        <f xml:space="preserve"> IF(CABLES[[#This Row],[SEG22]] &gt;0,INDEX(SEGMENTS[], MATCH(CABLES[[#Headers],[SEG22]],SEGMENTS[SEG_ID],0),4),0)</f>
        <v>0</v>
      </c>
      <c r="CI86" s="14">
        <f>IF(CABLES[[#This Row],[SEG23]] &gt;0, INDEX(SEGMENTS[], MATCH(CABLES[[#Headers],[SEG23]],SEGMENTS[SEG_ID],0),4),0)</f>
        <v>0</v>
      </c>
      <c r="CJ86" s="14">
        <f xml:space="preserve"> IF(CABLES[[#This Row],[SEG24]] &gt;0,INDEX(SEGMENTS[], MATCH(CABLES[[#Headers],[SEG24]],SEGMENTS[SEG_ID],0),4),0)</f>
        <v>0</v>
      </c>
      <c r="CK86" s="14">
        <f>IF(CABLES[[#This Row],[SEG25]] &gt;0, INDEX(SEGMENTS[], MATCH(CABLES[[#Headers],[SEG25]],SEGMENTS[SEG_ID],0),4),0)</f>
        <v>0</v>
      </c>
      <c r="CL86" s="14">
        <f>IF(CABLES[[#This Row],[SEG26]] &gt;0, INDEX(SEGMENTS[], MATCH(CABLES[[#Headers],[SEG26]],SEGMENTS[SEG_ID],0),4),0)</f>
        <v>0</v>
      </c>
      <c r="CM86" s="14">
        <f xml:space="preserve"> IF(CABLES[[#This Row],[SEG27]] &gt;0,INDEX(SEGMENTS[], MATCH(CABLES[[#Headers],[SEG27]],SEGMENTS[SEG_ID],0),4),0)</f>
        <v>0</v>
      </c>
      <c r="CN86" s="14">
        <f xml:space="preserve"> IF(CABLES[[#This Row],[SEG28]] &gt;0,INDEX(SEGMENTS[], MATCH(CABLES[[#Headers],[SEG28]],SEGMENTS[SEG_ID],0),4),0)</f>
        <v>0</v>
      </c>
      <c r="CO86" s="14">
        <f xml:space="preserve"> IF(CABLES[[#This Row],[SEG29]] &gt;0,INDEX(SEGMENTS[], MATCH(CABLES[[#Headers],[SEG29]],SEGMENTS[SEG_ID],0),4),0)</f>
        <v>0</v>
      </c>
      <c r="CP86" s="14">
        <f xml:space="preserve"> IF(CABLES[[#This Row],[SEG30]] &gt;0,INDEX(SEGMENTS[], MATCH(CABLES[[#Headers],[SEG30]],SEGMENTS[SEG_ID],0),4),0)</f>
        <v>6</v>
      </c>
      <c r="CQ86" s="14">
        <f>IF(CABLES[[#This Row],[SEG31]] &gt;0, INDEX(SEGMENTS[], MATCH(CABLES[[#Headers],[SEG31]],SEGMENTS[SEG_ID],0),4),0)</f>
        <v>3</v>
      </c>
      <c r="CR86" s="14">
        <f xml:space="preserve"> IF(CABLES[[#This Row],[SEG32]] &gt;0,INDEX(SEGMENTS[], MATCH(CABLES[[#Headers],[SEG32]],SEGMENTS[SEG_ID],0),4),0)</f>
        <v>5</v>
      </c>
      <c r="CS86" s="14">
        <f xml:space="preserve"> IF(CABLES[[#This Row],[SEG33]] &gt;0,INDEX(SEGMENTS[], MATCH(CABLES[[#Headers],[SEG33]],SEGMENTS[SEG_ID],0),4),0)</f>
        <v>0</v>
      </c>
      <c r="CT86" s="14">
        <f>IF(CABLES[[#This Row],[SEG34]] &gt;0, INDEX(SEGMENTS[], MATCH(CABLES[[#Headers],[SEG34]],SEGMENTS[SEG_ID],0),4),0)</f>
        <v>7</v>
      </c>
      <c r="CU86" s="14">
        <f xml:space="preserve"> IF(CABLES[[#This Row],[SEG35]] &gt;0,INDEX(SEGMENTS[], MATCH(CABLES[[#Headers],[SEG35]],SEGMENTS[SEG_ID],0),4),0)</f>
        <v>7</v>
      </c>
      <c r="CV86" s="14">
        <f xml:space="preserve"> IF(CABLES[[#This Row],[SEG36]] &gt;0,INDEX(SEGMENTS[], MATCH(CABLES[[#Headers],[SEG36]],SEGMENTS[SEG_ID],0),4),0)</f>
        <v>9</v>
      </c>
      <c r="CW86" s="14">
        <f xml:space="preserve"> IF(CABLES[[#This Row],[SEG37]] &gt;0,INDEX(SEGMENTS[], MATCH(CABLES[[#Headers],[SEG37]],SEGMENTS[SEG_ID],0),4),0)</f>
        <v>0</v>
      </c>
      <c r="CX86" s="14">
        <f xml:space="preserve"> IF(CABLES[[#This Row],[SEG38]] &gt;0,INDEX(SEGMENTS[], MATCH(CABLES[[#Headers],[SEG38]],SEGMENTS[SEG_ID],0),4),0)</f>
        <v>0</v>
      </c>
      <c r="CY86" s="14">
        <f xml:space="preserve"> IF(CABLES[[#This Row],[SEG39]] &gt;0,INDEX(SEGMENTS[], MATCH(CABLES[[#Headers],[SEG39]],SEGMENTS[SEG_ID],0),4),0)</f>
        <v>0</v>
      </c>
      <c r="CZ86" s="14">
        <f xml:space="preserve"> IF(CABLES[[#This Row],[SEG40]] &gt;0,INDEX(SEGMENTS[], MATCH(CABLES[[#Headers],[SEG40]],SEGMENTS[SEG_ID],0),4),0)</f>
        <v>0</v>
      </c>
      <c r="DA86" s="14">
        <f xml:space="preserve"> IF(CABLES[[#This Row],[SEG41]] &gt;0,INDEX(SEGMENTS[], MATCH(CABLES[[#Headers],[SEG41]],SEGMENTS[SEG_ID],0),4),0)</f>
        <v>0</v>
      </c>
      <c r="DB86" s="14">
        <f xml:space="preserve"> IF(CABLES[[#This Row],[SEG42]] &gt;0,INDEX(SEGMENTS[], MATCH(CABLES[[#Headers],[SEG42]],SEGMENTS[SEG_ID],0),4),0)</f>
        <v>0</v>
      </c>
      <c r="DC86" s="14">
        <f xml:space="preserve"> IF(CABLES[[#This Row],[SEG43]] &gt;0,INDEX(SEGMENTS[], MATCH(CABLES[[#Headers],[SEG43]],SEGMENTS[SEG_ID],0),4),0)</f>
        <v>0</v>
      </c>
      <c r="DD86" s="14">
        <f xml:space="preserve"> IF(CABLES[[#This Row],[SEG44]] &gt;0,INDEX(SEGMENTS[], MATCH(CABLES[[#Headers],[SEG44]],SEGMENTS[SEG_ID],0),4),0)</f>
        <v>0</v>
      </c>
      <c r="DE86" s="14">
        <f xml:space="preserve"> IF(CABLES[[#This Row],[SEG45]] &gt;0,INDEX(SEGMENTS[], MATCH(CABLES[[#Headers],[SEG45]],SEGMENTS[SEG_ID],0),4),0)</f>
        <v>0</v>
      </c>
      <c r="DF86" s="14">
        <f xml:space="preserve"> IF(CABLES[[#This Row],[SEG46]] &gt;0,INDEX(SEGMENTS[], MATCH(CABLES[[#Headers],[SEG46]],SEGMENTS[SEG_ID],0),4),0)</f>
        <v>0</v>
      </c>
      <c r="DG86" s="14">
        <f xml:space="preserve"> IF(CABLES[[#This Row],[SEG47]] &gt;0,INDEX(SEGMENTS[], MATCH(CABLES[[#Headers],[SEG47]],SEGMENTS[SEG_ID],0),4),0)</f>
        <v>0</v>
      </c>
      <c r="DH86" s="14">
        <f xml:space="preserve"> IF(CABLES[[#This Row],[SEG48]] &gt;0,INDEX(SEGMENTS[], MATCH(CABLES[[#Headers],[SEG48]],SEGMENTS[SEG_ID],0),4),0)</f>
        <v>0</v>
      </c>
      <c r="DI86" s="14">
        <f xml:space="preserve"> IF(CABLES[[#This Row],[SEG49]] &gt;0,INDEX(SEGMENTS[], MATCH(CABLES[[#Headers],[SEG49]],SEGMENTS[SEG_ID],0),4),0)</f>
        <v>0</v>
      </c>
      <c r="DJ86" s="14">
        <f xml:space="preserve"> IF(CABLES[[#This Row],[SEG50]] &gt;0,INDEX(SEGMENTS[], MATCH(CABLES[[#Headers],[SEG50]],SEGMENTS[SEG_ID],0),4),0)</f>
        <v>0</v>
      </c>
      <c r="DK86" s="14">
        <f xml:space="preserve"> IF(CABLES[[#This Row],[SEG51]] &gt;0,INDEX(SEGMENTS[], MATCH(CABLES[[#Headers],[SEG51]],SEGMENTS[SEG_ID],0),4),0)</f>
        <v>0</v>
      </c>
      <c r="DL86" s="14">
        <f xml:space="preserve"> IF(CABLES[[#This Row],[SEG52]] &gt;0,INDEX(SEGMENTS[], MATCH(CABLES[[#Headers],[SEG52]],SEGMENTS[SEG_ID],0),4),0)</f>
        <v>0</v>
      </c>
      <c r="DM86" s="14">
        <f xml:space="preserve"> IF(CABLES[[#This Row],[SEG53]] &gt;0,INDEX(SEGMENTS[], MATCH(CABLES[[#Headers],[SEG53]],SEGMENTS[SEG_ID],0),4),0)</f>
        <v>0</v>
      </c>
      <c r="DN86" s="14">
        <f xml:space="preserve"> IF(CABLES[[#This Row],[SEG54]] &gt;0,INDEX(SEGMENTS[], MATCH(CABLES[[#Headers],[SEG54]],SEGMENTS[SEG_ID],0),4),0)</f>
        <v>0</v>
      </c>
      <c r="DO86" s="14">
        <f xml:space="preserve"> IF(CABLES[[#This Row],[SEG55]] &gt;0,INDEX(SEGMENTS[], MATCH(CABLES[[#Headers],[SEG55]],SEGMENTS[SEG_ID],0),4),0)</f>
        <v>0</v>
      </c>
      <c r="DP86" s="14">
        <f xml:space="preserve"> IF(CABLES[[#This Row],[SEG56]] &gt;0,INDEX(SEGMENTS[], MATCH(CABLES[[#Headers],[SEG56]],SEGMENTS[SEG_ID],0),4),0)</f>
        <v>0</v>
      </c>
      <c r="DQ86" s="14">
        <f xml:space="preserve"> IF(CABLES[[#This Row],[SEG57]] &gt;0,INDEX(SEGMENTS[], MATCH(CABLES[[#Headers],[SEG57]],SEGMENTS[SEG_ID],0),4),0)</f>
        <v>0</v>
      </c>
      <c r="DR86" s="14">
        <f xml:space="preserve"> IF(CABLES[[#This Row],[SEG58]] &gt;0,INDEX(SEGMENTS[], MATCH(CABLES[[#Headers],[SEG58]],SEGMENTS[SEG_ID],0),4),0)</f>
        <v>0</v>
      </c>
      <c r="DS86" s="14">
        <f xml:space="preserve"> IF(CABLES[[#This Row],[SEG59]] &gt;0,INDEX(SEGMENTS[], MATCH(CABLES[[#Headers],[SEG59]],SEGMENTS[SEG_ID],0),4),0)</f>
        <v>0</v>
      </c>
      <c r="DT86" s="14">
        <f xml:space="preserve"> IF(CABLES[[#This Row],[SEG60]] &gt;0,INDEX(SEGMENTS[], MATCH(CABLES[[#Headers],[SEG60]],SEGMENTS[SEG_ID],0),4),0)</f>
        <v>0</v>
      </c>
      <c r="DU86" s="14">
        <f>SUM(CABLES[[#This Row],[SEGL1]:[SEGL60]])</f>
        <v>37</v>
      </c>
      <c r="DV86" s="14">
        <v>5</v>
      </c>
      <c r="DW86" s="14">
        <v>1.2</v>
      </c>
      <c r="DX86" s="14">
        <f xml:space="preserve"> IF(CABLES[[#This Row],[SEGL_TOTAL]]&gt;0, (CABLES[[#This Row],[SEGL_TOTAL]] + CABLES[[#This Row],[FITOFF]]) *CABLES[[#This Row],[XCAPACITY]],0)</f>
        <v>50.4</v>
      </c>
      <c r="DY86" s="14">
        <f>IF(CABLES[[#This Row],[SEG1]]&gt;0,CABLES[[#This Row],[CABLE_DIAMETER]],0)</f>
        <v>0</v>
      </c>
      <c r="DZ86" s="14">
        <f>IF(CABLES[[#This Row],[SEG2]]&gt;0,CABLES[[#This Row],[CABLE_DIAMETER]],0)</f>
        <v>0</v>
      </c>
      <c r="EA86" s="14">
        <f>IF(CABLES[[#This Row],[SEG3]]&gt;0,CABLES[[#This Row],[CABLE_DIAMETER]],0)</f>
        <v>0</v>
      </c>
      <c r="EB86" s="14">
        <f>IF(CABLES[[#This Row],[SEG4]]&gt;0,CABLES[[#This Row],[CABLE_DIAMETER]],0)</f>
        <v>0</v>
      </c>
      <c r="EC86" s="14">
        <f>IF(CABLES[[#This Row],[SEG5]]&gt;0,CABLES[[#This Row],[CABLE_DIAMETER]],0)</f>
        <v>0</v>
      </c>
      <c r="ED86" s="14">
        <f>IF(CABLES[[#This Row],[SEG6]]&gt;0,CABLES[[#This Row],[CABLE_DIAMETER]],0)</f>
        <v>0</v>
      </c>
      <c r="EE86" s="14">
        <f>IF(CABLES[[#This Row],[SEG7]]&gt;0,CABLES[[#This Row],[CABLE_DIAMETER]],0)</f>
        <v>0</v>
      </c>
      <c r="EF86" s="14">
        <f>IF(CABLES[[#This Row],[SEG9]]&gt;0,CABLES[[#This Row],[CABLE_DIAMETER]],0)</f>
        <v>0</v>
      </c>
      <c r="EG86" s="14">
        <f>IF(CABLES[[#This Row],[SEG9]]&gt;0,CABLES[[#This Row],[CABLE_DIAMETER]],0)</f>
        <v>0</v>
      </c>
      <c r="EH86" s="14">
        <f>IF(CABLES[[#This Row],[SEG10]]&gt;0,CABLES[[#This Row],[CABLE_DIAMETER]],0)</f>
        <v>0</v>
      </c>
      <c r="EI86" s="14">
        <f>IF(CABLES[[#This Row],[SEG11]]&gt;0,CABLES[[#This Row],[CABLE_DIAMETER]],0)</f>
        <v>0</v>
      </c>
      <c r="EJ86" s="14">
        <f>IF(CABLES[[#This Row],[SEG12]]&gt;0,CABLES[[#This Row],[CABLE_DIAMETER]],0)</f>
        <v>0</v>
      </c>
      <c r="EK86" s="14">
        <f>IF(CABLES[[#This Row],[SEG13]]&gt;0,CABLES[[#This Row],[CABLE_DIAMETER]],0)</f>
        <v>0</v>
      </c>
      <c r="EL86" s="14">
        <f>IF(CABLES[[#This Row],[SEG14]]&gt;0,CABLES[[#This Row],[CABLE_DIAMETER]],0)</f>
        <v>0</v>
      </c>
      <c r="EM86" s="14">
        <f>IF(CABLES[[#This Row],[SEG15]]&gt;0,CABLES[[#This Row],[CABLE_DIAMETER]],0)</f>
        <v>0</v>
      </c>
      <c r="EN86" s="14">
        <f>IF(CABLES[[#This Row],[SEG16]]&gt;0,CABLES[[#This Row],[CABLE_DIAMETER]],0)</f>
        <v>0</v>
      </c>
      <c r="EO86" s="14">
        <f>IF(CABLES[[#This Row],[SEG17]]&gt;0,CABLES[[#This Row],[CABLE_DIAMETER]],0)</f>
        <v>0</v>
      </c>
      <c r="EP86" s="14">
        <f>IF(CABLES[[#This Row],[SEG18]]&gt;0,CABLES[[#This Row],[CABLE_DIAMETER]],0)</f>
        <v>0</v>
      </c>
      <c r="EQ86" s="14">
        <f>IF(CABLES[[#This Row],[SEG19]]&gt;0,CABLES[[#This Row],[CABLE_DIAMETER]],0)</f>
        <v>0</v>
      </c>
      <c r="ER86" s="14">
        <f>IF(CABLES[[#This Row],[SEG20]]&gt;0,CABLES[[#This Row],[CABLE_DIAMETER]],0)</f>
        <v>0</v>
      </c>
      <c r="ES86" s="14">
        <f>IF(CABLES[[#This Row],[SEG21]]&gt;0,CABLES[[#This Row],[CABLE_DIAMETER]],0)</f>
        <v>0</v>
      </c>
      <c r="ET86" s="14">
        <f>IF(CABLES[[#This Row],[SEG22]]&gt;0,CABLES[[#This Row],[CABLE_DIAMETER]],0)</f>
        <v>0</v>
      </c>
      <c r="EU86" s="14">
        <f>IF(CABLES[[#This Row],[SEG23]]&gt;0,CABLES[[#This Row],[CABLE_DIAMETER]],0)</f>
        <v>0</v>
      </c>
      <c r="EV86" s="14">
        <f>IF(CABLES[[#This Row],[SEG24]]&gt;0,CABLES[[#This Row],[CABLE_DIAMETER]],0)</f>
        <v>0</v>
      </c>
      <c r="EW86" s="14">
        <f>IF(CABLES[[#This Row],[SEG25]]&gt;0,CABLES[[#This Row],[CABLE_DIAMETER]],0)</f>
        <v>0</v>
      </c>
      <c r="EX86" s="14">
        <f>IF(CABLES[[#This Row],[SEG26]]&gt;0,CABLES[[#This Row],[CABLE_DIAMETER]],0)</f>
        <v>0</v>
      </c>
      <c r="EY86" s="14">
        <f>IF(CABLES[[#This Row],[SEG27]]&gt;0,CABLES[[#This Row],[CABLE_DIAMETER]],0)</f>
        <v>0</v>
      </c>
      <c r="EZ86" s="14">
        <f>IF(CABLES[[#This Row],[SEG28]]&gt;0,CABLES[[#This Row],[CABLE_DIAMETER]],0)</f>
        <v>0</v>
      </c>
      <c r="FA86" s="14">
        <f>IF(CABLES[[#This Row],[SEG29]]&gt;0,CABLES[[#This Row],[CABLE_DIAMETER]],0)</f>
        <v>0</v>
      </c>
      <c r="FB86" s="14">
        <f>IF(CABLES[[#This Row],[SEG30]]&gt;0,CABLES[[#This Row],[CABLE_DIAMETER]],0)</f>
        <v>12</v>
      </c>
      <c r="FC86" s="14">
        <f>IF(CABLES[[#This Row],[SEG31]]&gt;0,CABLES[[#This Row],[CABLE_DIAMETER]],0)</f>
        <v>12</v>
      </c>
      <c r="FD86" s="14">
        <f>IF(CABLES[[#This Row],[SEG32]]&gt;0,CABLES[[#This Row],[CABLE_DIAMETER]],0)</f>
        <v>12</v>
      </c>
      <c r="FE86" s="14">
        <f>IF(CABLES[[#This Row],[SEG33]]&gt;0,CABLES[[#This Row],[CABLE_DIAMETER]],0)</f>
        <v>0</v>
      </c>
      <c r="FF86" s="14">
        <f>IF(CABLES[[#This Row],[SEG34]]&gt;0,CABLES[[#This Row],[CABLE_DIAMETER]],0)</f>
        <v>12</v>
      </c>
      <c r="FG86" s="14">
        <f>IF(CABLES[[#This Row],[SEG35]]&gt;0,CABLES[[#This Row],[CABLE_DIAMETER]],0)</f>
        <v>12</v>
      </c>
      <c r="FH86" s="14">
        <f>IF(CABLES[[#This Row],[SEG36]]&gt;0,CABLES[[#This Row],[CABLE_DIAMETER]],0)</f>
        <v>12</v>
      </c>
      <c r="FI86" s="14">
        <f>IF(CABLES[[#This Row],[SEG37]]&gt;0,CABLES[[#This Row],[CABLE_DIAMETER]],0)</f>
        <v>0</v>
      </c>
      <c r="FJ86" s="14">
        <f>IF(CABLES[[#This Row],[SEG38]]&gt;0,CABLES[[#This Row],[CABLE_DIAMETER]],0)</f>
        <v>0</v>
      </c>
      <c r="FK86" s="14">
        <f>IF(CABLES[[#This Row],[SEG39]]&gt;0,CABLES[[#This Row],[CABLE_DIAMETER]],0)</f>
        <v>0</v>
      </c>
      <c r="FL86" s="14">
        <f>IF(CABLES[[#This Row],[SEG40]]&gt;0,CABLES[[#This Row],[CABLE_DIAMETER]],0)</f>
        <v>0</v>
      </c>
      <c r="FM86" s="14">
        <f>IF(CABLES[[#This Row],[SEG41]]&gt;0,CABLES[[#This Row],[CABLE_DIAMETER]],0)</f>
        <v>0</v>
      </c>
      <c r="FN86" s="14">
        <f>IF(CABLES[[#This Row],[SEG42]]&gt;0,CABLES[[#This Row],[CABLE_DIAMETER]],0)</f>
        <v>0</v>
      </c>
      <c r="FO86" s="14">
        <f>IF(CABLES[[#This Row],[SEG43]]&gt;0,CABLES[[#This Row],[CABLE_DIAMETER]],0)</f>
        <v>0</v>
      </c>
      <c r="FP86" s="14">
        <f>IF(CABLES[[#This Row],[SEG44]]&gt;0,CABLES[[#This Row],[CABLE_DIAMETER]],0)</f>
        <v>0</v>
      </c>
      <c r="FQ86" s="14">
        <f>IF(CABLES[[#This Row],[SEG45]]&gt;0,CABLES[[#This Row],[CABLE_DIAMETER]],0)</f>
        <v>0</v>
      </c>
      <c r="FR86" s="14">
        <f>IF(CABLES[[#This Row],[SEG46]]&gt;0,CABLES[[#This Row],[CABLE_DIAMETER]],0)</f>
        <v>0</v>
      </c>
      <c r="FS86" s="14">
        <f>IF(CABLES[[#This Row],[SEG47]]&gt;0,CABLES[[#This Row],[CABLE_DIAMETER]],0)</f>
        <v>0</v>
      </c>
      <c r="FT86" s="14">
        <f>IF(CABLES[[#This Row],[SEG48]]&gt;0,CABLES[[#This Row],[CABLE_DIAMETER]],0)</f>
        <v>0</v>
      </c>
      <c r="FU86" s="14">
        <f>IF(CABLES[[#This Row],[SEG49]]&gt;0,CABLES[[#This Row],[CABLE_DIAMETER]],0)</f>
        <v>0</v>
      </c>
      <c r="FV86" s="14">
        <f>IF(CABLES[[#This Row],[SEG50]]&gt;0,CABLES[[#This Row],[CABLE_DIAMETER]],0)</f>
        <v>0</v>
      </c>
      <c r="FW86" s="14">
        <f>IF(CABLES[[#This Row],[SEG51]]&gt;0,CABLES[[#This Row],[CABLE_DIAMETER]],0)</f>
        <v>0</v>
      </c>
      <c r="FX86" s="14">
        <f>IF(CABLES[[#This Row],[SEG52]]&gt;0,CABLES[[#This Row],[CABLE_DIAMETER]],0)</f>
        <v>0</v>
      </c>
      <c r="FY86" s="14">
        <f>IF(CABLES[[#This Row],[SEG53]]&gt;0,CABLES[[#This Row],[CABLE_DIAMETER]],0)</f>
        <v>0</v>
      </c>
      <c r="FZ86" s="14">
        <f>IF(CABLES[[#This Row],[SEG54]]&gt;0,CABLES[[#This Row],[CABLE_DIAMETER]],0)</f>
        <v>0</v>
      </c>
      <c r="GA86" s="14">
        <f>IF(CABLES[[#This Row],[SEG55]]&gt;0,CABLES[[#This Row],[CABLE_DIAMETER]],0)</f>
        <v>0</v>
      </c>
      <c r="GB86" s="14">
        <f>IF(CABLES[[#This Row],[SEG56]]&gt;0,CABLES[[#This Row],[CABLE_DIAMETER]],0)</f>
        <v>0</v>
      </c>
      <c r="GC86" s="14">
        <f>IF(CABLES[[#This Row],[SEG57]]&gt;0,CABLES[[#This Row],[CABLE_DIAMETER]],0)</f>
        <v>0</v>
      </c>
      <c r="GD86" s="14">
        <f>IF(CABLES[[#This Row],[SEG58]]&gt;0,CABLES[[#This Row],[CABLE_DIAMETER]],0)</f>
        <v>0</v>
      </c>
      <c r="GE86" s="14">
        <f>IF(CABLES[[#This Row],[SEG59]]&gt;0,CABLES[[#This Row],[CABLE_DIAMETER]],0)</f>
        <v>0</v>
      </c>
      <c r="GF86" s="14">
        <f>IF(CABLES[[#This Row],[SEG60]]&gt;0,CABLES[[#This Row],[CABLE_DIAMETER]],0)</f>
        <v>0</v>
      </c>
      <c r="GG86" s="14">
        <f>IF(CABLES[[#This Row],[SEG1]]&gt;0,CABLES[[#This Row],[CABLE_MASS]],0)</f>
        <v>0</v>
      </c>
      <c r="GH86" s="14">
        <f>IF(CABLES[[#This Row],[SEG2]]&gt;0,CABLES[[#This Row],[CABLE_MASS]],0)</f>
        <v>0</v>
      </c>
      <c r="GI86" s="14">
        <f>IF(CABLES[[#This Row],[SEG3]]&gt;0,CABLES[[#This Row],[CABLE_MASS]],0)</f>
        <v>0</v>
      </c>
      <c r="GJ86" s="14">
        <f>IF(CABLES[[#This Row],[SEG4]]&gt;0,CABLES[[#This Row],[CABLE_MASS]],0)</f>
        <v>0</v>
      </c>
      <c r="GK86" s="14">
        <f>IF(CABLES[[#This Row],[SEG5]]&gt;0,CABLES[[#This Row],[CABLE_MASS]],0)</f>
        <v>0</v>
      </c>
      <c r="GL86" s="14">
        <f>IF(CABLES[[#This Row],[SEG6]]&gt;0,CABLES[[#This Row],[CABLE_MASS]],0)</f>
        <v>0</v>
      </c>
      <c r="GM86" s="14">
        <f>IF(CABLES[[#This Row],[SEG7]]&gt;0,CABLES[[#This Row],[CABLE_MASS]],0)</f>
        <v>0</v>
      </c>
      <c r="GN86" s="14">
        <f>IF(CABLES[[#This Row],[SEG8]]&gt;0,CABLES[[#This Row],[CABLE_MASS]],0)</f>
        <v>0</v>
      </c>
      <c r="GO86" s="14">
        <f>IF(CABLES[[#This Row],[SEG9]]&gt;0,CABLES[[#This Row],[CABLE_MASS]],0)</f>
        <v>0</v>
      </c>
      <c r="GP86" s="14">
        <f>IF(CABLES[[#This Row],[SEG10]]&gt;0,CABLES[[#This Row],[CABLE_MASS]],0)</f>
        <v>0</v>
      </c>
      <c r="GQ86" s="14">
        <f>IF(CABLES[[#This Row],[SEG11]]&gt;0,CABLES[[#This Row],[CABLE_MASS]],0)</f>
        <v>0</v>
      </c>
      <c r="GR86" s="14">
        <f>IF(CABLES[[#This Row],[SEG12]]&gt;0,CABLES[[#This Row],[CABLE_MASS]],0)</f>
        <v>0</v>
      </c>
      <c r="GS86" s="14">
        <f>IF(CABLES[[#This Row],[SEG13]]&gt;0,CABLES[[#This Row],[CABLE_MASS]],0)</f>
        <v>0</v>
      </c>
      <c r="GT86" s="14">
        <f>IF(CABLES[[#This Row],[SEG14]]&gt;0,CABLES[[#This Row],[CABLE_MASS]],0)</f>
        <v>0</v>
      </c>
      <c r="GU86" s="14">
        <f>IF(CABLES[[#This Row],[SEG15]]&gt;0,CABLES[[#This Row],[CABLE_MASS]],0)</f>
        <v>0</v>
      </c>
      <c r="GV86" s="14">
        <f>IF(CABLES[[#This Row],[SEG16]]&gt;0,CABLES[[#This Row],[CABLE_MASS]],0)</f>
        <v>0</v>
      </c>
      <c r="GW86" s="14">
        <f>IF(CABLES[[#This Row],[SEG17]]&gt;0,CABLES[[#This Row],[CABLE_MASS]],0)</f>
        <v>0</v>
      </c>
      <c r="GX86" s="14">
        <f>IF(CABLES[[#This Row],[SEG18]]&gt;0,CABLES[[#This Row],[CABLE_MASS]],0)</f>
        <v>0</v>
      </c>
      <c r="GY86" s="14">
        <f>IF(CABLES[[#This Row],[SEG19]]&gt;0,CABLES[[#This Row],[CABLE_MASS]],0)</f>
        <v>0</v>
      </c>
      <c r="GZ86" s="14">
        <f>IF(CABLES[[#This Row],[SEG20]]&gt;0,CABLES[[#This Row],[CABLE_MASS]],0)</f>
        <v>0</v>
      </c>
      <c r="HA86" s="14">
        <f>IF(CABLES[[#This Row],[SEG21]]&gt;0,CABLES[[#This Row],[CABLE_MASS]],0)</f>
        <v>0</v>
      </c>
      <c r="HB86" s="14">
        <f>IF(CABLES[[#This Row],[SEG22]]&gt;0,CABLES[[#This Row],[CABLE_MASS]],0)</f>
        <v>0</v>
      </c>
      <c r="HC86" s="14">
        <f>IF(CABLES[[#This Row],[SEG23]]&gt;0,CABLES[[#This Row],[CABLE_MASS]],0)</f>
        <v>0</v>
      </c>
      <c r="HD86" s="14">
        <f>IF(CABLES[[#This Row],[SEG24]]&gt;0,CABLES[[#This Row],[CABLE_MASS]],0)</f>
        <v>0</v>
      </c>
      <c r="HE86" s="14">
        <f>IF(CABLES[[#This Row],[SEG25]]&gt;0,CABLES[[#This Row],[CABLE_MASS]],0)</f>
        <v>0</v>
      </c>
      <c r="HF86" s="14">
        <f>IF(CABLES[[#This Row],[SEG26]]&gt;0,CABLES[[#This Row],[CABLE_MASS]],0)</f>
        <v>0</v>
      </c>
      <c r="HG86" s="14">
        <f>IF(CABLES[[#This Row],[SEG27]]&gt;0,CABLES[[#This Row],[CABLE_MASS]],0)</f>
        <v>0</v>
      </c>
      <c r="HH86" s="14">
        <f>IF(CABLES[[#This Row],[SEG28]]&gt;0,CABLES[[#This Row],[CABLE_MASS]],0)</f>
        <v>0</v>
      </c>
      <c r="HI86" s="14">
        <f>IF(CABLES[[#This Row],[SEG29]]&gt;0,CABLES[[#This Row],[CABLE_MASS]],0)</f>
        <v>0</v>
      </c>
      <c r="HJ86" s="14">
        <f>IF(CABLES[[#This Row],[SEG30]]&gt;0,CABLES[[#This Row],[CABLE_MASS]],0)</f>
        <v>0.21</v>
      </c>
      <c r="HK86" s="14">
        <f>IF(CABLES[[#This Row],[SEG31]]&gt;0,CABLES[[#This Row],[CABLE_MASS]],0)</f>
        <v>0.21</v>
      </c>
      <c r="HL86" s="14">
        <f>IF(CABLES[[#This Row],[SEG32]]&gt;0,CABLES[[#This Row],[CABLE_MASS]],0)</f>
        <v>0.21</v>
      </c>
      <c r="HM86" s="14">
        <f>IF(CABLES[[#This Row],[SEG33]]&gt;0,CABLES[[#This Row],[CABLE_MASS]],0)</f>
        <v>0</v>
      </c>
      <c r="HN86" s="14">
        <f>IF(CABLES[[#This Row],[SEG34]]&gt;0,CABLES[[#This Row],[CABLE_MASS]],0)</f>
        <v>0.21</v>
      </c>
      <c r="HO86" s="14">
        <f>IF(CABLES[[#This Row],[SEG35]]&gt;0,CABLES[[#This Row],[CABLE_MASS]],0)</f>
        <v>0.21</v>
      </c>
      <c r="HP86" s="14">
        <f>IF(CABLES[[#This Row],[SEG36]]&gt;0,CABLES[[#This Row],[CABLE_MASS]],0)</f>
        <v>0.21</v>
      </c>
      <c r="HQ86" s="14">
        <f>IF(CABLES[[#This Row],[SEG37]]&gt;0,CABLES[[#This Row],[CABLE_MASS]],0)</f>
        <v>0</v>
      </c>
      <c r="HR86" s="14">
        <f>IF(CABLES[[#This Row],[SEG38]]&gt;0,CABLES[[#This Row],[CABLE_MASS]],0)</f>
        <v>0</v>
      </c>
      <c r="HS86" s="14">
        <f>IF(CABLES[[#This Row],[SEG39]]&gt;0,CABLES[[#This Row],[CABLE_MASS]],0)</f>
        <v>0</v>
      </c>
      <c r="HT86" s="14">
        <f>IF(CABLES[[#This Row],[SEG40]]&gt;0,CABLES[[#This Row],[CABLE_MASS]],0)</f>
        <v>0</v>
      </c>
      <c r="HU86" s="14">
        <f>IF(CABLES[[#This Row],[SEG41]]&gt;0,CABLES[[#This Row],[CABLE_MASS]],0)</f>
        <v>0</v>
      </c>
      <c r="HV86" s="14">
        <f>IF(CABLES[[#This Row],[SEG42]]&gt;0,CABLES[[#This Row],[CABLE_MASS]],0)</f>
        <v>0</v>
      </c>
      <c r="HW86" s="14">
        <f>IF(CABLES[[#This Row],[SEG43]]&gt;0,CABLES[[#This Row],[CABLE_MASS]],0)</f>
        <v>0</v>
      </c>
      <c r="HX86" s="14">
        <f>IF(CABLES[[#This Row],[SEG44]]&gt;0,CABLES[[#This Row],[CABLE_MASS]],0)</f>
        <v>0</v>
      </c>
      <c r="HY86" s="14">
        <f>IF(CABLES[[#This Row],[SEG45]]&gt;0,CABLES[[#This Row],[CABLE_MASS]],0)</f>
        <v>0</v>
      </c>
      <c r="HZ86" s="14">
        <f>IF(CABLES[[#This Row],[SEG46]]&gt;0,CABLES[[#This Row],[CABLE_MASS]],0)</f>
        <v>0</v>
      </c>
      <c r="IA86" s="14">
        <f>IF(CABLES[[#This Row],[SEG47]]&gt;0,CABLES[[#This Row],[CABLE_MASS]],0)</f>
        <v>0</v>
      </c>
      <c r="IB86" s="14">
        <f>IF(CABLES[[#This Row],[SEG48]]&gt;0,CABLES[[#This Row],[CABLE_MASS]],0)</f>
        <v>0</v>
      </c>
      <c r="IC86" s="14">
        <f>IF(CABLES[[#This Row],[SEG49]]&gt;0,CABLES[[#This Row],[CABLE_MASS]],0)</f>
        <v>0</v>
      </c>
      <c r="ID86" s="14">
        <f>IF(CABLES[[#This Row],[SEG50]]&gt;0,CABLES[[#This Row],[CABLE_MASS]],0)</f>
        <v>0</v>
      </c>
      <c r="IE86" s="14">
        <f>IF(CABLES[[#This Row],[SEG51]]&gt;0,CABLES[[#This Row],[CABLE_MASS]],0)</f>
        <v>0</v>
      </c>
      <c r="IF86" s="14">
        <f>IF(CABLES[[#This Row],[SEG52]]&gt;0,CABLES[[#This Row],[CABLE_MASS]],0)</f>
        <v>0</v>
      </c>
      <c r="IG86" s="14">
        <f>IF(CABLES[[#This Row],[SEG53]]&gt;0,CABLES[[#This Row],[CABLE_MASS]],0)</f>
        <v>0</v>
      </c>
      <c r="IH86" s="14">
        <f>IF(CABLES[[#This Row],[SEG54]]&gt;0,CABLES[[#This Row],[CABLE_MASS]],0)</f>
        <v>0</v>
      </c>
      <c r="II86" s="14">
        <f>IF(CABLES[[#This Row],[SEG55]]&gt;0,CABLES[[#This Row],[CABLE_MASS]],0)</f>
        <v>0</v>
      </c>
      <c r="IJ86" s="14">
        <f>IF(CABLES[[#This Row],[SEG56]]&gt;0,CABLES[[#This Row],[CABLE_MASS]],0)</f>
        <v>0</v>
      </c>
      <c r="IK86" s="14">
        <f>IF(CABLES[[#This Row],[SEG57]]&gt;0,CABLES[[#This Row],[CABLE_MASS]],0)</f>
        <v>0</v>
      </c>
      <c r="IL86" s="14">
        <f>IF(CABLES[[#This Row],[SEG58]]&gt;0,CABLES[[#This Row],[CABLE_MASS]],0)</f>
        <v>0</v>
      </c>
      <c r="IM86" s="14">
        <f>IF(CABLES[[#This Row],[SEG59]]&gt;0,CABLES[[#This Row],[CABLE_MASS]],0)</f>
        <v>0</v>
      </c>
      <c r="IN86" s="14">
        <f>IF(CABLES[[#This Row],[SEG60]]&gt;0,CABLES[[#This Row],[CABLE_MASS]],0)</f>
        <v>0</v>
      </c>
      <c r="IO86" s="14">
        <f xml:space="preserve">  (CABLES[[#This Row],[LOAD_KW]]/(SQRT(3)*SYSTEM_VOLTAGE*POWER_FACTOR))*1000</f>
        <v>0.59338777666711529</v>
      </c>
      <c r="IP86" s="14">
        <v>45</v>
      </c>
      <c r="IQ86" s="14">
        <f xml:space="preserve"> INDEX(AS3000_AMBIENTDERATE[], MATCH(CABLES[[#This Row],[AMBIENT]],AS3000_AMBIENTDERATE[AMBIENT],0), 2)</f>
        <v>0.94</v>
      </c>
      <c r="IR86" s="14">
        <f xml:space="preserve"> ROUNDUP( CABLES[[#This Row],[CALCULATED_AMPS]]/CABLES[[#This Row],[AMBIENT_DERATING]],1)</f>
        <v>0.7</v>
      </c>
      <c r="IS86" s="14" t="s">
        <v>531</v>
      </c>
      <c r="IT86" s="14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6" s="14">
        <f>SYSTEM_VOLTAGE * MAX_VDROP_PERCENT</f>
        <v>28.000000000000004</v>
      </c>
      <c r="IV86" s="14">
        <f>(1000*CABLES[[#This Row],[MAX_VDROP]])/(CABLES[[#This Row],[ESTIMATED_CABLE_LENGTH]]*CABLES[[#This Row],[AMP_RATING]])</f>
        <v>793.65079365079384</v>
      </c>
      <c r="IW86" s="14">
        <f xml:space="preserve"> INDEX(AS3000_VDROP[], MATCH(CABLES[[#This Row],[VC_CALC]],AS3000_VDROP[Vc],1),1)</f>
        <v>2.5</v>
      </c>
      <c r="IX86" s="14">
        <f>MAX(CABLES[[#This Row],[CABLESIZE_METHOD1]],CABLES[[#This Row],[CABLESIZE_METHOD2]])</f>
        <v>2.5</v>
      </c>
      <c r="IY86" s="14"/>
      <c r="IZ86" s="14">
        <f>IF(LEN(CABLES[[#This Row],[OVERRIDE_CABLESIZE]])&gt;0,CABLES[[#This Row],[OVERRIDE_CABLESIZE]],CABLES[[#This Row],[INITIAL_CABLESIZE]])</f>
        <v>2.5</v>
      </c>
      <c r="JA86" s="14">
        <f>INDEX(PROTECTIVE_DEVICE[DEVICE], MATCH(CABLES[[#This Row],[CALCULATED_AMPS]],PROTECTIVE_DEVICE[DEVICE],-1),1)</f>
        <v>6</v>
      </c>
      <c r="JB86" s="14"/>
      <c r="JC86" s="14">
        <f>IF(LEN(CABLES[[#This Row],[OVERRIDE_PDEVICE]])&gt;0, CABLES[[#This Row],[OVERRIDE_PDEVICE]],CABLES[[#This Row],[RECOMMEND_PDEVICE]])</f>
        <v>6</v>
      </c>
      <c r="JD86" s="14" t="s">
        <v>450</v>
      </c>
      <c r="JE86" s="14">
        <f xml:space="preserve"> CABLES[[#This Row],[SELECTED_PDEVICE]] * INDEX(DEVICE_CURVE[], MATCH(CABLES[[#This Row],[PDEVICE_CURVE]], DEVICE_CURVE[DEVICE_CURVE],0),2)</f>
        <v>39</v>
      </c>
      <c r="JF86" s="14" t="s">
        <v>458</v>
      </c>
      <c r="JG86" s="14">
        <f xml:space="preserve"> INDEX(CONDUCTOR_MATERIAL[], MATCH(CABLES[[#This Row],[CONDUCTOR_MATERIAL]],CONDUCTOR_MATERIAL[CONDUCTOR_MATERIAL],0),2)</f>
        <v>2.2499999999999999E-2</v>
      </c>
      <c r="JH86" s="14">
        <f>CABLES[[#This Row],[SELECTED_CABLESIZE]]</f>
        <v>2.5</v>
      </c>
      <c r="JI86" s="14">
        <f xml:space="preserve"> INDEX( EARTH_CONDUCTOR_SIZE[], MATCH(CABLES[[#This Row],[SPH]],EARTH_CONDUCTOR_SIZE[MM^2],-1), 2)</f>
        <v>2.5</v>
      </c>
      <c r="JJ86" s="14">
        <f>(0.8*PHASE_VOLTAGE*CABLES[[#This Row],[SPH]]*CABLES[[#This Row],[SPE]])/(CABLES[[#This Row],[PDEVICE_IA]]*CABLES[[#This Row],[MATERIAL_CONSTANT]]*(CABLES[[#This Row],[SPH]]+CABLES[[#This Row],[SPE]]))</f>
        <v>262.10826210826212</v>
      </c>
      <c r="JK86" s="14" t="str">
        <f>IF(CABLES[[#This Row],[LMAX]]&gt;CABLES[[#This Row],[ESTIMATED_CABLE_LENGTH]], "PASS", "ERROR")</f>
        <v>PASS</v>
      </c>
      <c r="JL86" s="1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86" s="1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86" s="16">
        <f xml:space="preserve"> ROUNDUP( CABLES[[#This Row],[CALCULATED_AMPS]],1)</f>
        <v>0.6</v>
      </c>
      <c r="JO86" s="16">
        <f>CABLES[[#This Row],[SELECTED_CABLESIZE]]</f>
        <v>2.5</v>
      </c>
      <c r="JP86" s="14">
        <f>CABLES[[#This Row],[ESTIMATED_CABLE_LENGTH]]</f>
        <v>50.4</v>
      </c>
      <c r="JQ86" s="16">
        <f>CABLES[[#This Row],[SELECTED_PDEVICE]]</f>
        <v>6</v>
      </c>
    </row>
    <row r="87" spans="1:277" x14ac:dyDescent="0.35">
      <c r="A87" s="13" t="s">
        <v>547</v>
      </c>
      <c r="B87" s="13" t="s">
        <v>548</v>
      </c>
      <c r="C87" s="14" t="s">
        <v>262</v>
      </c>
      <c r="D87" s="15">
        <v>0.55000000000000004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1</v>
      </c>
      <c r="AI87" s="15">
        <v>1</v>
      </c>
      <c r="AJ87" s="15">
        <v>1</v>
      </c>
      <c r="AK87" s="15">
        <v>0</v>
      </c>
      <c r="AL87" s="15">
        <v>1</v>
      </c>
      <c r="AM87" s="15">
        <v>0</v>
      </c>
      <c r="AN87" s="15">
        <v>0</v>
      </c>
      <c r="AO87" s="15">
        <v>1</v>
      </c>
      <c r="AP87" s="15">
        <v>1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f xml:space="preserve"> IF(CABLES[[#This Row],[SEG1]] &gt;0, INDEX(SEGMENTS[], MATCH(CABLES[[#Headers],[SEG1]],SEGMENTS[SEG_ID],0),4),0)</f>
        <v>0</v>
      </c>
      <c r="BN87" s="14">
        <f xml:space="preserve"> IF(CABLES[[#This Row],[SEG2]] &gt;0, INDEX(SEGMENTS[], MATCH(CABLES[[#Headers],[SEG2]],SEGMENTS[SEG_ID],0),4),0)</f>
        <v>0</v>
      </c>
      <c r="BO87" s="14">
        <f xml:space="preserve"> IF(CABLES[[#This Row],[SEG3]] &gt;0, INDEX(SEGMENTS[], MATCH(CABLES[[#Headers],[SEG3]],SEGMENTS[SEG_ID],0),4),0)</f>
        <v>0</v>
      </c>
      <c r="BP87" s="14">
        <f xml:space="preserve"> IF(CABLES[[#This Row],[SEG4]] &gt;0, INDEX(SEGMENTS[], MATCH(CABLES[[#Headers],[SEG4]],SEGMENTS[SEG_ID],0),4),0)</f>
        <v>0</v>
      </c>
      <c r="BQ87" s="14">
        <f xml:space="preserve"> IF(CABLES[[#This Row],[SEG5]] &gt;0,INDEX(SEGMENTS[], MATCH(CABLES[[#Headers],[SEG5]],SEGMENTS[SEG_ID],0),4),0)</f>
        <v>0</v>
      </c>
      <c r="BR87" s="14">
        <f xml:space="preserve"> IF(CABLES[[#This Row],[SEG6]] &gt;0,INDEX(SEGMENTS[], MATCH(CABLES[[#Headers],[SEG6]],SEGMENTS[SEG_ID],0),4),0)</f>
        <v>0</v>
      </c>
      <c r="BS87" s="14">
        <f xml:space="preserve"> IF(CABLES[[#This Row],[SEG7]] &gt;0,INDEX(SEGMENTS[], MATCH(CABLES[[#Headers],[SEG7]],SEGMENTS[SEG_ID],0),4),0)</f>
        <v>0</v>
      </c>
      <c r="BT87" s="14">
        <f xml:space="preserve"> IF(CABLES[[#This Row],[SEG8]] &gt;0,INDEX(SEGMENTS[], MATCH(CABLES[[#Headers],[SEG8]],SEGMENTS[SEG_ID],0),4),0)</f>
        <v>0</v>
      </c>
      <c r="BU87" s="14">
        <f xml:space="preserve"> IF(CABLES[[#This Row],[SEG9]] &gt;0,INDEX(SEGMENTS[], MATCH(CABLES[[#Headers],[SEG9]],SEGMENTS[SEG_ID],0),4),0)</f>
        <v>0</v>
      </c>
      <c r="BV87" s="14">
        <f xml:space="preserve"> IF(CABLES[[#This Row],[SEG10]] &gt;0,INDEX(SEGMENTS[], MATCH(CABLES[[#Headers],[SEG10]],SEGMENTS[SEG_ID],0),4),0)</f>
        <v>0</v>
      </c>
      <c r="BW87" s="14">
        <f xml:space="preserve"> IF(CABLES[[#This Row],[SEG11]] &gt;0,INDEX(SEGMENTS[], MATCH(CABLES[[#Headers],[SEG11]],SEGMENTS[SEG_ID],0),4),0)</f>
        <v>0</v>
      </c>
      <c r="BX87" s="14">
        <f>IF(CABLES[[#This Row],[SEG12]] &gt;0, INDEX(SEGMENTS[], MATCH(CABLES[[#Headers],[SEG12]],SEGMENTS[SEG_ID],0),4),0)</f>
        <v>0</v>
      </c>
      <c r="BY87" s="14">
        <f xml:space="preserve"> IF(CABLES[[#This Row],[SEG13]] &gt;0,INDEX(SEGMENTS[], MATCH(CABLES[[#Headers],[SEG13]],SEGMENTS[SEG_ID],0),4),0)</f>
        <v>0</v>
      </c>
      <c r="BZ87" s="14">
        <f xml:space="preserve"> IF(CABLES[[#This Row],[SEG14]] &gt;0,INDEX(SEGMENTS[], MATCH(CABLES[[#Headers],[SEG14]],SEGMENTS[SEG_ID],0),4),0)</f>
        <v>0</v>
      </c>
      <c r="CA87" s="14">
        <f xml:space="preserve"> IF(CABLES[[#This Row],[SEG15]] &gt;0,INDEX(SEGMENTS[], MATCH(CABLES[[#Headers],[SEG15]],SEGMENTS[SEG_ID],0),4),0)</f>
        <v>0</v>
      </c>
      <c r="CB87" s="14">
        <f xml:space="preserve"> IF(CABLES[[#This Row],[SEG16]] &gt;0,INDEX(SEGMENTS[], MATCH(CABLES[[#Headers],[SEG16]],SEGMENTS[SEG_ID],0),4),0)</f>
        <v>0</v>
      </c>
      <c r="CC87" s="14">
        <f xml:space="preserve"> IF(CABLES[[#This Row],[SEG17]] &gt;0,INDEX(SEGMENTS[], MATCH(CABLES[[#Headers],[SEG17]],SEGMENTS[SEG_ID],0),4),0)</f>
        <v>0</v>
      </c>
      <c r="CD87" s="14">
        <f xml:space="preserve"> IF(CABLES[[#This Row],[SEG18]] &gt;0,INDEX(SEGMENTS[], MATCH(CABLES[[#Headers],[SEG18]],SEGMENTS[SEG_ID],0),4),0)</f>
        <v>0</v>
      </c>
      <c r="CE87" s="14">
        <f>IF(CABLES[[#This Row],[SEG19]] &gt;0, INDEX(SEGMENTS[], MATCH(CABLES[[#Headers],[SEG19]],SEGMENTS[SEG_ID],0),4),0)</f>
        <v>0</v>
      </c>
      <c r="CF87" s="14">
        <f>IF(CABLES[[#This Row],[SEG20]] &gt;0, INDEX(SEGMENTS[], MATCH(CABLES[[#Headers],[SEG20]],SEGMENTS[SEG_ID],0),4),0)</f>
        <v>0</v>
      </c>
      <c r="CG87" s="14">
        <f xml:space="preserve"> IF(CABLES[[#This Row],[SEG21]] &gt;0,INDEX(SEGMENTS[], MATCH(CABLES[[#Headers],[SEG21]],SEGMENTS[SEG_ID],0),4),0)</f>
        <v>0</v>
      </c>
      <c r="CH87" s="14">
        <f xml:space="preserve"> IF(CABLES[[#This Row],[SEG22]] &gt;0,INDEX(SEGMENTS[], MATCH(CABLES[[#Headers],[SEG22]],SEGMENTS[SEG_ID],0),4),0)</f>
        <v>0</v>
      </c>
      <c r="CI87" s="14">
        <f>IF(CABLES[[#This Row],[SEG23]] &gt;0, INDEX(SEGMENTS[], MATCH(CABLES[[#Headers],[SEG23]],SEGMENTS[SEG_ID],0),4),0)</f>
        <v>0</v>
      </c>
      <c r="CJ87" s="14">
        <f xml:space="preserve"> IF(CABLES[[#This Row],[SEG24]] &gt;0,INDEX(SEGMENTS[], MATCH(CABLES[[#Headers],[SEG24]],SEGMENTS[SEG_ID],0),4),0)</f>
        <v>0</v>
      </c>
      <c r="CK87" s="14">
        <f>IF(CABLES[[#This Row],[SEG25]] &gt;0, INDEX(SEGMENTS[], MATCH(CABLES[[#Headers],[SEG25]],SEGMENTS[SEG_ID],0),4),0)</f>
        <v>0</v>
      </c>
      <c r="CL87" s="14">
        <f>IF(CABLES[[#This Row],[SEG26]] &gt;0, INDEX(SEGMENTS[], MATCH(CABLES[[#Headers],[SEG26]],SEGMENTS[SEG_ID],0),4),0)</f>
        <v>0</v>
      </c>
      <c r="CM87" s="14">
        <f xml:space="preserve"> IF(CABLES[[#This Row],[SEG27]] &gt;0,INDEX(SEGMENTS[], MATCH(CABLES[[#Headers],[SEG27]],SEGMENTS[SEG_ID],0),4),0)</f>
        <v>0</v>
      </c>
      <c r="CN87" s="14">
        <f xml:space="preserve"> IF(CABLES[[#This Row],[SEG28]] &gt;0,INDEX(SEGMENTS[], MATCH(CABLES[[#Headers],[SEG28]],SEGMENTS[SEG_ID],0),4),0)</f>
        <v>0</v>
      </c>
      <c r="CO87" s="14">
        <f xml:space="preserve"> IF(CABLES[[#This Row],[SEG29]] &gt;0,INDEX(SEGMENTS[], MATCH(CABLES[[#Headers],[SEG29]],SEGMENTS[SEG_ID],0),4),0)</f>
        <v>0</v>
      </c>
      <c r="CP87" s="14">
        <f xml:space="preserve"> IF(CABLES[[#This Row],[SEG30]] &gt;0,INDEX(SEGMENTS[], MATCH(CABLES[[#Headers],[SEG30]],SEGMENTS[SEG_ID],0),4),0)</f>
        <v>6</v>
      </c>
      <c r="CQ87" s="14">
        <f>IF(CABLES[[#This Row],[SEG31]] &gt;0, INDEX(SEGMENTS[], MATCH(CABLES[[#Headers],[SEG31]],SEGMENTS[SEG_ID],0),4),0)</f>
        <v>3</v>
      </c>
      <c r="CR87" s="14">
        <f xml:space="preserve"> IF(CABLES[[#This Row],[SEG32]] &gt;0,INDEX(SEGMENTS[], MATCH(CABLES[[#Headers],[SEG32]],SEGMENTS[SEG_ID],0),4),0)</f>
        <v>5</v>
      </c>
      <c r="CS87" s="14">
        <f xml:space="preserve"> IF(CABLES[[#This Row],[SEG33]] &gt;0,INDEX(SEGMENTS[], MATCH(CABLES[[#Headers],[SEG33]],SEGMENTS[SEG_ID],0),4),0)</f>
        <v>0</v>
      </c>
      <c r="CT87" s="14">
        <f>IF(CABLES[[#This Row],[SEG34]] &gt;0, INDEX(SEGMENTS[], MATCH(CABLES[[#Headers],[SEG34]],SEGMENTS[SEG_ID],0),4),0)</f>
        <v>7</v>
      </c>
      <c r="CU87" s="14">
        <f xml:space="preserve"> IF(CABLES[[#This Row],[SEG35]] &gt;0,INDEX(SEGMENTS[], MATCH(CABLES[[#Headers],[SEG35]],SEGMENTS[SEG_ID],0),4),0)</f>
        <v>0</v>
      </c>
      <c r="CV87" s="14">
        <f xml:space="preserve"> IF(CABLES[[#This Row],[SEG36]] &gt;0,INDEX(SEGMENTS[], MATCH(CABLES[[#Headers],[SEG36]],SEGMENTS[SEG_ID],0),4),0)</f>
        <v>0</v>
      </c>
      <c r="CW87" s="14">
        <f xml:space="preserve"> IF(CABLES[[#This Row],[SEG37]] &gt;0,INDEX(SEGMENTS[], MATCH(CABLES[[#Headers],[SEG37]],SEGMENTS[SEG_ID],0),4),0)</f>
        <v>5</v>
      </c>
      <c r="CX87" s="14">
        <f xml:space="preserve"> IF(CABLES[[#This Row],[SEG38]] &gt;0,INDEX(SEGMENTS[], MATCH(CABLES[[#Headers],[SEG38]],SEGMENTS[SEG_ID],0),4),0)</f>
        <v>15</v>
      </c>
      <c r="CY87" s="14">
        <f xml:space="preserve"> IF(CABLES[[#This Row],[SEG39]] &gt;0,INDEX(SEGMENTS[], MATCH(CABLES[[#Headers],[SEG39]],SEGMENTS[SEG_ID],0),4),0)</f>
        <v>0</v>
      </c>
      <c r="CZ87" s="14">
        <f xml:space="preserve"> IF(CABLES[[#This Row],[SEG40]] &gt;0,INDEX(SEGMENTS[], MATCH(CABLES[[#Headers],[SEG40]],SEGMENTS[SEG_ID],0),4),0)</f>
        <v>0</v>
      </c>
      <c r="DA87" s="14">
        <f xml:space="preserve"> IF(CABLES[[#This Row],[SEG41]] &gt;0,INDEX(SEGMENTS[], MATCH(CABLES[[#Headers],[SEG41]],SEGMENTS[SEG_ID],0),4),0)</f>
        <v>0</v>
      </c>
      <c r="DB87" s="14">
        <f xml:space="preserve"> IF(CABLES[[#This Row],[SEG42]] &gt;0,INDEX(SEGMENTS[], MATCH(CABLES[[#Headers],[SEG42]],SEGMENTS[SEG_ID],0),4),0)</f>
        <v>0</v>
      </c>
      <c r="DC87" s="14">
        <f xml:space="preserve"> IF(CABLES[[#This Row],[SEG43]] &gt;0,INDEX(SEGMENTS[], MATCH(CABLES[[#Headers],[SEG43]],SEGMENTS[SEG_ID],0),4),0)</f>
        <v>0</v>
      </c>
      <c r="DD87" s="14">
        <f xml:space="preserve"> IF(CABLES[[#This Row],[SEG44]] &gt;0,INDEX(SEGMENTS[], MATCH(CABLES[[#Headers],[SEG44]],SEGMENTS[SEG_ID],0),4),0)</f>
        <v>0</v>
      </c>
      <c r="DE87" s="14">
        <f xml:space="preserve"> IF(CABLES[[#This Row],[SEG45]] &gt;0,INDEX(SEGMENTS[], MATCH(CABLES[[#Headers],[SEG45]],SEGMENTS[SEG_ID],0),4),0)</f>
        <v>0</v>
      </c>
      <c r="DF87" s="14">
        <f xml:space="preserve"> IF(CABLES[[#This Row],[SEG46]] &gt;0,INDEX(SEGMENTS[], MATCH(CABLES[[#Headers],[SEG46]],SEGMENTS[SEG_ID],0),4),0)</f>
        <v>0</v>
      </c>
      <c r="DG87" s="14">
        <f xml:space="preserve"> IF(CABLES[[#This Row],[SEG47]] &gt;0,INDEX(SEGMENTS[], MATCH(CABLES[[#Headers],[SEG47]],SEGMENTS[SEG_ID],0),4),0)</f>
        <v>0</v>
      </c>
      <c r="DH87" s="14">
        <f xml:space="preserve"> IF(CABLES[[#This Row],[SEG48]] &gt;0,INDEX(SEGMENTS[], MATCH(CABLES[[#Headers],[SEG48]],SEGMENTS[SEG_ID],0),4),0)</f>
        <v>0</v>
      </c>
      <c r="DI87" s="14">
        <f xml:space="preserve"> IF(CABLES[[#This Row],[SEG49]] &gt;0,INDEX(SEGMENTS[], MATCH(CABLES[[#Headers],[SEG49]],SEGMENTS[SEG_ID],0),4),0)</f>
        <v>0</v>
      </c>
      <c r="DJ87" s="14">
        <f xml:space="preserve"> IF(CABLES[[#This Row],[SEG50]] &gt;0,INDEX(SEGMENTS[], MATCH(CABLES[[#Headers],[SEG50]],SEGMENTS[SEG_ID],0),4),0)</f>
        <v>0</v>
      </c>
      <c r="DK87" s="14">
        <f xml:space="preserve"> IF(CABLES[[#This Row],[SEG51]] &gt;0,INDEX(SEGMENTS[], MATCH(CABLES[[#Headers],[SEG51]],SEGMENTS[SEG_ID],0),4),0)</f>
        <v>0</v>
      </c>
      <c r="DL87" s="14">
        <f xml:space="preserve"> IF(CABLES[[#This Row],[SEG52]] &gt;0,INDEX(SEGMENTS[], MATCH(CABLES[[#Headers],[SEG52]],SEGMENTS[SEG_ID],0),4),0)</f>
        <v>0</v>
      </c>
      <c r="DM87" s="14">
        <f xml:space="preserve"> IF(CABLES[[#This Row],[SEG53]] &gt;0,INDEX(SEGMENTS[], MATCH(CABLES[[#Headers],[SEG53]],SEGMENTS[SEG_ID],0),4),0)</f>
        <v>0</v>
      </c>
      <c r="DN87" s="14">
        <f xml:space="preserve"> IF(CABLES[[#This Row],[SEG54]] &gt;0,INDEX(SEGMENTS[], MATCH(CABLES[[#Headers],[SEG54]],SEGMENTS[SEG_ID],0),4),0)</f>
        <v>0</v>
      </c>
      <c r="DO87" s="14">
        <f xml:space="preserve"> IF(CABLES[[#This Row],[SEG55]] &gt;0,INDEX(SEGMENTS[], MATCH(CABLES[[#Headers],[SEG55]],SEGMENTS[SEG_ID],0),4),0)</f>
        <v>0</v>
      </c>
      <c r="DP87" s="14">
        <f xml:space="preserve"> IF(CABLES[[#This Row],[SEG56]] &gt;0,INDEX(SEGMENTS[], MATCH(CABLES[[#Headers],[SEG56]],SEGMENTS[SEG_ID],0),4),0)</f>
        <v>0</v>
      </c>
      <c r="DQ87" s="14">
        <f xml:space="preserve"> IF(CABLES[[#This Row],[SEG57]] &gt;0,INDEX(SEGMENTS[], MATCH(CABLES[[#Headers],[SEG57]],SEGMENTS[SEG_ID],0),4),0)</f>
        <v>0</v>
      </c>
      <c r="DR87" s="14">
        <f xml:space="preserve"> IF(CABLES[[#This Row],[SEG58]] &gt;0,INDEX(SEGMENTS[], MATCH(CABLES[[#Headers],[SEG58]],SEGMENTS[SEG_ID],0),4),0)</f>
        <v>0</v>
      </c>
      <c r="DS87" s="14">
        <f xml:space="preserve"> IF(CABLES[[#This Row],[SEG59]] &gt;0,INDEX(SEGMENTS[], MATCH(CABLES[[#Headers],[SEG59]],SEGMENTS[SEG_ID],0),4),0)</f>
        <v>0</v>
      </c>
      <c r="DT87" s="14">
        <f xml:space="preserve"> IF(CABLES[[#This Row],[SEG60]] &gt;0,INDEX(SEGMENTS[], MATCH(CABLES[[#Headers],[SEG60]],SEGMENTS[SEG_ID],0),4),0)</f>
        <v>0</v>
      </c>
      <c r="DU87" s="14">
        <f>SUM(CABLES[[#This Row],[SEGL1]:[SEGL60]])</f>
        <v>41</v>
      </c>
      <c r="DV87" s="14">
        <v>5</v>
      </c>
      <c r="DW87" s="14">
        <v>1.2</v>
      </c>
      <c r="DX87" s="14">
        <f xml:space="preserve"> IF(CABLES[[#This Row],[SEGL_TOTAL]]&gt;0, (CABLES[[#This Row],[SEGL_TOTAL]] + CABLES[[#This Row],[FITOFF]]) *CABLES[[#This Row],[XCAPACITY]],0)</f>
        <v>55.199999999999996</v>
      </c>
      <c r="DY87" s="14">
        <f>IF(CABLES[[#This Row],[SEG1]]&gt;0,CABLES[[#This Row],[CABLE_DIAMETER]],0)</f>
        <v>0</v>
      </c>
      <c r="DZ87" s="14">
        <f>IF(CABLES[[#This Row],[SEG2]]&gt;0,CABLES[[#This Row],[CABLE_DIAMETER]],0)</f>
        <v>0</v>
      </c>
      <c r="EA87" s="14">
        <f>IF(CABLES[[#This Row],[SEG3]]&gt;0,CABLES[[#This Row],[CABLE_DIAMETER]],0)</f>
        <v>0</v>
      </c>
      <c r="EB87" s="14">
        <f>IF(CABLES[[#This Row],[SEG4]]&gt;0,CABLES[[#This Row],[CABLE_DIAMETER]],0)</f>
        <v>0</v>
      </c>
      <c r="EC87" s="14">
        <f>IF(CABLES[[#This Row],[SEG5]]&gt;0,CABLES[[#This Row],[CABLE_DIAMETER]],0)</f>
        <v>0</v>
      </c>
      <c r="ED87" s="14">
        <f>IF(CABLES[[#This Row],[SEG6]]&gt;0,CABLES[[#This Row],[CABLE_DIAMETER]],0)</f>
        <v>0</v>
      </c>
      <c r="EE87" s="14">
        <f>IF(CABLES[[#This Row],[SEG7]]&gt;0,CABLES[[#This Row],[CABLE_DIAMETER]],0)</f>
        <v>0</v>
      </c>
      <c r="EF87" s="14">
        <f>IF(CABLES[[#This Row],[SEG9]]&gt;0,CABLES[[#This Row],[CABLE_DIAMETER]],0)</f>
        <v>0</v>
      </c>
      <c r="EG87" s="14">
        <f>IF(CABLES[[#This Row],[SEG9]]&gt;0,CABLES[[#This Row],[CABLE_DIAMETER]],0)</f>
        <v>0</v>
      </c>
      <c r="EH87" s="14">
        <f>IF(CABLES[[#This Row],[SEG10]]&gt;0,CABLES[[#This Row],[CABLE_DIAMETER]],0)</f>
        <v>0</v>
      </c>
      <c r="EI87" s="14">
        <f>IF(CABLES[[#This Row],[SEG11]]&gt;0,CABLES[[#This Row],[CABLE_DIAMETER]],0)</f>
        <v>0</v>
      </c>
      <c r="EJ87" s="14">
        <f>IF(CABLES[[#This Row],[SEG12]]&gt;0,CABLES[[#This Row],[CABLE_DIAMETER]],0)</f>
        <v>0</v>
      </c>
      <c r="EK87" s="14">
        <f>IF(CABLES[[#This Row],[SEG13]]&gt;0,CABLES[[#This Row],[CABLE_DIAMETER]],0)</f>
        <v>0</v>
      </c>
      <c r="EL87" s="14">
        <f>IF(CABLES[[#This Row],[SEG14]]&gt;0,CABLES[[#This Row],[CABLE_DIAMETER]],0)</f>
        <v>0</v>
      </c>
      <c r="EM87" s="14">
        <f>IF(CABLES[[#This Row],[SEG15]]&gt;0,CABLES[[#This Row],[CABLE_DIAMETER]],0)</f>
        <v>0</v>
      </c>
      <c r="EN87" s="14">
        <f>IF(CABLES[[#This Row],[SEG16]]&gt;0,CABLES[[#This Row],[CABLE_DIAMETER]],0)</f>
        <v>0</v>
      </c>
      <c r="EO87" s="14">
        <f>IF(CABLES[[#This Row],[SEG17]]&gt;0,CABLES[[#This Row],[CABLE_DIAMETER]],0)</f>
        <v>0</v>
      </c>
      <c r="EP87" s="14">
        <f>IF(CABLES[[#This Row],[SEG18]]&gt;0,CABLES[[#This Row],[CABLE_DIAMETER]],0)</f>
        <v>0</v>
      </c>
      <c r="EQ87" s="14">
        <f>IF(CABLES[[#This Row],[SEG19]]&gt;0,CABLES[[#This Row],[CABLE_DIAMETER]],0)</f>
        <v>0</v>
      </c>
      <c r="ER87" s="14">
        <f>IF(CABLES[[#This Row],[SEG20]]&gt;0,CABLES[[#This Row],[CABLE_DIAMETER]],0)</f>
        <v>0</v>
      </c>
      <c r="ES87" s="14">
        <f>IF(CABLES[[#This Row],[SEG21]]&gt;0,CABLES[[#This Row],[CABLE_DIAMETER]],0)</f>
        <v>0</v>
      </c>
      <c r="ET87" s="14">
        <f>IF(CABLES[[#This Row],[SEG22]]&gt;0,CABLES[[#This Row],[CABLE_DIAMETER]],0)</f>
        <v>0</v>
      </c>
      <c r="EU87" s="14">
        <f>IF(CABLES[[#This Row],[SEG23]]&gt;0,CABLES[[#This Row],[CABLE_DIAMETER]],0)</f>
        <v>0</v>
      </c>
      <c r="EV87" s="14">
        <f>IF(CABLES[[#This Row],[SEG24]]&gt;0,CABLES[[#This Row],[CABLE_DIAMETER]],0)</f>
        <v>0</v>
      </c>
      <c r="EW87" s="14">
        <f>IF(CABLES[[#This Row],[SEG25]]&gt;0,CABLES[[#This Row],[CABLE_DIAMETER]],0)</f>
        <v>0</v>
      </c>
      <c r="EX87" s="14">
        <f>IF(CABLES[[#This Row],[SEG26]]&gt;0,CABLES[[#This Row],[CABLE_DIAMETER]],0)</f>
        <v>0</v>
      </c>
      <c r="EY87" s="14">
        <f>IF(CABLES[[#This Row],[SEG27]]&gt;0,CABLES[[#This Row],[CABLE_DIAMETER]],0)</f>
        <v>0</v>
      </c>
      <c r="EZ87" s="14">
        <f>IF(CABLES[[#This Row],[SEG28]]&gt;0,CABLES[[#This Row],[CABLE_DIAMETER]],0)</f>
        <v>0</v>
      </c>
      <c r="FA87" s="14">
        <f>IF(CABLES[[#This Row],[SEG29]]&gt;0,CABLES[[#This Row],[CABLE_DIAMETER]],0)</f>
        <v>0</v>
      </c>
      <c r="FB87" s="14">
        <f>IF(CABLES[[#This Row],[SEG30]]&gt;0,CABLES[[#This Row],[CABLE_DIAMETER]],0)</f>
        <v>12</v>
      </c>
      <c r="FC87" s="14">
        <f>IF(CABLES[[#This Row],[SEG31]]&gt;0,CABLES[[#This Row],[CABLE_DIAMETER]],0)</f>
        <v>12</v>
      </c>
      <c r="FD87" s="14">
        <f>IF(CABLES[[#This Row],[SEG32]]&gt;0,CABLES[[#This Row],[CABLE_DIAMETER]],0)</f>
        <v>12</v>
      </c>
      <c r="FE87" s="14">
        <f>IF(CABLES[[#This Row],[SEG33]]&gt;0,CABLES[[#This Row],[CABLE_DIAMETER]],0)</f>
        <v>0</v>
      </c>
      <c r="FF87" s="14">
        <f>IF(CABLES[[#This Row],[SEG34]]&gt;0,CABLES[[#This Row],[CABLE_DIAMETER]],0)</f>
        <v>12</v>
      </c>
      <c r="FG87" s="14">
        <f>IF(CABLES[[#This Row],[SEG35]]&gt;0,CABLES[[#This Row],[CABLE_DIAMETER]],0)</f>
        <v>0</v>
      </c>
      <c r="FH87" s="14">
        <f>IF(CABLES[[#This Row],[SEG36]]&gt;0,CABLES[[#This Row],[CABLE_DIAMETER]],0)</f>
        <v>0</v>
      </c>
      <c r="FI87" s="14">
        <f>IF(CABLES[[#This Row],[SEG37]]&gt;0,CABLES[[#This Row],[CABLE_DIAMETER]],0)</f>
        <v>12</v>
      </c>
      <c r="FJ87" s="14">
        <f>IF(CABLES[[#This Row],[SEG38]]&gt;0,CABLES[[#This Row],[CABLE_DIAMETER]],0)</f>
        <v>12</v>
      </c>
      <c r="FK87" s="14">
        <f>IF(CABLES[[#This Row],[SEG39]]&gt;0,CABLES[[#This Row],[CABLE_DIAMETER]],0)</f>
        <v>0</v>
      </c>
      <c r="FL87" s="14">
        <f>IF(CABLES[[#This Row],[SEG40]]&gt;0,CABLES[[#This Row],[CABLE_DIAMETER]],0)</f>
        <v>0</v>
      </c>
      <c r="FM87" s="14">
        <f>IF(CABLES[[#This Row],[SEG41]]&gt;0,CABLES[[#This Row],[CABLE_DIAMETER]],0)</f>
        <v>0</v>
      </c>
      <c r="FN87" s="14">
        <f>IF(CABLES[[#This Row],[SEG42]]&gt;0,CABLES[[#This Row],[CABLE_DIAMETER]],0)</f>
        <v>0</v>
      </c>
      <c r="FO87" s="14">
        <f>IF(CABLES[[#This Row],[SEG43]]&gt;0,CABLES[[#This Row],[CABLE_DIAMETER]],0)</f>
        <v>0</v>
      </c>
      <c r="FP87" s="14">
        <f>IF(CABLES[[#This Row],[SEG44]]&gt;0,CABLES[[#This Row],[CABLE_DIAMETER]],0)</f>
        <v>0</v>
      </c>
      <c r="FQ87" s="14">
        <f>IF(CABLES[[#This Row],[SEG45]]&gt;0,CABLES[[#This Row],[CABLE_DIAMETER]],0)</f>
        <v>0</v>
      </c>
      <c r="FR87" s="14">
        <f>IF(CABLES[[#This Row],[SEG46]]&gt;0,CABLES[[#This Row],[CABLE_DIAMETER]],0)</f>
        <v>0</v>
      </c>
      <c r="FS87" s="14">
        <f>IF(CABLES[[#This Row],[SEG47]]&gt;0,CABLES[[#This Row],[CABLE_DIAMETER]],0)</f>
        <v>0</v>
      </c>
      <c r="FT87" s="14">
        <f>IF(CABLES[[#This Row],[SEG48]]&gt;0,CABLES[[#This Row],[CABLE_DIAMETER]],0)</f>
        <v>0</v>
      </c>
      <c r="FU87" s="14">
        <f>IF(CABLES[[#This Row],[SEG49]]&gt;0,CABLES[[#This Row],[CABLE_DIAMETER]],0)</f>
        <v>0</v>
      </c>
      <c r="FV87" s="14">
        <f>IF(CABLES[[#This Row],[SEG50]]&gt;0,CABLES[[#This Row],[CABLE_DIAMETER]],0)</f>
        <v>0</v>
      </c>
      <c r="FW87" s="14">
        <f>IF(CABLES[[#This Row],[SEG51]]&gt;0,CABLES[[#This Row],[CABLE_DIAMETER]],0)</f>
        <v>0</v>
      </c>
      <c r="FX87" s="14">
        <f>IF(CABLES[[#This Row],[SEG52]]&gt;0,CABLES[[#This Row],[CABLE_DIAMETER]],0)</f>
        <v>0</v>
      </c>
      <c r="FY87" s="14">
        <f>IF(CABLES[[#This Row],[SEG53]]&gt;0,CABLES[[#This Row],[CABLE_DIAMETER]],0)</f>
        <v>0</v>
      </c>
      <c r="FZ87" s="14">
        <f>IF(CABLES[[#This Row],[SEG54]]&gt;0,CABLES[[#This Row],[CABLE_DIAMETER]],0)</f>
        <v>0</v>
      </c>
      <c r="GA87" s="14">
        <f>IF(CABLES[[#This Row],[SEG55]]&gt;0,CABLES[[#This Row],[CABLE_DIAMETER]],0)</f>
        <v>0</v>
      </c>
      <c r="GB87" s="14">
        <f>IF(CABLES[[#This Row],[SEG56]]&gt;0,CABLES[[#This Row],[CABLE_DIAMETER]],0)</f>
        <v>0</v>
      </c>
      <c r="GC87" s="14">
        <f>IF(CABLES[[#This Row],[SEG57]]&gt;0,CABLES[[#This Row],[CABLE_DIAMETER]],0)</f>
        <v>0</v>
      </c>
      <c r="GD87" s="14">
        <f>IF(CABLES[[#This Row],[SEG58]]&gt;0,CABLES[[#This Row],[CABLE_DIAMETER]],0)</f>
        <v>0</v>
      </c>
      <c r="GE87" s="14">
        <f>IF(CABLES[[#This Row],[SEG59]]&gt;0,CABLES[[#This Row],[CABLE_DIAMETER]],0)</f>
        <v>0</v>
      </c>
      <c r="GF87" s="14">
        <f>IF(CABLES[[#This Row],[SEG60]]&gt;0,CABLES[[#This Row],[CABLE_DIAMETER]],0)</f>
        <v>0</v>
      </c>
      <c r="GG87" s="14">
        <f>IF(CABLES[[#This Row],[SEG1]]&gt;0,CABLES[[#This Row],[CABLE_MASS]],0)</f>
        <v>0</v>
      </c>
      <c r="GH87" s="14">
        <f>IF(CABLES[[#This Row],[SEG2]]&gt;0,CABLES[[#This Row],[CABLE_MASS]],0)</f>
        <v>0</v>
      </c>
      <c r="GI87" s="14">
        <f>IF(CABLES[[#This Row],[SEG3]]&gt;0,CABLES[[#This Row],[CABLE_MASS]],0)</f>
        <v>0</v>
      </c>
      <c r="GJ87" s="14">
        <f>IF(CABLES[[#This Row],[SEG4]]&gt;0,CABLES[[#This Row],[CABLE_MASS]],0)</f>
        <v>0</v>
      </c>
      <c r="GK87" s="14">
        <f>IF(CABLES[[#This Row],[SEG5]]&gt;0,CABLES[[#This Row],[CABLE_MASS]],0)</f>
        <v>0</v>
      </c>
      <c r="GL87" s="14">
        <f>IF(CABLES[[#This Row],[SEG6]]&gt;0,CABLES[[#This Row],[CABLE_MASS]],0)</f>
        <v>0</v>
      </c>
      <c r="GM87" s="14">
        <f>IF(CABLES[[#This Row],[SEG7]]&gt;0,CABLES[[#This Row],[CABLE_MASS]],0)</f>
        <v>0</v>
      </c>
      <c r="GN87" s="14">
        <f>IF(CABLES[[#This Row],[SEG8]]&gt;0,CABLES[[#This Row],[CABLE_MASS]],0)</f>
        <v>0</v>
      </c>
      <c r="GO87" s="14">
        <f>IF(CABLES[[#This Row],[SEG9]]&gt;0,CABLES[[#This Row],[CABLE_MASS]],0)</f>
        <v>0</v>
      </c>
      <c r="GP87" s="14">
        <f>IF(CABLES[[#This Row],[SEG10]]&gt;0,CABLES[[#This Row],[CABLE_MASS]],0)</f>
        <v>0</v>
      </c>
      <c r="GQ87" s="14">
        <f>IF(CABLES[[#This Row],[SEG11]]&gt;0,CABLES[[#This Row],[CABLE_MASS]],0)</f>
        <v>0</v>
      </c>
      <c r="GR87" s="14">
        <f>IF(CABLES[[#This Row],[SEG12]]&gt;0,CABLES[[#This Row],[CABLE_MASS]],0)</f>
        <v>0</v>
      </c>
      <c r="GS87" s="14">
        <f>IF(CABLES[[#This Row],[SEG13]]&gt;0,CABLES[[#This Row],[CABLE_MASS]],0)</f>
        <v>0</v>
      </c>
      <c r="GT87" s="14">
        <f>IF(CABLES[[#This Row],[SEG14]]&gt;0,CABLES[[#This Row],[CABLE_MASS]],0)</f>
        <v>0</v>
      </c>
      <c r="GU87" s="14">
        <f>IF(CABLES[[#This Row],[SEG15]]&gt;0,CABLES[[#This Row],[CABLE_MASS]],0)</f>
        <v>0</v>
      </c>
      <c r="GV87" s="14">
        <f>IF(CABLES[[#This Row],[SEG16]]&gt;0,CABLES[[#This Row],[CABLE_MASS]],0)</f>
        <v>0</v>
      </c>
      <c r="GW87" s="14">
        <f>IF(CABLES[[#This Row],[SEG17]]&gt;0,CABLES[[#This Row],[CABLE_MASS]],0)</f>
        <v>0</v>
      </c>
      <c r="GX87" s="14">
        <f>IF(CABLES[[#This Row],[SEG18]]&gt;0,CABLES[[#This Row],[CABLE_MASS]],0)</f>
        <v>0</v>
      </c>
      <c r="GY87" s="14">
        <f>IF(CABLES[[#This Row],[SEG19]]&gt;0,CABLES[[#This Row],[CABLE_MASS]],0)</f>
        <v>0</v>
      </c>
      <c r="GZ87" s="14">
        <f>IF(CABLES[[#This Row],[SEG20]]&gt;0,CABLES[[#This Row],[CABLE_MASS]],0)</f>
        <v>0</v>
      </c>
      <c r="HA87" s="14">
        <f>IF(CABLES[[#This Row],[SEG21]]&gt;0,CABLES[[#This Row],[CABLE_MASS]],0)</f>
        <v>0</v>
      </c>
      <c r="HB87" s="14">
        <f>IF(CABLES[[#This Row],[SEG22]]&gt;0,CABLES[[#This Row],[CABLE_MASS]],0)</f>
        <v>0</v>
      </c>
      <c r="HC87" s="14">
        <f>IF(CABLES[[#This Row],[SEG23]]&gt;0,CABLES[[#This Row],[CABLE_MASS]],0)</f>
        <v>0</v>
      </c>
      <c r="HD87" s="14">
        <f>IF(CABLES[[#This Row],[SEG24]]&gt;0,CABLES[[#This Row],[CABLE_MASS]],0)</f>
        <v>0</v>
      </c>
      <c r="HE87" s="14">
        <f>IF(CABLES[[#This Row],[SEG25]]&gt;0,CABLES[[#This Row],[CABLE_MASS]],0)</f>
        <v>0</v>
      </c>
      <c r="HF87" s="14">
        <f>IF(CABLES[[#This Row],[SEG26]]&gt;0,CABLES[[#This Row],[CABLE_MASS]],0)</f>
        <v>0</v>
      </c>
      <c r="HG87" s="14">
        <f>IF(CABLES[[#This Row],[SEG27]]&gt;0,CABLES[[#This Row],[CABLE_MASS]],0)</f>
        <v>0</v>
      </c>
      <c r="HH87" s="14">
        <f>IF(CABLES[[#This Row],[SEG28]]&gt;0,CABLES[[#This Row],[CABLE_MASS]],0)</f>
        <v>0</v>
      </c>
      <c r="HI87" s="14">
        <f>IF(CABLES[[#This Row],[SEG29]]&gt;0,CABLES[[#This Row],[CABLE_MASS]],0)</f>
        <v>0</v>
      </c>
      <c r="HJ87" s="14">
        <f>IF(CABLES[[#This Row],[SEG30]]&gt;0,CABLES[[#This Row],[CABLE_MASS]],0)</f>
        <v>0.21</v>
      </c>
      <c r="HK87" s="14">
        <f>IF(CABLES[[#This Row],[SEG31]]&gt;0,CABLES[[#This Row],[CABLE_MASS]],0)</f>
        <v>0.21</v>
      </c>
      <c r="HL87" s="14">
        <f>IF(CABLES[[#This Row],[SEG32]]&gt;0,CABLES[[#This Row],[CABLE_MASS]],0)</f>
        <v>0.21</v>
      </c>
      <c r="HM87" s="14">
        <f>IF(CABLES[[#This Row],[SEG33]]&gt;0,CABLES[[#This Row],[CABLE_MASS]],0)</f>
        <v>0</v>
      </c>
      <c r="HN87" s="14">
        <f>IF(CABLES[[#This Row],[SEG34]]&gt;0,CABLES[[#This Row],[CABLE_MASS]],0)</f>
        <v>0.21</v>
      </c>
      <c r="HO87" s="14">
        <f>IF(CABLES[[#This Row],[SEG35]]&gt;0,CABLES[[#This Row],[CABLE_MASS]],0)</f>
        <v>0</v>
      </c>
      <c r="HP87" s="14">
        <f>IF(CABLES[[#This Row],[SEG36]]&gt;0,CABLES[[#This Row],[CABLE_MASS]],0)</f>
        <v>0</v>
      </c>
      <c r="HQ87" s="14">
        <f>IF(CABLES[[#This Row],[SEG37]]&gt;0,CABLES[[#This Row],[CABLE_MASS]],0)</f>
        <v>0.21</v>
      </c>
      <c r="HR87" s="14">
        <f>IF(CABLES[[#This Row],[SEG38]]&gt;0,CABLES[[#This Row],[CABLE_MASS]],0)</f>
        <v>0.21</v>
      </c>
      <c r="HS87" s="14">
        <f>IF(CABLES[[#This Row],[SEG39]]&gt;0,CABLES[[#This Row],[CABLE_MASS]],0)</f>
        <v>0</v>
      </c>
      <c r="HT87" s="14">
        <f>IF(CABLES[[#This Row],[SEG40]]&gt;0,CABLES[[#This Row],[CABLE_MASS]],0)</f>
        <v>0</v>
      </c>
      <c r="HU87" s="14">
        <f>IF(CABLES[[#This Row],[SEG41]]&gt;0,CABLES[[#This Row],[CABLE_MASS]],0)</f>
        <v>0</v>
      </c>
      <c r="HV87" s="14">
        <f>IF(CABLES[[#This Row],[SEG42]]&gt;0,CABLES[[#This Row],[CABLE_MASS]],0)</f>
        <v>0</v>
      </c>
      <c r="HW87" s="14">
        <f>IF(CABLES[[#This Row],[SEG43]]&gt;0,CABLES[[#This Row],[CABLE_MASS]],0)</f>
        <v>0</v>
      </c>
      <c r="HX87" s="14">
        <f>IF(CABLES[[#This Row],[SEG44]]&gt;0,CABLES[[#This Row],[CABLE_MASS]],0)</f>
        <v>0</v>
      </c>
      <c r="HY87" s="14">
        <f>IF(CABLES[[#This Row],[SEG45]]&gt;0,CABLES[[#This Row],[CABLE_MASS]],0)</f>
        <v>0</v>
      </c>
      <c r="HZ87" s="14">
        <f>IF(CABLES[[#This Row],[SEG46]]&gt;0,CABLES[[#This Row],[CABLE_MASS]],0)</f>
        <v>0</v>
      </c>
      <c r="IA87" s="14">
        <f>IF(CABLES[[#This Row],[SEG47]]&gt;0,CABLES[[#This Row],[CABLE_MASS]],0)</f>
        <v>0</v>
      </c>
      <c r="IB87" s="14">
        <f>IF(CABLES[[#This Row],[SEG48]]&gt;0,CABLES[[#This Row],[CABLE_MASS]],0)</f>
        <v>0</v>
      </c>
      <c r="IC87" s="14">
        <f>IF(CABLES[[#This Row],[SEG49]]&gt;0,CABLES[[#This Row],[CABLE_MASS]],0)</f>
        <v>0</v>
      </c>
      <c r="ID87" s="14">
        <f>IF(CABLES[[#This Row],[SEG50]]&gt;0,CABLES[[#This Row],[CABLE_MASS]],0)</f>
        <v>0</v>
      </c>
      <c r="IE87" s="14">
        <f>IF(CABLES[[#This Row],[SEG51]]&gt;0,CABLES[[#This Row],[CABLE_MASS]],0)</f>
        <v>0</v>
      </c>
      <c r="IF87" s="14">
        <f>IF(CABLES[[#This Row],[SEG52]]&gt;0,CABLES[[#This Row],[CABLE_MASS]],0)</f>
        <v>0</v>
      </c>
      <c r="IG87" s="14">
        <f>IF(CABLES[[#This Row],[SEG53]]&gt;0,CABLES[[#This Row],[CABLE_MASS]],0)</f>
        <v>0</v>
      </c>
      <c r="IH87" s="14">
        <f>IF(CABLES[[#This Row],[SEG54]]&gt;0,CABLES[[#This Row],[CABLE_MASS]],0)</f>
        <v>0</v>
      </c>
      <c r="II87" s="14">
        <f>IF(CABLES[[#This Row],[SEG55]]&gt;0,CABLES[[#This Row],[CABLE_MASS]],0)</f>
        <v>0</v>
      </c>
      <c r="IJ87" s="14">
        <f>IF(CABLES[[#This Row],[SEG56]]&gt;0,CABLES[[#This Row],[CABLE_MASS]],0)</f>
        <v>0</v>
      </c>
      <c r="IK87" s="14">
        <f>IF(CABLES[[#This Row],[SEG57]]&gt;0,CABLES[[#This Row],[CABLE_MASS]],0)</f>
        <v>0</v>
      </c>
      <c r="IL87" s="14">
        <f>IF(CABLES[[#This Row],[SEG58]]&gt;0,CABLES[[#This Row],[CABLE_MASS]],0)</f>
        <v>0</v>
      </c>
      <c r="IM87" s="14">
        <f>IF(CABLES[[#This Row],[SEG59]]&gt;0,CABLES[[#This Row],[CABLE_MASS]],0)</f>
        <v>0</v>
      </c>
      <c r="IN87" s="14">
        <f>IF(CABLES[[#This Row],[SEG60]]&gt;0,CABLES[[#This Row],[CABLE_MASS]],0)</f>
        <v>0</v>
      </c>
      <c r="IO87" s="14">
        <f xml:space="preserve">  (CABLES[[#This Row],[LOAD_KW]]/(SQRT(3)*SYSTEM_VOLTAGE*POWER_FACTOR))*1000</f>
        <v>0.88206291126192826</v>
      </c>
      <c r="IP87" s="14">
        <v>45</v>
      </c>
      <c r="IQ87" s="14">
        <f xml:space="preserve"> INDEX(AS3000_AMBIENTDERATE[], MATCH(CABLES[[#This Row],[AMBIENT]],AS3000_AMBIENTDERATE[AMBIENT],0), 2)</f>
        <v>0.94</v>
      </c>
      <c r="IR87" s="14">
        <f xml:space="preserve"> ROUNDUP( CABLES[[#This Row],[CALCULATED_AMPS]]/CABLES[[#This Row],[AMBIENT_DERATING]],1)</f>
        <v>1</v>
      </c>
      <c r="IS87" s="14" t="s">
        <v>531</v>
      </c>
      <c r="IT87" s="14">
        <f xml:space="preserve"> IF(CABLES[[#This Row],[INSTALL_METHOD]]="UNENCLOSED_TOUCHING",INDEX(AS3000_CURRENTCAPACITY[], MATCH(CABLES[[#This Row],[AMP_RATING]],AS3000_CURRENTCAPACITY[AMP_TOUCHING],-1),1),INDEX(AS3000_CURRENTCAPACITY[], MATCH(CABLES[[#This Row],[AMP_RATING]],AS3000_CURRENTCAPACITY[AMP_SPACED],-1),1))</f>
        <v>1</v>
      </c>
      <c r="IU87" s="14">
        <f>SYSTEM_VOLTAGE * MAX_VDROP_PERCENT</f>
        <v>28.000000000000004</v>
      </c>
      <c r="IV87" s="14">
        <f>(1000*CABLES[[#This Row],[MAX_VDROP]])/(CABLES[[#This Row],[ESTIMATED_CABLE_LENGTH]]*CABLES[[#This Row],[AMP_RATING]])</f>
        <v>507.2463768115943</v>
      </c>
      <c r="IW87" s="14">
        <f xml:space="preserve"> INDEX(AS3000_VDROP[], MATCH(CABLES[[#This Row],[VC_CALC]],AS3000_VDROP[Vc],1),1)</f>
        <v>2.5</v>
      </c>
      <c r="IX87" s="14">
        <f>MAX(CABLES[[#This Row],[CABLESIZE_METHOD1]],CABLES[[#This Row],[CABLESIZE_METHOD2]])</f>
        <v>2.5</v>
      </c>
      <c r="IY87" s="14"/>
      <c r="IZ87" s="14">
        <f>IF(LEN(CABLES[[#This Row],[OVERRIDE_CABLESIZE]])&gt;0,CABLES[[#This Row],[OVERRIDE_CABLESIZE]],CABLES[[#This Row],[INITIAL_CABLESIZE]])</f>
        <v>2.5</v>
      </c>
      <c r="JA87" s="14">
        <f>INDEX(PROTECTIVE_DEVICE[DEVICE], MATCH(CABLES[[#This Row],[CALCULATED_AMPS]],PROTECTIVE_DEVICE[DEVICE],-1),1)</f>
        <v>6</v>
      </c>
      <c r="JB87" s="14"/>
      <c r="JC87" s="14">
        <f>IF(LEN(CABLES[[#This Row],[OVERRIDE_PDEVICE]])&gt;0, CABLES[[#This Row],[OVERRIDE_PDEVICE]],CABLES[[#This Row],[RECOMMEND_PDEVICE]])</f>
        <v>6</v>
      </c>
      <c r="JD87" s="14" t="s">
        <v>450</v>
      </c>
      <c r="JE87" s="14">
        <f xml:space="preserve"> CABLES[[#This Row],[SELECTED_PDEVICE]] * INDEX(DEVICE_CURVE[], MATCH(CABLES[[#This Row],[PDEVICE_CURVE]], DEVICE_CURVE[DEVICE_CURVE],0),2)</f>
        <v>39</v>
      </c>
      <c r="JF87" s="14" t="s">
        <v>458</v>
      </c>
      <c r="JG87" s="14">
        <f xml:space="preserve"> INDEX(CONDUCTOR_MATERIAL[], MATCH(CABLES[[#This Row],[CONDUCTOR_MATERIAL]],CONDUCTOR_MATERIAL[CONDUCTOR_MATERIAL],0),2)</f>
        <v>2.2499999999999999E-2</v>
      </c>
      <c r="JH87" s="14">
        <f>CABLES[[#This Row],[SELECTED_CABLESIZE]]</f>
        <v>2.5</v>
      </c>
      <c r="JI87" s="14">
        <f xml:space="preserve"> INDEX( EARTH_CONDUCTOR_SIZE[], MATCH(CABLES[[#This Row],[SPH]],EARTH_CONDUCTOR_SIZE[MM^2],-1), 2)</f>
        <v>2.5</v>
      </c>
      <c r="JJ87" s="14">
        <f>(0.8*PHASE_VOLTAGE*CABLES[[#This Row],[SPH]]*CABLES[[#This Row],[SPE]])/(CABLES[[#This Row],[PDEVICE_IA]]*CABLES[[#This Row],[MATERIAL_CONSTANT]]*(CABLES[[#This Row],[SPH]]+CABLES[[#This Row],[SPE]]))</f>
        <v>262.10826210826212</v>
      </c>
      <c r="JK87" s="14" t="str">
        <f>IF(CABLES[[#This Row],[LMAX]]&gt;CABLES[[#This Row],[ESTIMATED_CABLE_LENGTH]], "PASS", "ERROR")</f>
        <v>PASS</v>
      </c>
      <c r="JL87" s="16">
        <f>IF(CABLES[[#This Row],[LOAD_TYPE]]="VSD",  INDEX(VSD_CABLESPEC[], MATCH( CABLES[[#This Row],[SELECTED_CABLESIZE]], VSD_CABLESPEC[MM^2],-1),2),IF(CABLES[[#This Row],[LOAD_TYPE]] = "DOL", INDEX(DOL_CABLESPEC[],  MATCH( CABLES[[#This Row],[SELECTED_CABLESIZE]], DOL_CABLESPEC[MM^2],-1),2), IF(CABLES[[#This Row],[LOAD_TYPE]]="LOAD", INDEX(LOAD_CABLESPEC[],  MATCH( CABLES[[#This Row],[SELECTED_CABLESIZE]], LOAD_CABLESPEC[MM^2],-1),2), 0)))</f>
        <v>12</v>
      </c>
      <c r="JM87" s="16">
        <f>IF(CABLES[[#This Row],[LOAD_TYPE]]="VSD",  INDEX(VSD_CABLESPEC[], MATCH( CABLES[[#This Row],[SELECTED_CABLESIZE]], VSD_CABLESPEC[MM^2],-1),3),IF(CABLES[[#This Row],[LOAD_TYPE]] = "DOL", INDEX(DOL_CABLESPEC[],  MATCH( CABLES[[#This Row],[SELECTED_CABLESIZE]], DOL_CABLESPEC[MM^2],-1),3), IF(CABLES[[#This Row],[LOAD_TYPE]]="LOAD", INDEX(LOAD_CABLESPEC[],  MATCH( CABLES[[#This Row],[SELECTED_CABLESIZE]], LOAD_CABLESPEC[MM^2],-1),3), 0)))</f>
        <v>0.21</v>
      </c>
      <c r="JN87" s="16">
        <f xml:space="preserve"> ROUNDUP( CABLES[[#This Row],[CALCULATED_AMPS]],1)</f>
        <v>0.9</v>
      </c>
      <c r="JO87" s="16">
        <f>CABLES[[#This Row],[SELECTED_CABLESIZE]]</f>
        <v>2.5</v>
      </c>
      <c r="JP87" s="14">
        <f>CABLES[[#This Row],[ESTIMATED_CABLE_LENGTH]]</f>
        <v>55.199999999999996</v>
      </c>
      <c r="JQ87" s="16">
        <f>CABLES[[#This Row],[SELECTED_PDEVICE]]</f>
        <v>6</v>
      </c>
    </row>
  </sheetData>
  <conditionalFormatting sqref="JK1:JK41 JL88:JL1048576 JK45:JK87">
    <cfRule type="containsText" dxfId="302" priority="1" operator="containsText" text="ERROR">
      <formula>NOT(ISERROR(SEARCH("ERROR",JK1)))</formula>
    </cfRule>
  </conditionalFormatting>
  <dataValidations count="1">
    <dataValidation type="list" allowBlank="1" showInputMessage="1" showErrorMessage="1" sqref="C45:C87" xr:uid="{074EF9EA-C036-46E1-9353-19F4A7FB3134}">
      <formula1>$AF$3:$AF$5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8E6FF34-310A-45CC-830B-6640BC2F3ADE}">
          <x14:formula1>
            <xm:f>DATA!$AL$3:$AL$5</xm:f>
          </x14:formula1>
          <xm:sqref>C2:C41</xm:sqref>
        </x14:dataValidation>
        <x14:dataValidation type="list" allowBlank="1" showInputMessage="1" showErrorMessage="1" xr:uid="{C9712C82-5948-4164-859A-D60CE8A0E941}">
          <x14:formula1>
            <xm:f>DATA!$O$3:$O$7</xm:f>
          </x14:formula1>
          <xm:sqref>IP2:IP87</xm:sqref>
        </x14:dataValidation>
        <x14:dataValidation type="list" allowBlank="1" showInputMessage="1" showErrorMessage="1" xr:uid="{281E66D3-BAA9-4716-903A-B47F182AAD06}">
          <x14:formula1>
            <xm:f>DATA!$AZ$4:$AZ$18</xm:f>
          </x14:formula1>
          <xm:sqref>JB2:JB87</xm:sqref>
        </x14:dataValidation>
        <x14:dataValidation type="list" allowBlank="1" showInputMessage="1" showErrorMessage="1" xr:uid="{4A408B7D-8E63-4BBA-A87B-0ED5B98E04E8}">
          <x14:formula1>
            <xm:f>DATA!$BC$2:$BC$5</xm:f>
          </x14:formula1>
          <xm:sqref>JD2:JD87</xm:sqref>
        </x14:dataValidation>
        <x14:dataValidation type="list" allowBlank="1" showInputMessage="1" showErrorMessage="1" xr:uid="{D92F0E0C-7426-49D9-853B-02729557A73A}">
          <x14:formula1>
            <xm:f>DATA!$BG$3:$BG$4</xm:f>
          </x14:formula1>
          <xm:sqref>JF2:JF87</xm:sqref>
        </x14:dataValidation>
        <x14:dataValidation type="list" allowBlank="1" showInputMessage="1" showErrorMessage="1" xr:uid="{C525D63B-3934-4F2A-BFC8-97B5932BBAD0}">
          <x14:formula1>
            <xm:f>DATA!$G$3:$G$21</xm:f>
          </x14:formula1>
          <xm:sqref>IY2:IY87</xm:sqref>
        </x14:dataValidation>
        <x14:dataValidation type="list" allowBlank="1" showInputMessage="1" showErrorMessage="1" xr:uid="{1089FF5A-DFB6-4687-80ED-B9BF105776EF}">
          <x14:formula1>
            <xm:f>DATA!$M$3:$M$4</xm:f>
          </x14:formula1>
          <xm:sqref>IS2:IS87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tabSelected="1" workbookViewId="0">
      <selection activeCell="N2" sqref="N2"/>
    </sheetView>
  </sheetViews>
  <sheetFormatPr defaultColWidth="9.1796875" defaultRowHeight="14.5" x14ac:dyDescent="0.35"/>
  <cols>
    <col min="1" max="1" width="9.54296875" style="5" bestFit="1" customWidth="1"/>
    <col min="2" max="2" width="14.7265625" style="5" hidden="1" customWidth="1"/>
    <col min="3" max="3" width="14.26953125" style="5" hidden="1" customWidth="1"/>
    <col min="4" max="4" width="10.26953125" style="5" hidden="1" customWidth="1"/>
    <col min="5" max="5" width="21.453125" style="5" hidden="1" customWidth="1"/>
    <col min="6" max="6" width="9.7265625" style="5" hidden="1" customWidth="1"/>
    <col min="7" max="7" width="14.1796875" style="5" hidden="1" customWidth="1"/>
    <col min="8" max="8" width="19" style="5" hidden="1" customWidth="1"/>
    <col min="9" max="9" width="17.26953125" style="5" hidden="1" customWidth="1"/>
    <col min="10" max="10" width="16.7265625" style="5" hidden="1" customWidth="1"/>
    <col min="11" max="11" width="15" style="5" hidden="1" customWidth="1"/>
    <col min="12" max="12" width="17.54296875" style="5" hidden="1" customWidth="1"/>
    <col min="13" max="13" width="15.453125" style="5" bestFit="1" customWidth="1"/>
    <col min="14" max="14" width="16" style="5" bestFit="1" customWidth="1"/>
    <col min="15" max="15" width="16.453125" style="5" bestFit="1" customWidth="1"/>
    <col min="16" max="16384" width="9.1796875" style="5"/>
  </cols>
  <sheetData>
    <row r="1" spans="1:15" x14ac:dyDescent="0.35">
      <c r="A1" s="5" t="s">
        <v>400</v>
      </c>
      <c r="B1" s="5" t="s">
        <v>402</v>
      </c>
      <c r="C1" s="5" t="s">
        <v>403</v>
      </c>
      <c r="D1" s="5" t="s">
        <v>0</v>
      </c>
      <c r="E1" s="5" t="s">
        <v>404</v>
      </c>
      <c r="F1" s="5" t="s">
        <v>406</v>
      </c>
      <c r="G1" s="5" t="s">
        <v>405</v>
      </c>
      <c r="H1" s="5" t="s">
        <v>407</v>
      </c>
      <c r="I1" s="5" t="s">
        <v>435</v>
      </c>
      <c r="J1" s="5" t="s">
        <v>436</v>
      </c>
      <c r="K1" s="5" t="s">
        <v>409</v>
      </c>
      <c r="L1" s="5" t="s">
        <v>437</v>
      </c>
      <c r="M1" s="5" t="s">
        <v>474</v>
      </c>
      <c r="N1" s="5" t="s">
        <v>475</v>
      </c>
      <c r="O1" s="5" t="s">
        <v>408</v>
      </c>
    </row>
    <row r="2" spans="1:15" x14ac:dyDescent="0.35">
      <c r="A2" s="5" t="s">
        <v>125</v>
      </c>
      <c r="B2" s="5">
        <v>10</v>
      </c>
      <c r="C2" s="5">
        <v>3</v>
      </c>
      <c r="D2" s="9">
        <f>B2+C2</f>
        <v>13</v>
      </c>
      <c r="E2" s="9">
        <f>SUM(CABLES[SEGD1])</f>
        <v>660.1</v>
      </c>
      <c r="F2" s="9">
        <v>2</v>
      </c>
      <c r="G2" s="9">
        <v>1.2</v>
      </c>
      <c r="H2" s="9">
        <f>(SEGMENTS[[#This Row],[INITIAL_DIAMETER]]*SEGMENTS[[#This Row],[X_CAPACITY]])/SEGMENTS[[#This Row],[LAYERS]]</f>
        <v>396.06</v>
      </c>
      <c r="I2" s="9" t="str">
        <f>IF(SEGMENTS[[#This Row],[CABLE_TOTAL]]&gt;0, INDEX(CABLE_TRAY[], MATCH(SEGMENTS[[#This Row],[MIN_TRAYWIDTH]],CABLE_TRAY[WIDTH],-1), 2), "")</f>
        <v>450mm</v>
      </c>
      <c r="J2" s="9" t="s">
        <v>424</v>
      </c>
      <c r="K2" s="9">
        <f>SUM(CABLES[SEGM1])</f>
        <v>23.450000000000003</v>
      </c>
      <c r="L2" s="9" t="str">
        <f xml:space="preserve"> INDEX(SPAN_BRACE[], MATCH(SEGMENTS[[#This Row],[TRAY_MASS]],SPAN_BRACE[LOADING],-1),2)</f>
        <v>6m</v>
      </c>
      <c r="M2" s="9">
        <f>SUM(CABLES[SEG1])</f>
        <v>41</v>
      </c>
      <c r="N2" s="9">
        <f>SEGMENTS[[#This Row],[LENGTH]]</f>
        <v>13</v>
      </c>
      <c r="O2" s="9" t="str">
        <f>IF(LEN(SEGMENTS[[#This Row],[TRAY_OVERIDE]])&gt;0, SEGMENTS[[#This Row],[TRAY_OVERIDE]],  IF(LEN(SEGMENTS[[#This Row],[SELECTED_TRAY]])&gt;0, SEGMENTS[[#This Row],[SELECTED_TRAY]], "NOT IN USE"))</f>
        <v>600mm</v>
      </c>
    </row>
    <row r="3" spans="1:15" x14ac:dyDescent="0.35">
      <c r="A3" s="5" t="s">
        <v>126</v>
      </c>
      <c r="B3" s="5">
        <v>2</v>
      </c>
      <c r="C3" s="5">
        <v>0</v>
      </c>
      <c r="D3" s="9">
        <f t="shared" ref="D3:D41" si="0">B3+C3</f>
        <v>2</v>
      </c>
      <c r="E3" s="9">
        <f>SUM(CABLES[SEGD2])</f>
        <v>660.1</v>
      </c>
      <c r="F3" s="9">
        <v>2</v>
      </c>
      <c r="G3" s="9">
        <v>1.2</v>
      </c>
      <c r="H3" s="9">
        <f>(SEGMENTS[[#This Row],[INITIAL_DIAMETER]]*SEGMENTS[[#This Row],[X_CAPACITY]])/SEGMENTS[[#This Row],[LAYERS]]</f>
        <v>396.06</v>
      </c>
      <c r="I3" s="9" t="str">
        <f>IF(SEGMENTS[[#This Row],[CABLE_TOTAL]]&gt;0, INDEX(CABLE_TRAY[], MATCH(SEGMENTS[[#This Row],[MIN_TRAYWIDTH]],CABLE_TRAY[WIDTH],-1), 2), "")</f>
        <v>450mm</v>
      </c>
      <c r="J3" s="9" t="s">
        <v>424</v>
      </c>
      <c r="K3" s="9">
        <f>SUM(CABLES[SEGM2])</f>
        <v>23.450000000000003</v>
      </c>
      <c r="L3" s="9" t="str">
        <f xml:space="preserve"> INDEX(SPAN_BRACE[], MATCH(SEGMENTS[[#This Row],[TRAY_MASS]],SPAN_BRACE[LOADING],-1),2)</f>
        <v>6m</v>
      </c>
      <c r="M3" s="9">
        <f>SUM(CABLES[SEG2])</f>
        <v>41</v>
      </c>
      <c r="N3" s="9">
        <f>SEGMENTS[[#This Row],[LENGTH]]</f>
        <v>2</v>
      </c>
      <c r="O3" s="9" t="str">
        <f>IF(LEN(SEGMENTS[[#This Row],[TRAY_OVERIDE]])&gt;0, SEGMENTS[[#This Row],[TRAY_OVERIDE]],  IF(LEN(SEGMENTS[[#This Row],[SELECTED_TRAY]])&gt;0, SEGMENTS[[#This Row],[SELECTED_TRAY]], "NOT IN USE"))</f>
        <v>600mm</v>
      </c>
    </row>
    <row r="4" spans="1:15" x14ac:dyDescent="0.35">
      <c r="A4" s="5" t="s">
        <v>127</v>
      </c>
      <c r="B4" s="5">
        <v>10</v>
      </c>
      <c r="C4" s="5">
        <v>6</v>
      </c>
      <c r="D4" s="9">
        <f t="shared" si="0"/>
        <v>16</v>
      </c>
      <c r="E4" s="9">
        <f>SUM(CABLES[SEGD3])</f>
        <v>106</v>
      </c>
      <c r="F4" s="9">
        <v>2</v>
      </c>
      <c r="G4" s="9">
        <v>1.2</v>
      </c>
      <c r="H4" s="9">
        <f>(SEGMENTS[[#This Row],[INITIAL_DIAMETER]]*SEGMENTS[[#This Row],[X_CAPACITY]])/SEGMENTS[[#This Row],[LAYERS]]</f>
        <v>63.599999999999994</v>
      </c>
      <c r="I4" s="9" t="str">
        <f>IF(SEGMENTS[[#This Row],[CABLE_TOTAL]]&gt;0, INDEX(CABLE_TRAY[], MATCH(SEGMENTS[[#This Row],[MIN_TRAYWIDTH]],CABLE_TRAY[WIDTH],-1), 2), "")</f>
        <v>150mm</v>
      </c>
      <c r="J4" s="9"/>
      <c r="K4" s="9">
        <f>SUM(CABLES[SEGM3])</f>
        <v>2.16</v>
      </c>
      <c r="L4" s="9" t="str">
        <f xml:space="preserve"> INDEX(SPAN_BRACE[], MATCH(SEGMENTS[[#This Row],[TRAY_MASS]],SPAN_BRACE[LOADING],-1),2)</f>
        <v>6m</v>
      </c>
      <c r="M4" s="9">
        <f>SUM(CABLES[SEG3])</f>
        <v>8</v>
      </c>
      <c r="N4" s="9">
        <f>SEGMENTS[[#This Row],[LENGTH]]</f>
        <v>16</v>
      </c>
      <c r="O4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5" spans="1:15" x14ac:dyDescent="0.35">
      <c r="A5" s="5" t="s">
        <v>128</v>
      </c>
      <c r="B5" s="5">
        <v>14</v>
      </c>
      <c r="C5" s="5">
        <v>0</v>
      </c>
      <c r="D5" s="9">
        <f t="shared" si="0"/>
        <v>14</v>
      </c>
      <c r="E5" s="9">
        <f>SUM(CABLES[SEGD4])</f>
        <v>481.70000000000005</v>
      </c>
      <c r="F5" s="9">
        <v>2</v>
      </c>
      <c r="G5" s="9">
        <v>1.2</v>
      </c>
      <c r="H5" s="9">
        <f>(SEGMENTS[[#This Row],[INITIAL_DIAMETER]]*SEGMENTS[[#This Row],[X_CAPACITY]])/SEGMENTS[[#This Row],[LAYERS]]</f>
        <v>289.02000000000004</v>
      </c>
      <c r="I5" s="9" t="str">
        <f>IF(SEGMENTS[[#This Row],[CABLE_TOTAL]]&gt;0, INDEX(CABLE_TRAY[], MATCH(SEGMENTS[[#This Row],[MIN_TRAYWIDTH]],CABLE_TRAY[WIDTH],-1), 2), "")</f>
        <v>300mm</v>
      </c>
      <c r="J5" s="9" t="s">
        <v>424</v>
      </c>
      <c r="K5" s="9">
        <f>SUM(CABLES[SEGM4])</f>
        <v>18.030000000000005</v>
      </c>
      <c r="L5" s="9" t="str">
        <f xml:space="preserve"> INDEX(SPAN_BRACE[], MATCH(SEGMENTS[[#This Row],[TRAY_MASS]],SPAN_BRACE[LOADING],-1),2)</f>
        <v>6m</v>
      </c>
      <c r="M5" s="9">
        <f>SUM(CABLES[SEG4])</f>
        <v>29</v>
      </c>
      <c r="N5" s="9">
        <f>SEGMENTS[[#This Row],[LENGTH]]</f>
        <v>14</v>
      </c>
      <c r="O5" s="9" t="str">
        <f>IF(LEN(SEGMENTS[[#This Row],[TRAY_OVERIDE]])&gt;0, SEGMENTS[[#This Row],[TRAY_OVERIDE]],  IF(LEN(SEGMENTS[[#This Row],[SELECTED_TRAY]])&gt;0, SEGMENTS[[#This Row],[SELECTED_TRAY]], "NOT IN USE"))</f>
        <v>600mm</v>
      </c>
    </row>
    <row r="6" spans="1:15" x14ac:dyDescent="0.35">
      <c r="A6" s="5" t="s">
        <v>129</v>
      </c>
      <c r="B6" s="5">
        <v>2</v>
      </c>
      <c r="C6" s="5">
        <v>6</v>
      </c>
      <c r="D6" s="9">
        <f t="shared" si="0"/>
        <v>8</v>
      </c>
      <c r="E6" s="9">
        <f>SUM(CABLES[SEGD5])</f>
        <v>110.6</v>
      </c>
      <c r="F6" s="9">
        <v>2</v>
      </c>
      <c r="G6" s="9">
        <v>1.2</v>
      </c>
      <c r="H6" s="9">
        <f>(SEGMENTS[[#This Row],[INITIAL_DIAMETER]]*SEGMENTS[[#This Row],[X_CAPACITY]])/SEGMENTS[[#This Row],[LAYERS]]</f>
        <v>66.36</v>
      </c>
      <c r="I6" s="9" t="str">
        <f>IF(SEGMENTS[[#This Row],[CABLE_TOTAL]]&gt;0, INDEX(CABLE_TRAY[], MATCH(SEGMENTS[[#This Row],[MIN_TRAYWIDTH]],CABLE_TRAY[WIDTH],-1), 2), "")</f>
        <v>150mm</v>
      </c>
      <c r="J6" s="9"/>
      <c r="K6" s="9">
        <f>SUM(CABLES[SEGM5])</f>
        <v>3.25</v>
      </c>
      <c r="L6" s="9" t="str">
        <f xml:space="preserve"> INDEX(SPAN_BRACE[], MATCH(SEGMENTS[[#This Row],[TRAY_MASS]],SPAN_BRACE[LOADING],-1),2)</f>
        <v>6m</v>
      </c>
      <c r="M6" s="9">
        <f>SUM(CABLES[SEG5])</f>
        <v>7</v>
      </c>
      <c r="N6" s="9">
        <f>SEGMENTS[[#This Row],[LENGTH]]</f>
        <v>8</v>
      </c>
      <c r="O6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7" spans="1:15" x14ac:dyDescent="0.35">
      <c r="A7" s="5" t="s">
        <v>130</v>
      </c>
      <c r="B7" s="5">
        <v>2</v>
      </c>
      <c r="C7" s="5">
        <v>0</v>
      </c>
      <c r="D7" s="9">
        <f t="shared" si="0"/>
        <v>2</v>
      </c>
      <c r="E7" s="9">
        <f>SUM(CABLES[SEGD6])</f>
        <v>411.70000000000005</v>
      </c>
      <c r="F7" s="9">
        <v>2</v>
      </c>
      <c r="G7" s="9">
        <v>1.2</v>
      </c>
      <c r="H7" s="9">
        <f>(SEGMENTS[[#This Row],[INITIAL_DIAMETER]]*SEGMENTS[[#This Row],[X_CAPACITY]])/SEGMENTS[[#This Row],[LAYERS]]</f>
        <v>247.02</v>
      </c>
      <c r="I7" s="9" t="str">
        <f>IF(SEGMENTS[[#This Row],[CABLE_TOTAL]]&gt;0, INDEX(CABLE_TRAY[], MATCH(SEGMENTS[[#This Row],[MIN_TRAYWIDTH]],CABLE_TRAY[WIDTH],-1), 2), "")</f>
        <v>300mm</v>
      </c>
      <c r="J7" s="9" t="s">
        <v>425</v>
      </c>
      <c r="K7" s="9">
        <f>SUM(CABLES[SEGM6])</f>
        <v>16.5</v>
      </c>
      <c r="L7" s="9" t="str">
        <f xml:space="preserve"> INDEX(SPAN_BRACE[], MATCH(SEGMENTS[[#This Row],[TRAY_MASS]],SPAN_BRACE[LOADING],-1),2)</f>
        <v>6m</v>
      </c>
      <c r="M7" s="9">
        <f>SUM(CABLES[SEG6])</f>
        <v>24</v>
      </c>
      <c r="N7" s="9">
        <f>SEGMENTS[[#This Row],[LENGTH]]</f>
        <v>2</v>
      </c>
      <c r="O7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8" spans="1:15" x14ac:dyDescent="0.35">
      <c r="A8" s="5" t="s">
        <v>131</v>
      </c>
      <c r="B8" s="5">
        <v>2</v>
      </c>
      <c r="C8" s="5">
        <v>6</v>
      </c>
      <c r="D8" s="9">
        <f t="shared" si="0"/>
        <v>8</v>
      </c>
      <c r="E8" s="9">
        <f>SUM(CABLES[SEGD7])</f>
        <v>40.6</v>
      </c>
      <c r="F8" s="9">
        <v>2</v>
      </c>
      <c r="G8" s="9">
        <v>1.2</v>
      </c>
      <c r="H8" s="9">
        <f>(SEGMENTS[[#This Row],[INITIAL_DIAMETER]]*SEGMENTS[[#This Row],[X_CAPACITY]])/SEGMENTS[[#This Row],[LAYERS]]</f>
        <v>24.36</v>
      </c>
      <c r="I8" s="9" t="str">
        <f>IF(SEGMENTS[[#This Row],[CABLE_TOTAL]]&gt;0, INDEX(CABLE_TRAY[], MATCH(SEGMENTS[[#This Row],[MIN_TRAYWIDTH]],CABLE_TRAY[WIDTH],-1), 2), "")</f>
        <v>150mm</v>
      </c>
      <c r="J8" s="9"/>
      <c r="K8" s="9">
        <f>SUM(CABLES[SEGM7])</f>
        <v>1.72</v>
      </c>
      <c r="L8" s="9" t="str">
        <f xml:space="preserve"> INDEX(SPAN_BRACE[], MATCH(SEGMENTS[[#This Row],[TRAY_MASS]],SPAN_BRACE[LOADING],-1),2)</f>
        <v>6m</v>
      </c>
      <c r="M8" s="9">
        <f>SUM(CABLES[SEG7])</f>
        <v>2</v>
      </c>
      <c r="N8" s="9">
        <f>SEGMENTS[[#This Row],[LENGTH]]</f>
        <v>8</v>
      </c>
      <c r="O8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9" spans="1:15" x14ac:dyDescent="0.35">
      <c r="A9" s="5" t="s">
        <v>132</v>
      </c>
      <c r="B9" s="5">
        <v>3</v>
      </c>
      <c r="C9" s="5">
        <v>0</v>
      </c>
      <c r="D9" s="9">
        <f t="shared" si="0"/>
        <v>3</v>
      </c>
      <c r="E9" s="9">
        <f>SUM(CABLES[SEGD8])</f>
        <v>40.6</v>
      </c>
      <c r="F9" s="9">
        <v>2</v>
      </c>
      <c r="G9" s="9">
        <v>1.2</v>
      </c>
      <c r="H9" s="9">
        <f>(SEGMENTS[[#This Row],[INITIAL_DIAMETER]]*SEGMENTS[[#This Row],[X_CAPACITY]])/SEGMENTS[[#This Row],[LAYERS]]</f>
        <v>24.36</v>
      </c>
      <c r="I9" s="9" t="str">
        <f>IF(SEGMENTS[[#This Row],[CABLE_TOTAL]]&gt;0, INDEX(CABLE_TRAY[], MATCH(SEGMENTS[[#This Row],[MIN_TRAYWIDTH]],CABLE_TRAY[WIDTH],-1), 2), "")</f>
        <v>150mm</v>
      </c>
      <c r="J9" s="9" t="s">
        <v>425</v>
      </c>
      <c r="K9" s="9">
        <f>SUM(CABLES[SEGM8])</f>
        <v>14.78</v>
      </c>
      <c r="L9" s="9" t="str">
        <f xml:space="preserve"> INDEX(SPAN_BRACE[], MATCH(SEGMENTS[[#This Row],[TRAY_MASS]],SPAN_BRACE[LOADING],-1),2)</f>
        <v>6m</v>
      </c>
      <c r="M9" s="9">
        <f>SUM(CABLES[SEG8])</f>
        <v>22</v>
      </c>
      <c r="N9" s="9">
        <f>SEGMENTS[[#This Row],[LENGTH]]</f>
        <v>3</v>
      </c>
      <c r="O9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10" spans="1:15" x14ac:dyDescent="0.35">
      <c r="A10" s="5" t="s">
        <v>133</v>
      </c>
      <c r="B10" s="5">
        <v>2</v>
      </c>
      <c r="C10" s="5">
        <v>6</v>
      </c>
      <c r="D10" s="9">
        <f t="shared" si="0"/>
        <v>8</v>
      </c>
      <c r="E10" s="9">
        <f>SUM(CABLES[SEGD9])</f>
        <v>40.6</v>
      </c>
      <c r="F10" s="9">
        <v>2</v>
      </c>
      <c r="G10" s="9">
        <v>1.2</v>
      </c>
      <c r="H10" s="9">
        <f>(SEGMENTS[[#This Row],[INITIAL_DIAMETER]]*SEGMENTS[[#This Row],[X_CAPACITY]])/SEGMENTS[[#This Row],[LAYERS]]</f>
        <v>24.36</v>
      </c>
      <c r="I10" s="9" t="str">
        <f>IF(SEGMENTS[[#This Row],[CABLE_TOTAL]]&gt;0, INDEX(CABLE_TRAY[], MATCH(SEGMENTS[[#This Row],[MIN_TRAYWIDTH]],CABLE_TRAY[WIDTH],-1), 2), "")</f>
        <v>150mm</v>
      </c>
      <c r="J10" s="9"/>
      <c r="K10" s="9">
        <f>SUM(CABLES[SEGM9])</f>
        <v>1.72</v>
      </c>
      <c r="L10" s="9" t="str">
        <f xml:space="preserve"> INDEX(SPAN_BRACE[], MATCH(SEGMENTS[[#This Row],[TRAY_MASS]],SPAN_BRACE[LOADING],-1),2)</f>
        <v>6m</v>
      </c>
      <c r="M10" s="9">
        <f>SUM(CABLES[SEG9])</f>
        <v>2</v>
      </c>
      <c r="N10" s="9">
        <f>SEGMENTS[[#This Row],[LENGTH]]</f>
        <v>8</v>
      </c>
      <c r="O10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11" spans="1:15" x14ac:dyDescent="0.35">
      <c r="A11" s="5" t="s">
        <v>134</v>
      </c>
      <c r="B11" s="5">
        <v>9</v>
      </c>
      <c r="C11" s="5">
        <v>0</v>
      </c>
      <c r="D11" s="9">
        <f t="shared" si="0"/>
        <v>9</v>
      </c>
      <c r="E11" s="9">
        <f>SUM(CABLES[SEGD10])</f>
        <v>219.5</v>
      </c>
      <c r="F11" s="9">
        <v>2</v>
      </c>
      <c r="G11" s="9">
        <v>1.2</v>
      </c>
      <c r="H11" s="9">
        <f>(SEGMENTS[[#This Row],[INITIAL_DIAMETER]]*SEGMENTS[[#This Row],[X_CAPACITY]])/SEGMENTS[[#This Row],[LAYERS]]</f>
        <v>131.69999999999999</v>
      </c>
      <c r="I11" s="9" t="str">
        <f>IF(SEGMENTS[[#This Row],[CABLE_TOTAL]]&gt;0, INDEX(CABLE_TRAY[], MATCH(SEGMENTS[[#This Row],[MIN_TRAYWIDTH]],CABLE_TRAY[WIDTH],-1), 2), "")</f>
        <v>150mm</v>
      </c>
      <c r="J11" s="9" t="s">
        <v>426</v>
      </c>
      <c r="K11" s="9">
        <f>SUM(CABLES[SEGM10])</f>
        <v>10.66</v>
      </c>
      <c r="L11" s="9" t="str">
        <f xml:space="preserve"> INDEX(SPAN_BRACE[], MATCH(SEGMENTS[[#This Row],[TRAY_MASS]],SPAN_BRACE[LOADING],-1),2)</f>
        <v>6m</v>
      </c>
      <c r="M11" s="9">
        <f>SUM(CABLES[SEG10])</f>
        <v>12</v>
      </c>
      <c r="N11" s="9">
        <f>SEGMENTS[[#This Row],[LENGTH]]</f>
        <v>9</v>
      </c>
      <c r="O11" s="9" t="str">
        <f>IF(LEN(SEGMENTS[[#This Row],[TRAY_OVERIDE]])&gt;0, SEGMENTS[[#This Row],[TRAY_OVERIDE]],  IF(LEN(SEGMENTS[[#This Row],[SELECTED_TRAY]])&gt;0, SEGMENTS[[#This Row],[SELECTED_TRAY]], "NOT IN USE"))</f>
        <v>300mm</v>
      </c>
    </row>
    <row r="12" spans="1:15" x14ac:dyDescent="0.35">
      <c r="A12" s="5" t="s">
        <v>135</v>
      </c>
      <c r="B12" s="5">
        <v>2</v>
      </c>
      <c r="C12" s="5">
        <v>6</v>
      </c>
      <c r="D12" s="9">
        <f t="shared" si="0"/>
        <v>8</v>
      </c>
      <c r="E12" s="9">
        <f>SUM(CABLES[SEGD11])</f>
        <v>41</v>
      </c>
      <c r="F12" s="9">
        <v>2</v>
      </c>
      <c r="G12" s="9">
        <v>1.2</v>
      </c>
      <c r="H12" s="9">
        <f>(SEGMENTS[[#This Row],[INITIAL_DIAMETER]]*SEGMENTS[[#This Row],[X_CAPACITY]])/SEGMENTS[[#This Row],[LAYERS]]</f>
        <v>24.599999999999998</v>
      </c>
      <c r="I12" s="9" t="str">
        <f>IF(SEGMENTS[[#This Row],[CABLE_TOTAL]]&gt;0, INDEX(CABLE_TRAY[], MATCH(SEGMENTS[[#This Row],[MIN_TRAYWIDTH]],CABLE_TRAY[WIDTH],-1), 2), "")</f>
        <v>150mm</v>
      </c>
      <c r="J12" s="9"/>
      <c r="K12" s="9">
        <f>SUM(CABLES[SEGM11])</f>
        <v>3.86</v>
      </c>
      <c r="L12" s="9" t="str">
        <f xml:space="preserve"> INDEX(SPAN_BRACE[], MATCH(SEGMENTS[[#This Row],[TRAY_MASS]],SPAN_BRACE[LOADING],-1),2)</f>
        <v>6m</v>
      </c>
      <c r="M12" s="9">
        <f>SUM(CABLES[SEG11])</f>
        <v>1</v>
      </c>
      <c r="N12" s="9">
        <f>SEGMENTS[[#This Row],[LENGTH]]</f>
        <v>8</v>
      </c>
      <c r="O12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13" spans="1:15" x14ac:dyDescent="0.35">
      <c r="A13" s="5" t="s">
        <v>136</v>
      </c>
      <c r="B13" s="5">
        <v>10</v>
      </c>
      <c r="C13" s="5">
        <v>6</v>
      </c>
      <c r="D13" s="9">
        <f t="shared" si="0"/>
        <v>16</v>
      </c>
      <c r="E13" s="9">
        <f>SUM(CABLES[SEGD12])</f>
        <v>67.5</v>
      </c>
      <c r="F13" s="9">
        <v>2</v>
      </c>
      <c r="G13" s="9">
        <v>1.2</v>
      </c>
      <c r="H13" s="9">
        <f>(SEGMENTS[[#This Row],[INITIAL_DIAMETER]]*SEGMENTS[[#This Row],[X_CAPACITY]])/SEGMENTS[[#This Row],[LAYERS]]</f>
        <v>40.5</v>
      </c>
      <c r="I13" s="9" t="str">
        <f>IF(SEGMENTS[[#This Row],[CABLE_TOTAL]]&gt;0, INDEX(CABLE_TRAY[], MATCH(SEGMENTS[[#This Row],[MIN_TRAYWIDTH]],CABLE_TRAY[WIDTH],-1), 2), "")</f>
        <v>150mm</v>
      </c>
      <c r="J13" s="9"/>
      <c r="K13" s="9">
        <f>SUM(CABLES[SEGM12])</f>
        <v>1.4100000000000001</v>
      </c>
      <c r="L13" s="9" t="str">
        <f xml:space="preserve"> INDEX(SPAN_BRACE[], MATCH(SEGMENTS[[#This Row],[TRAY_MASS]],SPAN_BRACE[LOADING],-1),2)</f>
        <v>6m</v>
      </c>
      <c r="M13" s="9">
        <f>SUM(CABLES[SEG12])</f>
        <v>5</v>
      </c>
      <c r="N13" s="9">
        <f>SEGMENTS[[#This Row],[LENGTH]]</f>
        <v>16</v>
      </c>
      <c r="O13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14" spans="1:15" x14ac:dyDescent="0.35">
      <c r="A14" s="5" t="s">
        <v>137</v>
      </c>
      <c r="B14" s="5">
        <v>3</v>
      </c>
      <c r="C14" s="5">
        <v>0</v>
      </c>
      <c r="D14" s="9">
        <f t="shared" si="0"/>
        <v>3</v>
      </c>
      <c r="E14" s="9">
        <f>SUM(CABLES[SEGD13])</f>
        <v>111</v>
      </c>
      <c r="F14" s="9">
        <v>2</v>
      </c>
      <c r="G14" s="9">
        <v>1.2</v>
      </c>
      <c r="H14" s="9">
        <f>(SEGMENTS[[#This Row],[INITIAL_DIAMETER]]*SEGMENTS[[#This Row],[X_CAPACITY]])/SEGMENTS[[#This Row],[LAYERS]]</f>
        <v>66.599999999999994</v>
      </c>
      <c r="I14" s="9" t="str">
        <f>IF(SEGMENTS[[#This Row],[CABLE_TOTAL]]&gt;0, INDEX(CABLE_TRAY[], MATCH(SEGMENTS[[#This Row],[MIN_TRAYWIDTH]],CABLE_TRAY[WIDTH],-1), 2), "")</f>
        <v>150mm</v>
      </c>
      <c r="J14" s="9" t="s">
        <v>426</v>
      </c>
      <c r="K14" s="9">
        <f>SUM(CABLES[SEGM13])</f>
        <v>5.39</v>
      </c>
      <c r="L14" s="9" t="str">
        <f xml:space="preserve"> INDEX(SPAN_BRACE[], MATCH(SEGMENTS[[#This Row],[TRAY_MASS]],SPAN_BRACE[LOADING],-1),2)</f>
        <v>6m</v>
      </c>
      <c r="M14" s="9">
        <f>SUM(CABLES[SEG13])</f>
        <v>6</v>
      </c>
      <c r="N14" s="9">
        <f>SEGMENTS[[#This Row],[LENGTH]]</f>
        <v>3</v>
      </c>
      <c r="O14" s="9" t="str">
        <f>IF(LEN(SEGMENTS[[#This Row],[TRAY_OVERIDE]])&gt;0, SEGMENTS[[#This Row],[TRAY_OVERIDE]],  IF(LEN(SEGMENTS[[#This Row],[SELECTED_TRAY]])&gt;0, SEGMENTS[[#This Row],[SELECTED_TRAY]], "NOT IN USE"))</f>
        <v>300mm</v>
      </c>
    </row>
    <row r="15" spans="1:15" x14ac:dyDescent="0.35">
      <c r="A15" s="5" t="s">
        <v>138</v>
      </c>
      <c r="B15" s="5">
        <v>4</v>
      </c>
      <c r="C15" s="5">
        <v>0</v>
      </c>
      <c r="D15" s="9">
        <f t="shared" si="0"/>
        <v>4</v>
      </c>
      <c r="E15" s="9">
        <f>SUM(CABLES[SEGD14])</f>
        <v>111</v>
      </c>
      <c r="F15" s="9">
        <v>2</v>
      </c>
      <c r="G15" s="9">
        <v>1.2</v>
      </c>
      <c r="H15" s="9">
        <f>(SEGMENTS[[#This Row],[INITIAL_DIAMETER]]*SEGMENTS[[#This Row],[X_CAPACITY]])/SEGMENTS[[#This Row],[LAYERS]]</f>
        <v>66.599999999999994</v>
      </c>
      <c r="I15" s="9" t="str">
        <f>IF(SEGMENTS[[#This Row],[CABLE_TOTAL]]&gt;0, INDEX(CABLE_TRAY[], MATCH(SEGMENTS[[#This Row],[MIN_TRAYWIDTH]],CABLE_TRAY[WIDTH],-1), 2), "")</f>
        <v>150mm</v>
      </c>
      <c r="J15" s="9" t="s">
        <v>425</v>
      </c>
      <c r="K15" s="9">
        <f>SUM(CABLES[SEGM14])</f>
        <v>2.4</v>
      </c>
      <c r="L15" s="9" t="str">
        <f xml:space="preserve"> INDEX(SPAN_BRACE[], MATCH(SEGMENTS[[#This Row],[TRAY_MASS]],SPAN_BRACE[LOADING],-1),2)</f>
        <v>6m</v>
      </c>
      <c r="M15" s="9">
        <f>SUM(CABLES[SEG14])</f>
        <v>8</v>
      </c>
      <c r="N15" s="9">
        <f>SEGMENTS[[#This Row],[LENGTH]]</f>
        <v>4</v>
      </c>
      <c r="O15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16" spans="1:15" x14ac:dyDescent="0.35">
      <c r="A16" s="5" t="s">
        <v>139</v>
      </c>
      <c r="B16" s="5">
        <v>2</v>
      </c>
      <c r="C16" s="5">
        <v>6</v>
      </c>
      <c r="D16" s="9">
        <f t="shared" si="0"/>
        <v>8</v>
      </c>
      <c r="E16" s="9">
        <f>SUM(CABLES[SEGD15])</f>
        <v>70</v>
      </c>
      <c r="F16" s="9">
        <v>2</v>
      </c>
      <c r="G16" s="9">
        <v>1.2</v>
      </c>
      <c r="H16" s="9">
        <f>(SEGMENTS[[#This Row],[INITIAL_DIAMETER]]*SEGMENTS[[#This Row],[X_CAPACITY]])/SEGMENTS[[#This Row],[LAYERS]]</f>
        <v>42</v>
      </c>
      <c r="I16" s="9" t="str">
        <f>IF(SEGMENTS[[#This Row],[CABLE_TOTAL]]&gt;0, INDEX(CABLE_TRAY[], MATCH(SEGMENTS[[#This Row],[MIN_TRAYWIDTH]],CABLE_TRAY[WIDTH],-1), 2), "")</f>
        <v>150mm</v>
      </c>
      <c r="J16" s="9"/>
      <c r="K16" s="9">
        <f>SUM(CABLES[SEGM15])</f>
        <v>1.53</v>
      </c>
      <c r="L16" s="9" t="str">
        <f xml:space="preserve"> INDEX(SPAN_BRACE[], MATCH(SEGMENTS[[#This Row],[TRAY_MASS]],SPAN_BRACE[LOADING],-1),2)</f>
        <v>6m</v>
      </c>
      <c r="M16" s="9">
        <f>SUM(CABLES[SEG15])</f>
        <v>5</v>
      </c>
      <c r="N16" s="9">
        <f>SEGMENTS[[#This Row],[LENGTH]]</f>
        <v>8</v>
      </c>
      <c r="O16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17" spans="1:17" x14ac:dyDescent="0.35">
      <c r="A17" s="5" t="s">
        <v>140</v>
      </c>
      <c r="B17" s="5">
        <v>7</v>
      </c>
      <c r="C17" s="5">
        <v>6</v>
      </c>
      <c r="D17" s="9">
        <f t="shared" si="0"/>
        <v>13</v>
      </c>
      <c r="E17" s="9">
        <f>SUM(CABLES[SEGD16])</f>
        <v>41</v>
      </c>
      <c r="F17" s="9">
        <v>2</v>
      </c>
      <c r="G17" s="9">
        <v>1.2</v>
      </c>
      <c r="H17" s="9">
        <f>(SEGMENTS[[#This Row],[INITIAL_DIAMETER]]*SEGMENTS[[#This Row],[X_CAPACITY]])/SEGMENTS[[#This Row],[LAYERS]]</f>
        <v>24.599999999999998</v>
      </c>
      <c r="I17" s="9" t="str">
        <f>IF(SEGMENTS[[#This Row],[CABLE_TOTAL]]&gt;0, INDEX(CABLE_TRAY[], MATCH(SEGMENTS[[#This Row],[MIN_TRAYWIDTH]],CABLE_TRAY[WIDTH],-1), 2), "")</f>
        <v>150mm</v>
      </c>
      <c r="J17" s="9" t="s">
        <v>426</v>
      </c>
      <c r="K17" s="9">
        <f>SUM(CABLES[SEGM16])</f>
        <v>0.87</v>
      </c>
      <c r="L17" s="9" t="str">
        <f xml:space="preserve"> INDEX(SPAN_BRACE[], MATCH(SEGMENTS[[#This Row],[TRAY_MASS]],SPAN_BRACE[LOADING],-1),2)</f>
        <v>6m</v>
      </c>
      <c r="M17" s="9">
        <f>SUM(CABLES[SEG16])</f>
        <v>3</v>
      </c>
      <c r="N17" s="9">
        <f>SEGMENTS[[#This Row],[LENGTH]]</f>
        <v>13</v>
      </c>
      <c r="O17" s="9" t="str">
        <f>IF(LEN(SEGMENTS[[#This Row],[TRAY_OVERIDE]])&gt;0, SEGMENTS[[#This Row],[TRAY_OVERIDE]],  IF(LEN(SEGMENTS[[#This Row],[SELECTED_TRAY]])&gt;0, SEGMENTS[[#This Row],[SELECTED_TRAY]], "NOT IN USE"))</f>
        <v>300mm</v>
      </c>
    </row>
    <row r="18" spans="1:17" x14ac:dyDescent="0.35">
      <c r="A18" s="5" t="s">
        <v>141</v>
      </c>
      <c r="B18" s="5">
        <v>9</v>
      </c>
      <c r="C18" s="5">
        <v>0</v>
      </c>
      <c r="D18" s="9">
        <f t="shared" si="0"/>
        <v>9</v>
      </c>
      <c r="E18" s="9">
        <f>SUM(CABLES[SEGD17])</f>
        <v>0</v>
      </c>
      <c r="F18" s="9">
        <v>2</v>
      </c>
      <c r="G18" s="9">
        <v>1.2</v>
      </c>
      <c r="H18" s="9">
        <f>(SEGMENTS[[#This Row],[INITIAL_DIAMETER]]*SEGMENTS[[#This Row],[X_CAPACITY]])/SEGMENTS[[#This Row],[LAYERS]]</f>
        <v>0</v>
      </c>
      <c r="I18" s="9" t="str">
        <f>IF(SEGMENTS[[#This Row],[CABLE_TOTAL]]&gt;0, INDEX(CABLE_TRAY[], MATCH(SEGMENTS[[#This Row],[MIN_TRAYWIDTH]],CABLE_TRAY[WIDTH],-1), 2), "")</f>
        <v/>
      </c>
      <c r="J18" s="9" t="s">
        <v>426</v>
      </c>
      <c r="K18" s="9">
        <f>SUM(CABLES[SEGM17])</f>
        <v>0</v>
      </c>
      <c r="L18" s="9" t="str">
        <f xml:space="preserve"> INDEX(SPAN_BRACE[], MATCH(SEGMENTS[[#This Row],[TRAY_MASS]],SPAN_BRACE[LOADING],-1),2)</f>
        <v>6m</v>
      </c>
      <c r="M18" s="9">
        <f>SUM(CABLES[SEG17])</f>
        <v>0</v>
      </c>
      <c r="N18" s="9">
        <f>SEGMENTS[[#This Row],[LENGTH]]</f>
        <v>9</v>
      </c>
      <c r="O18" s="9" t="str">
        <f>IF(LEN(SEGMENTS[[#This Row],[TRAY_OVERIDE]])&gt;0, SEGMENTS[[#This Row],[TRAY_OVERIDE]],  IF(LEN(SEGMENTS[[#This Row],[SELECTED_TRAY]])&gt;0, SEGMENTS[[#This Row],[SELECTED_TRAY]], "NOT IN USE"))</f>
        <v>300mm</v>
      </c>
    </row>
    <row r="19" spans="1:17" x14ac:dyDescent="0.35">
      <c r="A19" s="5" t="s">
        <v>142</v>
      </c>
      <c r="B19" s="5">
        <v>5</v>
      </c>
      <c r="C19" s="5">
        <v>6</v>
      </c>
      <c r="D19" s="9">
        <f t="shared" si="0"/>
        <v>11</v>
      </c>
      <c r="E19" s="9">
        <f>SUM(CABLES[SEGD18])</f>
        <v>0</v>
      </c>
      <c r="F19" s="9">
        <v>2</v>
      </c>
      <c r="G19" s="9">
        <v>1.2</v>
      </c>
      <c r="H19" s="9">
        <f>(SEGMENTS[[#This Row],[INITIAL_DIAMETER]]*SEGMENTS[[#This Row],[X_CAPACITY]])/SEGMENTS[[#This Row],[LAYERS]]</f>
        <v>0</v>
      </c>
      <c r="I19" s="9" t="str">
        <f>IF(SEGMENTS[[#This Row],[CABLE_TOTAL]]&gt;0, INDEX(CABLE_TRAY[], MATCH(SEGMENTS[[#This Row],[MIN_TRAYWIDTH]],CABLE_TRAY[WIDTH],-1), 2), "")</f>
        <v/>
      </c>
      <c r="J19" s="9"/>
      <c r="K19" s="9">
        <f>SUM(CABLES[SEGM18])</f>
        <v>0</v>
      </c>
      <c r="L19" s="9" t="str">
        <f xml:space="preserve"> INDEX(SPAN_BRACE[], MATCH(SEGMENTS[[#This Row],[TRAY_MASS]],SPAN_BRACE[LOADING],-1),2)</f>
        <v>6m</v>
      </c>
      <c r="M19" s="9">
        <f>SUM(CABLES[SEG18])</f>
        <v>0</v>
      </c>
      <c r="N19" s="9">
        <f>SEGMENTS[[#This Row],[LENGTH]]</f>
        <v>11</v>
      </c>
      <c r="O19" s="9" t="str">
        <f>IF(LEN(SEGMENTS[[#This Row],[TRAY_OVERIDE]])&gt;0, SEGMENTS[[#This Row],[TRAY_OVERIDE]],  IF(LEN(SEGMENTS[[#This Row],[SELECTED_TRAY]])&gt;0, SEGMENTS[[#This Row],[SELECTED_TRAY]], "NOT IN USE"))</f>
        <v>NOT IN USE</v>
      </c>
      <c r="Q19" s="5" t="str">
        <f>IF(SEGMENTS[[#This Row],[CABLE_TOTAL]]&gt;0, INDEX(CABLE_TRAY[], MATCH(SEGMENTS[[#This Row],[MIN_TRAYWIDTH]],CABLE_TRAY[WIDTH],-1), 2), "")</f>
        <v/>
      </c>
    </row>
    <row r="20" spans="1:17" x14ac:dyDescent="0.35">
      <c r="A20" s="5" t="s">
        <v>143</v>
      </c>
      <c r="B20" s="5">
        <v>4</v>
      </c>
      <c r="C20" s="5">
        <v>0</v>
      </c>
      <c r="D20" s="9">
        <f t="shared" si="0"/>
        <v>4</v>
      </c>
      <c r="E20" s="9">
        <f>SUM(CABLES[SEGD19])</f>
        <v>0</v>
      </c>
      <c r="F20" s="9">
        <v>2</v>
      </c>
      <c r="G20" s="9">
        <v>1.2</v>
      </c>
      <c r="H20" s="9">
        <f>(SEGMENTS[[#This Row],[INITIAL_DIAMETER]]*SEGMENTS[[#This Row],[X_CAPACITY]])/SEGMENTS[[#This Row],[LAYERS]]</f>
        <v>0</v>
      </c>
      <c r="I20" s="9" t="str">
        <f>IF(SEGMENTS[[#This Row],[CABLE_TOTAL]]&gt;0, INDEX(CABLE_TRAY[], MATCH(SEGMENTS[[#This Row],[MIN_TRAYWIDTH]],CABLE_TRAY[WIDTH],-1), 2), "")</f>
        <v/>
      </c>
      <c r="J20" s="9" t="s">
        <v>426</v>
      </c>
      <c r="K20" s="9">
        <f>SUM(CABLES[SEGM19])</f>
        <v>0</v>
      </c>
      <c r="L20" s="9" t="str">
        <f xml:space="preserve"> INDEX(SPAN_BRACE[], MATCH(SEGMENTS[[#This Row],[TRAY_MASS]],SPAN_BRACE[LOADING],-1),2)</f>
        <v>6m</v>
      </c>
      <c r="M20" s="9">
        <f>SUM(CABLES[SEG19])</f>
        <v>0</v>
      </c>
      <c r="N20" s="9">
        <f>SEGMENTS[[#This Row],[LENGTH]]</f>
        <v>4</v>
      </c>
      <c r="O20" s="9" t="str">
        <f>IF(LEN(SEGMENTS[[#This Row],[TRAY_OVERIDE]])&gt;0, SEGMENTS[[#This Row],[TRAY_OVERIDE]],  IF(LEN(SEGMENTS[[#This Row],[SELECTED_TRAY]])&gt;0, SEGMENTS[[#This Row],[SELECTED_TRAY]], "NOT IN USE"))</f>
        <v>300mm</v>
      </c>
    </row>
    <row r="21" spans="1:17" x14ac:dyDescent="0.35">
      <c r="A21" s="5" t="s">
        <v>144</v>
      </c>
      <c r="B21" s="5">
        <v>5</v>
      </c>
      <c r="C21" s="5">
        <v>6</v>
      </c>
      <c r="D21" s="9">
        <f t="shared" si="0"/>
        <v>11</v>
      </c>
      <c r="E21" s="9">
        <f>SUM(CABLES[SEGD20])</f>
        <v>0</v>
      </c>
      <c r="F21" s="9">
        <v>2</v>
      </c>
      <c r="G21" s="9">
        <v>1.2</v>
      </c>
      <c r="H21" s="9">
        <f>(SEGMENTS[[#This Row],[INITIAL_DIAMETER]]*SEGMENTS[[#This Row],[X_CAPACITY]])/SEGMENTS[[#This Row],[LAYERS]]</f>
        <v>0</v>
      </c>
      <c r="I21" s="9" t="str">
        <f>IF(SEGMENTS[[#This Row],[CABLE_TOTAL]]&gt;0, INDEX(CABLE_TRAY[], MATCH(SEGMENTS[[#This Row],[MIN_TRAYWIDTH]],CABLE_TRAY[WIDTH],-1), 2), "")</f>
        <v/>
      </c>
      <c r="J21" s="9"/>
      <c r="K21" s="9">
        <f>SUM(CABLES[SEGM20])</f>
        <v>0</v>
      </c>
      <c r="L21" s="9" t="str">
        <f xml:space="preserve"> INDEX(SPAN_BRACE[], MATCH(SEGMENTS[[#This Row],[TRAY_MASS]],SPAN_BRACE[LOADING],-1),2)</f>
        <v>6m</v>
      </c>
      <c r="M21" s="9">
        <f>SUM(CABLES[SEG20])</f>
        <v>0</v>
      </c>
      <c r="N21" s="9">
        <f>SEGMENTS[[#This Row],[LENGTH]]</f>
        <v>11</v>
      </c>
      <c r="O21" s="9" t="str">
        <f>IF(LEN(SEGMENTS[[#This Row],[TRAY_OVERIDE]])&gt;0, SEGMENTS[[#This Row],[TRAY_OVERIDE]],  IF(LEN(SEGMENTS[[#This Row],[SELECTED_TRAY]])&gt;0, SEGMENTS[[#This Row],[SELECTED_TRAY]], "NOT IN USE"))</f>
        <v>NOT IN USE</v>
      </c>
      <c r="Q21" s="5" t="str">
        <f>IF(SEGMENTS[[#This Row],[CABLE_TOTAL]]&gt;0, INDEX(CABLE_TRAY[], MATCH(SEGMENTS[[#This Row],[MIN_TRAYWIDTH]],CABLE_TRAY[WIDTH],-1), 2), "")</f>
        <v/>
      </c>
    </row>
    <row r="22" spans="1:17" x14ac:dyDescent="0.35">
      <c r="A22" s="5" t="s">
        <v>145</v>
      </c>
      <c r="B22" s="5">
        <v>4</v>
      </c>
      <c r="C22" s="5">
        <v>0</v>
      </c>
      <c r="D22" s="9">
        <f t="shared" si="0"/>
        <v>4</v>
      </c>
      <c r="E22" s="9">
        <f>SUM(CABLES[SEGD21])</f>
        <v>72.400000000000006</v>
      </c>
      <c r="F22" s="9">
        <v>2</v>
      </c>
      <c r="G22" s="9">
        <v>1.2</v>
      </c>
      <c r="H22" s="9">
        <f>(SEGMENTS[[#This Row],[INITIAL_DIAMETER]]*SEGMENTS[[#This Row],[X_CAPACITY]])/SEGMENTS[[#This Row],[LAYERS]]</f>
        <v>43.440000000000005</v>
      </c>
      <c r="I22" s="9" t="str">
        <f>IF(SEGMENTS[[#This Row],[CABLE_TOTAL]]&gt;0, INDEX(CABLE_TRAY[], MATCH(SEGMENTS[[#This Row],[MIN_TRAYWIDTH]],CABLE_TRAY[WIDTH],-1), 2), "")</f>
        <v>150mm</v>
      </c>
      <c r="J22" s="9" t="s">
        <v>424</v>
      </c>
      <c r="K22" s="9">
        <f>SUM(CABLES[SEGM21])</f>
        <v>3.26</v>
      </c>
      <c r="L22" s="9" t="str">
        <f xml:space="preserve"> INDEX(SPAN_BRACE[], MATCH(SEGMENTS[[#This Row],[TRAY_MASS]],SPAN_BRACE[LOADING],-1),2)</f>
        <v>6m</v>
      </c>
      <c r="M22" s="9">
        <f>SUM(CABLES[SEG21])</f>
        <v>4</v>
      </c>
      <c r="N22" s="9">
        <f>SEGMENTS[[#This Row],[LENGTH]]</f>
        <v>4</v>
      </c>
      <c r="O22" s="9" t="str">
        <f>IF(LEN(SEGMENTS[[#This Row],[TRAY_OVERIDE]])&gt;0, SEGMENTS[[#This Row],[TRAY_OVERIDE]],  IF(LEN(SEGMENTS[[#This Row],[SELECTED_TRAY]])&gt;0, SEGMENTS[[#This Row],[SELECTED_TRAY]], "NOT IN USE"))</f>
        <v>600mm</v>
      </c>
    </row>
    <row r="23" spans="1:17" x14ac:dyDescent="0.35">
      <c r="A23" s="5" t="s">
        <v>146</v>
      </c>
      <c r="B23" s="5">
        <v>10</v>
      </c>
      <c r="C23" s="5">
        <v>6</v>
      </c>
      <c r="D23" s="9">
        <f t="shared" si="0"/>
        <v>16</v>
      </c>
      <c r="E23" s="9">
        <f>SUM(CABLES[SEGD22])</f>
        <v>72.400000000000006</v>
      </c>
      <c r="F23" s="9">
        <v>2</v>
      </c>
      <c r="G23" s="9">
        <v>1.2</v>
      </c>
      <c r="H23" s="9">
        <f>(SEGMENTS[[#This Row],[INITIAL_DIAMETER]]*SEGMENTS[[#This Row],[X_CAPACITY]])/SEGMENTS[[#This Row],[LAYERS]]</f>
        <v>43.440000000000005</v>
      </c>
      <c r="I23" s="9" t="str">
        <f>IF(SEGMENTS[[#This Row],[CABLE_TOTAL]]&gt;0, INDEX(CABLE_TRAY[], MATCH(SEGMENTS[[#This Row],[MIN_TRAYWIDTH]],CABLE_TRAY[WIDTH],-1), 2), "")</f>
        <v>150mm</v>
      </c>
      <c r="J23" s="9"/>
      <c r="K23" s="9">
        <f>SUM(CABLES[SEGM22])</f>
        <v>3.26</v>
      </c>
      <c r="L23" s="9" t="str">
        <f xml:space="preserve"> INDEX(SPAN_BRACE[], MATCH(SEGMENTS[[#This Row],[TRAY_MASS]],SPAN_BRACE[LOADING],-1),2)</f>
        <v>6m</v>
      </c>
      <c r="M23" s="9">
        <f>SUM(CABLES[SEG22])</f>
        <v>4</v>
      </c>
      <c r="N23" s="9">
        <f>SEGMENTS[[#This Row],[LENGTH]]</f>
        <v>16</v>
      </c>
      <c r="O23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24" spans="1:17" x14ac:dyDescent="0.35">
      <c r="A24" s="5" t="s">
        <v>147</v>
      </c>
      <c r="B24" s="5">
        <v>2</v>
      </c>
      <c r="C24" s="5">
        <v>6</v>
      </c>
      <c r="D24" s="9">
        <f t="shared" si="0"/>
        <v>8</v>
      </c>
      <c r="E24" s="9">
        <f>SUM(CABLES[SEGD23])</f>
        <v>70</v>
      </c>
      <c r="F24" s="9">
        <v>2</v>
      </c>
      <c r="G24" s="9">
        <v>1.2</v>
      </c>
      <c r="H24" s="9">
        <f>(SEGMENTS[[#This Row],[INITIAL_DIAMETER]]*SEGMENTS[[#This Row],[X_CAPACITY]])/SEGMENTS[[#This Row],[LAYERS]]</f>
        <v>42</v>
      </c>
      <c r="I24" s="9" t="str">
        <f>IF(SEGMENTS[[#This Row],[CABLE_TOTAL]]&gt;0, INDEX(CABLE_TRAY[], MATCH(SEGMENTS[[#This Row],[MIN_TRAYWIDTH]],CABLE_TRAY[WIDTH],-1), 2), "")</f>
        <v>150mm</v>
      </c>
      <c r="J24" s="9"/>
      <c r="K24" s="9">
        <f>SUM(CABLES[SEGM23])</f>
        <v>1.53</v>
      </c>
      <c r="L24" s="9" t="str">
        <f xml:space="preserve"> INDEX(SPAN_BRACE[], MATCH(SEGMENTS[[#This Row],[TRAY_MASS]],SPAN_BRACE[LOADING],-1),2)</f>
        <v>6m</v>
      </c>
      <c r="M24" s="9">
        <f>SUM(CABLES[SEG23])</f>
        <v>5</v>
      </c>
      <c r="N24" s="9">
        <f>SEGMENTS[[#This Row],[LENGTH]]</f>
        <v>8</v>
      </c>
      <c r="O24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25" spans="1:17" x14ac:dyDescent="0.35">
      <c r="A25" s="5" t="s">
        <v>148</v>
      </c>
      <c r="B25" s="5">
        <v>15</v>
      </c>
      <c r="C25" s="5">
        <v>6</v>
      </c>
      <c r="D25" s="9">
        <f t="shared" si="0"/>
        <v>21</v>
      </c>
      <c r="E25" s="9">
        <f>SUM(CABLES[SEGD24])</f>
        <v>41</v>
      </c>
      <c r="F25" s="9">
        <v>2</v>
      </c>
      <c r="G25" s="9">
        <v>1.2</v>
      </c>
      <c r="H25" s="9">
        <f>(SEGMENTS[[#This Row],[INITIAL_DIAMETER]]*SEGMENTS[[#This Row],[X_CAPACITY]])/SEGMENTS[[#This Row],[LAYERS]]</f>
        <v>24.599999999999998</v>
      </c>
      <c r="I25" s="9" t="str">
        <f>IF(SEGMENTS[[#This Row],[CABLE_TOTAL]]&gt;0, INDEX(CABLE_TRAY[], MATCH(SEGMENTS[[#This Row],[MIN_TRAYWIDTH]],CABLE_TRAY[WIDTH],-1), 2), "")</f>
        <v>150mm</v>
      </c>
      <c r="J25" s="9" t="s">
        <v>426</v>
      </c>
      <c r="K25" s="9">
        <f>SUM(CABLES[SEGM24])</f>
        <v>3.86</v>
      </c>
      <c r="L25" s="9" t="str">
        <f xml:space="preserve"> INDEX(SPAN_BRACE[], MATCH(SEGMENTS[[#This Row],[TRAY_MASS]],SPAN_BRACE[LOADING],-1),2)</f>
        <v>6m</v>
      </c>
      <c r="M25" s="9">
        <f>SUM(CABLES[SEG24])</f>
        <v>1</v>
      </c>
      <c r="N25" s="9">
        <f>SEGMENTS[[#This Row],[LENGTH]]</f>
        <v>21</v>
      </c>
      <c r="O25" s="9" t="str">
        <f>IF(LEN(SEGMENTS[[#This Row],[TRAY_OVERIDE]])&gt;0, SEGMENTS[[#This Row],[TRAY_OVERIDE]],  IF(LEN(SEGMENTS[[#This Row],[SELECTED_TRAY]])&gt;0, SEGMENTS[[#This Row],[SELECTED_TRAY]], "NOT IN USE"))</f>
        <v>300mm</v>
      </c>
    </row>
    <row r="26" spans="1:17" x14ac:dyDescent="0.35">
      <c r="A26" s="5" t="s">
        <v>149</v>
      </c>
      <c r="B26" s="5">
        <v>0</v>
      </c>
      <c r="C26" s="5">
        <v>0</v>
      </c>
      <c r="D26" s="9">
        <f t="shared" si="0"/>
        <v>0</v>
      </c>
      <c r="E26" s="9">
        <f>SUM(CABLES[SEGD25])</f>
        <v>0</v>
      </c>
      <c r="F26" s="9">
        <v>2</v>
      </c>
      <c r="G26" s="9">
        <v>1.2</v>
      </c>
      <c r="H26" s="9">
        <f>(SEGMENTS[[#This Row],[INITIAL_DIAMETER]]*SEGMENTS[[#This Row],[X_CAPACITY]])/SEGMENTS[[#This Row],[LAYERS]]</f>
        <v>0</v>
      </c>
      <c r="I26" s="9" t="str">
        <f>IF(SEGMENTS[[#This Row],[CABLE_TOTAL]]&gt;0, INDEX(CABLE_TRAY[], MATCH(SEGMENTS[[#This Row],[MIN_TRAYWIDTH]],CABLE_TRAY[WIDTH],-1), 2), "")</f>
        <v/>
      </c>
      <c r="J26" s="9"/>
      <c r="K26" s="9">
        <f>SUM(CABLES[SEGM25])</f>
        <v>0</v>
      </c>
      <c r="L26" s="9" t="str">
        <f xml:space="preserve"> INDEX(SPAN_BRACE[], MATCH(SEGMENTS[[#This Row],[TRAY_MASS]],SPAN_BRACE[LOADING],-1),2)</f>
        <v>6m</v>
      </c>
      <c r="M26" s="9">
        <f>SUM(CABLES[SEG25])</f>
        <v>0</v>
      </c>
      <c r="N26" s="9">
        <f>SEGMENTS[[#This Row],[LENGTH]]</f>
        <v>0</v>
      </c>
      <c r="O26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27" spans="1:17" x14ac:dyDescent="0.35">
      <c r="A27" s="5" t="s">
        <v>150</v>
      </c>
      <c r="B27" s="5">
        <v>0</v>
      </c>
      <c r="C27" s="5">
        <v>0</v>
      </c>
      <c r="D27" s="9">
        <f t="shared" si="0"/>
        <v>0</v>
      </c>
      <c r="E27" s="9">
        <f>SUM(CABLES[SEGD26])</f>
        <v>0</v>
      </c>
      <c r="F27" s="9">
        <v>2</v>
      </c>
      <c r="G27" s="9">
        <v>1.2</v>
      </c>
      <c r="H27" s="9">
        <f>(SEGMENTS[[#This Row],[INITIAL_DIAMETER]]*SEGMENTS[[#This Row],[X_CAPACITY]])/SEGMENTS[[#This Row],[LAYERS]]</f>
        <v>0</v>
      </c>
      <c r="I27" s="9" t="str">
        <f>IF(SEGMENTS[[#This Row],[CABLE_TOTAL]]&gt;0, INDEX(CABLE_TRAY[], MATCH(SEGMENTS[[#This Row],[MIN_TRAYWIDTH]],CABLE_TRAY[WIDTH],-1), 2), "")</f>
        <v/>
      </c>
      <c r="J27" s="9"/>
      <c r="K27" s="9">
        <f>SUM(CABLES[SEGM26])</f>
        <v>0</v>
      </c>
      <c r="L27" s="9" t="str">
        <f xml:space="preserve"> INDEX(SPAN_BRACE[], MATCH(SEGMENTS[[#This Row],[TRAY_MASS]],SPAN_BRACE[LOADING],-1),2)</f>
        <v>6m</v>
      </c>
      <c r="M27" s="9">
        <f>SUM(CABLES[SEG26])</f>
        <v>0</v>
      </c>
      <c r="N27" s="9">
        <f>SEGMENTS[[#This Row],[LENGTH]]</f>
        <v>0</v>
      </c>
      <c r="O27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28" spans="1:17" x14ac:dyDescent="0.35">
      <c r="A28" s="5" t="s">
        <v>151</v>
      </c>
      <c r="B28" s="5">
        <v>0</v>
      </c>
      <c r="C28" s="5">
        <v>0</v>
      </c>
      <c r="D28" s="9">
        <f t="shared" si="0"/>
        <v>0</v>
      </c>
      <c r="E28" s="9">
        <f>SUM(CABLES[SEGD27])</f>
        <v>0</v>
      </c>
      <c r="F28" s="9">
        <v>2</v>
      </c>
      <c r="G28" s="9">
        <v>1.2</v>
      </c>
      <c r="H28" s="9">
        <f>(SEGMENTS[[#This Row],[INITIAL_DIAMETER]]*SEGMENTS[[#This Row],[X_CAPACITY]])/SEGMENTS[[#This Row],[LAYERS]]</f>
        <v>0</v>
      </c>
      <c r="I28" s="9" t="str">
        <f>IF(SEGMENTS[[#This Row],[CABLE_TOTAL]]&gt;0, INDEX(CABLE_TRAY[], MATCH(SEGMENTS[[#This Row],[MIN_TRAYWIDTH]],CABLE_TRAY[WIDTH],-1), 2), "")</f>
        <v/>
      </c>
      <c r="J28" s="9"/>
      <c r="K28" s="9">
        <f>SUM(CABLES[SEGM27])</f>
        <v>0</v>
      </c>
      <c r="L28" s="9" t="str">
        <f xml:space="preserve"> INDEX(SPAN_BRACE[], MATCH(SEGMENTS[[#This Row],[TRAY_MASS]],SPAN_BRACE[LOADING],-1),2)</f>
        <v>6m</v>
      </c>
      <c r="M28" s="9">
        <f>SUM(CABLES[SEG27])</f>
        <v>0</v>
      </c>
      <c r="N28" s="9">
        <f>SEGMENTS[[#This Row],[LENGTH]]</f>
        <v>0</v>
      </c>
      <c r="O28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29" spans="1:17" x14ac:dyDescent="0.35">
      <c r="A29" s="5" t="s">
        <v>152</v>
      </c>
      <c r="B29" s="5">
        <v>0</v>
      </c>
      <c r="C29" s="5">
        <v>0</v>
      </c>
      <c r="D29" s="9">
        <f t="shared" si="0"/>
        <v>0</v>
      </c>
      <c r="E29" s="9">
        <f>SUM(CABLES[SEGD28])</f>
        <v>0</v>
      </c>
      <c r="F29" s="9">
        <v>2</v>
      </c>
      <c r="G29" s="9">
        <v>1.2</v>
      </c>
      <c r="H29" s="9">
        <f>(SEGMENTS[[#This Row],[INITIAL_DIAMETER]]*SEGMENTS[[#This Row],[X_CAPACITY]])/SEGMENTS[[#This Row],[LAYERS]]</f>
        <v>0</v>
      </c>
      <c r="I29" s="9" t="str">
        <f>IF(SEGMENTS[[#This Row],[CABLE_TOTAL]]&gt;0, INDEX(CABLE_TRAY[], MATCH(SEGMENTS[[#This Row],[MIN_TRAYWIDTH]],CABLE_TRAY[WIDTH],-1), 2), "")</f>
        <v/>
      </c>
      <c r="J29" s="9"/>
      <c r="K29" s="9">
        <f>SUM(CABLES[SEGM28])</f>
        <v>0</v>
      </c>
      <c r="L29" s="9" t="str">
        <f xml:space="preserve"> INDEX(SPAN_BRACE[], MATCH(SEGMENTS[[#This Row],[TRAY_MASS]],SPAN_BRACE[LOADING],-1),2)</f>
        <v>6m</v>
      </c>
      <c r="M29" s="9">
        <f>SUM(CABLES[SEG28])</f>
        <v>0</v>
      </c>
      <c r="N29" s="9">
        <f>SEGMENTS[[#This Row],[LENGTH]]</f>
        <v>0</v>
      </c>
      <c r="O29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30" spans="1:17" x14ac:dyDescent="0.35">
      <c r="A30" s="5" t="s">
        <v>153</v>
      </c>
      <c r="B30" s="5">
        <v>0</v>
      </c>
      <c r="C30" s="5">
        <v>0</v>
      </c>
      <c r="D30" s="9">
        <f t="shared" si="0"/>
        <v>0</v>
      </c>
      <c r="E30" s="9">
        <f>SUM(CABLES[SEGD29])</f>
        <v>0</v>
      </c>
      <c r="F30" s="9">
        <v>2</v>
      </c>
      <c r="G30" s="9">
        <v>1.2</v>
      </c>
      <c r="H30" s="9">
        <f>(SEGMENTS[[#This Row],[INITIAL_DIAMETER]]*SEGMENTS[[#This Row],[X_CAPACITY]])/SEGMENTS[[#This Row],[LAYERS]]</f>
        <v>0</v>
      </c>
      <c r="I30" s="9" t="str">
        <f>IF(SEGMENTS[[#This Row],[CABLE_TOTAL]]&gt;0, INDEX(CABLE_TRAY[], MATCH(SEGMENTS[[#This Row],[MIN_TRAYWIDTH]],CABLE_TRAY[WIDTH],-1), 2), "")</f>
        <v/>
      </c>
      <c r="J30" s="9"/>
      <c r="K30" s="9">
        <f>SUM(CABLES[SEGM29])</f>
        <v>0</v>
      </c>
      <c r="L30" s="9" t="str">
        <f xml:space="preserve"> INDEX(SPAN_BRACE[], MATCH(SEGMENTS[[#This Row],[TRAY_MASS]],SPAN_BRACE[LOADING],-1),2)</f>
        <v>6m</v>
      </c>
      <c r="M30" s="9">
        <f>SUM(CABLES[SEG29])</f>
        <v>0</v>
      </c>
      <c r="N30" s="9">
        <f>SEGMENTS[[#This Row],[LENGTH]]</f>
        <v>0</v>
      </c>
      <c r="O30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31" spans="1:17" x14ac:dyDescent="0.35">
      <c r="A31" s="5" t="s">
        <v>154</v>
      </c>
      <c r="B31" s="5">
        <v>4</v>
      </c>
      <c r="C31" s="5">
        <v>2</v>
      </c>
      <c r="D31" s="9">
        <f t="shared" si="0"/>
        <v>6</v>
      </c>
      <c r="E31" s="9">
        <f>SUM(CABLES[SEGD30])</f>
        <v>603.6</v>
      </c>
      <c r="F31" s="9">
        <v>2</v>
      </c>
      <c r="G31" s="9">
        <v>1.2</v>
      </c>
      <c r="H31" s="9">
        <f>(SEGMENTS[[#This Row],[INITIAL_DIAMETER]]*SEGMENTS[[#This Row],[X_CAPACITY]])/SEGMENTS[[#This Row],[LAYERS]]</f>
        <v>362.16</v>
      </c>
      <c r="I31" s="9" t="str">
        <f>IF(SEGMENTS[[#This Row],[CABLE_TOTAL]]&gt;0, INDEX(CABLE_TRAY[], MATCH(SEGMENTS[[#This Row],[MIN_TRAYWIDTH]],CABLE_TRAY[WIDTH],-1), 2), "")</f>
        <v>450mm</v>
      </c>
      <c r="J31" s="9" t="s">
        <v>424</v>
      </c>
      <c r="K31" s="9">
        <f>SUM(CABLES[SEGM30])</f>
        <v>12.800000000000008</v>
      </c>
      <c r="L31" s="9" t="str">
        <f xml:space="preserve"> INDEX(SPAN_BRACE[], MATCH(SEGMENTS[[#This Row],[TRAY_MASS]],SPAN_BRACE[LOADING],-1),2)</f>
        <v>6m</v>
      </c>
      <c r="M31" s="9">
        <f>SUM(CABLES[SEG30])</f>
        <v>45</v>
      </c>
      <c r="N31" s="9">
        <f>SEGMENTS[[#This Row],[LENGTH]]</f>
        <v>6</v>
      </c>
      <c r="O31" s="9" t="str">
        <f>IF(LEN(SEGMENTS[[#This Row],[TRAY_OVERIDE]])&gt;0, SEGMENTS[[#This Row],[TRAY_OVERIDE]],  IF(LEN(SEGMENTS[[#This Row],[SELECTED_TRAY]])&gt;0, SEGMENTS[[#This Row],[SELECTED_TRAY]], "NOT IN USE"))</f>
        <v>600mm</v>
      </c>
    </row>
    <row r="32" spans="1:17" x14ac:dyDescent="0.35">
      <c r="A32" s="5" t="s">
        <v>155</v>
      </c>
      <c r="B32" s="5">
        <v>3</v>
      </c>
      <c r="C32" s="5">
        <v>0</v>
      </c>
      <c r="D32" s="9">
        <f t="shared" si="0"/>
        <v>3</v>
      </c>
      <c r="E32" s="9">
        <f>SUM(CABLES[SEGD31])</f>
        <v>603.6</v>
      </c>
      <c r="F32" s="9">
        <v>2</v>
      </c>
      <c r="G32" s="9">
        <v>1.2</v>
      </c>
      <c r="H32" s="9">
        <f>(SEGMENTS[[#This Row],[INITIAL_DIAMETER]]*SEGMENTS[[#This Row],[X_CAPACITY]])/SEGMENTS[[#This Row],[LAYERS]]</f>
        <v>362.16</v>
      </c>
      <c r="I32" s="9" t="str">
        <f>IF(SEGMENTS[[#This Row],[CABLE_TOTAL]]&gt;0, INDEX(CABLE_TRAY[], MATCH(SEGMENTS[[#This Row],[MIN_TRAYWIDTH]],CABLE_TRAY[WIDTH],-1), 2), "")</f>
        <v>450mm</v>
      </c>
      <c r="J32" s="9"/>
      <c r="K32" s="9">
        <f>SUM(CABLES[SEGM31])</f>
        <v>12.800000000000008</v>
      </c>
      <c r="L32" s="9" t="str">
        <f xml:space="preserve"> INDEX(SPAN_BRACE[], MATCH(SEGMENTS[[#This Row],[TRAY_MASS]],SPAN_BRACE[LOADING],-1),2)</f>
        <v>6m</v>
      </c>
      <c r="M32" s="9">
        <f>SUM(CABLES[SEG31])</f>
        <v>45</v>
      </c>
      <c r="N32" s="9">
        <f>SEGMENTS[[#This Row],[LENGTH]]</f>
        <v>3</v>
      </c>
      <c r="O32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33" spans="1:15" x14ac:dyDescent="0.35">
      <c r="A33" s="5" t="s">
        <v>156</v>
      </c>
      <c r="B33" s="5">
        <v>5</v>
      </c>
      <c r="C33" s="5">
        <v>0</v>
      </c>
      <c r="D33" s="9">
        <f t="shared" si="0"/>
        <v>5</v>
      </c>
      <c r="E33" s="9">
        <f>SUM(CABLES[SEGD32])</f>
        <v>231.5</v>
      </c>
      <c r="F33" s="9">
        <v>2</v>
      </c>
      <c r="G33" s="9">
        <v>1.2</v>
      </c>
      <c r="H33" s="9">
        <f>(SEGMENTS[[#This Row],[INITIAL_DIAMETER]]*SEGMENTS[[#This Row],[X_CAPACITY]])/SEGMENTS[[#This Row],[LAYERS]]</f>
        <v>138.9</v>
      </c>
      <c r="I33" s="9" t="str">
        <f>IF(SEGMENTS[[#This Row],[CABLE_TOTAL]]&gt;0, INDEX(CABLE_TRAY[], MATCH(SEGMENTS[[#This Row],[MIN_TRAYWIDTH]],CABLE_TRAY[WIDTH],-1), 2), "")</f>
        <v>150mm</v>
      </c>
      <c r="J33" s="9" t="s">
        <v>425</v>
      </c>
      <c r="K33" s="9">
        <f>SUM(CABLES[SEGM32])</f>
        <v>4.8900000000000006</v>
      </c>
      <c r="L33" s="9" t="str">
        <f xml:space="preserve"> INDEX(SPAN_BRACE[], MATCH(SEGMENTS[[#This Row],[TRAY_MASS]],SPAN_BRACE[LOADING],-1),2)</f>
        <v>6m</v>
      </c>
      <c r="M33" s="9">
        <f>SUM(CABLES[SEG32])</f>
        <v>17</v>
      </c>
      <c r="N33" s="9">
        <f>SEGMENTS[[#This Row],[LENGTH]]</f>
        <v>5</v>
      </c>
      <c r="O33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34" spans="1:15" x14ac:dyDescent="0.35">
      <c r="A34" s="5" t="s">
        <v>157</v>
      </c>
      <c r="B34" s="5">
        <v>2</v>
      </c>
      <c r="C34" s="5">
        <v>5</v>
      </c>
      <c r="D34" s="9">
        <f t="shared" si="0"/>
        <v>7</v>
      </c>
      <c r="E34" s="9">
        <f>SUM(CABLES[SEGD33])</f>
        <v>0</v>
      </c>
      <c r="F34" s="9">
        <v>2</v>
      </c>
      <c r="G34" s="9">
        <v>1.2</v>
      </c>
      <c r="H34" s="9">
        <f>(SEGMENTS[[#This Row],[INITIAL_DIAMETER]]*SEGMENTS[[#This Row],[X_CAPACITY]])/SEGMENTS[[#This Row],[LAYERS]]</f>
        <v>0</v>
      </c>
      <c r="I34" s="9" t="str">
        <f>IF(SEGMENTS[[#This Row],[CABLE_TOTAL]]&gt;0, INDEX(CABLE_TRAY[], MATCH(SEGMENTS[[#This Row],[MIN_TRAYWIDTH]],CABLE_TRAY[WIDTH],-1), 2), "")</f>
        <v/>
      </c>
      <c r="J34" s="9"/>
      <c r="K34" s="9">
        <f>SUM(CABLES[SEGM33])</f>
        <v>0</v>
      </c>
      <c r="L34" s="9" t="str">
        <f xml:space="preserve"> INDEX(SPAN_BRACE[], MATCH(SEGMENTS[[#This Row],[TRAY_MASS]],SPAN_BRACE[LOADING],-1),2)</f>
        <v>6m</v>
      </c>
      <c r="M34" s="9">
        <f>SUM(CABLES[SEG33])</f>
        <v>0</v>
      </c>
      <c r="N34" s="9">
        <f>SEGMENTS[[#This Row],[LENGTH]]</f>
        <v>7</v>
      </c>
      <c r="O34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35" spans="1:15" x14ac:dyDescent="0.35">
      <c r="A35" s="5" t="s">
        <v>158</v>
      </c>
      <c r="B35" s="5">
        <v>7</v>
      </c>
      <c r="C35" s="5">
        <v>0</v>
      </c>
      <c r="D35" s="9">
        <f t="shared" si="0"/>
        <v>7</v>
      </c>
      <c r="E35" s="9">
        <f>SUM(CABLES[SEGD34])</f>
        <v>231.5</v>
      </c>
      <c r="F35" s="9">
        <v>2</v>
      </c>
      <c r="G35" s="9">
        <v>1.2</v>
      </c>
      <c r="H35" s="9">
        <f>(SEGMENTS[[#This Row],[INITIAL_DIAMETER]]*SEGMENTS[[#This Row],[X_CAPACITY]])/SEGMENTS[[#This Row],[LAYERS]]</f>
        <v>138.9</v>
      </c>
      <c r="I35" s="9" t="str">
        <f>IF(SEGMENTS[[#This Row],[CABLE_TOTAL]]&gt;0, INDEX(CABLE_TRAY[], MATCH(SEGMENTS[[#This Row],[MIN_TRAYWIDTH]],CABLE_TRAY[WIDTH],-1), 2), "")</f>
        <v>150mm</v>
      </c>
      <c r="J35" s="9" t="s">
        <v>425</v>
      </c>
      <c r="K35" s="9">
        <f>SUM(CABLES[SEGM34])</f>
        <v>4.8900000000000006</v>
      </c>
      <c r="L35" s="9" t="str">
        <f xml:space="preserve"> INDEX(SPAN_BRACE[], MATCH(SEGMENTS[[#This Row],[TRAY_MASS]],SPAN_BRACE[LOADING],-1),2)</f>
        <v>6m</v>
      </c>
      <c r="M35" s="9">
        <f>SUM(CABLES[SEG34])</f>
        <v>17</v>
      </c>
      <c r="N35" s="9">
        <f>SEGMENTS[[#This Row],[LENGTH]]</f>
        <v>7</v>
      </c>
      <c r="O35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36" spans="1:15" x14ac:dyDescent="0.35">
      <c r="A36" s="5" t="s">
        <v>159</v>
      </c>
      <c r="B36" s="5">
        <v>2</v>
      </c>
      <c r="C36" s="5">
        <v>5</v>
      </c>
      <c r="D36" s="9">
        <f t="shared" si="0"/>
        <v>7</v>
      </c>
      <c r="E36" s="9">
        <f>SUM(CABLES[SEGD35])</f>
        <v>125.5</v>
      </c>
      <c r="F36" s="9">
        <v>2</v>
      </c>
      <c r="G36" s="9">
        <v>1.2</v>
      </c>
      <c r="H36" s="9">
        <f>(SEGMENTS[[#This Row],[INITIAL_DIAMETER]]*SEGMENTS[[#This Row],[X_CAPACITY]])/SEGMENTS[[#This Row],[LAYERS]]</f>
        <v>75.3</v>
      </c>
      <c r="I36" s="9" t="str">
        <f>IF(SEGMENTS[[#This Row],[CABLE_TOTAL]]&gt;0, INDEX(CABLE_TRAY[], MATCH(SEGMENTS[[#This Row],[MIN_TRAYWIDTH]],CABLE_TRAY[WIDTH],-1), 2), "")</f>
        <v>150mm</v>
      </c>
      <c r="J36" s="9"/>
      <c r="K36" s="9">
        <f>SUM(CABLES[SEGM35])</f>
        <v>2.73</v>
      </c>
      <c r="L36" s="9" t="str">
        <f xml:space="preserve"> INDEX(SPAN_BRACE[], MATCH(SEGMENTS[[#This Row],[TRAY_MASS]],SPAN_BRACE[LOADING],-1),2)</f>
        <v>6m</v>
      </c>
      <c r="M36" s="9">
        <f>SUM(CABLES[SEG35])</f>
        <v>9</v>
      </c>
      <c r="N36" s="9">
        <f>SEGMENTS[[#This Row],[LENGTH]]</f>
        <v>7</v>
      </c>
      <c r="O36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37" spans="1:15" x14ac:dyDescent="0.35">
      <c r="A37" s="5" t="s">
        <v>160</v>
      </c>
      <c r="B37" s="5">
        <v>9</v>
      </c>
      <c r="C37" s="5">
        <v>0</v>
      </c>
      <c r="D37" s="9">
        <f t="shared" si="0"/>
        <v>9</v>
      </c>
      <c r="E37" s="9">
        <f>SUM(CABLES[SEGD36])</f>
        <v>125.5</v>
      </c>
      <c r="F37" s="9">
        <v>2</v>
      </c>
      <c r="G37" s="9">
        <v>1.2</v>
      </c>
      <c r="H37" s="9">
        <f>(SEGMENTS[[#This Row],[INITIAL_DIAMETER]]*SEGMENTS[[#This Row],[X_CAPACITY]])/SEGMENTS[[#This Row],[LAYERS]]</f>
        <v>75.3</v>
      </c>
      <c r="I37" s="9" t="str">
        <f>IF(SEGMENTS[[#This Row],[CABLE_TOTAL]]&gt;0, INDEX(CABLE_TRAY[], MATCH(SEGMENTS[[#This Row],[MIN_TRAYWIDTH]],CABLE_TRAY[WIDTH],-1), 2), "")</f>
        <v>150mm</v>
      </c>
      <c r="J37" s="9"/>
      <c r="K37" s="9">
        <f>SUM(CABLES[SEGM36])</f>
        <v>2.73</v>
      </c>
      <c r="L37" s="9" t="str">
        <f xml:space="preserve"> INDEX(SPAN_BRACE[], MATCH(SEGMENTS[[#This Row],[TRAY_MASS]],SPAN_BRACE[LOADING],-1),2)</f>
        <v>6m</v>
      </c>
      <c r="M37" s="9">
        <f>SUM(CABLES[SEG36])</f>
        <v>9</v>
      </c>
      <c r="N37" s="9">
        <f>SEGMENTS[[#This Row],[LENGTH]]</f>
        <v>9</v>
      </c>
      <c r="O37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38" spans="1:15" x14ac:dyDescent="0.35">
      <c r="A38" s="5" t="s">
        <v>161</v>
      </c>
      <c r="B38" s="5">
        <v>5</v>
      </c>
      <c r="C38" s="5">
        <v>0</v>
      </c>
      <c r="D38" s="9">
        <f t="shared" si="0"/>
        <v>5</v>
      </c>
      <c r="E38" s="9">
        <f>SUM(CABLES[SEGD37])</f>
        <v>106</v>
      </c>
      <c r="F38" s="9">
        <v>2</v>
      </c>
      <c r="G38" s="9">
        <v>1.2</v>
      </c>
      <c r="H38" s="9">
        <f>(SEGMENTS[[#This Row],[INITIAL_DIAMETER]]*SEGMENTS[[#This Row],[X_CAPACITY]])/SEGMENTS[[#This Row],[LAYERS]]</f>
        <v>63.599999999999994</v>
      </c>
      <c r="I38" s="9" t="str">
        <f>IF(SEGMENTS[[#This Row],[CABLE_TOTAL]]&gt;0, INDEX(CABLE_TRAY[], MATCH(SEGMENTS[[#This Row],[MIN_TRAYWIDTH]],CABLE_TRAY[WIDTH],-1), 2), "")</f>
        <v>150mm</v>
      </c>
      <c r="J38" s="9" t="s">
        <v>425</v>
      </c>
      <c r="K38" s="9">
        <f>SUM(CABLES[SEGM37])</f>
        <v>2.16</v>
      </c>
      <c r="L38" s="9" t="str">
        <f xml:space="preserve"> INDEX(SPAN_BRACE[], MATCH(SEGMENTS[[#This Row],[TRAY_MASS]],SPAN_BRACE[LOADING],-1),2)</f>
        <v>6m</v>
      </c>
      <c r="M38" s="9">
        <f>SUM(CABLES[SEG37])</f>
        <v>8</v>
      </c>
      <c r="N38" s="9">
        <f>SEGMENTS[[#This Row],[LENGTH]]</f>
        <v>5</v>
      </c>
      <c r="O38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39" spans="1:15" x14ac:dyDescent="0.35">
      <c r="A39" s="5" t="s">
        <v>162</v>
      </c>
      <c r="B39" s="5">
        <v>10</v>
      </c>
      <c r="C39" s="5">
        <v>5</v>
      </c>
      <c r="D39" s="9">
        <f t="shared" si="0"/>
        <v>15</v>
      </c>
      <c r="E39" s="9">
        <f>SUM(CABLES[SEGD38])</f>
        <v>106</v>
      </c>
      <c r="F39" s="9">
        <v>2</v>
      </c>
      <c r="G39" s="9">
        <v>1.2</v>
      </c>
      <c r="H39" s="9">
        <f>(SEGMENTS[[#This Row],[INITIAL_DIAMETER]]*SEGMENTS[[#This Row],[X_CAPACITY]])/SEGMENTS[[#This Row],[LAYERS]]</f>
        <v>63.599999999999994</v>
      </c>
      <c r="I39" s="9" t="str">
        <f>IF(SEGMENTS[[#This Row],[CABLE_TOTAL]]&gt;0, INDEX(CABLE_TRAY[], MATCH(SEGMENTS[[#This Row],[MIN_TRAYWIDTH]],CABLE_TRAY[WIDTH],-1), 2), "")</f>
        <v>150mm</v>
      </c>
      <c r="J39" s="9"/>
      <c r="K39" s="9">
        <f>SUM(CABLES[SEGM38])</f>
        <v>2.16</v>
      </c>
      <c r="L39" s="9" t="str">
        <f xml:space="preserve"> INDEX(SPAN_BRACE[], MATCH(SEGMENTS[[#This Row],[TRAY_MASS]],SPAN_BRACE[LOADING],-1),2)</f>
        <v>6m</v>
      </c>
      <c r="M39" s="9">
        <f>SUM(CABLES[SEG38])</f>
        <v>8</v>
      </c>
      <c r="N39" s="9">
        <f>SEGMENTS[[#This Row],[LENGTH]]</f>
        <v>15</v>
      </c>
      <c r="O39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40" spans="1:15" x14ac:dyDescent="0.35">
      <c r="A40" s="5" t="s">
        <v>163</v>
      </c>
      <c r="B40" s="5">
        <v>8</v>
      </c>
      <c r="C40" s="5">
        <v>0</v>
      </c>
      <c r="D40" s="9">
        <f t="shared" si="0"/>
        <v>8</v>
      </c>
      <c r="E40" s="9">
        <f>SUM(CABLES[SEGD39])</f>
        <v>372.09999999999997</v>
      </c>
      <c r="F40" s="9">
        <v>2</v>
      </c>
      <c r="G40" s="9">
        <v>1.2</v>
      </c>
      <c r="H40" s="9">
        <f>(SEGMENTS[[#This Row],[INITIAL_DIAMETER]]*SEGMENTS[[#This Row],[X_CAPACITY]])/SEGMENTS[[#This Row],[LAYERS]]</f>
        <v>223.25999999999996</v>
      </c>
      <c r="I40" s="9" t="str">
        <f>IF(SEGMENTS[[#This Row],[CABLE_TOTAL]]&gt;0, INDEX(CABLE_TRAY[], MATCH(SEGMENTS[[#This Row],[MIN_TRAYWIDTH]],CABLE_TRAY[WIDTH],-1), 2), "")</f>
        <v>300mm</v>
      </c>
      <c r="J40" s="9" t="s">
        <v>425</v>
      </c>
      <c r="K40" s="9">
        <f>SUM(CABLES[SEGM39])</f>
        <v>7.91</v>
      </c>
      <c r="L40" s="9" t="str">
        <f xml:space="preserve"> INDEX(SPAN_BRACE[], MATCH(SEGMENTS[[#This Row],[TRAY_MASS]],SPAN_BRACE[LOADING],-1),2)</f>
        <v>6m</v>
      </c>
      <c r="M40" s="9">
        <f>SUM(CABLES[SEG39])</f>
        <v>28</v>
      </c>
      <c r="N40" s="9">
        <f>SEGMENTS[[#This Row],[LENGTH]]</f>
        <v>8</v>
      </c>
      <c r="O40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41" spans="1:15" x14ac:dyDescent="0.35">
      <c r="A41" s="5" t="s">
        <v>164</v>
      </c>
      <c r="B41" s="5">
        <v>6</v>
      </c>
      <c r="C41" s="5">
        <v>5</v>
      </c>
      <c r="D41" s="9">
        <f t="shared" si="0"/>
        <v>11</v>
      </c>
      <c r="E41" s="9">
        <f>SUM(CABLES[SEGD40])</f>
        <v>96</v>
      </c>
      <c r="F41" s="9">
        <v>2</v>
      </c>
      <c r="G41" s="9">
        <v>1.2</v>
      </c>
      <c r="H41" s="9">
        <f>(SEGMENTS[[#This Row],[INITIAL_DIAMETER]]*SEGMENTS[[#This Row],[X_CAPACITY]])/SEGMENTS[[#This Row],[LAYERS]]</f>
        <v>57.599999999999994</v>
      </c>
      <c r="I41" s="9" t="str">
        <f>IF(SEGMENTS[[#This Row],[CABLE_TOTAL]]&gt;0, INDEX(CABLE_TRAY[], MATCH(SEGMENTS[[#This Row],[MIN_TRAYWIDTH]],CABLE_TRAY[WIDTH],-1), 2), "")</f>
        <v>150mm</v>
      </c>
      <c r="J41" s="9"/>
      <c r="K41" s="9">
        <f>SUM(CABLES[SEGM40])</f>
        <v>1.68</v>
      </c>
      <c r="L41" s="9" t="str">
        <f xml:space="preserve"> INDEX(SPAN_BRACE[], MATCH(SEGMENTS[[#This Row],[TRAY_MASS]],SPAN_BRACE[LOADING],-1),2)</f>
        <v>6m</v>
      </c>
      <c r="M41" s="9">
        <f>SUM(CABLES[SEG40])</f>
        <v>8</v>
      </c>
      <c r="N41" s="9">
        <f>SEGMENTS[[#This Row],[LENGTH]]</f>
        <v>11</v>
      </c>
      <c r="O41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42" spans="1:15" x14ac:dyDescent="0.35">
      <c r="A42" s="5" t="s">
        <v>225</v>
      </c>
      <c r="B42" s="5">
        <v>8</v>
      </c>
      <c r="C42" s="5">
        <v>0</v>
      </c>
      <c r="D42" s="9">
        <f t="shared" ref="D42:D61" si="1">B42+C42</f>
        <v>8</v>
      </c>
      <c r="E42" s="9">
        <f>SUM(CABLES[SEGD41])</f>
        <v>276.10000000000002</v>
      </c>
      <c r="F42" s="9">
        <v>2</v>
      </c>
      <c r="G42" s="9">
        <v>1.2</v>
      </c>
      <c r="H42" s="9">
        <f>(SEGMENTS[[#This Row],[INITIAL_DIAMETER]]*SEGMENTS[[#This Row],[X_CAPACITY]])/SEGMENTS[[#This Row],[LAYERS]]</f>
        <v>165.66</v>
      </c>
      <c r="I42" s="9" t="str">
        <f>IF(SEGMENTS[[#This Row],[CABLE_TOTAL]]&gt;0, INDEX(CABLE_TRAY[], MATCH(SEGMENTS[[#This Row],[MIN_TRAYWIDTH]],CABLE_TRAY[WIDTH],-1), 2), "")</f>
        <v>300mm</v>
      </c>
      <c r="J42" s="9" t="s">
        <v>425</v>
      </c>
      <c r="K42" s="9">
        <f>SUM(CABLES[SEGM41])</f>
        <v>6.23</v>
      </c>
      <c r="L42" s="9" t="str">
        <f xml:space="preserve"> INDEX(SPAN_BRACE[], MATCH(SEGMENTS[[#This Row],[TRAY_MASS]],SPAN_BRACE[LOADING],-1),2)</f>
        <v>6m</v>
      </c>
      <c r="M42" s="9">
        <f>SUM(CABLES[SEG41])</f>
        <v>20</v>
      </c>
      <c r="N42" s="9">
        <f>SEGMENTS[[#This Row],[LENGTH]]</f>
        <v>8</v>
      </c>
      <c r="O42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43" spans="1:15" x14ac:dyDescent="0.35">
      <c r="A43" s="5" t="s">
        <v>226</v>
      </c>
      <c r="B43" s="5">
        <v>22</v>
      </c>
      <c r="C43" s="5">
        <v>0</v>
      </c>
      <c r="D43" s="9">
        <f t="shared" si="1"/>
        <v>22</v>
      </c>
      <c r="E43" s="9">
        <f>SUM(CABLES[SEGD42])</f>
        <v>52.3</v>
      </c>
      <c r="F43" s="9">
        <v>2</v>
      </c>
      <c r="G43" s="9">
        <v>1.2</v>
      </c>
      <c r="H43" s="9">
        <f>(SEGMENTS[[#This Row],[INITIAL_DIAMETER]]*SEGMENTS[[#This Row],[X_CAPACITY]])/SEGMENTS[[#This Row],[LAYERS]]</f>
        <v>31.379999999999995</v>
      </c>
      <c r="I43" s="9" t="str">
        <f>IF(SEGMENTS[[#This Row],[CABLE_TOTAL]]&gt;0, INDEX(CABLE_TRAY[], MATCH(SEGMENTS[[#This Row],[MIN_TRAYWIDTH]],CABLE_TRAY[WIDTH],-1), 2), "")</f>
        <v>150mm</v>
      </c>
      <c r="J43" s="9"/>
      <c r="K43" s="9">
        <f>SUM(CABLES[SEGM42])</f>
        <v>1.52</v>
      </c>
      <c r="L43" s="9" t="str">
        <f xml:space="preserve"> INDEX(SPAN_BRACE[], MATCH(SEGMENTS[[#This Row],[TRAY_MASS]],SPAN_BRACE[LOADING],-1),2)</f>
        <v>6m</v>
      </c>
      <c r="M43" s="9">
        <f>SUM(CABLES[SEG42])</f>
        <v>3</v>
      </c>
      <c r="N43" s="9">
        <f>SEGMENTS[[#This Row],[LENGTH]]</f>
        <v>22</v>
      </c>
      <c r="O43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44" spans="1:15" x14ac:dyDescent="0.35">
      <c r="A44" s="5" t="s">
        <v>227</v>
      </c>
      <c r="B44" s="5">
        <v>10</v>
      </c>
      <c r="C44" s="5">
        <v>0</v>
      </c>
      <c r="D44" s="9">
        <f t="shared" si="1"/>
        <v>10</v>
      </c>
      <c r="E44" s="9">
        <f>SUM(CABLES[SEGD43])</f>
        <v>35.799999999999997</v>
      </c>
      <c r="F44" s="9">
        <v>2</v>
      </c>
      <c r="G44" s="9">
        <v>1.2</v>
      </c>
      <c r="H44" s="9">
        <f>(SEGMENTS[[#This Row],[INITIAL_DIAMETER]]*SEGMENTS[[#This Row],[X_CAPACITY]])/SEGMENTS[[#This Row],[LAYERS]]</f>
        <v>21.479999999999997</v>
      </c>
      <c r="I44" s="9" t="str">
        <f>IF(SEGMENTS[[#This Row],[CABLE_TOTAL]]&gt;0, INDEX(CABLE_TRAY[], MATCH(SEGMENTS[[#This Row],[MIN_TRAYWIDTH]],CABLE_TRAY[WIDTH],-1), 2), "")</f>
        <v>150mm</v>
      </c>
      <c r="J44" s="9"/>
      <c r="K44" s="9">
        <f>SUM(CABLES[SEGM43])</f>
        <v>1.1099999999999999</v>
      </c>
      <c r="L44" s="9" t="str">
        <f xml:space="preserve"> INDEX(SPAN_BRACE[], MATCH(SEGMENTS[[#This Row],[TRAY_MASS]],SPAN_BRACE[LOADING],-1),2)</f>
        <v>6m</v>
      </c>
      <c r="M44" s="9">
        <f>SUM(CABLES[SEG43])</f>
        <v>2</v>
      </c>
      <c r="N44" s="9">
        <f>SEGMENTS[[#This Row],[LENGTH]]</f>
        <v>10</v>
      </c>
      <c r="O44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45" spans="1:15" x14ac:dyDescent="0.35">
      <c r="A45" s="5" t="s">
        <v>228</v>
      </c>
      <c r="B45" s="5">
        <v>9</v>
      </c>
      <c r="C45" s="5">
        <v>5</v>
      </c>
      <c r="D45" s="9">
        <f t="shared" si="1"/>
        <v>14</v>
      </c>
      <c r="E45" s="9">
        <f>SUM(CABLES[SEGD44])</f>
        <v>18.399999999999999</v>
      </c>
      <c r="F45" s="9">
        <v>2</v>
      </c>
      <c r="G45" s="9">
        <v>1.2</v>
      </c>
      <c r="H45" s="9">
        <f>(SEGMENTS[[#This Row],[INITIAL_DIAMETER]]*SEGMENTS[[#This Row],[X_CAPACITY]])/SEGMENTS[[#This Row],[LAYERS]]</f>
        <v>11.04</v>
      </c>
      <c r="I45" s="9" t="str">
        <f>IF(SEGMENTS[[#This Row],[CABLE_TOTAL]]&gt;0, INDEX(CABLE_TRAY[], MATCH(SEGMENTS[[#This Row],[MIN_TRAYWIDTH]],CABLE_TRAY[WIDTH],-1), 2), "")</f>
        <v>150mm</v>
      </c>
      <c r="J45" s="9"/>
      <c r="K45" s="9">
        <f>SUM(CABLES[SEGM44])</f>
        <v>0.62</v>
      </c>
      <c r="L45" s="9" t="str">
        <f xml:space="preserve"> INDEX(SPAN_BRACE[], MATCH(SEGMENTS[[#This Row],[TRAY_MASS]],SPAN_BRACE[LOADING],-1),2)</f>
        <v>6m</v>
      </c>
      <c r="M45" s="9">
        <f>SUM(CABLES[SEG44])</f>
        <v>1</v>
      </c>
      <c r="N45" s="9">
        <f>SEGMENTS[[#This Row],[LENGTH]]</f>
        <v>14</v>
      </c>
      <c r="O45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46" spans="1:15" x14ac:dyDescent="0.35">
      <c r="A46" s="5" t="s">
        <v>229</v>
      </c>
      <c r="B46" s="5">
        <v>9</v>
      </c>
      <c r="C46" s="5">
        <v>0</v>
      </c>
      <c r="D46" s="9">
        <f t="shared" si="1"/>
        <v>9</v>
      </c>
      <c r="E46" s="9">
        <f>SUM(CABLES[SEGD45])</f>
        <v>223.8</v>
      </c>
      <c r="F46" s="9">
        <v>2</v>
      </c>
      <c r="G46" s="9">
        <v>1.2</v>
      </c>
      <c r="H46" s="9">
        <f>(SEGMENTS[[#This Row],[INITIAL_DIAMETER]]*SEGMENTS[[#This Row],[X_CAPACITY]])/SEGMENTS[[#This Row],[LAYERS]]</f>
        <v>134.28</v>
      </c>
      <c r="I46" s="9" t="str">
        <f>IF(SEGMENTS[[#This Row],[CABLE_TOTAL]]&gt;0, INDEX(CABLE_TRAY[], MATCH(SEGMENTS[[#This Row],[MIN_TRAYWIDTH]],CABLE_TRAY[WIDTH],-1), 2), "")</f>
        <v>150mm</v>
      </c>
      <c r="J46" s="9" t="s">
        <v>425</v>
      </c>
      <c r="K46" s="9">
        <f>SUM(CABLES[SEGM45])</f>
        <v>4.71</v>
      </c>
      <c r="L46" s="9" t="str">
        <f xml:space="preserve"> INDEX(SPAN_BRACE[], MATCH(SEGMENTS[[#This Row],[TRAY_MASS]],SPAN_BRACE[LOADING],-1),2)</f>
        <v>6m</v>
      </c>
      <c r="M46" s="9">
        <f>SUM(CABLES[SEG45])</f>
        <v>17</v>
      </c>
      <c r="N46" s="9">
        <f>SEGMENTS[[#This Row],[LENGTH]]</f>
        <v>9</v>
      </c>
      <c r="O46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47" spans="1:15" x14ac:dyDescent="0.35">
      <c r="A47" s="5" t="s">
        <v>230</v>
      </c>
      <c r="B47" s="5">
        <v>9</v>
      </c>
      <c r="C47" s="5">
        <v>5</v>
      </c>
      <c r="D47" s="9">
        <f t="shared" si="1"/>
        <v>14</v>
      </c>
      <c r="E47" s="9">
        <f>SUM(CABLES[SEGD46])</f>
        <v>86.5</v>
      </c>
      <c r="F47" s="9">
        <v>2</v>
      </c>
      <c r="G47" s="9">
        <v>1.2</v>
      </c>
      <c r="H47" s="9">
        <f>(SEGMENTS[[#This Row],[INITIAL_DIAMETER]]*SEGMENTS[[#This Row],[X_CAPACITY]])/SEGMENTS[[#This Row],[LAYERS]]</f>
        <v>51.9</v>
      </c>
      <c r="I47" s="9" t="str">
        <f>IF(SEGMENTS[[#This Row],[CABLE_TOTAL]]&gt;0, INDEX(CABLE_TRAY[], MATCH(SEGMENTS[[#This Row],[MIN_TRAYWIDTH]],CABLE_TRAY[WIDTH],-1), 2), "")</f>
        <v>150mm</v>
      </c>
      <c r="J47" s="9"/>
      <c r="K47" s="9">
        <f>SUM(CABLES[SEGM46])</f>
        <v>1.59</v>
      </c>
      <c r="L47" s="9" t="str">
        <f xml:space="preserve"> INDEX(SPAN_BRACE[], MATCH(SEGMENTS[[#This Row],[TRAY_MASS]],SPAN_BRACE[LOADING],-1),2)</f>
        <v>6m</v>
      </c>
      <c r="M47" s="9">
        <f>SUM(CABLES[SEG46])</f>
        <v>7</v>
      </c>
      <c r="N47" s="9">
        <f>SEGMENTS[[#This Row],[LENGTH]]</f>
        <v>14</v>
      </c>
      <c r="O47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48" spans="1:15" x14ac:dyDescent="0.35">
      <c r="A48" s="5" t="s">
        <v>231</v>
      </c>
      <c r="B48" s="5">
        <v>12</v>
      </c>
      <c r="C48" s="5">
        <v>0</v>
      </c>
      <c r="D48" s="9">
        <f t="shared" si="1"/>
        <v>12</v>
      </c>
      <c r="E48" s="9">
        <f>SUM(CABLES[SEGD47])</f>
        <v>137.30000000000001</v>
      </c>
      <c r="F48" s="9">
        <v>2</v>
      </c>
      <c r="G48" s="9">
        <v>1.2</v>
      </c>
      <c r="H48" s="9">
        <f>(SEGMENTS[[#This Row],[INITIAL_DIAMETER]]*SEGMENTS[[#This Row],[X_CAPACITY]])/SEGMENTS[[#This Row],[LAYERS]]</f>
        <v>82.38000000000001</v>
      </c>
      <c r="I48" s="9" t="str">
        <f>IF(SEGMENTS[[#This Row],[CABLE_TOTAL]]&gt;0, INDEX(CABLE_TRAY[], MATCH(SEGMENTS[[#This Row],[MIN_TRAYWIDTH]],CABLE_TRAY[WIDTH],-1), 2), "")</f>
        <v>150mm</v>
      </c>
      <c r="J48" s="9" t="s">
        <v>425</v>
      </c>
      <c r="K48" s="9">
        <f>SUM(CABLES[SEGM47])</f>
        <v>3.12</v>
      </c>
      <c r="L48" s="9" t="str">
        <f xml:space="preserve"> INDEX(SPAN_BRACE[], MATCH(SEGMENTS[[#This Row],[TRAY_MASS]],SPAN_BRACE[LOADING],-1),2)</f>
        <v>6m</v>
      </c>
      <c r="M48" s="9">
        <f>SUM(CABLES[SEG47])</f>
        <v>10</v>
      </c>
      <c r="N48" s="9">
        <f>SEGMENTS[[#This Row],[LENGTH]]</f>
        <v>12</v>
      </c>
      <c r="O48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49" spans="1:15" x14ac:dyDescent="0.35">
      <c r="A49" s="5" t="s">
        <v>232</v>
      </c>
      <c r="B49" s="5">
        <v>10</v>
      </c>
      <c r="C49" s="5">
        <v>5</v>
      </c>
      <c r="D49" s="9">
        <f t="shared" si="1"/>
        <v>15</v>
      </c>
      <c r="E49" s="9">
        <f>SUM(CABLES[SEGD48])</f>
        <v>64.5</v>
      </c>
      <c r="F49" s="9">
        <v>2</v>
      </c>
      <c r="G49" s="9">
        <v>1.2</v>
      </c>
      <c r="H49" s="9">
        <f>(SEGMENTS[[#This Row],[INITIAL_DIAMETER]]*SEGMENTS[[#This Row],[X_CAPACITY]])/SEGMENTS[[#This Row],[LAYERS]]</f>
        <v>38.699999999999996</v>
      </c>
      <c r="I49" s="9" t="str">
        <f>IF(SEGMENTS[[#This Row],[CABLE_TOTAL]]&gt;0, INDEX(CABLE_TRAY[], MATCH(SEGMENTS[[#This Row],[MIN_TRAYWIDTH]],CABLE_TRAY[WIDTH],-1), 2), "")</f>
        <v>150mm</v>
      </c>
      <c r="J49" s="9"/>
      <c r="K49" s="9">
        <f>SUM(CABLES[SEGM48])</f>
        <v>1.25</v>
      </c>
      <c r="L49" s="9" t="str">
        <f xml:space="preserve"> INDEX(SPAN_BRACE[], MATCH(SEGMENTS[[#This Row],[TRAY_MASS]],SPAN_BRACE[LOADING],-1),2)</f>
        <v>6m</v>
      </c>
      <c r="M49" s="9">
        <f>SUM(CABLES[SEG48])</f>
        <v>5</v>
      </c>
      <c r="N49" s="9">
        <f>SEGMENTS[[#This Row],[LENGTH]]</f>
        <v>15</v>
      </c>
      <c r="O49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50" spans="1:15" x14ac:dyDescent="0.35">
      <c r="A50" s="5" t="s">
        <v>233</v>
      </c>
      <c r="B50" s="5">
        <v>20</v>
      </c>
      <c r="C50" s="5">
        <v>0</v>
      </c>
      <c r="D50" s="9">
        <f t="shared" si="1"/>
        <v>20</v>
      </c>
      <c r="E50" s="9">
        <f>SUM(CABLES[SEGD49])</f>
        <v>72.8</v>
      </c>
      <c r="F50" s="9">
        <v>2</v>
      </c>
      <c r="G50" s="9">
        <v>1.2</v>
      </c>
      <c r="H50" s="9">
        <f>(SEGMENTS[[#This Row],[INITIAL_DIAMETER]]*SEGMENTS[[#This Row],[X_CAPACITY]])/SEGMENTS[[#This Row],[LAYERS]]</f>
        <v>43.68</v>
      </c>
      <c r="I50" s="9" t="str">
        <f>IF(SEGMENTS[[#This Row],[CABLE_TOTAL]]&gt;0, INDEX(CABLE_TRAY[], MATCH(SEGMENTS[[#This Row],[MIN_TRAYWIDTH]],CABLE_TRAY[WIDTH],-1), 2), "")</f>
        <v>150mm</v>
      </c>
      <c r="J50" s="9" t="s">
        <v>425</v>
      </c>
      <c r="K50" s="9">
        <f>SUM(CABLES[SEGM49])</f>
        <v>1.8699999999999999</v>
      </c>
      <c r="L50" s="9" t="str">
        <f xml:space="preserve"> INDEX(SPAN_BRACE[], MATCH(SEGMENTS[[#This Row],[TRAY_MASS]],SPAN_BRACE[LOADING],-1),2)</f>
        <v>6m</v>
      </c>
      <c r="M50" s="9">
        <f>SUM(CABLES[SEG49])</f>
        <v>5</v>
      </c>
      <c r="N50" s="9">
        <f>SEGMENTS[[#This Row],[LENGTH]]</f>
        <v>20</v>
      </c>
      <c r="O50" s="9" t="str">
        <f>IF(LEN(SEGMENTS[[#This Row],[TRAY_OVERIDE]])&gt;0, SEGMENTS[[#This Row],[TRAY_OVERIDE]],  IF(LEN(SEGMENTS[[#This Row],[SELECTED_TRAY]])&gt;0, SEGMENTS[[#This Row],[SELECTED_TRAY]], "NOT IN USE"))</f>
        <v>450mm</v>
      </c>
    </row>
    <row r="51" spans="1:15" x14ac:dyDescent="0.35">
      <c r="A51" s="5" t="s">
        <v>234</v>
      </c>
      <c r="B51" s="5">
        <v>12</v>
      </c>
      <c r="C51" s="5">
        <v>5</v>
      </c>
      <c r="D51" s="9">
        <f t="shared" si="1"/>
        <v>17</v>
      </c>
      <c r="E51" s="9">
        <f>SUM(CABLES[SEGD50])</f>
        <v>72.8</v>
      </c>
      <c r="F51" s="9">
        <v>2</v>
      </c>
      <c r="G51" s="9">
        <v>1.2</v>
      </c>
      <c r="H51" s="9">
        <f>(SEGMENTS[[#This Row],[INITIAL_DIAMETER]]*SEGMENTS[[#This Row],[X_CAPACITY]])/SEGMENTS[[#This Row],[LAYERS]]</f>
        <v>43.68</v>
      </c>
      <c r="I51" s="9" t="str">
        <f>IF(SEGMENTS[[#This Row],[CABLE_TOTAL]]&gt;0, INDEX(CABLE_TRAY[], MATCH(SEGMENTS[[#This Row],[MIN_TRAYWIDTH]],CABLE_TRAY[WIDTH],-1), 2), "")</f>
        <v>150mm</v>
      </c>
      <c r="J51" s="9"/>
      <c r="K51" s="9">
        <f>SUM(CABLES[SEGM50])</f>
        <v>1.8699999999999999</v>
      </c>
      <c r="L51" s="9" t="str">
        <f xml:space="preserve"> INDEX(SPAN_BRACE[], MATCH(SEGMENTS[[#This Row],[TRAY_MASS]],SPAN_BRACE[LOADING],-1),2)</f>
        <v>6m</v>
      </c>
      <c r="M51" s="9">
        <f>SUM(CABLES[SEG50])</f>
        <v>5</v>
      </c>
      <c r="N51" s="9">
        <f>SEGMENTS[[#This Row],[LENGTH]]</f>
        <v>17</v>
      </c>
      <c r="O51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52" spans="1:15" x14ac:dyDescent="0.35">
      <c r="A52" s="5" t="s">
        <v>235</v>
      </c>
      <c r="B52" s="5">
        <v>2</v>
      </c>
      <c r="C52" s="5">
        <v>5</v>
      </c>
      <c r="D52" s="9">
        <f t="shared" si="1"/>
        <v>7</v>
      </c>
      <c r="E52" s="9">
        <f>SUM(CABLES[SEGD51])</f>
        <v>17.399999999999999</v>
      </c>
      <c r="F52" s="9">
        <v>2</v>
      </c>
      <c r="G52" s="9">
        <v>1.2</v>
      </c>
      <c r="H52" s="9">
        <f>(SEGMENTS[[#This Row],[INITIAL_DIAMETER]]*SEGMENTS[[#This Row],[X_CAPACITY]])/SEGMENTS[[#This Row],[LAYERS]]</f>
        <v>10.44</v>
      </c>
      <c r="I52" s="9" t="str">
        <f>IF(SEGMENTS[[#This Row],[CABLE_TOTAL]]&gt;0, INDEX(CABLE_TRAY[], MATCH(SEGMENTS[[#This Row],[MIN_TRAYWIDTH]],CABLE_TRAY[WIDTH],-1), 2), "")</f>
        <v>150mm</v>
      </c>
      <c r="J52" s="9"/>
      <c r="K52" s="9">
        <f>SUM(CABLES[SEGM51])</f>
        <v>0.49</v>
      </c>
      <c r="L52" s="9" t="str">
        <f xml:space="preserve"> INDEX(SPAN_BRACE[], MATCH(SEGMENTS[[#This Row],[TRAY_MASS]],SPAN_BRACE[LOADING],-1),2)</f>
        <v>6m</v>
      </c>
      <c r="M52" s="9">
        <f>SUM(CABLES[SEG51])</f>
        <v>1</v>
      </c>
      <c r="N52" s="9">
        <f>SEGMENTS[[#This Row],[LENGTH]]</f>
        <v>7</v>
      </c>
      <c r="O52" s="9" t="str">
        <f>IF(LEN(SEGMENTS[[#This Row],[TRAY_OVERIDE]])&gt;0, SEGMENTS[[#This Row],[TRAY_OVERIDE]],  IF(LEN(SEGMENTS[[#This Row],[SELECTED_TRAY]])&gt;0, SEGMENTS[[#This Row],[SELECTED_TRAY]], "NOT IN USE"))</f>
        <v>150mm</v>
      </c>
    </row>
    <row r="53" spans="1:15" x14ac:dyDescent="0.35">
      <c r="A53" s="5" t="s">
        <v>236</v>
      </c>
      <c r="B53" s="5">
        <v>0</v>
      </c>
      <c r="C53" s="5">
        <v>0</v>
      </c>
      <c r="D53" s="9">
        <f t="shared" si="1"/>
        <v>0</v>
      </c>
      <c r="E53" s="9">
        <f>SUM(CABLES[SEGD52])</f>
        <v>0</v>
      </c>
      <c r="F53" s="9">
        <v>2</v>
      </c>
      <c r="G53" s="9">
        <v>1.2</v>
      </c>
      <c r="H53" s="9">
        <f>(SEGMENTS[[#This Row],[INITIAL_DIAMETER]]*SEGMENTS[[#This Row],[X_CAPACITY]])/SEGMENTS[[#This Row],[LAYERS]]</f>
        <v>0</v>
      </c>
      <c r="I53" s="9" t="str">
        <f>IF(SEGMENTS[[#This Row],[CABLE_TOTAL]]&gt;0, INDEX(CABLE_TRAY[], MATCH(SEGMENTS[[#This Row],[MIN_TRAYWIDTH]],CABLE_TRAY[WIDTH],-1), 2), "")</f>
        <v/>
      </c>
      <c r="J53" s="9"/>
      <c r="K53" s="9">
        <f>SUM(CABLES[SEGM52])</f>
        <v>0</v>
      </c>
      <c r="L53" s="9" t="str">
        <f xml:space="preserve"> INDEX(SPAN_BRACE[], MATCH(SEGMENTS[[#This Row],[TRAY_MASS]],SPAN_BRACE[LOADING],-1),2)</f>
        <v>6m</v>
      </c>
      <c r="M53" s="9">
        <f>SUM(CABLES[SEG52])</f>
        <v>0</v>
      </c>
      <c r="N53" s="9">
        <f>SEGMENTS[[#This Row],[LENGTH]]</f>
        <v>0</v>
      </c>
      <c r="O53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54" spans="1:15" x14ac:dyDescent="0.35">
      <c r="A54" s="5" t="s">
        <v>237</v>
      </c>
      <c r="B54" s="5">
        <v>0</v>
      </c>
      <c r="C54" s="5">
        <v>0</v>
      </c>
      <c r="D54" s="9">
        <f t="shared" si="1"/>
        <v>0</v>
      </c>
      <c r="E54" s="9">
        <f>SUM(CABLES[SEGD53])</f>
        <v>0</v>
      </c>
      <c r="F54" s="9">
        <v>2</v>
      </c>
      <c r="G54" s="9">
        <v>1.2</v>
      </c>
      <c r="H54" s="9">
        <f>(SEGMENTS[[#This Row],[INITIAL_DIAMETER]]*SEGMENTS[[#This Row],[X_CAPACITY]])/SEGMENTS[[#This Row],[LAYERS]]</f>
        <v>0</v>
      </c>
      <c r="I54" s="9" t="str">
        <f>IF(SEGMENTS[[#This Row],[CABLE_TOTAL]]&gt;0, INDEX(CABLE_TRAY[], MATCH(SEGMENTS[[#This Row],[MIN_TRAYWIDTH]],CABLE_TRAY[WIDTH],-1), 2), "")</f>
        <v/>
      </c>
      <c r="J54" s="9"/>
      <c r="K54" s="9">
        <f>SUM(CABLES[SEGM53])</f>
        <v>0</v>
      </c>
      <c r="L54" s="9" t="str">
        <f xml:space="preserve"> INDEX(SPAN_BRACE[], MATCH(SEGMENTS[[#This Row],[TRAY_MASS]],SPAN_BRACE[LOADING],-1),2)</f>
        <v>6m</v>
      </c>
      <c r="M54" s="9">
        <f>SUM(CABLES[SEG53])</f>
        <v>0</v>
      </c>
      <c r="N54" s="9">
        <f>SEGMENTS[[#This Row],[LENGTH]]</f>
        <v>0</v>
      </c>
      <c r="O54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55" spans="1:15" x14ac:dyDescent="0.35">
      <c r="A55" s="5" t="s">
        <v>238</v>
      </c>
      <c r="B55" s="5">
        <v>0</v>
      </c>
      <c r="C55" s="5">
        <v>0</v>
      </c>
      <c r="D55" s="9">
        <f t="shared" si="1"/>
        <v>0</v>
      </c>
      <c r="E55" s="9">
        <f>SUM(CABLES[SEGD54])</f>
        <v>0</v>
      </c>
      <c r="F55" s="9">
        <v>2</v>
      </c>
      <c r="G55" s="9">
        <v>1.2</v>
      </c>
      <c r="H55" s="9">
        <f>(SEGMENTS[[#This Row],[INITIAL_DIAMETER]]*SEGMENTS[[#This Row],[X_CAPACITY]])/SEGMENTS[[#This Row],[LAYERS]]</f>
        <v>0</v>
      </c>
      <c r="I55" s="9" t="str">
        <f>IF(SEGMENTS[[#This Row],[CABLE_TOTAL]]&gt;0, INDEX(CABLE_TRAY[], MATCH(SEGMENTS[[#This Row],[MIN_TRAYWIDTH]],CABLE_TRAY[WIDTH],-1), 2), "")</f>
        <v/>
      </c>
      <c r="J55" s="9"/>
      <c r="K55" s="9">
        <f>SUM(CABLES[SEGM54])</f>
        <v>0</v>
      </c>
      <c r="L55" s="9" t="str">
        <f xml:space="preserve"> INDEX(SPAN_BRACE[], MATCH(SEGMENTS[[#This Row],[TRAY_MASS]],SPAN_BRACE[LOADING],-1),2)</f>
        <v>6m</v>
      </c>
      <c r="M55" s="9">
        <f>SUM(CABLES[SEG54])</f>
        <v>0</v>
      </c>
      <c r="N55" s="9">
        <f>SEGMENTS[[#This Row],[LENGTH]]</f>
        <v>0</v>
      </c>
      <c r="O55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56" spans="1:15" x14ac:dyDescent="0.35">
      <c r="A56" s="5" t="s">
        <v>239</v>
      </c>
      <c r="B56" s="5">
        <v>0</v>
      </c>
      <c r="C56" s="5">
        <v>0</v>
      </c>
      <c r="D56" s="9">
        <f t="shared" si="1"/>
        <v>0</v>
      </c>
      <c r="E56" s="9">
        <f>SUM(CABLES[SEGD55])</f>
        <v>0</v>
      </c>
      <c r="F56" s="9">
        <v>2</v>
      </c>
      <c r="G56" s="9">
        <v>1.2</v>
      </c>
      <c r="H56" s="9">
        <f>(SEGMENTS[[#This Row],[INITIAL_DIAMETER]]*SEGMENTS[[#This Row],[X_CAPACITY]])/SEGMENTS[[#This Row],[LAYERS]]</f>
        <v>0</v>
      </c>
      <c r="I56" s="9" t="str">
        <f>IF(SEGMENTS[[#This Row],[CABLE_TOTAL]]&gt;0, INDEX(CABLE_TRAY[], MATCH(SEGMENTS[[#This Row],[MIN_TRAYWIDTH]],CABLE_TRAY[WIDTH],-1), 2), "")</f>
        <v/>
      </c>
      <c r="J56" s="9"/>
      <c r="K56" s="9">
        <f>SUM(CABLES[SEGM55])</f>
        <v>0</v>
      </c>
      <c r="L56" s="9" t="str">
        <f xml:space="preserve"> INDEX(SPAN_BRACE[], MATCH(SEGMENTS[[#This Row],[TRAY_MASS]],SPAN_BRACE[LOADING],-1),2)</f>
        <v>6m</v>
      </c>
      <c r="M56" s="9">
        <f>SUM(CABLES[SEG55])</f>
        <v>0</v>
      </c>
      <c r="N56" s="9">
        <f>SEGMENTS[[#This Row],[LENGTH]]</f>
        <v>0</v>
      </c>
      <c r="O56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57" spans="1:15" x14ac:dyDescent="0.35">
      <c r="A57" s="5" t="s">
        <v>240</v>
      </c>
      <c r="B57" s="5">
        <v>0</v>
      </c>
      <c r="C57" s="5">
        <v>0</v>
      </c>
      <c r="D57" s="9">
        <f t="shared" si="1"/>
        <v>0</v>
      </c>
      <c r="E57" s="9">
        <f>SUM(CABLES[SEGD56])</f>
        <v>0</v>
      </c>
      <c r="F57" s="9">
        <v>2</v>
      </c>
      <c r="G57" s="9">
        <v>1.2</v>
      </c>
      <c r="H57" s="9">
        <f>(SEGMENTS[[#This Row],[INITIAL_DIAMETER]]*SEGMENTS[[#This Row],[X_CAPACITY]])/SEGMENTS[[#This Row],[LAYERS]]</f>
        <v>0</v>
      </c>
      <c r="I57" s="9" t="str">
        <f>IF(SEGMENTS[[#This Row],[CABLE_TOTAL]]&gt;0, INDEX(CABLE_TRAY[], MATCH(SEGMENTS[[#This Row],[MIN_TRAYWIDTH]],CABLE_TRAY[WIDTH],-1), 2), "")</f>
        <v/>
      </c>
      <c r="J57" s="9"/>
      <c r="K57" s="9">
        <f>SUM(CABLES[SEGM56])</f>
        <v>0</v>
      </c>
      <c r="L57" s="9" t="str">
        <f xml:space="preserve"> INDEX(SPAN_BRACE[], MATCH(SEGMENTS[[#This Row],[TRAY_MASS]],SPAN_BRACE[LOADING],-1),2)</f>
        <v>6m</v>
      </c>
      <c r="M57" s="9">
        <f>SUM(CABLES[SEG56])</f>
        <v>0</v>
      </c>
      <c r="N57" s="9">
        <f>SEGMENTS[[#This Row],[LENGTH]]</f>
        <v>0</v>
      </c>
      <c r="O57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58" spans="1:15" x14ac:dyDescent="0.35">
      <c r="A58" s="5" t="s">
        <v>241</v>
      </c>
      <c r="B58" s="5">
        <v>0</v>
      </c>
      <c r="C58" s="5">
        <v>0</v>
      </c>
      <c r="D58" s="9">
        <f t="shared" si="1"/>
        <v>0</v>
      </c>
      <c r="E58" s="9">
        <f>SUM(CABLES[SEGD57])</f>
        <v>0</v>
      </c>
      <c r="F58" s="9">
        <v>2</v>
      </c>
      <c r="G58" s="9">
        <v>1.2</v>
      </c>
      <c r="H58" s="9">
        <f>(SEGMENTS[[#This Row],[INITIAL_DIAMETER]]*SEGMENTS[[#This Row],[X_CAPACITY]])/SEGMENTS[[#This Row],[LAYERS]]</f>
        <v>0</v>
      </c>
      <c r="I58" s="9" t="str">
        <f>IF(SEGMENTS[[#This Row],[CABLE_TOTAL]]&gt;0, INDEX(CABLE_TRAY[], MATCH(SEGMENTS[[#This Row],[MIN_TRAYWIDTH]],CABLE_TRAY[WIDTH],-1), 2), "")</f>
        <v/>
      </c>
      <c r="J58" s="9"/>
      <c r="K58" s="9">
        <f>SUM(CABLES[SEGM57])</f>
        <v>0</v>
      </c>
      <c r="L58" s="9" t="str">
        <f xml:space="preserve"> INDEX(SPAN_BRACE[], MATCH(SEGMENTS[[#This Row],[TRAY_MASS]],SPAN_BRACE[LOADING],-1),2)</f>
        <v>6m</v>
      </c>
      <c r="M58" s="9">
        <f>SUM(CABLES[SEG57])</f>
        <v>0</v>
      </c>
      <c r="N58" s="9">
        <f>SEGMENTS[[#This Row],[LENGTH]]</f>
        <v>0</v>
      </c>
      <c r="O58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59" spans="1:15" x14ac:dyDescent="0.35">
      <c r="A59" s="5" t="s">
        <v>242</v>
      </c>
      <c r="B59" s="5">
        <v>0</v>
      </c>
      <c r="C59" s="5">
        <v>0</v>
      </c>
      <c r="D59" s="9">
        <f t="shared" si="1"/>
        <v>0</v>
      </c>
      <c r="E59" s="9">
        <f>SUM(CABLES[SEGD58])</f>
        <v>0</v>
      </c>
      <c r="F59" s="9">
        <v>2</v>
      </c>
      <c r="G59" s="9">
        <v>1.2</v>
      </c>
      <c r="H59" s="9">
        <f>(SEGMENTS[[#This Row],[INITIAL_DIAMETER]]*SEGMENTS[[#This Row],[X_CAPACITY]])/SEGMENTS[[#This Row],[LAYERS]]</f>
        <v>0</v>
      </c>
      <c r="I59" s="9" t="str">
        <f>IF(SEGMENTS[[#This Row],[CABLE_TOTAL]]&gt;0, INDEX(CABLE_TRAY[], MATCH(SEGMENTS[[#This Row],[MIN_TRAYWIDTH]],CABLE_TRAY[WIDTH],-1), 2), "")</f>
        <v/>
      </c>
      <c r="J59" s="9"/>
      <c r="K59" s="9">
        <f>SUM(CABLES[SEGM58])</f>
        <v>0</v>
      </c>
      <c r="L59" s="9" t="str">
        <f xml:space="preserve"> INDEX(SPAN_BRACE[], MATCH(SEGMENTS[[#This Row],[TRAY_MASS]],SPAN_BRACE[LOADING],-1),2)</f>
        <v>6m</v>
      </c>
      <c r="M59" s="9">
        <f>SUM(CABLES[SEG58])</f>
        <v>0</v>
      </c>
      <c r="N59" s="9">
        <f>SEGMENTS[[#This Row],[LENGTH]]</f>
        <v>0</v>
      </c>
      <c r="O59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60" spans="1:15" x14ac:dyDescent="0.35">
      <c r="A60" s="5" t="s">
        <v>243</v>
      </c>
      <c r="B60" s="5">
        <v>0</v>
      </c>
      <c r="C60" s="5">
        <v>0</v>
      </c>
      <c r="D60" s="9">
        <f t="shared" si="1"/>
        <v>0</v>
      </c>
      <c r="E60" s="9">
        <f>SUM(CABLES[SEGD59])</f>
        <v>0</v>
      </c>
      <c r="F60" s="9">
        <v>2</v>
      </c>
      <c r="G60" s="9">
        <v>1.2</v>
      </c>
      <c r="H60" s="9">
        <f>(SEGMENTS[[#This Row],[INITIAL_DIAMETER]]*SEGMENTS[[#This Row],[X_CAPACITY]])/SEGMENTS[[#This Row],[LAYERS]]</f>
        <v>0</v>
      </c>
      <c r="I60" s="9" t="str">
        <f>IF(SEGMENTS[[#This Row],[CABLE_TOTAL]]&gt;0, INDEX(CABLE_TRAY[], MATCH(SEGMENTS[[#This Row],[MIN_TRAYWIDTH]],CABLE_TRAY[WIDTH],-1), 2), "")</f>
        <v/>
      </c>
      <c r="J60" s="9"/>
      <c r="K60" s="9">
        <f>SUM(CABLES[SEGM59])</f>
        <v>0</v>
      </c>
      <c r="L60" s="9" t="str">
        <f xml:space="preserve"> INDEX(SPAN_BRACE[], MATCH(SEGMENTS[[#This Row],[TRAY_MASS]],SPAN_BRACE[LOADING],-1),2)</f>
        <v>6m</v>
      </c>
      <c r="M60" s="9">
        <f>SUM(CABLES[SEG59])</f>
        <v>0</v>
      </c>
      <c r="N60" s="9">
        <f>SEGMENTS[[#This Row],[LENGTH]]</f>
        <v>0</v>
      </c>
      <c r="O60" s="9" t="str">
        <f>IF(LEN(SEGMENTS[[#This Row],[TRAY_OVERIDE]])&gt;0, SEGMENTS[[#This Row],[TRAY_OVERIDE]],  IF(LEN(SEGMENTS[[#This Row],[SELECTED_TRAY]])&gt;0, SEGMENTS[[#This Row],[SELECTED_TRAY]], "NOT IN USE"))</f>
        <v>NOT IN USE</v>
      </c>
    </row>
    <row r="61" spans="1:15" x14ac:dyDescent="0.35">
      <c r="A61" s="5" t="s">
        <v>244</v>
      </c>
      <c r="B61" s="5">
        <v>0</v>
      </c>
      <c r="C61" s="5">
        <v>0</v>
      </c>
      <c r="D61" s="9">
        <f t="shared" si="1"/>
        <v>0</v>
      </c>
      <c r="E61" s="9">
        <f>SUM(CABLES[SEGD60])</f>
        <v>0</v>
      </c>
      <c r="F61" s="9">
        <v>2</v>
      </c>
      <c r="G61" s="9">
        <v>1.2</v>
      </c>
      <c r="H61" s="9">
        <f>(SEGMENTS[[#This Row],[INITIAL_DIAMETER]]*SEGMENTS[[#This Row],[X_CAPACITY]])/SEGMENTS[[#This Row],[LAYERS]]</f>
        <v>0</v>
      </c>
      <c r="I61" s="9" t="str">
        <f>IF(SEGMENTS[[#This Row],[CABLE_TOTAL]]&gt;0, INDEX(CABLE_TRAY[], MATCH(SEGMENTS[[#This Row],[MIN_TRAYWIDTH]],CABLE_TRAY[WIDTH],-1), 2), "")</f>
        <v/>
      </c>
      <c r="J61" s="9"/>
      <c r="K61" s="9">
        <f>SUM(CABLES[SEGM60])</f>
        <v>0</v>
      </c>
      <c r="L61" s="9" t="str">
        <f xml:space="preserve"> INDEX(SPAN_BRACE[], MATCH(SEGMENTS[[#This Row],[TRAY_MASS]],SPAN_BRACE[LOADING],-1),2)</f>
        <v>6m</v>
      </c>
      <c r="M61" s="9">
        <f>SUM(CABLES[SEG60])</f>
        <v>0</v>
      </c>
      <c r="N61" s="9">
        <f>SEGMENTS[[#This Row],[LENGTH]]</f>
        <v>0</v>
      </c>
      <c r="O61" s="9" t="str">
        <f>IF(LEN(SEGMENTS[[#This Row],[TRAY_OVERIDE]])&gt;0, SEGMENTS[[#This Row],[TRAY_OVERIDE]],  IF(LEN(SEGMENTS[[#This Row],[SELECTED_TRAY]])&gt;0, SEGMENTS[[#This Row],[SELECTED_TRAY]], "NOT IN USE"))</f>
        <v>NOT IN USE</v>
      </c>
    </row>
  </sheetData>
  <dataValidations count="1">
    <dataValidation type="list" allowBlank="1" showInputMessage="1" showErrorMessage="1" sqref="Q18 Q22 Q20" xr:uid="{FE6B8D2D-268A-4C71-8E27-ABA26B329CE7}">
      <formula1>$AM$3:$AM$10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F281B9-568E-4C9F-B401-61E84EB2E8CE}">
          <x14:formula1>
            <xm:f>DATA!$AO$3:$AO$4</xm:f>
          </x14:formula1>
          <xm:sqref>F2:F61</xm:sqref>
        </x14:dataValidation>
        <x14:dataValidation type="list" allowBlank="1" showInputMessage="1" showErrorMessage="1" xr:uid="{6A2CF8B8-8A8B-4F0D-81BD-F973267E4D29}">
          <x14:formula1>
            <xm:f>DATA!$AS$3:$AS$10</xm:f>
          </x14:formula1>
          <xm:sqref>J2:J61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5F55-4B1E-4F54-88D4-6190BA105260}">
  <dimension ref="A2:BL52"/>
  <sheetViews>
    <sheetView workbookViewId="0">
      <selection activeCell="M59" sqref="M59"/>
    </sheetView>
  </sheetViews>
  <sheetFormatPr defaultRowHeight="14.5" x14ac:dyDescent="0.35"/>
  <cols>
    <col min="1" max="1" width="24.453125" bestFit="1" customWidth="1"/>
    <col min="2" max="6" width="19.54296875" customWidth="1"/>
    <col min="8" max="8" width="21.1796875" bestFit="1" customWidth="1"/>
    <col min="9" max="9" width="15.54296875" bestFit="1" customWidth="1"/>
    <col min="10" max="10" width="24.1796875" bestFit="1" customWidth="1"/>
    <col min="11" max="11" width="18.453125" bestFit="1" customWidth="1"/>
    <col min="13" max="13" width="26.453125" customWidth="1"/>
    <col min="15" max="15" width="11.453125" customWidth="1"/>
    <col min="16" max="16" width="10" bestFit="1" customWidth="1"/>
    <col min="23" max="23" width="8.81640625" customWidth="1"/>
    <col min="24" max="24" width="12.26953125" customWidth="1"/>
    <col min="25" max="25" width="8.26953125" customWidth="1"/>
    <col min="29" max="29" width="12.26953125" customWidth="1"/>
    <col min="34" max="34" width="12.453125" bestFit="1" customWidth="1"/>
    <col min="38" max="38" width="12.7265625" customWidth="1"/>
    <col min="41" max="41" width="9.54296875" customWidth="1"/>
    <col min="44" max="44" width="9.26953125" customWidth="1"/>
    <col min="45" max="45" width="16.7265625" customWidth="1"/>
    <col min="48" max="48" width="11.453125" customWidth="1"/>
    <col min="49" max="49" width="14.7265625" customWidth="1"/>
    <col min="52" max="52" width="16.54296875" bestFit="1" customWidth="1"/>
    <col min="53" max="53" width="11.1796875" bestFit="1" customWidth="1"/>
    <col min="55" max="55" width="15.81640625" customWidth="1"/>
    <col min="56" max="56" width="13.7265625" bestFit="1" customWidth="1"/>
    <col min="59" max="59" width="24.54296875" customWidth="1"/>
    <col min="60" max="60" width="12.81640625" customWidth="1"/>
  </cols>
  <sheetData>
    <row r="2" spans="1:64" x14ac:dyDescent="0.35">
      <c r="A2" s="1" t="s">
        <v>249</v>
      </c>
      <c r="B2" s="2">
        <v>0.9</v>
      </c>
      <c r="D2" t="s">
        <v>534</v>
      </c>
      <c r="E2" t="s">
        <v>532</v>
      </c>
      <c r="G2" t="s">
        <v>246</v>
      </c>
      <c r="H2" t="s">
        <v>523</v>
      </c>
      <c r="I2" t="s">
        <v>524</v>
      </c>
      <c r="J2" t="s">
        <v>525</v>
      </c>
      <c r="K2" t="s">
        <v>526</v>
      </c>
      <c r="M2" t="s">
        <v>529</v>
      </c>
      <c r="O2" t="s">
        <v>247</v>
      </c>
      <c r="P2" t="s">
        <v>248</v>
      </c>
      <c r="S2" s="7" t="s">
        <v>246</v>
      </c>
      <c r="T2" s="8" t="s">
        <v>255</v>
      </c>
      <c r="W2" t="s">
        <v>246</v>
      </c>
      <c r="X2" t="s">
        <v>264</v>
      </c>
      <c r="Y2" t="s">
        <v>265</v>
      </c>
      <c r="AB2" t="s">
        <v>246</v>
      </c>
      <c r="AC2" t="s">
        <v>264</v>
      </c>
      <c r="AD2" t="s">
        <v>265</v>
      </c>
      <c r="AG2" t="s">
        <v>246</v>
      </c>
      <c r="AH2" t="s">
        <v>264</v>
      </c>
      <c r="AI2" t="s">
        <v>265</v>
      </c>
      <c r="AL2" t="s">
        <v>274</v>
      </c>
      <c r="AO2" t="s">
        <v>406</v>
      </c>
      <c r="AR2" t="s">
        <v>401</v>
      </c>
      <c r="AS2" t="s">
        <v>416</v>
      </c>
      <c r="AV2" t="s">
        <v>417</v>
      </c>
      <c r="AW2" t="s">
        <v>418</v>
      </c>
      <c r="AZ2" t="s">
        <v>441</v>
      </c>
      <c r="BC2" t="s">
        <v>455</v>
      </c>
      <c r="BD2" t="s">
        <v>453</v>
      </c>
      <c r="BG2" t="s">
        <v>456</v>
      </c>
      <c r="BH2" t="s">
        <v>457</v>
      </c>
      <c r="BK2" t="s">
        <v>246</v>
      </c>
      <c r="BL2" t="s">
        <v>442</v>
      </c>
    </row>
    <row r="3" spans="1:64" x14ac:dyDescent="0.35">
      <c r="D3">
        <v>60</v>
      </c>
      <c r="E3">
        <v>111</v>
      </c>
      <c r="F3">
        <v>0</v>
      </c>
      <c r="G3">
        <v>500</v>
      </c>
      <c r="H3">
        <v>779</v>
      </c>
      <c r="I3">
        <f>AS3000_CURRENTCAPACITY[[#This Row],[AMP_SPACED_RAW]]*0.8</f>
        <v>623.20000000000005</v>
      </c>
      <c r="J3">
        <v>718</v>
      </c>
      <c r="K3">
        <f>AS3000_CURRENTCAPACITY[[#This Row],[AMP_TOUCHING_RAW]]*0.8</f>
        <v>574.4</v>
      </c>
      <c r="M3" t="s">
        <v>530</v>
      </c>
      <c r="O3">
        <v>60</v>
      </c>
      <c r="P3">
        <v>0.73</v>
      </c>
      <c r="S3" s="3">
        <v>500</v>
      </c>
      <c r="T3">
        <v>0.156</v>
      </c>
      <c r="W3">
        <v>300</v>
      </c>
      <c r="X3">
        <v>63.5</v>
      </c>
      <c r="Y3">
        <v>11.53</v>
      </c>
      <c r="AB3">
        <v>120</v>
      </c>
      <c r="AC3">
        <v>41.3</v>
      </c>
      <c r="AD3">
        <v>4.42</v>
      </c>
      <c r="AG3" s="12">
        <v>150</v>
      </c>
      <c r="AH3" s="12">
        <v>49</v>
      </c>
      <c r="AI3" s="12">
        <v>6.65</v>
      </c>
      <c r="AL3" t="s">
        <v>261</v>
      </c>
      <c r="AO3">
        <v>1</v>
      </c>
      <c r="AR3">
        <v>9999999</v>
      </c>
      <c r="AS3" t="s">
        <v>428</v>
      </c>
      <c r="AV3">
        <v>810</v>
      </c>
      <c r="AW3" t="s">
        <v>432</v>
      </c>
      <c r="AZ3">
        <v>250</v>
      </c>
      <c r="BC3" t="s">
        <v>449</v>
      </c>
      <c r="BD3">
        <v>3.5</v>
      </c>
      <c r="BG3" t="s">
        <v>458</v>
      </c>
      <c r="BH3">
        <v>2.2499999999999999E-2</v>
      </c>
      <c r="BK3">
        <v>500</v>
      </c>
      <c r="BL3">
        <v>120</v>
      </c>
    </row>
    <row r="4" spans="1:64" x14ac:dyDescent="0.35">
      <c r="A4" s="1" t="s">
        <v>250</v>
      </c>
      <c r="B4" s="2">
        <v>400</v>
      </c>
      <c r="D4">
        <v>55</v>
      </c>
      <c r="E4">
        <v>115</v>
      </c>
      <c r="F4">
        <v>1</v>
      </c>
      <c r="G4">
        <v>400</v>
      </c>
      <c r="H4">
        <v>685</v>
      </c>
      <c r="I4">
        <f>AS3000_CURRENTCAPACITY[[#This Row],[AMP_SPACED_RAW]]*0.8</f>
        <v>548</v>
      </c>
      <c r="J4">
        <v>632</v>
      </c>
      <c r="K4">
        <f>AS3000_CURRENTCAPACITY[[#This Row],[AMP_TOUCHING_RAW]]*0.8</f>
        <v>505.6</v>
      </c>
      <c r="M4" t="s">
        <v>531</v>
      </c>
      <c r="O4">
        <v>55</v>
      </c>
      <c r="P4">
        <v>0.81</v>
      </c>
      <c r="S4" s="4">
        <v>400</v>
      </c>
      <c r="T4">
        <v>0.16800000000000001</v>
      </c>
      <c r="W4">
        <v>240</v>
      </c>
      <c r="X4">
        <v>57.2</v>
      </c>
      <c r="Y4">
        <v>9.15</v>
      </c>
      <c r="AB4">
        <v>95</v>
      </c>
      <c r="AC4">
        <v>37.4</v>
      </c>
      <c r="AD4">
        <v>3.63</v>
      </c>
      <c r="AG4" s="12">
        <v>120</v>
      </c>
      <c r="AH4" s="12">
        <v>46</v>
      </c>
      <c r="AI4" s="12">
        <v>5.43</v>
      </c>
      <c r="AL4" t="s">
        <v>262</v>
      </c>
      <c r="AO4">
        <v>2</v>
      </c>
      <c r="AR4">
        <v>900</v>
      </c>
      <c r="AS4" t="s">
        <v>422</v>
      </c>
      <c r="AV4">
        <v>370</v>
      </c>
      <c r="AW4" t="s">
        <v>433</v>
      </c>
      <c r="AZ4">
        <v>200</v>
      </c>
      <c r="BC4" t="s">
        <v>450</v>
      </c>
      <c r="BD4">
        <v>6.5</v>
      </c>
      <c r="BG4" t="s">
        <v>459</v>
      </c>
      <c r="BH4">
        <v>3.6000000000000004E-2</v>
      </c>
      <c r="BK4">
        <v>400</v>
      </c>
      <c r="BL4">
        <v>120</v>
      </c>
    </row>
    <row r="5" spans="1:64" x14ac:dyDescent="0.35">
      <c r="D5">
        <v>50</v>
      </c>
      <c r="E5">
        <v>118</v>
      </c>
      <c r="F5">
        <v>2</v>
      </c>
      <c r="G5">
        <v>300</v>
      </c>
      <c r="H5">
        <v>594</v>
      </c>
      <c r="I5">
        <f>AS3000_CURRENTCAPACITY[[#This Row],[AMP_SPACED_RAW]]*0.8</f>
        <v>475.20000000000005</v>
      </c>
      <c r="J5">
        <v>549</v>
      </c>
      <c r="K5">
        <f>AS3000_CURRENTCAPACITY[[#This Row],[AMP_TOUCHING_RAW]]*0.8</f>
        <v>439.20000000000005</v>
      </c>
      <c r="O5">
        <v>50</v>
      </c>
      <c r="P5">
        <v>0.88</v>
      </c>
      <c r="S5" s="3">
        <v>300</v>
      </c>
      <c r="T5">
        <v>0.186</v>
      </c>
      <c r="W5">
        <v>185</v>
      </c>
      <c r="X5">
        <v>50.8</v>
      </c>
      <c r="Y5">
        <v>7.03</v>
      </c>
      <c r="AB5">
        <v>70</v>
      </c>
      <c r="AC5">
        <v>33.1</v>
      </c>
      <c r="AD5">
        <v>2.68</v>
      </c>
      <c r="AG5" s="12">
        <v>95</v>
      </c>
      <c r="AH5" s="12">
        <v>43</v>
      </c>
      <c r="AI5" s="12">
        <v>4.3600000000000003</v>
      </c>
      <c r="AL5" t="s">
        <v>263</v>
      </c>
      <c r="AR5">
        <v>750</v>
      </c>
      <c r="AS5" t="s">
        <v>423</v>
      </c>
      <c r="AV5">
        <v>175</v>
      </c>
      <c r="AW5" t="s">
        <v>431</v>
      </c>
      <c r="AZ5">
        <v>160</v>
      </c>
      <c r="BC5" t="s">
        <v>451</v>
      </c>
      <c r="BD5">
        <v>12.5</v>
      </c>
      <c r="BK5">
        <v>300</v>
      </c>
      <c r="BL5">
        <v>120</v>
      </c>
    </row>
    <row r="6" spans="1:64" x14ac:dyDescent="0.35">
      <c r="A6" s="1" t="s">
        <v>254</v>
      </c>
      <c r="B6" s="2">
        <v>7.0000000000000007E-2</v>
      </c>
      <c r="D6">
        <v>45</v>
      </c>
      <c r="E6">
        <v>122</v>
      </c>
      <c r="F6">
        <v>3</v>
      </c>
      <c r="G6">
        <v>240</v>
      </c>
      <c r="H6">
        <v>517</v>
      </c>
      <c r="I6">
        <f>AS3000_CURRENTCAPACITY[[#This Row],[AMP_SPACED_RAW]]*0.8</f>
        <v>413.6</v>
      </c>
      <c r="J6">
        <v>479</v>
      </c>
      <c r="K6">
        <f>AS3000_CURRENTCAPACITY[[#This Row],[AMP_TOUCHING_RAW]]*0.8</f>
        <v>383.20000000000005</v>
      </c>
      <c r="O6">
        <v>45</v>
      </c>
      <c r="P6">
        <v>0.94</v>
      </c>
      <c r="S6" s="4">
        <v>240</v>
      </c>
      <c r="T6">
        <v>0.21</v>
      </c>
      <c r="W6">
        <v>150</v>
      </c>
      <c r="X6">
        <v>45.8</v>
      </c>
      <c r="Y6">
        <v>5.82</v>
      </c>
      <c r="AB6">
        <v>50</v>
      </c>
      <c r="AC6">
        <v>28.2</v>
      </c>
      <c r="AD6">
        <v>2</v>
      </c>
      <c r="AG6">
        <v>70</v>
      </c>
      <c r="AH6">
        <v>41</v>
      </c>
      <c r="AI6">
        <v>3.86</v>
      </c>
      <c r="AR6">
        <v>600</v>
      </c>
      <c r="AS6" t="s">
        <v>424</v>
      </c>
      <c r="AV6">
        <v>125</v>
      </c>
      <c r="AW6" t="s">
        <v>430</v>
      </c>
      <c r="AZ6">
        <v>125</v>
      </c>
      <c r="BK6">
        <v>240</v>
      </c>
      <c r="BL6">
        <v>95</v>
      </c>
    </row>
    <row r="7" spans="1:64" x14ac:dyDescent="0.35">
      <c r="D7">
        <v>40</v>
      </c>
      <c r="E7">
        <v>126</v>
      </c>
      <c r="F7">
        <v>4</v>
      </c>
      <c r="G7">
        <v>185</v>
      </c>
      <c r="H7">
        <v>240</v>
      </c>
      <c r="I7">
        <f>AS3000_CURRENTCAPACITY[[#This Row],[AMP_SPACED_RAW]]*0.8</f>
        <v>192</v>
      </c>
      <c r="J7">
        <v>404</v>
      </c>
      <c r="K7">
        <f>AS3000_CURRENTCAPACITY[[#This Row],[AMP_TOUCHING_RAW]]*0.8</f>
        <v>323.20000000000005</v>
      </c>
      <c r="O7">
        <v>40</v>
      </c>
      <c r="P7">
        <v>1</v>
      </c>
      <c r="S7" s="3">
        <v>185</v>
      </c>
      <c r="T7">
        <v>0.251</v>
      </c>
      <c r="W7">
        <v>120</v>
      </c>
      <c r="X7">
        <v>42</v>
      </c>
      <c r="Y7">
        <v>4.6500000000000004</v>
      </c>
      <c r="AB7">
        <v>35</v>
      </c>
      <c r="AC7">
        <v>25.4</v>
      </c>
      <c r="AD7">
        <v>1.44</v>
      </c>
      <c r="AG7">
        <v>50</v>
      </c>
      <c r="AH7">
        <v>35.1</v>
      </c>
      <c r="AI7">
        <v>2.76</v>
      </c>
      <c r="AR7">
        <v>450</v>
      </c>
      <c r="AS7" t="s">
        <v>425</v>
      </c>
      <c r="AV7">
        <v>90</v>
      </c>
      <c r="AW7" t="s">
        <v>429</v>
      </c>
      <c r="AZ7">
        <v>100</v>
      </c>
      <c r="BK7">
        <v>185</v>
      </c>
      <c r="BL7">
        <v>70</v>
      </c>
    </row>
    <row r="8" spans="1:64" x14ac:dyDescent="0.35">
      <c r="A8" s="1" t="s">
        <v>438</v>
      </c>
      <c r="B8" s="2">
        <f>22.5 *10^-3</f>
        <v>2.2499999999999999E-2</v>
      </c>
      <c r="D8" t="s">
        <v>535</v>
      </c>
      <c r="F8">
        <v>5</v>
      </c>
      <c r="G8">
        <v>150</v>
      </c>
      <c r="H8">
        <v>377</v>
      </c>
      <c r="I8">
        <f>AS3000_CURRENTCAPACITY[[#This Row],[AMP_SPACED_RAW]]*0.8</f>
        <v>301.60000000000002</v>
      </c>
      <c r="J8">
        <v>350</v>
      </c>
      <c r="K8">
        <f>AS3000_CURRENTCAPACITY[[#This Row],[AMP_TOUCHING_RAW]]*0.8</f>
        <v>280</v>
      </c>
      <c r="S8" s="4">
        <v>150</v>
      </c>
      <c r="T8">
        <v>0.29599999999999999</v>
      </c>
      <c r="W8">
        <v>95</v>
      </c>
      <c r="X8">
        <v>36.9</v>
      </c>
      <c r="Y8">
        <v>3.85</v>
      </c>
      <c r="AB8">
        <v>25</v>
      </c>
      <c r="AC8">
        <v>22.1</v>
      </c>
      <c r="AD8">
        <v>1.05</v>
      </c>
      <c r="AG8">
        <v>35</v>
      </c>
      <c r="AH8">
        <v>31</v>
      </c>
      <c r="AI8">
        <v>1.98</v>
      </c>
      <c r="AR8">
        <v>300</v>
      </c>
      <c r="AS8" t="s">
        <v>426</v>
      </c>
      <c r="AZ8">
        <v>80</v>
      </c>
      <c r="BK8">
        <v>150</v>
      </c>
      <c r="BL8">
        <v>50</v>
      </c>
    </row>
    <row r="9" spans="1:64" x14ac:dyDescent="0.35">
      <c r="D9" t="s">
        <v>533</v>
      </c>
      <c r="F9">
        <v>6</v>
      </c>
      <c r="G9">
        <v>120</v>
      </c>
      <c r="H9">
        <v>330</v>
      </c>
      <c r="I9">
        <f>AS3000_CURRENTCAPACITY[[#This Row],[AMP_SPACED_RAW]]*0.8</f>
        <v>264</v>
      </c>
      <c r="J9">
        <v>306</v>
      </c>
      <c r="K9">
        <f>AS3000_CURRENTCAPACITY[[#This Row],[AMP_TOUCHING_RAW]]*0.8</f>
        <v>244.8</v>
      </c>
      <c r="S9" s="3">
        <v>120</v>
      </c>
      <c r="T9">
        <v>0.35099999999999998</v>
      </c>
      <c r="W9">
        <v>70</v>
      </c>
      <c r="X9">
        <v>32.1</v>
      </c>
      <c r="Y9">
        <v>2.8</v>
      </c>
      <c r="AB9">
        <v>16</v>
      </c>
      <c r="AC9">
        <v>18.899999999999999</v>
      </c>
      <c r="AD9">
        <v>0.71</v>
      </c>
      <c r="AG9">
        <v>25</v>
      </c>
      <c r="AH9">
        <v>26.8</v>
      </c>
      <c r="AI9">
        <v>1.46</v>
      </c>
      <c r="AR9">
        <v>150</v>
      </c>
      <c r="AS9" t="s">
        <v>427</v>
      </c>
      <c r="AZ9">
        <v>63</v>
      </c>
      <c r="BK9">
        <v>120</v>
      </c>
      <c r="BL9">
        <v>35</v>
      </c>
    </row>
    <row r="10" spans="1:64" x14ac:dyDescent="0.35">
      <c r="A10" s="1" t="s">
        <v>439</v>
      </c>
      <c r="B10" s="2">
        <f>36*10^-3</f>
        <v>3.6000000000000004E-2</v>
      </c>
      <c r="F10">
        <v>7</v>
      </c>
      <c r="G10">
        <v>95</v>
      </c>
      <c r="H10">
        <v>283</v>
      </c>
      <c r="I10">
        <f>AS3000_CURRENTCAPACITY[[#This Row],[AMP_SPACED_RAW]]*0.8</f>
        <v>226.4</v>
      </c>
      <c r="J10">
        <v>263</v>
      </c>
      <c r="K10">
        <f>AS3000_CURRENTCAPACITY[[#This Row],[AMP_TOUCHING_RAW]]*0.8</f>
        <v>210.4</v>
      </c>
      <c r="S10" s="4">
        <v>95</v>
      </c>
      <c r="T10">
        <v>0.43099999999999999</v>
      </c>
      <c r="W10">
        <v>50</v>
      </c>
      <c r="X10">
        <v>28.8</v>
      </c>
      <c r="Y10">
        <v>2.15</v>
      </c>
      <c r="AB10">
        <v>10</v>
      </c>
      <c r="AC10">
        <v>16.600000000000001</v>
      </c>
      <c r="AD10">
        <v>0.48</v>
      </c>
      <c r="AG10">
        <v>16</v>
      </c>
      <c r="AH10">
        <v>22.1</v>
      </c>
      <c r="AI10">
        <v>0.97</v>
      </c>
      <c r="AR10">
        <v>0</v>
      </c>
      <c r="AZ10">
        <v>50</v>
      </c>
      <c r="BK10">
        <v>95</v>
      </c>
      <c r="BL10">
        <v>25</v>
      </c>
    </row>
    <row r="11" spans="1:64" x14ac:dyDescent="0.35">
      <c r="F11">
        <v>8</v>
      </c>
      <c r="G11">
        <v>70</v>
      </c>
      <c r="H11">
        <v>229</v>
      </c>
      <c r="I11">
        <f>AS3000_CURRENTCAPACITY[[#This Row],[AMP_SPACED_RAW]]*0.8</f>
        <v>183.20000000000002</v>
      </c>
      <c r="J11">
        <v>213</v>
      </c>
      <c r="K11">
        <f>AS3000_CURRENTCAPACITY[[#This Row],[AMP_TOUCHING_RAW]]*0.8</f>
        <v>170.4</v>
      </c>
      <c r="S11" s="3">
        <v>70</v>
      </c>
      <c r="T11">
        <v>0.58299999999999996</v>
      </c>
      <c r="W11">
        <v>35</v>
      </c>
      <c r="X11">
        <v>25.6</v>
      </c>
      <c r="Y11">
        <v>1.62</v>
      </c>
      <c r="AB11">
        <v>6</v>
      </c>
      <c r="AC11">
        <v>14.5</v>
      </c>
      <c r="AD11">
        <v>0.33</v>
      </c>
      <c r="AG11">
        <v>10</v>
      </c>
      <c r="AH11">
        <v>19.2</v>
      </c>
      <c r="AI11">
        <v>0.67</v>
      </c>
      <c r="AZ11">
        <v>40</v>
      </c>
      <c r="BK11">
        <v>70</v>
      </c>
      <c r="BL11">
        <v>25</v>
      </c>
    </row>
    <row r="12" spans="1:64" x14ac:dyDescent="0.35">
      <c r="A12" s="1" t="s">
        <v>440</v>
      </c>
      <c r="B12" s="2">
        <v>230</v>
      </c>
      <c r="F12">
        <v>9</v>
      </c>
      <c r="G12">
        <v>50</v>
      </c>
      <c r="H12">
        <v>180</v>
      </c>
      <c r="I12">
        <f>AS3000_CURRENTCAPACITY[[#This Row],[AMP_SPACED_RAW]]*0.8</f>
        <v>144</v>
      </c>
      <c r="J12">
        <v>168</v>
      </c>
      <c r="K12">
        <f>AS3000_CURRENTCAPACITY[[#This Row],[AMP_TOUCHING_RAW]]*0.8</f>
        <v>134.4</v>
      </c>
      <c r="S12" s="4">
        <v>50</v>
      </c>
      <c r="T12">
        <v>0.82899999999999996</v>
      </c>
      <c r="W12">
        <v>25</v>
      </c>
      <c r="X12">
        <v>22.8</v>
      </c>
      <c r="Y12">
        <v>1.22</v>
      </c>
      <c r="AB12">
        <v>4</v>
      </c>
      <c r="AC12">
        <v>13.5</v>
      </c>
      <c r="AD12">
        <v>0.28999999999999998</v>
      </c>
      <c r="AG12">
        <v>6</v>
      </c>
      <c r="AH12">
        <v>17.5</v>
      </c>
      <c r="AI12">
        <v>0.44</v>
      </c>
      <c r="AZ12">
        <v>32</v>
      </c>
      <c r="BK12">
        <v>50</v>
      </c>
      <c r="BL12">
        <v>16</v>
      </c>
    </row>
    <row r="13" spans="1:64" x14ac:dyDescent="0.35">
      <c r="A13" s="5"/>
      <c r="B13" s="5"/>
      <c r="F13">
        <v>10</v>
      </c>
      <c r="G13">
        <v>35</v>
      </c>
      <c r="H13">
        <v>147</v>
      </c>
      <c r="I13">
        <f>AS3000_CURRENTCAPACITY[[#This Row],[AMP_SPACED_RAW]]*0.8</f>
        <v>117.60000000000001</v>
      </c>
      <c r="J13">
        <v>137</v>
      </c>
      <c r="K13">
        <f>AS3000_CURRENTCAPACITY[[#This Row],[AMP_TOUCHING_RAW]]*0.8</f>
        <v>109.60000000000001</v>
      </c>
      <c r="S13" s="3">
        <v>35</v>
      </c>
      <c r="T13">
        <v>1.1100000000000001</v>
      </c>
      <c r="W13">
        <v>16</v>
      </c>
      <c r="X13">
        <v>20.3</v>
      </c>
      <c r="Y13">
        <v>0.86</v>
      </c>
      <c r="AB13">
        <v>2.5</v>
      </c>
      <c r="AC13">
        <v>12</v>
      </c>
      <c r="AD13">
        <v>0.21</v>
      </c>
      <c r="AG13">
        <v>4</v>
      </c>
      <c r="AH13">
        <v>15.5</v>
      </c>
      <c r="AI13">
        <v>0.34</v>
      </c>
      <c r="AZ13">
        <v>25</v>
      </c>
      <c r="BK13">
        <v>35</v>
      </c>
      <c r="BL13">
        <v>10</v>
      </c>
    </row>
    <row r="14" spans="1:64" x14ac:dyDescent="0.35">
      <c r="A14" s="5"/>
      <c r="B14" s="5"/>
      <c r="F14">
        <v>11</v>
      </c>
      <c r="G14">
        <v>25</v>
      </c>
      <c r="H14">
        <v>119</v>
      </c>
      <c r="I14">
        <f>AS3000_CURRENTCAPACITY[[#This Row],[AMP_SPACED_RAW]]*0.8</f>
        <v>95.2</v>
      </c>
      <c r="J14">
        <v>111</v>
      </c>
      <c r="K14">
        <f>AS3000_CURRENTCAPACITY[[#This Row],[AMP_TOUCHING_RAW]]*0.8</f>
        <v>88.800000000000011</v>
      </c>
      <c r="S14" s="4">
        <v>25</v>
      </c>
      <c r="T14">
        <v>1.54</v>
      </c>
      <c r="W14">
        <v>10</v>
      </c>
      <c r="X14">
        <v>18.399999999999999</v>
      </c>
      <c r="Y14">
        <v>0.62</v>
      </c>
      <c r="AG14">
        <v>2.5</v>
      </c>
      <c r="AH14">
        <v>13.4</v>
      </c>
      <c r="AI14">
        <v>0.23</v>
      </c>
      <c r="AZ14">
        <v>20</v>
      </c>
      <c r="BK14">
        <v>25</v>
      </c>
      <c r="BL14">
        <v>6</v>
      </c>
    </row>
    <row r="15" spans="1:64" x14ac:dyDescent="0.35">
      <c r="A15" s="5"/>
      <c r="B15" s="5"/>
      <c r="F15">
        <v>12</v>
      </c>
      <c r="G15">
        <v>16</v>
      </c>
      <c r="H15">
        <v>88</v>
      </c>
      <c r="I15">
        <f>AS3000_CURRENTCAPACITY[[#This Row],[AMP_SPACED_RAW]]*0.8</f>
        <v>70.400000000000006</v>
      </c>
      <c r="J15">
        <v>83</v>
      </c>
      <c r="K15">
        <f>AS3000_CURRENTCAPACITY[[#This Row],[AMP_TOUCHING_RAW]]*0.8</f>
        <v>66.400000000000006</v>
      </c>
      <c r="S15" s="3">
        <v>16</v>
      </c>
      <c r="T15">
        <v>2.4300000000000002</v>
      </c>
      <c r="W15">
        <v>6</v>
      </c>
      <c r="X15">
        <v>17.399999999999999</v>
      </c>
      <c r="Y15">
        <v>0.49</v>
      </c>
      <c r="AZ15">
        <v>16</v>
      </c>
      <c r="BK15">
        <v>16</v>
      </c>
      <c r="BL15">
        <v>6</v>
      </c>
    </row>
    <row r="16" spans="1:64" x14ac:dyDescent="0.35">
      <c r="A16" s="5"/>
      <c r="B16" s="5"/>
      <c r="F16">
        <v>13</v>
      </c>
      <c r="G16">
        <v>10</v>
      </c>
      <c r="H16">
        <v>66</v>
      </c>
      <c r="I16">
        <f>AS3000_CURRENTCAPACITY[[#This Row],[AMP_SPACED_RAW]]*0.8</f>
        <v>52.800000000000004</v>
      </c>
      <c r="J16">
        <v>62</v>
      </c>
      <c r="K16">
        <f>AS3000_CURRENTCAPACITY[[#This Row],[AMP_TOUCHING_RAW]]*0.8</f>
        <v>49.6</v>
      </c>
      <c r="S16" s="4">
        <v>10</v>
      </c>
      <c r="T16">
        <v>3.86</v>
      </c>
      <c r="W16">
        <v>4</v>
      </c>
      <c r="X16">
        <v>16.5</v>
      </c>
      <c r="Y16">
        <v>0.41</v>
      </c>
      <c r="AZ16">
        <v>10</v>
      </c>
      <c r="BK16">
        <v>10</v>
      </c>
      <c r="BL16">
        <v>4</v>
      </c>
    </row>
    <row r="17" spans="1:64" x14ac:dyDescent="0.35">
      <c r="A17" s="5"/>
      <c r="B17" s="5"/>
      <c r="F17">
        <v>14</v>
      </c>
      <c r="G17">
        <v>6</v>
      </c>
      <c r="H17">
        <v>48</v>
      </c>
      <c r="I17">
        <f>AS3000_CURRENTCAPACITY[[#This Row],[AMP_SPACED_RAW]]*0.8</f>
        <v>38.400000000000006</v>
      </c>
      <c r="J17">
        <v>45</v>
      </c>
      <c r="K17">
        <f>AS3000_CURRENTCAPACITY[[#This Row],[AMP_TOUCHING_RAW]]*0.8</f>
        <v>36</v>
      </c>
      <c r="S17" s="3">
        <v>6</v>
      </c>
      <c r="T17">
        <v>6.49</v>
      </c>
      <c r="W17">
        <v>2.5</v>
      </c>
      <c r="X17">
        <v>14.5</v>
      </c>
      <c r="Y17">
        <v>0.33</v>
      </c>
      <c r="AZ17">
        <v>6</v>
      </c>
      <c r="BK17">
        <v>6</v>
      </c>
      <c r="BL17">
        <v>2.5</v>
      </c>
    </row>
    <row r="18" spans="1:64" x14ac:dyDescent="0.35">
      <c r="F18">
        <v>15</v>
      </c>
      <c r="G18">
        <v>4</v>
      </c>
      <c r="H18">
        <v>38</v>
      </c>
      <c r="I18">
        <f>AS3000_CURRENTCAPACITY[[#This Row],[AMP_SPACED_RAW]]*0.8</f>
        <v>30.400000000000002</v>
      </c>
      <c r="J18">
        <v>35</v>
      </c>
      <c r="K18">
        <f>AS3000_CURRENTCAPACITY[[#This Row],[AMP_TOUCHING_RAW]]*0.8</f>
        <v>28</v>
      </c>
      <c r="S18" s="4">
        <v>4</v>
      </c>
      <c r="T18">
        <v>9.7100000000000009</v>
      </c>
      <c r="BK18">
        <v>4</v>
      </c>
      <c r="BL18">
        <v>2.5</v>
      </c>
    </row>
    <row r="19" spans="1:64" x14ac:dyDescent="0.35">
      <c r="F19">
        <v>16</v>
      </c>
      <c r="G19">
        <v>2.5</v>
      </c>
      <c r="H19">
        <v>28</v>
      </c>
      <c r="I19">
        <f>AS3000_CURRENTCAPACITY[[#This Row],[AMP_SPACED_RAW]]*0.8</f>
        <v>22.400000000000002</v>
      </c>
      <c r="J19">
        <v>26</v>
      </c>
      <c r="K19">
        <f>AS3000_CURRENTCAPACITY[[#This Row],[AMP_TOUCHING_RAW]]*0.8</f>
        <v>20.8</v>
      </c>
      <c r="S19" s="3">
        <v>2.5</v>
      </c>
      <c r="T19">
        <v>15.6</v>
      </c>
      <c r="BK19">
        <v>2.5</v>
      </c>
      <c r="BL19">
        <v>2.5</v>
      </c>
    </row>
    <row r="20" spans="1:64" x14ac:dyDescent="0.35">
      <c r="F20">
        <v>17</v>
      </c>
      <c r="G20">
        <v>1.5</v>
      </c>
      <c r="H20">
        <v>20</v>
      </c>
      <c r="I20">
        <f>AS3000_CURRENTCAPACITY[[#This Row],[AMP_SPACED_RAW]]*0.8</f>
        <v>16</v>
      </c>
      <c r="J20">
        <v>19</v>
      </c>
      <c r="K20">
        <f>AS3000_CURRENTCAPACITY[[#This Row],[AMP_TOUCHING_RAW]]*0.8</f>
        <v>15.200000000000001</v>
      </c>
      <c r="S20" s="4">
        <v>2.5</v>
      </c>
      <c r="T20">
        <v>28.6</v>
      </c>
      <c r="BK20">
        <v>1.5</v>
      </c>
      <c r="BL20">
        <v>1.5</v>
      </c>
    </row>
    <row r="21" spans="1:64" x14ac:dyDescent="0.35">
      <c r="F21">
        <v>18</v>
      </c>
      <c r="G21">
        <v>1</v>
      </c>
      <c r="H21">
        <v>16</v>
      </c>
      <c r="I21">
        <f>AS3000_CURRENTCAPACITY[[#This Row],[AMP_SPACED_RAW]]*0.8</f>
        <v>12.8</v>
      </c>
      <c r="J21">
        <v>14</v>
      </c>
      <c r="K21">
        <f>AS3000_CURRENTCAPACITY[[#This Row],[AMP_TOUCHING_RAW]]*0.8</f>
        <v>11.200000000000001</v>
      </c>
      <c r="S21" s="3">
        <v>2.5</v>
      </c>
      <c r="T21">
        <v>44.7</v>
      </c>
      <c r="BK21">
        <v>1</v>
      </c>
      <c r="BL21">
        <v>1</v>
      </c>
    </row>
    <row r="22" spans="1:64" x14ac:dyDescent="0.35">
      <c r="S22" s="11"/>
    </row>
    <row r="23" spans="1:64" x14ac:dyDescent="0.35">
      <c r="G23" t="s">
        <v>245</v>
      </c>
    </row>
    <row r="24" spans="1:64" x14ac:dyDescent="0.35">
      <c r="G24" t="s">
        <v>527</v>
      </c>
      <c r="O24" t="s">
        <v>259</v>
      </c>
      <c r="S24" t="s">
        <v>260</v>
      </c>
      <c r="W24" t="s">
        <v>266</v>
      </c>
      <c r="AB24" t="s">
        <v>267</v>
      </c>
      <c r="AL24" t="s">
        <v>410</v>
      </c>
      <c r="AO24" t="s">
        <v>413</v>
      </c>
      <c r="AR24" t="s">
        <v>419</v>
      </c>
      <c r="AV24" t="s">
        <v>434</v>
      </c>
      <c r="BC24" t="s">
        <v>452</v>
      </c>
      <c r="BG24" t="s">
        <v>454</v>
      </c>
      <c r="BK24" t="s">
        <v>463</v>
      </c>
    </row>
    <row r="25" spans="1:64" x14ac:dyDescent="0.35">
      <c r="O25" t="s">
        <v>528</v>
      </c>
      <c r="W25" t="s">
        <v>269</v>
      </c>
      <c r="AB25" t="s">
        <v>270</v>
      </c>
      <c r="AL25" t="s">
        <v>411</v>
      </c>
      <c r="AO25" t="s">
        <v>414</v>
      </c>
      <c r="AR25" t="s">
        <v>420</v>
      </c>
      <c r="AV25" t="s">
        <v>420</v>
      </c>
      <c r="AZ25" t="s">
        <v>443</v>
      </c>
    </row>
    <row r="26" spans="1:64" x14ac:dyDescent="0.35">
      <c r="W26" t="s">
        <v>277</v>
      </c>
      <c r="AB26" t="s">
        <v>277</v>
      </c>
      <c r="AL26" t="s">
        <v>412</v>
      </c>
      <c r="AO26" t="s">
        <v>415</v>
      </c>
      <c r="AR26" t="s">
        <v>421</v>
      </c>
    </row>
    <row r="27" spans="1:64" x14ac:dyDescent="0.35">
      <c r="AG27" t="s">
        <v>268</v>
      </c>
    </row>
    <row r="28" spans="1:64" x14ac:dyDescent="0.35">
      <c r="AG28" t="s">
        <v>271</v>
      </c>
    </row>
    <row r="29" spans="1:64" x14ac:dyDescent="0.35">
      <c r="AG29" t="s">
        <v>277</v>
      </c>
    </row>
    <row r="30" spans="1:64" x14ac:dyDescent="0.35">
      <c r="F30" t="str">
        <f>""""&amp;F3&amp;"""="</f>
        <v>"0"=</v>
      </c>
      <c r="G30" t="str">
        <f>"["&amp;G3&amp;","</f>
        <v>[500,</v>
      </c>
      <c r="H30" t="str">
        <f>H3&amp;","</f>
        <v>779,</v>
      </c>
      <c r="J30" t="str">
        <f>J3&amp;"]"</f>
        <v>718]</v>
      </c>
      <c r="L30" t="str">
        <f>_xlfn.TEXTJOIN(,TRUE,F30:J30)</f>
        <v>"0"=[500,779,718]</v>
      </c>
    </row>
    <row r="31" spans="1:64" x14ac:dyDescent="0.35">
      <c r="F31" t="str">
        <f t="shared" ref="F31:F48" si="0">""""&amp;F4&amp;"""="</f>
        <v>"1"=</v>
      </c>
      <c r="G31" t="str">
        <f t="shared" ref="G31:G52" si="1">"["&amp;G4&amp;","</f>
        <v>[400,</v>
      </c>
      <c r="H31" t="str">
        <f t="shared" ref="H31:H52" si="2">H4&amp;","</f>
        <v>685,</v>
      </c>
      <c r="J31" t="str">
        <f t="shared" ref="J31:J52" si="3">J4&amp;"]"</f>
        <v>632]</v>
      </c>
      <c r="L31" t="str">
        <f t="shared" ref="L31:L52" si="4">_xlfn.TEXTJOIN(,TRUE,F31:J31)</f>
        <v>"1"=[400,685,632]</v>
      </c>
    </row>
    <row r="32" spans="1:64" x14ac:dyDescent="0.35">
      <c r="F32" t="str">
        <f t="shared" si="0"/>
        <v>"2"=</v>
      </c>
      <c r="G32" t="str">
        <f t="shared" si="1"/>
        <v>[300,</v>
      </c>
      <c r="H32" t="str">
        <f t="shared" si="2"/>
        <v>594,</v>
      </c>
      <c r="J32" t="str">
        <f t="shared" si="3"/>
        <v>549]</v>
      </c>
      <c r="L32" t="str">
        <f t="shared" si="4"/>
        <v>"2"=[300,594,549]</v>
      </c>
      <c r="AG32" s="12" t="s">
        <v>476</v>
      </c>
      <c r="AH32" s="12"/>
      <c r="AI32" s="12"/>
    </row>
    <row r="33" spans="6:50" x14ac:dyDescent="0.35">
      <c r="F33" t="str">
        <f t="shared" si="0"/>
        <v>"3"=</v>
      </c>
      <c r="G33" t="str">
        <f t="shared" si="1"/>
        <v>[240,</v>
      </c>
      <c r="H33" t="str">
        <f t="shared" si="2"/>
        <v>517,</v>
      </c>
      <c r="J33" t="str">
        <f t="shared" si="3"/>
        <v>479]</v>
      </c>
      <c r="L33" t="str">
        <f t="shared" si="4"/>
        <v>"3"=[240,517,479]</v>
      </c>
      <c r="AG33" s="12" t="s">
        <v>477</v>
      </c>
      <c r="AH33" s="12"/>
      <c r="AI33" s="12"/>
    </row>
    <row r="34" spans="6:50" x14ac:dyDescent="0.35">
      <c r="F34" t="str">
        <f t="shared" si="0"/>
        <v>"4"=</v>
      </c>
      <c r="G34" t="str">
        <f t="shared" si="1"/>
        <v>[185,</v>
      </c>
      <c r="H34" t="str">
        <f t="shared" si="2"/>
        <v>240,</v>
      </c>
      <c r="J34" t="str">
        <f t="shared" si="3"/>
        <v>404]</v>
      </c>
      <c r="L34" t="str">
        <f t="shared" si="4"/>
        <v>"4"=[185,240,404]</v>
      </c>
    </row>
    <row r="35" spans="6:50" x14ac:dyDescent="0.35">
      <c r="F35" t="str">
        <f t="shared" si="0"/>
        <v>"5"=</v>
      </c>
      <c r="G35" t="str">
        <f t="shared" si="1"/>
        <v>[150,</v>
      </c>
      <c r="H35" t="str">
        <f t="shared" si="2"/>
        <v>377,</v>
      </c>
      <c r="J35" t="str">
        <f t="shared" si="3"/>
        <v>350]</v>
      </c>
      <c r="L35" t="str">
        <f t="shared" si="4"/>
        <v>"5"=[150,377,350]</v>
      </c>
    </row>
    <row r="36" spans="6:50" x14ac:dyDescent="0.35">
      <c r="F36" t="str">
        <f t="shared" si="0"/>
        <v>"6"=</v>
      </c>
      <c r="G36" t="str">
        <f t="shared" si="1"/>
        <v>[120,</v>
      </c>
      <c r="H36" t="str">
        <f t="shared" si="2"/>
        <v>330,</v>
      </c>
      <c r="J36" t="str">
        <f t="shared" si="3"/>
        <v>306]</v>
      </c>
      <c r="L36" t="str">
        <f t="shared" si="4"/>
        <v>"6"=[120,330,306]</v>
      </c>
    </row>
    <row r="37" spans="6:50" x14ac:dyDescent="0.35">
      <c r="F37" t="str">
        <f t="shared" si="0"/>
        <v>"7"=</v>
      </c>
      <c r="G37" t="str">
        <f t="shared" si="1"/>
        <v>[95,</v>
      </c>
      <c r="H37" t="str">
        <f t="shared" si="2"/>
        <v>283,</v>
      </c>
      <c r="J37" t="str">
        <f t="shared" si="3"/>
        <v>263]</v>
      </c>
      <c r="L37" t="str">
        <f t="shared" si="4"/>
        <v>"7"=[95,283,263]</v>
      </c>
    </row>
    <row r="38" spans="6:50" x14ac:dyDescent="0.35">
      <c r="F38" t="str">
        <f t="shared" si="0"/>
        <v>"8"=</v>
      </c>
      <c r="G38" t="str">
        <f t="shared" si="1"/>
        <v>[70,</v>
      </c>
      <c r="H38" t="str">
        <f t="shared" si="2"/>
        <v>229,</v>
      </c>
      <c r="J38" t="str">
        <f t="shared" si="3"/>
        <v>213]</v>
      </c>
      <c r="L38" t="str">
        <f t="shared" si="4"/>
        <v>"8"=[70,229,213]</v>
      </c>
    </row>
    <row r="39" spans="6:50" x14ac:dyDescent="0.35">
      <c r="F39" t="str">
        <f t="shared" si="0"/>
        <v>"9"=</v>
      </c>
      <c r="G39" t="str">
        <f t="shared" si="1"/>
        <v>[50,</v>
      </c>
      <c r="H39" t="str">
        <f t="shared" si="2"/>
        <v>180,</v>
      </c>
      <c r="J39" t="str">
        <f t="shared" si="3"/>
        <v>168]</v>
      </c>
      <c r="L39" t="str">
        <f t="shared" si="4"/>
        <v>"9"=[50,180,168]</v>
      </c>
    </row>
    <row r="40" spans="6:50" x14ac:dyDescent="0.35">
      <c r="F40" t="str">
        <f t="shared" si="0"/>
        <v>"10"=</v>
      </c>
      <c r="G40" t="str">
        <f t="shared" si="1"/>
        <v>[35,</v>
      </c>
      <c r="H40" t="str">
        <f t="shared" si="2"/>
        <v>147,</v>
      </c>
      <c r="J40" t="str">
        <f t="shared" si="3"/>
        <v>137]</v>
      </c>
      <c r="L40" t="str">
        <f t="shared" si="4"/>
        <v>"10"=[35,147,137]</v>
      </c>
      <c r="AX40" s="5"/>
    </row>
    <row r="41" spans="6:50" x14ac:dyDescent="0.35">
      <c r="F41" t="str">
        <f t="shared" si="0"/>
        <v>"11"=</v>
      </c>
      <c r="G41" t="str">
        <f t="shared" si="1"/>
        <v>[25,</v>
      </c>
      <c r="H41" t="str">
        <f t="shared" si="2"/>
        <v>119,</v>
      </c>
      <c r="J41" t="str">
        <f t="shared" si="3"/>
        <v>111]</v>
      </c>
      <c r="L41" t="str">
        <f t="shared" si="4"/>
        <v>"11"=[25,119,111]</v>
      </c>
    </row>
    <row r="42" spans="6:50" x14ac:dyDescent="0.35">
      <c r="F42" t="str">
        <f t="shared" si="0"/>
        <v>"12"=</v>
      </c>
      <c r="G42" t="str">
        <f t="shared" si="1"/>
        <v>[16,</v>
      </c>
      <c r="H42" t="str">
        <f t="shared" si="2"/>
        <v>88,</v>
      </c>
      <c r="J42" t="str">
        <f t="shared" si="3"/>
        <v>83]</v>
      </c>
      <c r="L42" t="str">
        <f t="shared" si="4"/>
        <v>"12"=[16,88,83]</v>
      </c>
    </row>
    <row r="43" spans="6:50" x14ac:dyDescent="0.35">
      <c r="F43" t="str">
        <f t="shared" si="0"/>
        <v>"13"=</v>
      </c>
      <c r="G43" t="str">
        <f t="shared" si="1"/>
        <v>[10,</v>
      </c>
      <c r="H43" t="str">
        <f t="shared" si="2"/>
        <v>66,</v>
      </c>
      <c r="J43" t="str">
        <f t="shared" si="3"/>
        <v>62]</v>
      </c>
      <c r="L43" t="str">
        <f t="shared" si="4"/>
        <v>"13"=[10,66,62]</v>
      </c>
    </row>
    <row r="44" spans="6:50" x14ac:dyDescent="0.35">
      <c r="F44" t="str">
        <f t="shared" si="0"/>
        <v>"14"=</v>
      </c>
      <c r="G44" t="str">
        <f t="shared" si="1"/>
        <v>[6,</v>
      </c>
      <c r="H44" t="str">
        <f t="shared" si="2"/>
        <v>48,</v>
      </c>
      <c r="J44" t="str">
        <f t="shared" si="3"/>
        <v>45]</v>
      </c>
      <c r="L44" t="str">
        <f t="shared" si="4"/>
        <v>"14"=[6,48,45]</v>
      </c>
    </row>
    <row r="45" spans="6:50" x14ac:dyDescent="0.35">
      <c r="F45" t="str">
        <f t="shared" si="0"/>
        <v>"15"=</v>
      </c>
      <c r="G45" t="str">
        <f t="shared" si="1"/>
        <v>[4,</v>
      </c>
      <c r="H45" t="str">
        <f t="shared" si="2"/>
        <v>38,</v>
      </c>
      <c r="J45" t="str">
        <f t="shared" si="3"/>
        <v>35]</v>
      </c>
      <c r="L45" t="str">
        <f t="shared" si="4"/>
        <v>"15"=[4,38,35]</v>
      </c>
    </row>
    <row r="46" spans="6:50" x14ac:dyDescent="0.35">
      <c r="F46" t="str">
        <f t="shared" si="0"/>
        <v>"16"=</v>
      </c>
      <c r="G46" t="str">
        <f t="shared" si="1"/>
        <v>[2.5,</v>
      </c>
      <c r="H46" t="str">
        <f t="shared" si="2"/>
        <v>28,</v>
      </c>
      <c r="J46" t="str">
        <f t="shared" si="3"/>
        <v>26]</v>
      </c>
      <c r="L46" t="str">
        <f t="shared" si="4"/>
        <v>"16"=[2.5,28,26]</v>
      </c>
    </row>
    <row r="47" spans="6:50" x14ac:dyDescent="0.35">
      <c r="F47" t="str">
        <f t="shared" si="0"/>
        <v>"17"=</v>
      </c>
      <c r="G47" t="str">
        <f t="shared" si="1"/>
        <v>[1.5,</v>
      </c>
      <c r="H47" t="str">
        <f t="shared" si="2"/>
        <v>20,</v>
      </c>
      <c r="J47" t="str">
        <f t="shared" si="3"/>
        <v>19]</v>
      </c>
      <c r="L47" t="str">
        <f t="shared" si="4"/>
        <v>"17"=[1.5,20,19]</v>
      </c>
    </row>
    <row r="48" spans="6:50" x14ac:dyDescent="0.35">
      <c r="F48" t="str">
        <f t="shared" si="0"/>
        <v>"18"=</v>
      </c>
      <c r="G48" t="str">
        <f t="shared" si="1"/>
        <v>[1,</v>
      </c>
      <c r="H48" t="str">
        <f t="shared" si="2"/>
        <v>16,</v>
      </c>
      <c r="J48" t="str">
        <f t="shared" si="3"/>
        <v>14]</v>
      </c>
      <c r="L48" t="str">
        <f t="shared" si="4"/>
        <v>"18"=[1,16,14]</v>
      </c>
    </row>
    <row r="49" spans="6:12" x14ac:dyDescent="0.35">
      <c r="F49" t="str">
        <f t="shared" ref="F31:F52" si="5">F22&amp;" = "</f>
        <v xml:space="preserve"> = </v>
      </c>
      <c r="G49" t="str">
        <f t="shared" si="1"/>
        <v>[,</v>
      </c>
      <c r="H49" t="str">
        <f t="shared" si="2"/>
        <v>,</v>
      </c>
      <c r="J49" t="str">
        <f t="shared" si="3"/>
        <v>]</v>
      </c>
      <c r="L49" t="str">
        <f t="shared" si="4"/>
        <v xml:space="preserve"> = [,,]</v>
      </c>
    </row>
    <row r="50" spans="6:12" x14ac:dyDescent="0.35">
      <c r="F50" t="str">
        <f t="shared" si="5"/>
        <v xml:space="preserve"> = </v>
      </c>
      <c r="G50" t="str">
        <f t="shared" si="1"/>
        <v>[current carrying capacity,</v>
      </c>
      <c r="H50" t="str">
        <f t="shared" si="2"/>
        <v>,</v>
      </c>
      <c r="J50" t="str">
        <f t="shared" si="3"/>
        <v>]</v>
      </c>
      <c r="L50" t="str">
        <f t="shared" si="4"/>
        <v xml:space="preserve"> = [current carrying capacity,,]</v>
      </c>
    </row>
    <row r="51" spans="6:12" x14ac:dyDescent="0.35">
      <c r="F51" t="str">
        <f t="shared" si="5"/>
        <v xml:space="preserve"> = </v>
      </c>
      <c r="G51" t="str">
        <f t="shared" si="1"/>
        <v>[TABLE 14 OF ASNZ 3008.1.1-2017,</v>
      </c>
      <c r="H51" t="str">
        <f t="shared" si="2"/>
        <v>,</v>
      </c>
      <c r="J51" t="str">
        <f t="shared" si="3"/>
        <v>]</v>
      </c>
      <c r="L51" t="str">
        <f t="shared" si="4"/>
        <v xml:space="preserve"> = [TABLE 14 OF ASNZ 3008.1.1-2017,,]</v>
      </c>
    </row>
    <row r="52" spans="6:12" x14ac:dyDescent="0.35">
      <c r="F52" t="str">
        <f t="shared" si="5"/>
        <v xml:space="preserve"> = </v>
      </c>
      <c r="G52" t="str">
        <f t="shared" si="1"/>
        <v>[,</v>
      </c>
      <c r="H52" t="str">
        <f t="shared" si="2"/>
        <v>,</v>
      </c>
      <c r="J52" t="str">
        <f t="shared" si="3"/>
        <v>]</v>
      </c>
      <c r="L52" t="str">
        <f t="shared" si="4"/>
        <v xml:space="preserve"> = [,,]</v>
      </c>
    </row>
  </sheetData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B8A1-4B82-47D5-8206-BDE0DA7108BD}">
  <dimension ref="A1:G84"/>
  <sheetViews>
    <sheetView workbookViewId="0">
      <selection activeCell="G14" sqref="G14"/>
    </sheetView>
  </sheetViews>
  <sheetFormatPr defaultRowHeight="14.5" x14ac:dyDescent="0.35"/>
  <cols>
    <col min="1" max="1" width="11.26953125" bestFit="1" customWidth="1"/>
    <col min="2" max="2" width="36.81640625" bestFit="1" customWidth="1"/>
    <col min="4" max="4" width="9.81640625" customWidth="1"/>
    <col min="5" max="5" width="10.7265625" customWidth="1"/>
    <col min="6" max="6" width="18.7265625" bestFit="1" customWidth="1"/>
    <col min="7" max="7" width="51.26953125" bestFit="1" customWidth="1"/>
  </cols>
  <sheetData>
    <row r="1" spans="1:7" x14ac:dyDescent="0.35">
      <c r="A1" t="s">
        <v>122</v>
      </c>
      <c r="B1" t="s">
        <v>121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</row>
    <row r="2" spans="1:7" x14ac:dyDescent="0.35">
      <c r="A2" t="s">
        <v>1</v>
      </c>
      <c r="B2" t="s">
        <v>79</v>
      </c>
      <c r="C2">
        <v>4</v>
      </c>
      <c r="D2">
        <v>4</v>
      </c>
      <c r="E2" t="str">
        <f>IF(C2&lt;&gt;D2,"YES","NO")</f>
        <v>NO</v>
      </c>
      <c r="F2" t="str">
        <f>IF(CABLE_COMPARISON[[#This Row],[CHANGE]]="YES",CABLE_COMPARISON[[#This Row],[V1-NZ]] &amp;"mm^2 -&gt; " &amp;CABLE_COMPARISON[[#This Row],[V2-AUS]] &amp; "mm^2","")</f>
        <v/>
      </c>
    </row>
    <row r="3" spans="1:7" x14ac:dyDescent="0.35">
      <c r="A3" t="s">
        <v>2</v>
      </c>
      <c r="B3" t="s">
        <v>80</v>
      </c>
      <c r="C3">
        <v>6</v>
      </c>
      <c r="D3">
        <v>6</v>
      </c>
      <c r="E3" t="str">
        <f t="shared" ref="E3:E66" si="0">IF(C3&lt;&gt;D3,"YES","NO")</f>
        <v>NO</v>
      </c>
      <c r="F3" t="str">
        <f>IF(CABLE_COMPARISON[[#This Row],[CHANGE]]="YES",CABLE_COMPARISON[[#This Row],[V1-NZ]] &amp;"mm^2 -&gt; " &amp;CABLE_COMPARISON[[#This Row],[V2-AUS]] &amp; "mm^2","")</f>
        <v/>
      </c>
    </row>
    <row r="4" spans="1:7" x14ac:dyDescent="0.35">
      <c r="A4" t="s">
        <v>3</v>
      </c>
      <c r="B4" t="s">
        <v>81</v>
      </c>
      <c r="C4">
        <v>10</v>
      </c>
      <c r="D4">
        <v>10</v>
      </c>
      <c r="E4" t="str">
        <f t="shared" si="0"/>
        <v>NO</v>
      </c>
      <c r="F4" t="str">
        <f>IF(CABLE_COMPARISON[[#This Row],[CHANGE]]="YES",CABLE_COMPARISON[[#This Row],[V1-NZ]] &amp;"mm^2 -&gt; " &amp;CABLE_COMPARISON[[#This Row],[V2-AUS]] &amp; "mm^2","")</f>
        <v/>
      </c>
    </row>
    <row r="5" spans="1:7" x14ac:dyDescent="0.35">
      <c r="A5" t="s">
        <v>4</v>
      </c>
      <c r="B5" t="s">
        <v>478</v>
      </c>
      <c r="C5">
        <v>2.5</v>
      </c>
      <c r="D5">
        <v>2.5</v>
      </c>
      <c r="E5" t="str">
        <f t="shared" si="0"/>
        <v>NO</v>
      </c>
      <c r="F5" t="str">
        <f>IF(CABLE_COMPARISON[[#This Row],[CHANGE]]="YES",CABLE_COMPARISON[[#This Row],[V1-NZ]] &amp;"mm^2 -&gt; " &amp;CABLE_COMPARISON[[#This Row],[V2-AUS]] &amp; "mm^2","")</f>
        <v/>
      </c>
    </row>
    <row r="6" spans="1:7" x14ac:dyDescent="0.35">
      <c r="A6" t="s">
        <v>5</v>
      </c>
      <c r="B6" t="s">
        <v>479</v>
      </c>
      <c r="C6">
        <v>2.5</v>
      </c>
      <c r="D6">
        <v>2.5</v>
      </c>
      <c r="E6" t="str">
        <f t="shared" si="0"/>
        <v>NO</v>
      </c>
      <c r="F6" t="str">
        <f>IF(CABLE_COMPARISON[[#This Row],[CHANGE]]="YES",CABLE_COMPARISON[[#This Row],[V1-NZ]] &amp;"mm^2 -&gt; " &amp;CABLE_COMPARISON[[#This Row],[V2-AUS]] &amp; "mm^2","")</f>
        <v/>
      </c>
    </row>
    <row r="7" spans="1:7" x14ac:dyDescent="0.35">
      <c r="A7" t="s">
        <v>6</v>
      </c>
      <c r="B7" t="s">
        <v>82</v>
      </c>
      <c r="C7" s="12">
        <v>4</v>
      </c>
      <c r="D7" s="12">
        <v>2.5</v>
      </c>
      <c r="E7" t="str">
        <f t="shared" si="0"/>
        <v>YES</v>
      </c>
      <c r="F7" t="str">
        <f>IF(CABLE_COMPARISON[[#This Row],[CHANGE]]="YES",CABLE_COMPARISON[[#This Row],[V1-NZ]] &amp;"mm^2 -&gt; " &amp;CABLE_COMPARISON[[#This Row],[V2-AUS]] &amp; "mm^2","")</f>
        <v>4mm^2 -&gt; 2.5mm^2</v>
      </c>
      <c r="G7" t="s">
        <v>541</v>
      </c>
    </row>
    <row r="8" spans="1:7" x14ac:dyDescent="0.35">
      <c r="A8" t="s">
        <v>7</v>
      </c>
      <c r="B8" t="s">
        <v>83</v>
      </c>
      <c r="C8">
        <v>2.5</v>
      </c>
      <c r="D8">
        <v>2.5</v>
      </c>
      <c r="E8" t="str">
        <f t="shared" si="0"/>
        <v>NO</v>
      </c>
      <c r="F8" t="str">
        <f>IF(CABLE_COMPARISON[[#This Row],[CHANGE]]="YES",CABLE_COMPARISON[[#This Row],[V1-NZ]] &amp;"mm^2 -&gt; " &amp;CABLE_COMPARISON[[#This Row],[V2-AUS]] &amp; "mm^2","")</f>
        <v/>
      </c>
    </row>
    <row r="9" spans="1:7" x14ac:dyDescent="0.35">
      <c r="A9" t="s">
        <v>8</v>
      </c>
      <c r="B9" t="s">
        <v>84</v>
      </c>
      <c r="C9">
        <v>2.5</v>
      </c>
      <c r="D9">
        <v>2.5</v>
      </c>
      <c r="E9" t="str">
        <f t="shared" si="0"/>
        <v>NO</v>
      </c>
      <c r="F9" t="str">
        <f>IF(CABLE_COMPARISON[[#This Row],[CHANGE]]="YES",CABLE_COMPARISON[[#This Row],[V1-NZ]] &amp;"mm^2 -&gt; " &amp;CABLE_COMPARISON[[#This Row],[V2-AUS]] &amp; "mm^2","")</f>
        <v/>
      </c>
    </row>
    <row r="10" spans="1:7" x14ac:dyDescent="0.35">
      <c r="A10" t="s">
        <v>9</v>
      </c>
      <c r="B10" t="s">
        <v>85</v>
      </c>
      <c r="C10">
        <v>2.5</v>
      </c>
      <c r="D10">
        <v>2.5</v>
      </c>
      <c r="E10" t="str">
        <f t="shared" si="0"/>
        <v>NO</v>
      </c>
      <c r="F10" t="str">
        <f>IF(CABLE_COMPARISON[[#This Row],[CHANGE]]="YES",CABLE_COMPARISON[[#This Row],[V1-NZ]] &amp;"mm^2 -&gt; " &amp;CABLE_COMPARISON[[#This Row],[V2-AUS]] &amp; "mm^2","")</f>
        <v/>
      </c>
    </row>
    <row r="11" spans="1:7" x14ac:dyDescent="0.35">
      <c r="A11" t="s">
        <v>10</v>
      </c>
      <c r="B11" t="s">
        <v>480</v>
      </c>
      <c r="C11">
        <v>2.5</v>
      </c>
      <c r="D11">
        <v>2.5</v>
      </c>
      <c r="E11" t="str">
        <f t="shared" si="0"/>
        <v>NO</v>
      </c>
      <c r="F11" t="str">
        <f>IF(CABLE_COMPARISON[[#This Row],[CHANGE]]="YES",CABLE_COMPARISON[[#This Row],[V1-NZ]] &amp;"mm^2 -&gt; " &amp;CABLE_COMPARISON[[#This Row],[V2-AUS]] &amp; "mm^2","")</f>
        <v/>
      </c>
    </row>
    <row r="12" spans="1:7" x14ac:dyDescent="0.35">
      <c r="A12" t="s">
        <v>11</v>
      </c>
      <c r="B12" t="s">
        <v>481</v>
      </c>
      <c r="C12">
        <v>35</v>
      </c>
      <c r="D12">
        <v>35</v>
      </c>
      <c r="E12" t="str">
        <f t="shared" si="0"/>
        <v>NO</v>
      </c>
      <c r="F12" t="str">
        <f>IF(CABLE_COMPARISON[[#This Row],[CHANGE]]="YES",CABLE_COMPARISON[[#This Row],[V1-NZ]] &amp;"mm^2 -&gt; " &amp;CABLE_COMPARISON[[#This Row],[V2-AUS]] &amp; "mm^2","")</f>
        <v/>
      </c>
    </row>
    <row r="13" spans="1:7" x14ac:dyDescent="0.35">
      <c r="A13" t="s">
        <v>12</v>
      </c>
      <c r="B13" t="s">
        <v>482</v>
      </c>
      <c r="C13">
        <v>2.5</v>
      </c>
      <c r="D13">
        <v>2.5</v>
      </c>
      <c r="E13" t="str">
        <f t="shared" si="0"/>
        <v>NO</v>
      </c>
      <c r="F13" t="str">
        <f>IF(CABLE_COMPARISON[[#This Row],[CHANGE]]="YES",CABLE_COMPARISON[[#This Row],[V1-NZ]] &amp;"mm^2 -&gt; " &amp;CABLE_COMPARISON[[#This Row],[V2-AUS]] &amp; "mm^2","")</f>
        <v/>
      </c>
    </row>
    <row r="14" spans="1:7" x14ac:dyDescent="0.35">
      <c r="A14" t="s">
        <v>13</v>
      </c>
      <c r="B14" t="s">
        <v>483</v>
      </c>
      <c r="C14">
        <v>2.5</v>
      </c>
      <c r="D14">
        <v>2.5</v>
      </c>
      <c r="E14" t="str">
        <f t="shared" si="0"/>
        <v>NO</v>
      </c>
      <c r="F14" t="str">
        <f>IF(CABLE_COMPARISON[[#This Row],[CHANGE]]="YES",CABLE_COMPARISON[[#This Row],[V1-NZ]] &amp;"mm^2 -&gt; " &amp;CABLE_COMPARISON[[#This Row],[V2-AUS]] &amp; "mm^2","")</f>
        <v/>
      </c>
    </row>
    <row r="15" spans="1:7" x14ac:dyDescent="0.35">
      <c r="A15" t="s">
        <v>14</v>
      </c>
      <c r="B15" t="s">
        <v>484</v>
      </c>
      <c r="C15">
        <v>2.5</v>
      </c>
      <c r="D15">
        <v>2.5</v>
      </c>
      <c r="E15" t="str">
        <f t="shared" si="0"/>
        <v>NO</v>
      </c>
      <c r="F15" t="str">
        <f>IF(CABLE_COMPARISON[[#This Row],[CHANGE]]="YES",CABLE_COMPARISON[[#This Row],[V1-NZ]] &amp;"mm^2 -&gt; " &amp;CABLE_COMPARISON[[#This Row],[V2-AUS]] &amp; "mm^2","")</f>
        <v/>
      </c>
    </row>
    <row r="16" spans="1:7" x14ac:dyDescent="0.35">
      <c r="A16" t="s">
        <v>15</v>
      </c>
      <c r="B16" t="s">
        <v>485</v>
      </c>
      <c r="C16">
        <v>2.5</v>
      </c>
      <c r="D16">
        <v>2.5</v>
      </c>
      <c r="E16" t="str">
        <f t="shared" si="0"/>
        <v>NO</v>
      </c>
      <c r="F16" t="str">
        <f>IF(CABLE_COMPARISON[[#This Row],[CHANGE]]="YES",CABLE_COMPARISON[[#This Row],[V1-NZ]] &amp;"mm^2 -&gt; " &amp;CABLE_COMPARISON[[#This Row],[V2-AUS]] &amp; "mm^2","")</f>
        <v/>
      </c>
    </row>
    <row r="17" spans="1:7" x14ac:dyDescent="0.35">
      <c r="A17" t="s">
        <v>16</v>
      </c>
      <c r="B17" t="s">
        <v>486</v>
      </c>
      <c r="C17">
        <v>2.5</v>
      </c>
      <c r="D17">
        <v>2.5</v>
      </c>
      <c r="E17" t="str">
        <f t="shared" si="0"/>
        <v>NO</v>
      </c>
      <c r="F17" t="str">
        <f>IF(CABLE_COMPARISON[[#This Row],[CHANGE]]="YES",CABLE_COMPARISON[[#This Row],[V1-NZ]] &amp;"mm^2 -&gt; " &amp;CABLE_COMPARISON[[#This Row],[V2-AUS]] &amp; "mm^2","")</f>
        <v/>
      </c>
    </row>
    <row r="18" spans="1:7" x14ac:dyDescent="0.35">
      <c r="A18" t="s">
        <v>17</v>
      </c>
      <c r="B18" t="s">
        <v>487</v>
      </c>
      <c r="C18">
        <v>25</v>
      </c>
      <c r="D18">
        <v>25</v>
      </c>
      <c r="E18" t="str">
        <f t="shared" si="0"/>
        <v>NO</v>
      </c>
      <c r="F18" t="str">
        <f>IF(CABLE_COMPARISON[[#This Row],[CHANGE]]="YES",CABLE_COMPARISON[[#This Row],[V1-NZ]] &amp;"mm^2 -&gt; " &amp;CABLE_COMPARISON[[#This Row],[V2-AUS]] &amp; "mm^2","")</f>
        <v/>
      </c>
    </row>
    <row r="19" spans="1:7" x14ac:dyDescent="0.35">
      <c r="A19" t="s">
        <v>18</v>
      </c>
      <c r="B19" t="s">
        <v>488</v>
      </c>
      <c r="C19">
        <v>2.5</v>
      </c>
      <c r="D19">
        <v>2.5</v>
      </c>
      <c r="E19" t="str">
        <f t="shared" si="0"/>
        <v>NO</v>
      </c>
      <c r="F19" t="str">
        <f>IF(CABLE_COMPARISON[[#This Row],[CHANGE]]="YES",CABLE_COMPARISON[[#This Row],[V1-NZ]] &amp;"mm^2 -&gt; " &amp;CABLE_COMPARISON[[#This Row],[V2-AUS]] &amp; "mm^2","")</f>
        <v/>
      </c>
    </row>
    <row r="20" spans="1:7" x14ac:dyDescent="0.35">
      <c r="A20" t="s">
        <v>19</v>
      </c>
      <c r="B20" t="s">
        <v>489</v>
      </c>
      <c r="C20">
        <v>2.5</v>
      </c>
      <c r="D20">
        <v>2.5</v>
      </c>
      <c r="E20" t="str">
        <f t="shared" si="0"/>
        <v>NO</v>
      </c>
      <c r="F20" t="str">
        <f>IF(CABLE_COMPARISON[[#This Row],[CHANGE]]="YES",CABLE_COMPARISON[[#This Row],[V1-NZ]] &amp;"mm^2 -&gt; " &amp;CABLE_COMPARISON[[#This Row],[V2-AUS]] &amp; "mm^2","")</f>
        <v/>
      </c>
    </row>
    <row r="21" spans="1:7" x14ac:dyDescent="0.35">
      <c r="A21" t="s">
        <v>20</v>
      </c>
      <c r="B21" t="s">
        <v>490</v>
      </c>
      <c r="C21">
        <v>2.5</v>
      </c>
      <c r="D21">
        <v>2.5</v>
      </c>
      <c r="E21" t="str">
        <f t="shared" si="0"/>
        <v>NO</v>
      </c>
      <c r="F21" t="str">
        <f>IF(CABLE_COMPARISON[[#This Row],[CHANGE]]="YES",CABLE_COMPARISON[[#This Row],[V1-NZ]] &amp;"mm^2 -&gt; " &amp;CABLE_COMPARISON[[#This Row],[V2-AUS]] &amp; "mm^2","")</f>
        <v/>
      </c>
    </row>
    <row r="22" spans="1:7" x14ac:dyDescent="0.35">
      <c r="A22" t="s">
        <v>21</v>
      </c>
      <c r="B22" t="s">
        <v>491</v>
      </c>
      <c r="C22">
        <v>2.5</v>
      </c>
      <c r="D22">
        <v>2.5</v>
      </c>
      <c r="E22" t="str">
        <f t="shared" si="0"/>
        <v>NO</v>
      </c>
      <c r="F22" t="str">
        <f>IF(CABLE_COMPARISON[[#This Row],[CHANGE]]="YES",CABLE_COMPARISON[[#This Row],[V1-NZ]] &amp;"mm^2 -&gt; " &amp;CABLE_COMPARISON[[#This Row],[V2-AUS]] &amp; "mm^2","")</f>
        <v/>
      </c>
    </row>
    <row r="23" spans="1:7" x14ac:dyDescent="0.35">
      <c r="A23" t="s">
        <v>22</v>
      </c>
      <c r="B23" t="s">
        <v>86</v>
      </c>
      <c r="C23">
        <v>2.5</v>
      </c>
      <c r="D23">
        <v>2.5</v>
      </c>
      <c r="E23" t="str">
        <f t="shared" si="0"/>
        <v>NO</v>
      </c>
      <c r="F23" t="str">
        <f>IF(CABLE_COMPARISON[[#This Row],[CHANGE]]="YES",CABLE_COMPARISON[[#This Row],[V1-NZ]] &amp;"mm^2 -&gt; " &amp;CABLE_COMPARISON[[#This Row],[V2-AUS]] &amp; "mm^2","")</f>
        <v/>
      </c>
    </row>
    <row r="24" spans="1:7" x14ac:dyDescent="0.35">
      <c r="A24" t="s">
        <v>23</v>
      </c>
      <c r="B24" t="s">
        <v>87</v>
      </c>
      <c r="C24">
        <v>2.5</v>
      </c>
      <c r="D24">
        <v>2.5</v>
      </c>
      <c r="E24" t="str">
        <f t="shared" si="0"/>
        <v>NO</v>
      </c>
      <c r="F24" t="str">
        <f>IF(CABLE_COMPARISON[[#This Row],[CHANGE]]="YES",CABLE_COMPARISON[[#This Row],[V1-NZ]] &amp;"mm^2 -&gt; " &amp;CABLE_COMPARISON[[#This Row],[V2-AUS]] &amp; "mm^2","")</f>
        <v/>
      </c>
    </row>
    <row r="25" spans="1:7" x14ac:dyDescent="0.35">
      <c r="A25" t="s">
        <v>24</v>
      </c>
      <c r="B25" t="s">
        <v>88</v>
      </c>
      <c r="C25">
        <v>2.5</v>
      </c>
      <c r="D25">
        <v>2.5</v>
      </c>
      <c r="E25" t="str">
        <f t="shared" si="0"/>
        <v>NO</v>
      </c>
      <c r="F25" t="str">
        <f>IF(CABLE_COMPARISON[[#This Row],[CHANGE]]="YES",CABLE_COMPARISON[[#This Row],[V1-NZ]] &amp;"mm^2 -&gt; " &amp;CABLE_COMPARISON[[#This Row],[V2-AUS]] &amp; "mm^2","")</f>
        <v/>
      </c>
    </row>
    <row r="26" spans="1:7" x14ac:dyDescent="0.35">
      <c r="A26" t="s">
        <v>25</v>
      </c>
      <c r="B26" t="s">
        <v>89</v>
      </c>
      <c r="C26">
        <v>2.5</v>
      </c>
      <c r="D26">
        <v>2.5</v>
      </c>
      <c r="E26" t="str">
        <f t="shared" si="0"/>
        <v>NO</v>
      </c>
      <c r="F26" t="str">
        <f>IF(CABLE_COMPARISON[[#This Row],[CHANGE]]="YES",CABLE_COMPARISON[[#This Row],[V1-NZ]] &amp;"mm^2 -&gt; " &amp;CABLE_COMPARISON[[#This Row],[V2-AUS]] &amp; "mm^2","")</f>
        <v/>
      </c>
    </row>
    <row r="27" spans="1:7" x14ac:dyDescent="0.35">
      <c r="A27" t="s">
        <v>26</v>
      </c>
      <c r="B27" t="s">
        <v>90</v>
      </c>
      <c r="C27">
        <v>2.5</v>
      </c>
      <c r="D27">
        <v>2.5</v>
      </c>
      <c r="E27" t="str">
        <f t="shared" si="0"/>
        <v>NO</v>
      </c>
      <c r="F27" t="str">
        <f>IF(CABLE_COMPARISON[[#This Row],[CHANGE]]="YES",CABLE_COMPARISON[[#This Row],[V1-NZ]] &amp;"mm^2 -&gt; " &amp;CABLE_COMPARISON[[#This Row],[V2-AUS]] &amp; "mm^2","")</f>
        <v/>
      </c>
    </row>
    <row r="28" spans="1:7" x14ac:dyDescent="0.35">
      <c r="A28" t="s">
        <v>27</v>
      </c>
      <c r="B28" t="s">
        <v>91</v>
      </c>
      <c r="C28" s="12">
        <v>10</v>
      </c>
      <c r="D28" s="12">
        <v>16</v>
      </c>
      <c r="E28" t="str">
        <f t="shared" si="0"/>
        <v>YES</v>
      </c>
      <c r="F28" t="str">
        <f>IF(CABLE_COMPARISON[[#This Row],[CHANGE]]="YES",CABLE_COMPARISON[[#This Row],[V1-NZ]] &amp;"mm^2 -&gt; " &amp;CABLE_COMPARISON[[#This Row],[V2-AUS]] &amp; "mm^2","")</f>
        <v>10mm^2 -&gt; 16mm^2</v>
      </c>
      <c r="G28" t="s">
        <v>542</v>
      </c>
    </row>
    <row r="29" spans="1:7" x14ac:dyDescent="0.35">
      <c r="A29" t="s">
        <v>28</v>
      </c>
      <c r="B29" t="s">
        <v>92</v>
      </c>
      <c r="C29" s="12">
        <v>10</v>
      </c>
      <c r="D29" s="12">
        <v>16</v>
      </c>
      <c r="E29" t="str">
        <f t="shared" si="0"/>
        <v>YES</v>
      </c>
      <c r="F29" t="str">
        <f>IF(CABLE_COMPARISON[[#This Row],[CHANGE]]="YES",CABLE_COMPARISON[[#This Row],[V1-NZ]] &amp;"mm^2 -&gt; " &amp;CABLE_COMPARISON[[#This Row],[V2-AUS]] &amp; "mm^2","")</f>
        <v>10mm^2 -&gt; 16mm^2</v>
      </c>
      <c r="G29" t="s">
        <v>542</v>
      </c>
    </row>
    <row r="30" spans="1:7" x14ac:dyDescent="0.35">
      <c r="A30" t="s">
        <v>29</v>
      </c>
      <c r="B30" t="s">
        <v>93</v>
      </c>
      <c r="C30">
        <v>2.5</v>
      </c>
      <c r="D30">
        <v>2.5</v>
      </c>
      <c r="E30" t="str">
        <f t="shared" si="0"/>
        <v>NO</v>
      </c>
      <c r="F30" t="str">
        <f>IF(CABLE_COMPARISON[[#This Row],[CHANGE]]="YES",CABLE_COMPARISON[[#This Row],[V1-NZ]] &amp;"mm^2 -&gt; " &amp;CABLE_COMPARISON[[#This Row],[V2-AUS]] &amp; "mm^2","")</f>
        <v/>
      </c>
    </row>
    <row r="31" spans="1:7" x14ac:dyDescent="0.35">
      <c r="A31" t="s">
        <v>30</v>
      </c>
      <c r="B31" t="s">
        <v>94</v>
      </c>
      <c r="C31">
        <v>2.5</v>
      </c>
      <c r="D31">
        <v>2.5</v>
      </c>
      <c r="E31" t="str">
        <f t="shared" si="0"/>
        <v>NO</v>
      </c>
      <c r="F31" t="str">
        <f>IF(CABLE_COMPARISON[[#This Row],[CHANGE]]="YES",CABLE_COMPARISON[[#This Row],[V1-NZ]] &amp;"mm^2 -&gt; " &amp;CABLE_COMPARISON[[#This Row],[V2-AUS]] &amp; "mm^2","")</f>
        <v/>
      </c>
    </row>
    <row r="32" spans="1:7" x14ac:dyDescent="0.35">
      <c r="A32" t="s">
        <v>31</v>
      </c>
      <c r="B32" t="s">
        <v>95</v>
      </c>
      <c r="C32">
        <v>2.5</v>
      </c>
      <c r="D32">
        <v>2.5</v>
      </c>
      <c r="E32" t="str">
        <f t="shared" si="0"/>
        <v>NO</v>
      </c>
      <c r="F32" t="str">
        <f>IF(CABLE_COMPARISON[[#This Row],[CHANGE]]="YES",CABLE_COMPARISON[[#This Row],[V1-NZ]] &amp;"mm^2 -&gt; " &amp;CABLE_COMPARISON[[#This Row],[V2-AUS]] &amp; "mm^2","")</f>
        <v/>
      </c>
    </row>
    <row r="33" spans="1:7" x14ac:dyDescent="0.35">
      <c r="A33" t="s">
        <v>32</v>
      </c>
      <c r="B33" t="s">
        <v>96</v>
      </c>
      <c r="C33">
        <v>2.5</v>
      </c>
      <c r="D33">
        <v>2.5</v>
      </c>
      <c r="E33" t="str">
        <f t="shared" si="0"/>
        <v>NO</v>
      </c>
      <c r="F33" t="str">
        <f>IF(CABLE_COMPARISON[[#This Row],[CHANGE]]="YES",CABLE_COMPARISON[[#This Row],[V1-NZ]] &amp;"mm^2 -&gt; " &amp;CABLE_COMPARISON[[#This Row],[V2-AUS]] &amp; "mm^2","")</f>
        <v/>
      </c>
    </row>
    <row r="34" spans="1:7" x14ac:dyDescent="0.35">
      <c r="A34" t="s">
        <v>33</v>
      </c>
      <c r="B34" t="s">
        <v>97</v>
      </c>
      <c r="C34">
        <v>2.5</v>
      </c>
      <c r="D34">
        <v>2.5</v>
      </c>
      <c r="E34" t="str">
        <f t="shared" si="0"/>
        <v>NO</v>
      </c>
      <c r="F34" t="str">
        <f>IF(CABLE_COMPARISON[[#This Row],[CHANGE]]="YES",CABLE_COMPARISON[[#This Row],[V1-NZ]] &amp;"mm^2 -&gt; " &amp;CABLE_COMPARISON[[#This Row],[V2-AUS]] &amp; "mm^2","")</f>
        <v/>
      </c>
    </row>
    <row r="35" spans="1:7" x14ac:dyDescent="0.35">
      <c r="A35" t="s">
        <v>34</v>
      </c>
      <c r="B35" t="s">
        <v>98</v>
      </c>
      <c r="C35" s="12">
        <v>10</v>
      </c>
      <c r="D35" s="12">
        <v>16</v>
      </c>
      <c r="E35" t="str">
        <f t="shared" si="0"/>
        <v>YES</v>
      </c>
      <c r="F35" t="str">
        <f>IF(CABLE_COMPARISON[[#This Row],[CHANGE]]="YES",CABLE_COMPARISON[[#This Row],[V1-NZ]] &amp;"mm^2 -&gt; " &amp;CABLE_COMPARISON[[#This Row],[V2-AUS]] &amp; "mm^2","")</f>
        <v>10mm^2 -&gt; 16mm^2</v>
      </c>
      <c r="G35" t="s">
        <v>542</v>
      </c>
    </row>
    <row r="36" spans="1:7" x14ac:dyDescent="0.35">
      <c r="A36" t="s">
        <v>35</v>
      </c>
      <c r="B36" t="s">
        <v>99</v>
      </c>
      <c r="C36" s="12">
        <v>10</v>
      </c>
      <c r="D36" s="12">
        <v>16</v>
      </c>
      <c r="E36" t="str">
        <f t="shared" si="0"/>
        <v>YES</v>
      </c>
      <c r="F36" t="str">
        <f>IF(CABLE_COMPARISON[[#This Row],[CHANGE]]="YES",CABLE_COMPARISON[[#This Row],[V1-NZ]] &amp;"mm^2 -&gt; " &amp;CABLE_COMPARISON[[#This Row],[V2-AUS]] &amp; "mm^2","")</f>
        <v>10mm^2 -&gt; 16mm^2</v>
      </c>
      <c r="G36" t="s">
        <v>542</v>
      </c>
    </row>
    <row r="37" spans="1:7" x14ac:dyDescent="0.35">
      <c r="A37" t="s">
        <v>36</v>
      </c>
      <c r="B37" t="s">
        <v>492</v>
      </c>
      <c r="C37">
        <v>2.5</v>
      </c>
      <c r="D37">
        <v>2.5</v>
      </c>
      <c r="E37" t="str">
        <f t="shared" si="0"/>
        <v>NO</v>
      </c>
      <c r="F37" t="str">
        <f>IF(CABLE_COMPARISON[[#This Row],[CHANGE]]="YES",CABLE_COMPARISON[[#This Row],[V1-NZ]] &amp;"mm^2 -&gt; " &amp;CABLE_COMPARISON[[#This Row],[V2-AUS]] &amp; "mm^2","")</f>
        <v/>
      </c>
    </row>
    <row r="38" spans="1:7" x14ac:dyDescent="0.35">
      <c r="A38" t="s">
        <v>37</v>
      </c>
      <c r="B38" t="s">
        <v>493</v>
      </c>
      <c r="C38">
        <v>2.5</v>
      </c>
      <c r="D38">
        <v>2.5</v>
      </c>
      <c r="E38" t="str">
        <f t="shared" si="0"/>
        <v>NO</v>
      </c>
      <c r="F38" t="str">
        <f>IF(CABLE_COMPARISON[[#This Row],[CHANGE]]="YES",CABLE_COMPARISON[[#This Row],[V1-NZ]] &amp;"mm^2 -&gt; " &amp;CABLE_COMPARISON[[#This Row],[V2-AUS]] &amp; "mm^2","")</f>
        <v/>
      </c>
    </row>
    <row r="39" spans="1:7" x14ac:dyDescent="0.35">
      <c r="A39" t="s">
        <v>38</v>
      </c>
      <c r="B39" t="s">
        <v>494</v>
      </c>
      <c r="C39">
        <v>2.5</v>
      </c>
      <c r="D39">
        <v>2.5</v>
      </c>
      <c r="E39" t="str">
        <f t="shared" si="0"/>
        <v>NO</v>
      </c>
      <c r="F39" t="str">
        <f>IF(CABLE_COMPARISON[[#This Row],[CHANGE]]="YES",CABLE_COMPARISON[[#This Row],[V1-NZ]] &amp;"mm^2 -&gt; " &amp;CABLE_COMPARISON[[#This Row],[V2-AUS]] &amp; "mm^2","")</f>
        <v/>
      </c>
    </row>
    <row r="40" spans="1:7" x14ac:dyDescent="0.35">
      <c r="A40" t="s">
        <v>39</v>
      </c>
      <c r="B40" t="s">
        <v>495</v>
      </c>
      <c r="C40">
        <v>2.5</v>
      </c>
      <c r="D40">
        <v>2.5</v>
      </c>
      <c r="E40" t="str">
        <f t="shared" si="0"/>
        <v>NO</v>
      </c>
      <c r="F40" t="str">
        <f>IF(CABLE_COMPARISON[[#This Row],[CHANGE]]="YES",CABLE_COMPARISON[[#This Row],[V1-NZ]] &amp;"mm^2 -&gt; " &amp;CABLE_COMPARISON[[#This Row],[V2-AUS]] &amp; "mm^2","")</f>
        <v/>
      </c>
    </row>
    <row r="41" spans="1:7" x14ac:dyDescent="0.35">
      <c r="A41" t="s">
        <v>40</v>
      </c>
      <c r="B41" t="s">
        <v>100</v>
      </c>
      <c r="C41">
        <v>2.5</v>
      </c>
      <c r="D41">
        <v>2.5</v>
      </c>
      <c r="E41" t="str">
        <f t="shared" si="0"/>
        <v>NO</v>
      </c>
      <c r="F41" t="str">
        <f>IF(CABLE_COMPARISON[[#This Row],[CHANGE]]="YES",CABLE_COMPARISON[[#This Row],[V1-NZ]] &amp;"mm^2 -&gt; " &amp;CABLE_COMPARISON[[#This Row],[V2-AUS]] &amp; "mm^2","")</f>
        <v/>
      </c>
    </row>
    <row r="42" spans="1:7" x14ac:dyDescent="0.35">
      <c r="A42" t="s">
        <v>41</v>
      </c>
      <c r="B42" t="s">
        <v>101</v>
      </c>
      <c r="C42">
        <v>2.5</v>
      </c>
      <c r="D42">
        <v>2.5</v>
      </c>
      <c r="E42" t="str">
        <f t="shared" si="0"/>
        <v>NO</v>
      </c>
      <c r="F42" t="str">
        <f>IF(CABLE_COMPARISON[[#This Row],[CHANGE]]="YES",CABLE_COMPARISON[[#This Row],[V1-NZ]] &amp;"mm^2 -&gt; " &amp;CABLE_COMPARISON[[#This Row],[V2-AUS]] &amp; "mm^2","")</f>
        <v/>
      </c>
    </row>
    <row r="43" spans="1:7" x14ac:dyDescent="0.35">
      <c r="A43" t="s">
        <v>42</v>
      </c>
      <c r="B43" t="s">
        <v>102</v>
      </c>
      <c r="C43">
        <v>2.5</v>
      </c>
      <c r="D43">
        <v>2.5</v>
      </c>
      <c r="E43" t="str">
        <f t="shared" si="0"/>
        <v>NO</v>
      </c>
      <c r="F43" t="str">
        <f>IF(CABLE_COMPARISON[[#This Row],[CHANGE]]="YES",CABLE_COMPARISON[[#This Row],[V1-NZ]] &amp;"mm^2 -&gt; " &amp;CABLE_COMPARISON[[#This Row],[V2-AUS]] &amp; "mm^2","")</f>
        <v/>
      </c>
    </row>
    <row r="44" spans="1:7" x14ac:dyDescent="0.35">
      <c r="A44" t="s">
        <v>43</v>
      </c>
      <c r="B44" t="s">
        <v>103</v>
      </c>
      <c r="C44">
        <v>2.5</v>
      </c>
      <c r="D44">
        <v>2.5</v>
      </c>
      <c r="E44" t="str">
        <f t="shared" si="0"/>
        <v>NO</v>
      </c>
      <c r="F44" t="str">
        <f>IF(CABLE_COMPARISON[[#This Row],[CHANGE]]="YES",CABLE_COMPARISON[[#This Row],[V1-NZ]] &amp;"mm^2 -&gt; " &amp;CABLE_COMPARISON[[#This Row],[V2-AUS]] &amp; "mm^2","")</f>
        <v/>
      </c>
    </row>
    <row r="45" spans="1:7" x14ac:dyDescent="0.35">
      <c r="A45" t="s">
        <v>44</v>
      </c>
      <c r="B45" t="s">
        <v>496</v>
      </c>
      <c r="C45">
        <v>2.5</v>
      </c>
      <c r="D45">
        <v>2.5</v>
      </c>
      <c r="E45" t="str">
        <f t="shared" si="0"/>
        <v>NO</v>
      </c>
      <c r="F45" t="str">
        <f>IF(CABLE_COMPARISON[[#This Row],[CHANGE]]="YES",CABLE_COMPARISON[[#This Row],[V1-NZ]] &amp;"mm^2 -&gt; " &amp;CABLE_COMPARISON[[#This Row],[V2-AUS]] &amp; "mm^2","")</f>
        <v/>
      </c>
    </row>
    <row r="46" spans="1:7" x14ac:dyDescent="0.35">
      <c r="A46" t="s">
        <v>45</v>
      </c>
      <c r="B46" t="s">
        <v>497</v>
      </c>
      <c r="C46">
        <v>2.5</v>
      </c>
      <c r="D46">
        <v>2.5</v>
      </c>
      <c r="E46" t="str">
        <f t="shared" si="0"/>
        <v>NO</v>
      </c>
      <c r="F46" t="str">
        <f>IF(CABLE_COMPARISON[[#This Row],[CHANGE]]="YES",CABLE_COMPARISON[[#This Row],[V1-NZ]] &amp;"mm^2 -&gt; " &amp;CABLE_COMPARISON[[#This Row],[V2-AUS]] &amp; "mm^2","")</f>
        <v/>
      </c>
    </row>
    <row r="47" spans="1:7" x14ac:dyDescent="0.35">
      <c r="A47" t="s">
        <v>46</v>
      </c>
      <c r="B47" t="s">
        <v>498</v>
      </c>
      <c r="C47">
        <v>2.5</v>
      </c>
      <c r="D47">
        <v>2.5</v>
      </c>
      <c r="E47" t="str">
        <f t="shared" si="0"/>
        <v>NO</v>
      </c>
      <c r="F47" t="str">
        <f>IF(CABLE_COMPARISON[[#This Row],[CHANGE]]="YES",CABLE_COMPARISON[[#This Row],[V1-NZ]] &amp;"mm^2 -&gt; " &amp;CABLE_COMPARISON[[#This Row],[V2-AUS]] &amp; "mm^2","")</f>
        <v/>
      </c>
    </row>
    <row r="48" spans="1:7" x14ac:dyDescent="0.35">
      <c r="A48" t="s">
        <v>47</v>
      </c>
      <c r="B48" t="s">
        <v>499</v>
      </c>
      <c r="C48">
        <v>2.5</v>
      </c>
      <c r="D48">
        <v>2.5</v>
      </c>
      <c r="E48" t="str">
        <f t="shared" si="0"/>
        <v>NO</v>
      </c>
      <c r="F48" t="str">
        <f>IF(CABLE_COMPARISON[[#This Row],[CHANGE]]="YES",CABLE_COMPARISON[[#This Row],[V1-NZ]] &amp;"mm^2 -&gt; " &amp;CABLE_COMPARISON[[#This Row],[V2-AUS]] &amp; "mm^2","")</f>
        <v/>
      </c>
    </row>
    <row r="49" spans="1:6" x14ac:dyDescent="0.35">
      <c r="A49" t="s">
        <v>48</v>
      </c>
      <c r="B49" t="s">
        <v>104</v>
      </c>
      <c r="C49">
        <v>2.5</v>
      </c>
      <c r="D49">
        <v>2.5</v>
      </c>
      <c r="E49" t="str">
        <f t="shared" si="0"/>
        <v>NO</v>
      </c>
      <c r="F49" t="str">
        <f>IF(CABLE_COMPARISON[[#This Row],[CHANGE]]="YES",CABLE_COMPARISON[[#This Row],[V1-NZ]] &amp;"mm^2 -&gt; " &amp;CABLE_COMPARISON[[#This Row],[V2-AUS]] &amp; "mm^2","")</f>
        <v/>
      </c>
    </row>
    <row r="50" spans="1:6" x14ac:dyDescent="0.35">
      <c r="A50" t="s">
        <v>49</v>
      </c>
      <c r="B50" t="s">
        <v>105</v>
      </c>
      <c r="C50">
        <v>2.5</v>
      </c>
      <c r="D50">
        <v>2.5</v>
      </c>
      <c r="E50" t="str">
        <f t="shared" si="0"/>
        <v>NO</v>
      </c>
      <c r="F50" t="str">
        <f>IF(CABLE_COMPARISON[[#This Row],[CHANGE]]="YES",CABLE_COMPARISON[[#This Row],[V1-NZ]] &amp;"mm^2 -&gt; " &amp;CABLE_COMPARISON[[#This Row],[V2-AUS]] &amp; "mm^2","")</f>
        <v/>
      </c>
    </row>
    <row r="51" spans="1:6" x14ac:dyDescent="0.35">
      <c r="A51" t="s">
        <v>50</v>
      </c>
      <c r="B51" t="s">
        <v>106</v>
      </c>
      <c r="C51">
        <v>2.5</v>
      </c>
      <c r="D51">
        <v>2.5</v>
      </c>
      <c r="E51" t="str">
        <f t="shared" si="0"/>
        <v>NO</v>
      </c>
      <c r="F51" t="str">
        <f>IF(CABLE_COMPARISON[[#This Row],[CHANGE]]="YES",CABLE_COMPARISON[[#This Row],[V1-NZ]] &amp;"mm^2 -&gt; " &amp;CABLE_COMPARISON[[#This Row],[V2-AUS]] &amp; "mm^2","")</f>
        <v/>
      </c>
    </row>
    <row r="52" spans="1:6" x14ac:dyDescent="0.35">
      <c r="A52" t="s">
        <v>51</v>
      </c>
      <c r="B52" t="s">
        <v>107</v>
      </c>
      <c r="C52">
        <v>2.5</v>
      </c>
      <c r="D52">
        <v>2.5</v>
      </c>
      <c r="E52" t="str">
        <f t="shared" si="0"/>
        <v>NO</v>
      </c>
      <c r="F52" t="str">
        <f>IF(CABLE_COMPARISON[[#This Row],[CHANGE]]="YES",CABLE_COMPARISON[[#This Row],[V1-NZ]] &amp;"mm^2 -&gt; " &amp;CABLE_COMPARISON[[#This Row],[V2-AUS]] &amp; "mm^2","")</f>
        <v/>
      </c>
    </row>
    <row r="53" spans="1:6" x14ac:dyDescent="0.35">
      <c r="A53" t="s">
        <v>52</v>
      </c>
      <c r="B53" t="s">
        <v>500</v>
      </c>
      <c r="C53">
        <v>2.5</v>
      </c>
      <c r="D53">
        <v>2.5</v>
      </c>
      <c r="E53" t="str">
        <f t="shared" si="0"/>
        <v>NO</v>
      </c>
      <c r="F53" t="str">
        <f>IF(CABLE_COMPARISON[[#This Row],[CHANGE]]="YES",CABLE_COMPARISON[[#This Row],[V1-NZ]] &amp;"mm^2 -&gt; " &amp;CABLE_COMPARISON[[#This Row],[V2-AUS]] &amp; "mm^2","")</f>
        <v/>
      </c>
    </row>
    <row r="54" spans="1:6" x14ac:dyDescent="0.35">
      <c r="A54" t="s">
        <v>53</v>
      </c>
      <c r="B54" t="s">
        <v>501</v>
      </c>
      <c r="C54">
        <v>2.5</v>
      </c>
      <c r="D54">
        <v>2.5</v>
      </c>
      <c r="E54" t="str">
        <f t="shared" si="0"/>
        <v>NO</v>
      </c>
      <c r="F54" t="str">
        <f>IF(CABLE_COMPARISON[[#This Row],[CHANGE]]="YES",CABLE_COMPARISON[[#This Row],[V1-NZ]] &amp;"mm^2 -&gt; " &amp;CABLE_COMPARISON[[#This Row],[V2-AUS]] &amp; "mm^2","")</f>
        <v/>
      </c>
    </row>
    <row r="55" spans="1:6" x14ac:dyDescent="0.35">
      <c r="A55" t="s">
        <v>54</v>
      </c>
      <c r="B55" t="s">
        <v>502</v>
      </c>
      <c r="C55">
        <v>2.5</v>
      </c>
      <c r="D55">
        <v>2.5</v>
      </c>
      <c r="E55" t="str">
        <f t="shared" si="0"/>
        <v>NO</v>
      </c>
      <c r="F55" t="str">
        <f>IF(CABLE_COMPARISON[[#This Row],[CHANGE]]="YES",CABLE_COMPARISON[[#This Row],[V1-NZ]] &amp;"mm^2 -&gt; " &amp;CABLE_COMPARISON[[#This Row],[V2-AUS]] &amp; "mm^2","")</f>
        <v/>
      </c>
    </row>
    <row r="56" spans="1:6" x14ac:dyDescent="0.35">
      <c r="A56" t="s">
        <v>55</v>
      </c>
      <c r="B56" t="s">
        <v>503</v>
      </c>
      <c r="C56">
        <v>2.5</v>
      </c>
      <c r="D56">
        <v>2.5</v>
      </c>
      <c r="E56" t="str">
        <f t="shared" si="0"/>
        <v>NO</v>
      </c>
      <c r="F56" t="str">
        <f>IF(CABLE_COMPARISON[[#This Row],[CHANGE]]="YES",CABLE_COMPARISON[[#This Row],[V1-NZ]] &amp;"mm^2 -&gt; " &amp;CABLE_COMPARISON[[#This Row],[V2-AUS]] &amp; "mm^2","")</f>
        <v/>
      </c>
    </row>
    <row r="57" spans="1:6" x14ac:dyDescent="0.35">
      <c r="A57" t="s">
        <v>56</v>
      </c>
      <c r="B57" t="s">
        <v>108</v>
      </c>
      <c r="C57">
        <v>2.5</v>
      </c>
      <c r="D57">
        <v>2.5</v>
      </c>
      <c r="E57" t="str">
        <f t="shared" si="0"/>
        <v>NO</v>
      </c>
      <c r="F57" t="str">
        <f>IF(CABLE_COMPARISON[[#This Row],[CHANGE]]="YES",CABLE_COMPARISON[[#This Row],[V1-NZ]] &amp;"mm^2 -&gt; " &amp;CABLE_COMPARISON[[#This Row],[V2-AUS]] &amp; "mm^2","")</f>
        <v/>
      </c>
    </row>
    <row r="58" spans="1:6" x14ac:dyDescent="0.35">
      <c r="A58" t="s">
        <v>57</v>
      </c>
      <c r="B58" t="s">
        <v>109</v>
      </c>
      <c r="C58">
        <v>2.5</v>
      </c>
      <c r="D58">
        <v>2.5</v>
      </c>
      <c r="E58" t="str">
        <f t="shared" si="0"/>
        <v>NO</v>
      </c>
      <c r="F58" t="str">
        <f>IF(CABLE_COMPARISON[[#This Row],[CHANGE]]="YES",CABLE_COMPARISON[[#This Row],[V1-NZ]] &amp;"mm^2 -&gt; " &amp;CABLE_COMPARISON[[#This Row],[V2-AUS]] &amp; "mm^2","")</f>
        <v/>
      </c>
    </row>
    <row r="59" spans="1:6" x14ac:dyDescent="0.35">
      <c r="A59" t="s">
        <v>58</v>
      </c>
      <c r="B59" t="s">
        <v>110</v>
      </c>
      <c r="C59">
        <v>2.5</v>
      </c>
      <c r="D59">
        <v>2.5</v>
      </c>
      <c r="E59" t="str">
        <f t="shared" si="0"/>
        <v>NO</v>
      </c>
      <c r="F59" t="str">
        <f>IF(CABLE_COMPARISON[[#This Row],[CHANGE]]="YES",CABLE_COMPARISON[[#This Row],[V1-NZ]] &amp;"mm^2 -&gt; " &amp;CABLE_COMPARISON[[#This Row],[V2-AUS]] &amp; "mm^2","")</f>
        <v/>
      </c>
    </row>
    <row r="60" spans="1:6" x14ac:dyDescent="0.35">
      <c r="A60" t="s">
        <v>59</v>
      </c>
      <c r="B60" t="s">
        <v>504</v>
      </c>
      <c r="C60">
        <v>2.5</v>
      </c>
      <c r="D60">
        <v>2.5</v>
      </c>
      <c r="E60" t="str">
        <f t="shared" si="0"/>
        <v>NO</v>
      </c>
      <c r="F60" t="str">
        <f>IF(CABLE_COMPARISON[[#This Row],[CHANGE]]="YES",CABLE_COMPARISON[[#This Row],[V1-NZ]] &amp;"mm^2 -&gt; " &amp;CABLE_COMPARISON[[#This Row],[V2-AUS]] &amp; "mm^2","")</f>
        <v/>
      </c>
    </row>
    <row r="61" spans="1:6" x14ac:dyDescent="0.35">
      <c r="A61" t="s">
        <v>60</v>
      </c>
      <c r="B61" t="s">
        <v>111</v>
      </c>
      <c r="C61">
        <v>2.5</v>
      </c>
      <c r="D61">
        <v>2.5</v>
      </c>
      <c r="E61" t="str">
        <f t="shared" si="0"/>
        <v>NO</v>
      </c>
      <c r="F61" t="str">
        <f>IF(CABLE_COMPARISON[[#This Row],[CHANGE]]="YES",CABLE_COMPARISON[[#This Row],[V1-NZ]] &amp;"mm^2 -&gt; " &amp;CABLE_COMPARISON[[#This Row],[V2-AUS]] &amp; "mm^2","")</f>
        <v/>
      </c>
    </row>
    <row r="62" spans="1:6" x14ac:dyDescent="0.35">
      <c r="A62" t="s">
        <v>61</v>
      </c>
      <c r="B62" t="s">
        <v>112</v>
      </c>
      <c r="C62">
        <v>2.5</v>
      </c>
      <c r="D62">
        <v>2.5</v>
      </c>
      <c r="E62" t="str">
        <f t="shared" si="0"/>
        <v>NO</v>
      </c>
      <c r="F62" t="str">
        <f>IF(CABLE_COMPARISON[[#This Row],[CHANGE]]="YES",CABLE_COMPARISON[[#This Row],[V1-NZ]] &amp;"mm^2 -&gt; " &amp;CABLE_COMPARISON[[#This Row],[V2-AUS]] &amp; "mm^2","")</f>
        <v/>
      </c>
    </row>
    <row r="63" spans="1:6" x14ac:dyDescent="0.35">
      <c r="A63" t="s">
        <v>62</v>
      </c>
      <c r="B63" t="s">
        <v>517</v>
      </c>
      <c r="C63">
        <v>4</v>
      </c>
      <c r="D63">
        <v>4</v>
      </c>
      <c r="E63" t="str">
        <f t="shared" si="0"/>
        <v>NO</v>
      </c>
      <c r="F63" t="str">
        <f>IF(CABLE_COMPARISON[[#This Row],[CHANGE]]="YES",CABLE_COMPARISON[[#This Row],[V1-NZ]] &amp;"mm^2 -&gt; " &amp;CABLE_COMPARISON[[#This Row],[V2-AUS]] &amp; "mm^2","")</f>
        <v/>
      </c>
    </row>
    <row r="64" spans="1:6" x14ac:dyDescent="0.35">
      <c r="A64" t="e">
        <v>#REF!</v>
      </c>
      <c r="B64" t="s">
        <v>518</v>
      </c>
      <c r="C64">
        <v>2.5</v>
      </c>
      <c r="D64">
        <v>2.5</v>
      </c>
      <c r="E64" t="str">
        <f t="shared" si="0"/>
        <v>NO</v>
      </c>
      <c r="F64" t="str">
        <f>IF(CABLE_COMPARISON[[#This Row],[CHANGE]]="YES",CABLE_COMPARISON[[#This Row],[V1-NZ]] &amp;"mm^2 -&gt; " &amp;CABLE_COMPARISON[[#This Row],[V2-AUS]] &amp; "mm^2","")</f>
        <v/>
      </c>
    </row>
    <row r="65" spans="1:6" x14ac:dyDescent="0.35">
      <c r="A65" t="s">
        <v>63</v>
      </c>
      <c r="B65" t="s">
        <v>519</v>
      </c>
      <c r="C65">
        <v>2.5</v>
      </c>
      <c r="D65">
        <v>2.5</v>
      </c>
      <c r="E65" t="str">
        <f t="shared" si="0"/>
        <v>NO</v>
      </c>
      <c r="F65" t="str">
        <f>IF(CABLE_COMPARISON[[#This Row],[CHANGE]]="YES",CABLE_COMPARISON[[#This Row],[V1-NZ]] &amp;"mm^2 -&gt; " &amp;CABLE_COMPARISON[[#This Row],[V2-AUS]] &amp; "mm^2","")</f>
        <v/>
      </c>
    </row>
    <row r="66" spans="1:6" x14ac:dyDescent="0.35">
      <c r="A66" t="s">
        <v>64</v>
      </c>
      <c r="B66" t="s">
        <v>113</v>
      </c>
      <c r="C66">
        <v>2.5</v>
      </c>
      <c r="D66">
        <v>2.5</v>
      </c>
      <c r="E66" t="str">
        <f t="shared" si="0"/>
        <v>NO</v>
      </c>
      <c r="F66" t="str">
        <f>IF(CABLE_COMPARISON[[#This Row],[CHANGE]]="YES",CABLE_COMPARISON[[#This Row],[V1-NZ]] &amp;"mm^2 -&gt; " &amp;CABLE_COMPARISON[[#This Row],[V2-AUS]] &amp; "mm^2","")</f>
        <v/>
      </c>
    </row>
    <row r="67" spans="1:6" x14ac:dyDescent="0.35">
      <c r="A67" t="s">
        <v>505</v>
      </c>
      <c r="B67" t="s">
        <v>520</v>
      </c>
      <c r="C67">
        <v>2.5</v>
      </c>
      <c r="D67">
        <v>2.5</v>
      </c>
      <c r="E67" t="str">
        <f t="shared" ref="E67:E84" si="1">IF(C67&lt;&gt;D67,"YES","NO")</f>
        <v>NO</v>
      </c>
      <c r="F67" t="str">
        <f>IF(CABLE_COMPARISON[[#This Row],[CHANGE]]="YES",CABLE_COMPARISON[[#This Row],[V1-NZ]] &amp;"mm^2 -&gt; " &amp;CABLE_COMPARISON[[#This Row],[V2-AUS]] &amp; "mm^2","")</f>
        <v/>
      </c>
    </row>
    <row r="68" spans="1:6" x14ac:dyDescent="0.35">
      <c r="A68" t="s">
        <v>65</v>
      </c>
      <c r="B68" t="s">
        <v>506</v>
      </c>
      <c r="C68">
        <v>2.5</v>
      </c>
      <c r="D68">
        <v>2.5</v>
      </c>
      <c r="E68" t="str">
        <f t="shared" si="1"/>
        <v>NO</v>
      </c>
      <c r="F68" t="str">
        <f>IF(CABLE_COMPARISON[[#This Row],[CHANGE]]="YES",CABLE_COMPARISON[[#This Row],[V1-NZ]] &amp;"mm^2 -&gt; " &amp;CABLE_COMPARISON[[#This Row],[V2-AUS]] &amp; "mm^2","")</f>
        <v/>
      </c>
    </row>
    <row r="69" spans="1:6" x14ac:dyDescent="0.35">
      <c r="A69" t="s">
        <v>66</v>
      </c>
      <c r="B69" t="s">
        <v>507</v>
      </c>
      <c r="C69">
        <v>2.5</v>
      </c>
      <c r="D69">
        <v>2.5</v>
      </c>
      <c r="E69" t="str">
        <f t="shared" si="1"/>
        <v>NO</v>
      </c>
      <c r="F69" t="str">
        <f>IF(CABLE_COMPARISON[[#This Row],[CHANGE]]="YES",CABLE_COMPARISON[[#This Row],[V1-NZ]] &amp;"mm^2 -&gt; " &amp;CABLE_COMPARISON[[#This Row],[V2-AUS]] &amp; "mm^2","")</f>
        <v/>
      </c>
    </row>
    <row r="70" spans="1:6" x14ac:dyDescent="0.35">
      <c r="A70" t="s">
        <v>67</v>
      </c>
      <c r="B70" t="s">
        <v>508</v>
      </c>
      <c r="C70">
        <v>2.5</v>
      </c>
      <c r="D70">
        <v>2.5</v>
      </c>
      <c r="E70" t="str">
        <f t="shared" si="1"/>
        <v>NO</v>
      </c>
      <c r="F70" t="str">
        <f>IF(CABLE_COMPARISON[[#This Row],[CHANGE]]="YES",CABLE_COMPARISON[[#This Row],[V1-NZ]] &amp;"mm^2 -&gt; " &amp;CABLE_COMPARISON[[#This Row],[V2-AUS]] &amp; "mm^2","")</f>
        <v/>
      </c>
    </row>
    <row r="71" spans="1:6" x14ac:dyDescent="0.35">
      <c r="A71" t="s">
        <v>68</v>
      </c>
      <c r="B71" t="s">
        <v>509</v>
      </c>
      <c r="C71">
        <v>2.5</v>
      </c>
      <c r="D71">
        <v>2.5</v>
      </c>
      <c r="E71" t="str">
        <f t="shared" si="1"/>
        <v>NO</v>
      </c>
      <c r="F71" t="str">
        <f>IF(CABLE_COMPARISON[[#This Row],[CHANGE]]="YES",CABLE_COMPARISON[[#This Row],[V1-NZ]] &amp;"mm^2 -&gt; " &amp;CABLE_COMPARISON[[#This Row],[V2-AUS]] &amp; "mm^2","")</f>
        <v/>
      </c>
    </row>
    <row r="72" spans="1:6" x14ac:dyDescent="0.35">
      <c r="A72" t="s">
        <v>69</v>
      </c>
      <c r="B72" t="s">
        <v>114</v>
      </c>
      <c r="C72">
        <v>2.5</v>
      </c>
      <c r="D72">
        <v>2.5</v>
      </c>
      <c r="E72" t="str">
        <f t="shared" si="1"/>
        <v>NO</v>
      </c>
      <c r="F72" t="str">
        <f>IF(CABLE_COMPARISON[[#This Row],[CHANGE]]="YES",CABLE_COMPARISON[[#This Row],[V1-NZ]] &amp;"mm^2 -&gt; " &amp;CABLE_COMPARISON[[#This Row],[V2-AUS]] &amp; "mm^2","")</f>
        <v/>
      </c>
    </row>
    <row r="73" spans="1:6" x14ac:dyDescent="0.35">
      <c r="A73" t="s">
        <v>70</v>
      </c>
      <c r="B73" t="s">
        <v>115</v>
      </c>
      <c r="C73">
        <v>2.5</v>
      </c>
      <c r="D73">
        <v>2.5</v>
      </c>
      <c r="E73" t="str">
        <f t="shared" si="1"/>
        <v>NO</v>
      </c>
      <c r="F73" t="str">
        <f>IF(CABLE_COMPARISON[[#This Row],[CHANGE]]="YES",CABLE_COMPARISON[[#This Row],[V1-NZ]] &amp;"mm^2 -&gt; " &amp;CABLE_COMPARISON[[#This Row],[V2-AUS]] &amp; "mm^2","")</f>
        <v/>
      </c>
    </row>
    <row r="74" spans="1:6" x14ac:dyDescent="0.35">
      <c r="A74" t="s">
        <v>71</v>
      </c>
      <c r="B74" t="s">
        <v>116</v>
      </c>
      <c r="C74">
        <v>2.5</v>
      </c>
      <c r="D74">
        <v>2.5</v>
      </c>
      <c r="E74" t="str">
        <f t="shared" si="1"/>
        <v>NO</v>
      </c>
      <c r="F74" t="str">
        <f>IF(CABLE_COMPARISON[[#This Row],[CHANGE]]="YES",CABLE_COMPARISON[[#This Row],[V1-NZ]] &amp;"mm^2 -&gt; " &amp;CABLE_COMPARISON[[#This Row],[V2-AUS]] &amp; "mm^2","")</f>
        <v/>
      </c>
    </row>
    <row r="75" spans="1:6" x14ac:dyDescent="0.35">
      <c r="A75" t="s">
        <v>72</v>
      </c>
      <c r="B75" t="s">
        <v>117</v>
      </c>
      <c r="C75">
        <v>2.5</v>
      </c>
      <c r="D75">
        <v>2.5</v>
      </c>
      <c r="E75" t="str">
        <f t="shared" si="1"/>
        <v>NO</v>
      </c>
      <c r="F75" t="str">
        <f>IF(CABLE_COMPARISON[[#This Row],[CHANGE]]="YES",CABLE_COMPARISON[[#This Row],[V1-NZ]] &amp;"mm^2 -&gt; " &amp;CABLE_COMPARISON[[#This Row],[V2-AUS]] &amp; "mm^2","")</f>
        <v/>
      </c>
    </row>
    <row r="76" spans="1:6" x14ac:dyDescent="0.35">
      <c r="A76" t="s">
        <v>73</v>
      </c>
      <c r="B76" t="s">
        <v>118</v>
      </c>
      <c r="C76">
        <v>2.5</v>
      </c>
      <c r="D76">
        <v>2.5</v>
      </c>
      <c r="E76" t="str">
        <f t="shared" si="1"/>
        <v>NO</v>
      </c>
      <c r="F76" t="str">
        <f>IF(CABLE_COMPARISON[[#This Row],[CHANGE]]="YES",CABLE_COMPARISON[[#This Row],[V1-NZ]] &amp;"mm^2 -&gt; " &amp;CABLE_COMPARISON[[#This Row],[V2-AUS]] &amp; "mm^2","")</f>
        <v/>
      </c>
    </row>
    <row r="77" spans="1:6" x14ac:dyDescent="0.35">
      <c r="A77" t="s">
        <v>74</v>
      </c>
      <c r="B77" t="s">
        <v>510</v>
      </c>
      <c r="C77">
        <v>2.5</v>
      </c>
      <c r="D77">
        <v>2.5</v>
      </c>
      <c r="E77" t="str">
        <f t="shared" si="1"/>
        <v>NO</v>
      </c>
      <c r="F77" t="str">
        <f>IF(CABLE_COMPARISON[[#This Row],[CHANGE]]="YES",CABLE_COMPARISON[[#This Row],[V1-NZ]] &amp;"mm^2 -&gt; " &amp;CABLE_COMPARISON[[#This Row],[V2-AUS]] &amp; "mm^2","")</f>
        <v/>
      </c>
    </row>
    <row r="78" spans="1:6" x14ac:dyDescent="0.35">
      <c r="A78" t="s">
        <v>75</v>
      </c>
      <c r="B78" t="s">
        <v>511</v>
      </c>
      <c r="C78">
        <v>10</v>
      </c>
      <c r="D78">
        <v>10</v>
      </c>
      <c r="E78" t="str">
        <f t="shared" si="1"/>
        <v>NO</v>
      </c>
      <c r="F78" t="str">
        <f>IF(CABLE_COMPARISON[[#This Row],[CHANGE]]="YES",CABLE_COMPARISON[[#This Row],[V1-NZ]] &amp;"mm^2 -&gt; " &amp;CABLE_COMPARISON[[#This Row],[V2-AUS]] &amp; "mm^2","")</f>
        <v/>
      </c>
    </row>
    <row r="79" spans="1:6" x14ac:dyDescent="0.35">
      <c r="A79" t="s">
        <v>76</v>
      </c>
      <c r="B79" t="s">
        <v>512</v>
      </c>
      <c r="C79">
        <v>10</v>
      </c>
      <c r="D79">
        <v>10</v>
      </c>
      <c r="E79" t="str">
        <f t="shared" si="1"/>
        <v>NO</v>
      </c>
      <c r="F79" t="str">
        <f>IF(CABLE_COMPARISON[[#This Row],[CHANGE]]="YES",CABLE_COMPARISON[[#This Row],[V1-NZ]] &amp;"mm^2 -&gt; " &amp;CABLE_COMPARISON[[#This Row],[V2-AUS]] &amp; "mm^2","")</f>
        <v/>
      </c>
    </row>
    <row r="80" spans="1:6" x14ac:dyDescent="0.35">
      <c r="A80" t="s">
        <v>77</v>
      </c>
      <c r="B80" t="s">
        <v>513</v>
      </c>
      <c r="C80">
        <v>2.5</v>
      </c>
      <c r="D80">
        <v>2.5</v>
      </c>
      <c r="E80" t="str">
        <f t="shared" si="1"/>
        <v>NO</v>
      </c>
      <c r="F80" t="str">
        <f>IF(CABLE_COMPARISON[[#This Row],[CHANGE]]="YES",CABLE_COMPARISON[[#This Row],[V1-NZ]] &amp;"mm^2 -&gt; " &amp;CABLE_COMPARISON[[#This Row],[V2-AUS]] &amp; "mm^2","")</f>
        <v/>
      </c>
    </row>
    <row r="81" spans="1:6" x14ac:dyDescent="0.35">
      <c r="A81" t="s">
        <v>78</v>
      </c>
      <c r="B81" t="s">
        <v>514</v>
      </c>
      <c r="C81">
        <v>2.5</v>
      </c>
      <c r="D81">
        <v>2.5</v>
      </c>
      <c r="E81" t="str">
        <f t="shared" si="1"/>
        <v>NO</v>
      </c>
      <c r="F81" t="str">
        <f>IF(CABLE_COMPARISON[[#This Row],[CHANGE]]="YES",CABLE_COMPARISON[[#This Row],[V1-NZ]] &amp;"mm^2 -&gt; " &amp;CABLE_COMPARISON[[#This Row],[V2-AUS]] &amp; "mm^2","")</f>
        <v/>
      </c>
    </row>
    <row r="82" spans="1:6" x14ac:dyDescent="0.35">
      <c r="A82" t="s">
        <v>515</v>
      </c>
      <c r="B82" t="s">
        <v>516</v>
      </c>
      <c r="C82">
        <v>2.5</v>
      </c>
      <c r="D82">
        <v>2.5</v>
      </c>
      <c r="E82" t="str">
        <f t="shared" si="1"/>
        <v>NO</v>
      </c>
      <c r="F82" t="str">
        <f>IF(CABLE_COMPARISON[[#This Row],[CHANGE]]="YES",CABLE_COMPARISON[[#This Row],[V1-NZ]] &amp;"mm^2 -&gt; " &amp;CABLE_COMPARISON[[#This Row],[V2-AUS]] &amp; "mm^2","")</f>
        <v/>
      </c>
    </row>
    <row r="83" spans="1:6" x14ac:dyDescent="0.35">
      <c r="A83" t="s">
        <v>521</v>
      </c>
      <c r="B83" t="s">
        <v>119</v>
      </c>
      <c r="C83">
        <v>70</v>
      </c>
      <c r="D83">
        <v>70</v>
      </c>
      <c r="E83" t="str">
        <f t="shared" si="1"/>
        <v>NO</v>
      </c>
      <c r="F83" t="str">
        <f>IF(CABLE_COMPARISON[[#This Row],[CHANGE]]="YES",CABLE_COMPARISON[[#This Row],[V1-NZ]] &amp;"mm^2 -&gt; " &amp;CABLE_COMPARISON[[#This Row],[V2-AUS]] &amp; "mm^2","")</f>
        <v/>
      </c>
    </row>
    <row r="84" spans="1:6" x14ac:dyDescent="0.35">
      <c r="A84" t="s">
        <v>522</v>
      </c>
      <c r="B84" t="s">
        <v>120</v>
      </c>
      <c r="C84">
        <v>70</v>
      </c>
      <c r="D84">
        <v>70</v>
      </c>
      <c r="E84" t="str">
        <f t="shared" si="1"/>
        <v>NO</v>
      </c>
      <c r="F84" t="str">
        <f>IF(CABLE_COMPARISON[[#This Row],[CHANGE]]="YES",CABLE_COMPARISON[[#This Row],[V1-NZ]] &amp;"mm^2 -&gt; " &amp;CABLE_COMPARISON[[#This Row],[V2-AUS]] &amp; "mm^2","")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M k v 3 T D N P I 7 S o A A A A + A A A A B I A H A B D b 2 5 m a W c v U G F j a 2 F n Z S 5 4 b W w g o h g A K K A U A A A A A A A A A A A A A A A A A A A A A A A A A A A A h Y / N C o J A G E V f R W b v / C h C y e e 4 a J s R B B H t h n H S I R 3 D G R v f r U W P 1 C s k l N W u 5 b 2 c C + c + b n f I x 7 Y J r q q 3 u j M Z Y p i i Q B n Z l d p U G R r c K V y g n M N W y L O o V D D B x q a j 1 R m q n b u k h H j v s Y 9 x 1 1 c k o p S R Q 7 H e y V q 1 I t T G O m G k Q p 9 V + X + F O O x f M j z C y R I n L E 4 w i x i Q u Y Z C m y 8 S T c a Y A v k p Y T U 0 b u g V V y b c H I H M E c j 7 B X 8 C U E s D B B Q A A g A I A D J L 9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S / d M f r q O t M s A A A A c A Q A A E w A c A E Z v c m 1 1 b G F z L 1 N l Y 3 R p b 2 4 x L m 0 g o h g A K K A U A A A A A A A A A A A A A A A A A A A A A A A A A A A A b Y 5 N C 4 J A E I b v g v 9 h 2 S 4 K I k Y R R H S w b Q 8 S W e R C B 4 n Y b P p A 3 Y 1 1 h U L 8 7 6 3 Y J X A u A / P O P M 9 U k O m n F C j p + 3 h h W 7 Z V P b i C K w q T S R A E 5 3 C 7 i m j M 1 v Q Q M s r o d o + W q A B t W 8 h U I m u V g Z n Q d w a F T 2 q l Q O i j V P l F y t x x m z T m J S z x E G s 8 x 6 c 2 J V J o c 3 L y e u A I k w c X d 6 N n n x d g Q 2 b 8 U o D P F B f V T a q S y K I u R R d W T m / 3 m g b / w O f u P + y h S O j Z 1 O + W W g 8 1 m O z i h I U x Q 8 7 G / U 9 b 1 7 a e Y l C 9 + A J Q S w E C L Q A U A A I A C A A y S / d M M 0 8 j t K g A A A D 4 A A A A E g A A A A A A A A A A A A A A A A A A A A A A Q 2 9 u Z m l n L 1 B h Y 2 t h Z 2 U u e G 1 s U E s B A i 0 A F A A C A A g A M k v 3 T A / K 6 a u k A A A A 6 Q A A A B M A A A A A A A A A A A A A A A A A 9 A A A A F t D b 2 5 0 Z W 5 0 X 1 R 5 c G V z X S 5 4 b W x Q S w E C L Q A U A A I A C A A y S / d M f r q O t M s A A A A c A Q A A E w A A A A A A A A A A A A A A A A D l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K 0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M z M D A w X 0 F N Q k l F T l R E R V J B V E V U R U 1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J U M j E 6 M j U 6 M j Q u M j k y N j c 4 N 1 o i I C 8 + P E V u d H J 5 I F R 5 c G U 9 I k Z p b G x D b 2 x 1 b W 5 U e X B l c y I g V m F s d W U 9 I n N B d 0 0 9 I i A v P j x F b n R y e S B U e X B l P S J G a W x s Q 2 9 s d W 1 u T m F t Z X M i I F Z h b H V l P S J z W y Z x d W 9 0 O 0 F N Q k l F T l R f V E V N U C Z x d W 9 0 O y w m c X V v d D t D T 0 5 T V E F O V C A o S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z M w M D B f Q U 1 C S U V O V E R F U k F U R V R F T V A v Q 2 h h b m d l Z C B U e X B l L n t B T U J J R U 5 U X 1 R F T V A s M H 0 m c X V v d D s s J n F 1 b 3 Q 7 U 2 V j d G l v b j E v Q V M z M D A w X 0 F N Q k l F T l R E R V J B V E V U R U 1 Q L 0 N o Y W 5 n Z W Q g V H l w Z S 5 7 Q 0 9 O U 1 R B T l Q g K E s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T M z A w M F 9 B T U J J R U 5 U R E V S Q V R F V E V N U C 9 D a G F u Z 2 V k I F R 5 c G U u e 0 F N Q k l F T l R f V E V N U C w w f S Z x d W 9 0 O y w m c X V v d D t T Z W N 0 a W 9 u M S 9 B U z M w M D B f Q U 1 C S U V O V E R F U k F U R V R F T V A v Q 2 h h b m d l Z C B U e X B l L n t D T 0 5 T V E F O V C A o S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M z A w M F 9 B T U J J R U 5 U R E V S Q V R F V E V N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z M w M D B f Q U 1 C S U V O V E R F U k F U R V R F T V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w g 4 / l P K i U u F w X r J g g / b I w A A A A A C A A A A A A A D Z g A A w A A A A B A A A A B y 7 2 6 2 f E c E D u J s l R H T X q e t A A A A A A S A A A C g A A A A E A A A A C 9 2 B t Q r J B C + r / a 2 0 k v h F V Z Q A A A A R 0 M j q r T 5 M C / I y 2 Q b Z s V o k 5 u u O d s O v H q C M 1 t t + F P 5 Y F S / B Q 8 i F 4 B / t x z y w V 9 i h w z d B A + n 6 g g o / Q / 4 6 t u N L m x B S A D + T N v Z e 6 N k W I 2 s + 7 Q a K 4 s U A A A A 4 b J s + Y Z T Y / B x y u s N R 8 X W R G D v 2 / c = < / D a t a M a s h u p > 
</file>

<file path=customXml/itemProps1.xml><?xml version="1.0" encoding="utf-8"?>
<ds:datastoreItem xmlns:ds="http://schemas.openxmlformats.org/officeDocument/2006/customXml" ds:itemID="{1D65A596-BF0D-4EE7-9A3A-46FA1CFC58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CABLES</vt:lpstr>
      <vt:lpstr>SEGMENTS</vt:lpstr>
      <vt:lpstr>DATA</vt:lpstr>
      <vt:lpstr>V1-V2-COMPARISON</vt:lpstr>
      <vt:lpstr>BRACE_SPAN</vt:lpstr>
      <vt:lpstr>MAX_VDROP_PERCENT</vt:lpstr>
      <vt:lpstr>PHASE_VOLTAGE</vt:lpstr>
      <vt:lpstr>POWER_FACTOR</vt:lpstr>
      <vt:lpstr>SYSTEM_VOLTAGE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2020-04-20T05:40:38Z</dcterms:modified>
</cp:coreProperties>
</file>