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IHCC\COBOL\"/>
    </mc:Choice>
  </mc:AlternateContent>
  <xr:revisionPtr revIDLastSave="0" documentId="13_ncr:1_{A798ACD7-76A5-4366-B749-0B9CDE211570}" xr6:coauthVersionLast="41" xr6:coauthVersionMax="41" xr10:uidLastSave="{00000000-0000-0000-0000-000000000000}"/>
  <bookViews>
    <workbookView xWindow="-7575" yWindow="2100" windowWidth="15375" windowHeight="7875" xr2:uid="{00000000-000D-0000-FFFF-FFFF00000000}"/>
  </bookViews>
  <sheets>
    <sheet name="Sheet2" sheetId="2" r:id="rId1"/>
    <sheet name="DATFILE" sheetId="3" r:id="rId2"/>
  </sheets>
  <definedNames>
    <definedName name="_xlnm._FilterDatabase" localSheetId="0" hidden="1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2" l="1"/>
  <c r="N4" i="2"/>
  <c r="N3" i="2"/>
  <c r="M4" i="2"/>
  <c r="L3" i="2"/>
  <c r="K4" i="2"/>
  <c r="K88" i="2"/>
  <c r="K3" i="2"/>
  <c r="W74" i="2"/>
  <c r="R96" i="2" l="1"/>
  <c r="Q100" i="2" s="1"/>
  <c r="J90" i="2"/>
  <c r="V90" i="2"/>
  <c r="U90" i="2"/>
  <c r="T90" i="2"/>
  <c r="S90" i="2"/>
  <c r="R90" i="2"/>
  <c r="Q90" i="2"/>
  <c r="M90" i="2"/>
  <c r="K90" i="2"/>
  <c r="L90" i="2" s="1"/>
  <c r="R93" i="2"/>
  <c r="Q96" i="2"/>
  <c r="V89" i="2"/>
  <c r="U89" i="2"/>
  <c r="T89" i="2"/>
  <c r="S89" i="2"/>
  <c r="R89" i="2"/>
  <c r="Q93" i="2" s="1"/>
  <c r="Q89" i="2"/>
  <c r="M89" i="2"/>
  <c r="K89" i="2"/>
  <c r="L89" i="2" s="1"/>
  <c r="J89" i="2"/>
  <c r="V88" i="2"/>
  <c r="U88" i="2"/>
  <c r="T88" i="2"/>
  <c r="S88" i="2"/>
  <c r="R88" i="2"/>
  <c r="Q88" i="2"/>
  <c r="P88" i="2"/>
  <c r="P89" i="2" s="1"/>
  <c r="M88" i="2"/>
  <c r="L88" i="2"/>
  <c r="J88" i="2"/>
  <c r="S86" i="2"/>
  <c r="R86" i="2"/>
  <c r="V83" i="2"/>
  <c r="U83" i="2"/>
  <c r="T83" i="2"/>
  <c r="S83" i="2"/>
  <c r="R83" i="2"/>
  <c r="Q86" i="2" s="1"/>
  <c r="Q83" i="2"/>
  <c r="M83" i="2"/>
  <c r="K83" i="2"/>
  <c r="L83" i="2" s="1"/>
  <c r="J83" i="2"/>
  <c r="R78" i="2"/>
  <c r="Q81" i="2"/>
  <c r="V75" i="2"/>
  <c r="U75" i="2"/>
  <c r="T75" i="2"/>
  <c r="S75" i="2"/>
  <c r="R75" i="2"/>
  <c r="Q78" i="2" s="1"/>
  <c r="Q75" i="2"/>
  <c r="M75" i="2"/>
  <c r="K75" i="2"/>
  <c r="L75" i="2" s="1"/>
  <c r="J75" i="2"/>
  <c r="V74" i="2"/>
  <c r="U74" i="2"/>
  <c r="T74" i="2"/>
  <c r="S74" i="2"/>
  <c r="R74" i="2"/>
  <c r="Q74" i="2"/>
  <c r="P74" i="2"/>
  <c r="P75" i="2" s="1"/>
  <c r="S78" i="2" s="1"/>
  <c r="M74" i="2"/>
  <c r="K74" i="2"/>
  <c r="L74" i="2" s="1"/>
  <c r="J74" i="2"/>
  <c r="R72" i="2"/>
  <c r="V69" i="2"/>
  <c r="U69" i="2"/>
  <c r="T69" i="2"/>
  <c r="S69" i="2"/>
  <c r="R69" i="2"/>
  <c r="Q69" i="2"/>
  <c r="P69" i="2"/>
  <c r="S72" i="2" s="1"/>
  <c r="M69" i="2"/>
  <c r="K69" i="2"/>
  <c r="L69" i="2" s="1"/>
  <c r="J69" i="2"/>
  <c r="V68" i="2"/>
  <c r="U68" i="2"/>
  <c r="T68" i="2"/>
  <c r="S68" i="2"/>
  <c r="R68" i="2"/>
  <c r="Q68" i="2"/>
  <c r="M68" i="2"/>
  <c r="K68" i="2"/>
  <c r="L68" i="2" s="1"/>
  <c r="J68" i="2"/>
  <c r="Q65" i="2"/>
  <c r="R62" i="2"/>
  <c r="V59" i="2"/>
  <c r="U59" i="2"/>
  <c r="T59" i="2"/>
  <c r="S59" i="2"/>
  <c r="R59" i="2"/>
  <c r="Q59" i="2"/>
  <c r="M59" i="2"/>
  <c r="K59" i="2"/>
  <c r="L59" i="2" s="1"/>
  <c r="J59" i="2"/>
  <c r="V58" i="2"/>
  <c r="U58" i="2"/>
  <c r="T58" i="2"/>
  <c r="S58" i="2"/>
  <c r="R58" i="2"/>
  <c r="Q58" i="2"/>
  <c r="P58" i="2"/>
  <c r="P59" i="2" s="1"/>
  <c r="S62" i="2" s="1"/>
  <c r="M58" i="2"/>
  <c r="K58" i="2"/>
  <c r="L58" i="2" s="1"/>
  <c r="J58" i="2"/>
  <c r="R56" i="2"/>
  <c r="V53" i="2"/>
  <c r="U53" i="2"/>
  <c r="T53" i="2"/>
  <c r="S53" i="2"/>
  <c r="R53" i="2"/>
  <c r="Q53" i="2"/>
  <c r="P53" i="2"/>
  <c r="S56" i="2" s="1"/>
  <c r="M53" i="2"/>
  <c r="K53" i="2"/>
  <c r="L53" i="2" s="1"/>
  <c r="J53" i="2"/>
  <c r="V52" i="2"/>
  <c r="U52" i="2"/>
  <c r="T52" i="2"/>
  <c r="S52" i="2"/>
  <c r="R52" i="2"/>
  <c r="Q52" i="2"/>
  <c r="M52" i="2"/>
  <c r="K52" i="2"/>
  <c r="L52" i="2" s="1"/>
  <c r="J52" i="2"/>
  <c r="Q50" i="2"/>
  <c r="S47" i="2"/>
  <c r="R47" i="2"/>
  <c r="V44" i="2"/>
  <c r="U44" i="2"/>
  <c r="T44" i="2"/>
  <c r="S44" i="2"/>
  <c r="R44" i="2"/>
  <c r="Q44" i="2"/>
  <c r="M44" i="2"/>
  <c r="K44" i="2"/>
  <c r="L44" i="2" s="1"/>
  <c r="J44" i="2"/>
  <c r="R42" i="2"/>
  <c r="V39" i="2"/>
  <c r="U39" i="2"/>
  <c r="T39" i="2"/>
  <c r="S39" i="2"/>
  <c r="R39" i="2"/>
  <c r="Q42" i="2" s="1"/>
  <c r="Q39" i="2"/>
  <c r="P39" i="2"/>
  <c r="S42" i="2" s="1"/>
  <c r="R50" i="2" s="1"/>
  <c r="M39" i="2"/>
  <c r="K39" i="2"/>
  <c r="L39" i="2" s="1"/>
  <c r="J39" i="2"/>
  <c r="V38" i="2"/>
  <c r="U38" i="2"/>
  <c r="T38" i="2"/>
  <c r="S38" i="2"/>
  <c r="R38" i="2"/>
  <c r="Q38" i="2"/>
  <c r="M38" i="2"/>
  <c r="K38" i="2"/>
  <c r="L38" i="2" s="1"/>
  <c r="J38" i="2"/>
  <c r="S33" i="2"/>
  <c r="R33" i="2"/>
  <c r="V30" i="2"/>
  <c r="U30" i="2"/>
  <c r="T30" i="2"/>
  <c r="S30" i="2"/>
  <c r="R30" i="2"/>
  <c r="Q33" i="2" s="1"/>
  <c r="Q30" i="2"/>
  <c r="M30" i="2"/>
  <c r="K30" i="2"/>
  <c r="L30" i="2" s="1"/>
  <c r="J30" i="2"/>
  <c r="S28" i="2"/>
  <c r="R28" i="2"/>
  <c r="V25" i="2"/>
  <c r="U25" i="2"/>
  <c r="T25" i="2"/>
  <c r="S25" i="2"/>
  <c r="R25" i="2"/>
  <c r="Q28" i="2" s="1"/>
  <c r="Q25" i="2"/>
  <c r="M25" i="2"/>
  <c r="K25" i="2"/>
  <c r="L25" i="2" s="1"/>
  <c r="J25" i="2"/>
  <c r="R81" i="2" l="1"/>
  <c r="P90" i="2"/>
  <c r="S93" i="2" s="1"/>
  <c r="R65" i="2"/>
  <c r="N90" i="2"/>
  <c r="O90" i="2" s="1"/>
  <c r="W90" i="2" s="1"/>
  <c r="N89" i="2"/>
  <c r="O89" i="2" s="1"/>
  <c r="W89" i="2" s="1"/>
  <c r="N88" i="2"/>
  <c r="O88" i="2" s="1"/>
  <c r="W88" i="2" s="1"/>
  <c r="N83" i="2"/>
  <c r="O83" i="2" s="1"/>
  <c r="W83" i="2" s="1"/>
  <c r="T86" i="2" s="1"/>
  <c r="N68" i="2"/>
  <c r="O68" i="2" s="1"/>
  <c r="W68" i="2" s="1"/>
  <c r="N75" i="2"/>
  <c r="O75" i="2" s="1"/>
  <c r="W75" i="2" s="1"/>
  <c r="N69" i="2"/>
  <c r="O69" i="2" s="1"/>
  <c r="W69" i="2" s="1"/>
  <c r="N74" i="2"/>
  <c r="O74" i="2" s="1"/>
  <c r="N59" i="2"/>
  <c r="O59" i="2" s="1"/>
  <c r="W59" i="2" s="1"/>
  <c r="N58" i="2"/>
  <c r="O58" i="2" s="1"/>
  <c r="W58" i="2" s="1"/>
  <c r="N52" i="2"/>
  <c r="O52" i="2" s="1"/>
  <c r="W52" i="2" s="1"/>
  <c r="N53" i="2"/>
  <c r="O53" i="2" s="1"/>
  <c r="W53" i="2" s="1"/>
  <c r="N44" i="2"/>
  <c r="O44" i="2" s="1"/>
  <c r="W44" i="2" s="1"/>
  <c r="T47" i="2" s="1"/>
  <c r="N39" i="2"/>
  <c r="O39" i="2" s="1"/>
  <c r="W39" i="2" s="1"/>
  <c r="N38" i="2"/>
  <c r="O38" i="2" s="1"/>
  <c r="W38" i="2" s="1"/>
  <c r="N30" i="2"/>
  <c r="O30" i="2" s="1"/>
  <c r="W30" i="2" s="1"/>
  <c r="T33" i="2" s="1"/>
  <c r="N25" i="2"/>
  <c r="O25" i="2" s="1"/>
  <c r="W25" i="2" s="1"/>
  <c r="T28" i="2" s="1"/>
  <c r="T42" i="2" l="1"/>
  <c r="T56" i="2"/>
  <c r="T93" i="2"/>
  <c r="S96" i="2" s="1"/>
  <c r="S50" i="2"/>
  <c r="T62" i="2"/>
  <c r="T78" i="2"/>
  <c r="T72" i="2"/>
  <c r="S81" i="2" s="1"/>
  <c r="S65" i="2" l="1"/>
  <c r="M3" i="2" l="1"/>
  <c r="M19" i="2"/>
  <c r="M18" i="2"/>
  <c r="M10" i="2"/>
  <c r="M9" i="2"/>
  <c r="U3" i="2"/>
  <c r="J19" i="2" l="1"/>
  <c r="J18" i="2"/>
  <c r="J10" i="2"/>
  <c r="J9" i="2"/>
  <c r="J4" i="2"/>
  <c r="K19" i="2" l="1"/>
  <c r="L19" i="2" s="1"/>
  <c r="K18" i="2"/>
  <c r="L18" i="2" s="1"/>
  <c r="K10" i="2"/>
  <c r="L10" i="2" s="1"/>
  <c r="K9" i="2"/>
  <c r="L9" i="2" s="1"/>
  <c r="L4" i="2"/>
  <c r="J3" i="2"/>
  <c r="O3" i="2" s="1"/>
  <c r="Q36" i="2"/>
  <c r="R22" i="2"/>
  <c r="P9" i="2"/>
  <c r="R13" i="2"/>
  <c r="R7" i="2"/>
  <c r="N10" i="2" l="1"/>
  <c r="O10" i="2" s="1"/>
  <c r="W10" i="2" s="1"/>
  <c r="W4" i="2"/>
  <c r="N18" i="2"/>
  <c r="O18" i="2" s="1"/>
  <c r="W18" i="2" s="1"/>
  <c r="N19" i="2"/>
  <c r="O19" i="2" s="1"/>
  <c r="W19" i="2" s="1"/>
  <c r="N9" i="2"/>
  <c r="O9" i="2" s="1"/>
  <c r="W9" i="2" s="1"/>
  <c r="T13" i="2" s="1"/>
  <c r="U19" i="2"/>
  <c r="U18" i="2"/>
  <c r="U10" i="2"/>
  <c r="U9" i="2"/>
  <c r="U4" i="2"/>
  <c r="P19" i="2"/>
  <c r="S22" i="2" s="1"/>
  <c r="R36" i="2" s="1"/>
  <c r="V19" i="2"/>
  <c r="T19" i="2"/>
  <c r="S19" i="2"/>
  <c r="R19" i="2"/>
  <c r="Q19" i="2"/>
  <c r="V18" i="2"/>
  <c r="T18" i="2"/>
  <c r="S18" i="2"/>
  <c r="R18" i="2"/>
  <c r="Q18" i="2"/>
  <c r="Q16" i="2"/>
  <c r="V10" i="2"/>
  <c r="T10" i="2"/>
  <c r="S10" i="2"/>
  <c r="R10" i="2"/>
  <c r="Q13" i="2" s="1"/>
  <c r="Q10" i="2"/>
  <c r="V9" i="2"/>
  <c r="V4" i="2"/>
  <c r="V3" i="2"/>
  <c r="S9" i="2"/>
  <c r="S3" i="2"/>
  <c r="S4" i="2"/>
  <c r="P4" i="2"/>
  <c r="T3" i="2"/>
  <c r="T4" i="2"/>
  <c r="T9" i="2"/>
  <c r="W3" i="2" l="1"/>
  <c r="T7" i="2" s="1"/>
  <c r="S7" i="2"/>
  <c r="P10" i="2"/>
  <c r="S13" i="2" s="1"/>
  <c r="Q4" i="2"/>
  <c r="R4" i="2"/>
  <c r="Q9" i="2"/>
  <c r="R9" i="2"/>
  <c r="R3" i="2"/>
  <c r="Q3" i="2"/>
  <c r="S16" i="2" l="1"/>
  <c r="R100" i="2" s="1"/>
  <c r="T22" i="2"/>
  <c r="S36" i="2" s="1"/>
  <c r="R16" i="2"/>
</calcChain>
</file>

<file path=xl/sharedStrings.xml><?xml version="1.0" encoding="utf-8"?>
<sst xmlns="http://schemas.openxmlformats.org/spreadsheetml/2006/main" count="281" uniqueCount="144">
  <si>
    <t>I-LAST-NAME</t>
  </si>
  <si>
    <t>I-STATE</t>
  </si>
  <si>
    <t>I-BOAT-COST</t>
  </si>
  <si>
    <t>I-ACCESSORY-PACKAGE</t>
  </si>
  <si>
    <t>I-PREP-DELIVERY-COST</t>
  </si>
  <si>
    <t>INPUT</t>
  </si>
  <si>
    <t>D-LAST-NAME</t>
  </si>
  <si>
    <t>D-STATE</t>
  </si>
  <si>
    <t>D-BOAT-COST</t>
  </si>
  <si>
    <t>D-PURCHASE-DATE</t>
  </si>
  <si>
    <t>D-ACC-PACK</t>
  </si>
  <si>
    <t>D-PREP-COST</t>
  </si>
  <si>
    <t>D-TOTAL-COST</t>
  </si>
  <si>
    <t>OUTPUT</t>
  </si>
  <si>
    <t>IA</t>
  </si>
  <si>
    <t>B</t>
  </si>
  <si>
    <t>I-YR</t>
  </si>
  <si>
    <t>I-MO</t>
  </si>
  <si>
    <t>I-DAY</t>
  </si>
  <si>
    <t>WORKING STORAGE</t>
  </si>
  <si>
    <t>P</t>
  </si>
  <si>
    <t>MO</t>
  </si>
  <si>
    <t>S</t>
  </si>
  <si>
    <t>999999.99</t>
  </si>
  <si>
    <t>000001.99</t>
  </si>
  <si>
    <t>000100.99</t>
  </si>
  <si>
    <t>01</t>
  </si>
  <si>
    <t>00010.10</t>
  </si>
  <si>
    <t>00050.00</t>
  </si>
  <si>
    <t>99999.99</t>
  </si>
  <si>
    <t xml:space="preserve">Wilson         </t>
  </si>
  <si>
    <t xml:space="preserve">Van Velsor     </t>
  </si>
  <si>
    <t xml:space="preserve">Van Antwerp    </t>
  </si>
  <si>
    <t>C-SALES-CTR</t>
  </si>
  <si>
    <t>000000.00</t>
  </si>
  <si>
    <t>00000.00</t>
  </si>
  <si>
    <t>I-BOAT-TYPE</t>
  </si>
  <si>
    <t>MIN-STATE</t>
  </si>
  <si>
    <t>MIN-BOAT-TYPE</t>
  </si>
  <si>
    <t>MIN-SALES-CTR</t>
  </si>
  <si>
    <t>MIN-TOTAL-COST</t>
  </si>
  <si>
    <t>MAJ-BOAT-TYPE</t>
  </si>
  <si>
    <t>MAJ-SALES-CTR</t>
  </si>
  <si>
    <t>MAJ-TOTAL-COST</t>
  </si>
  <si>
    <t>GRA-SALES-CTR</t>
  </si>
  <si>
    <t>GRA-TOTAL-COST</t>
  </si>
  <si>
    <t>C-MARKUP-AMNT</t>
  </si>
  <si>
    <t>C-SALES-TAX-AMNT</t>
  </si>
  <si>
    <t>C-SALES-TAX</t>
  </si>
  <si>
    <t>C-TOTAL-COST</t>
  </si>
  <si>
    <t>C-MARKUP-PERCENT</t>
  </si>
  <si>
    <t>C-ACC-COST</t>
  </si>
  <si>
    <t>Johnson</t>
  </si>
  <si>
    <t>30</t>
  </si>
  <si>
    <t>00927.89</t>
  </si>
  <si>
    <t>Big Name Bobbie</t>
  </si>
  <si>
    <t>001243.63</t>
  </si>
  <si>
    <t>09</t>
  </si>
  <si>
    <t>23</t>
  </si>
  <si>
    <t>09882.13</t>
  </si>
  <si>
    <t>Joe</t>
  </si>
  <si>
    <t>WI</t>
  </si>
  <si>
    <t>089124.25</t>
  </si>
  <si>
    <t>98222.42</t>
  </si>
  <si>
    <t>Smith</t>
  </si>
  <si>
    <t>Brown</t>
  </si>
  <si>
    <t>009923.13</t>
  </si>
  <si>
    <t>11</t>
  </si>
  <si>
    <t>19</t>
  </si>
  <si>
    <t>00998.71</t>
  </si>
  <si>
    <t>Halsalfrow</t>
  </si>
  <si>
    <t>100000.00</t>
  </si>
  <si>
    <t>20000.00</t>
  </si>
  <si>
    <t>Rothchild</t>
  </si>
  <si>
    <t>MI</t>
  </si>
  <si>
    <t>090909.09</t>
  </si>
  <si>
    <t>08</t>
  </si>
  <si>
    <t>02</t>
  </si>
  <si>
    <t>02001.03</t>
  </si>
  <si>
    <t>Gates</t>
  </si>
  <si>
    <t>VI</t>
  </si>
  <si>
    <t>999000.99</t>
  </si>
  <si>
    <t>05</t>
  </si>
  <si>
    <t>20</t>
  </si>
  <si>
    <t>90909.01</t>
  </si>
  <si>
    <t>Jobs</t>
  </si>
  <si>
    <t>CA</t>
  </si>
  <si>
    <t>112342.45</t>
  </si>
  <si>
    <t>12340.98</t>
  </si>
  <si>
    <t>Lotsalettersmen</t>
  </si>
  <si>
    <t>12</t>
  </si>
  <si>
    <t>31</t>
  </si>
  <si>
    <t>Legoman</t>
  </si>
  <si>
    <t>900505.03</t>
  </si>
  <si>
    <t>04</t>
  </si>
  <si>
    <t>00230.23</t>
  </si>
  <si>
    <t>Snipes</t>
  </si>
  <si>
    <t>900129.00</t>
  </si>
  <si>
    <t>13</t>
  </si>
  <si>
    <t>J</t>
  </si>
  <si>
    <t>09021.33</t>
  </si>
  <si>
    <t>Hoffman</t>
  </si>
  <si>
    <t>809239.23</t>
  </si>
  <si>
    <t>10</t>
  </si>
  <si>
    <t>09201.33</t>
  </si>
  <si>
    <t>Westendorf</t>
  </si>
  <si>
    <t>909012.30</t>
  </si>
  <si>
    <t>01431.24</t>
  </si>
  <si>
    <t>Talahosy</t>
  </si>
  <si>
    <t>982342.34</t>
  </si>
  <si>
    <t>99910.03</t>
  </si>
  <si>
    <t>Barnical</t>
  </si>
  <si>
    <t>901242.52</t>
  </si>
  <si>
    <t>07</t>
  </si>
  <si>
    <t>15</t>
  </si>
  <si>
    <t>C</t>
  </si>
  <si>
    <t>29814.32</t>
  </si>
  <si>
    <t>Boyou</t>
  </si>
  <si>
    <t>000001.23</t>
  </si>
  <si>
    <t>00003.24</t>
  </si>
  <si>
    <t>Mary Jane</t>
  </si>
  <si>
    <t>CO</t>
  </si>
  <si>
    <t>900123.31</t>
  </si>
  <si>
    <t>12734.09</t>
  </si>
  <si>
    <t>Biggins</t>
  </si>
  <si>
    <t>042348.09</t>
  </si>
  <si>
    <t>06</t>
  </si>
  <si>
    <t>27</t>
  </si>
  <si>
    <t>09021.34</t>
  </si>
  <si>
    <t>Captain Jack</t>
  </si>
  <si>
    <t>FL</t>
  </si>
  <si>
    <t>R</t>
  </si>
  <si>
    <t>Moriarti</t>
  </si>
  <si>
    <t>ME</t>
  </si>
  <si>
    <t>909109.21</t>
  </si>
  <si>
    <t>03</t>
  </si>
  <si>
    <t>28</t>
  </si>
  <si>
    <t>21498.82</t>
  </si>
  <si>
    <t>Homes</t>
  </si>
  <si>
    <t>098912.32</t>
  </si>
  <si>
    <t>09214.23</t>
  </si>
  <si>
    <t>Jackson</t>
  </si>
  <si>
    <t>999213.42</t>
  </si>
  <si>
    <t>02934.23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</si>
</sst>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.00;[Red]#,##0.00"/>
    <numFmt numFmtId="166" formatCode="#,##0;[Red]#,##0"/>
    <numFmt numFmtId="167" formatCode="000000.00"/>
    <numFmt numFmtId="168" formatCode="0000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quotePrefix="1" applyBorder="1"/>
    <xf numFmtId="2" fontId="0" fillId="0" borderId="5" xfId="0" quotePrefix="1" applyNumberFormat="1" applyBorder="1"/>
    <xf numFmtId="0" fontId="0" fillId="0" borderId="0" xfId="0" quotePrefix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2" fontId="0" fillId="0" borderId="4" xfId="0" applyNumberFormat="1" applyBorder="1"/>
    <xf numFmtId="49" fontId="0" fillId="0" borderId="0" xfId="0" applyNumberFormat="1" applyBorder="1" applyAlignment="1">
      <alignment horizontal="right"/>
    </xf>
    <xf numFmtId="49" fontId="0" fillId="0" borderId="0" xfId="0" quotePrefix="1" applyNumberFormat="1" applyBorder="1" applyAlignment="1">
      <alignment horizontal="right"/>
    </xf>
    <xf numFmtId="49" fontId="0" fillId="0" borderId="0" xfId="0" quotePrefix="1" applyNumberFormat="1" applyFill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5" xfId="0" applyNumberFormat="1" applyBorder="1"/>
    <xf numFmtId="164" fontId="0" fillId="0" borderId="5" xfId="0" applyNumberFormat="1" applyBorder="1"/>
    <xf numFmtId="0" fontId="1" fillId="2" borderId="4" xfId="1" applyBorder="1"/>
    <xf numFmtId="0" fontId="1" fillId="2" borderId="0" xfId="1" applyBorder="1"/>
    <xf numFmtId="165" fontId="1" fillId="2" borderId="0" xfId="1" applyNumberFormat="1" applyBorder="1" applyAlignment="1">
      <alignment horizontal="right"/>
    </xf>
    <xf numFmtId="165" fontId="1" fillId="2" borderId="5" xfId="1" applyNumberFormat="1" applyBorder="1"/>
    <xf numFmtId="0" fontId="1" fillId="3" borderId="0" xfId="2" applyBorder="1"/>
    <xf numFmtId="0" fontId="1" fillId="3" borderId="0" xfId="2"/>
    <xf numFmtId="166" fontId="1" fillId="3" borderId="0" xfId="2" applyNumberFormat="1" applyBorder="1" applyAlignment="1">
      <alignment horizontal="right"/>
    </xf>
    <xf numFmtId="164" fontId="1" fillId="3" borderId="0" xfId="2" applyNumberFormat="1" applyBorder="1"/>
    <xf numFmtId="164" fontId="1" fillId="4" borderId="5" xfId="3" applyNumberFormat="1" applyBorder="1"/>
    <xf numFmtId="2" fontId="0" fillId="0" borderId="0" xfId="0" applyNumberFormat="1" applyBorder="1"/>
    <xf numFmtId="2" fontId="0" fillId="0" borderId="0" xfId="0" quotePrefix="1" applyNumberFormat="1" applyBorder="1"/>
    <xf numFmtId="2" fontId="0" fillId="0" borderId="7" xfId="0" applyNumberFormat="1" applyBorder="1"/>
    <xf numFmtId="2" fontId="0" fillId="0" borderId="4" xfId="0" quotePrefix="1" applyNumberFormat="1" applyBorder="1"/>
    <xf numFmtId="2" fontId="0" fillId="0" borderId="6" xfId="0" applyNumberFormat="1" applyBorder="1"/>
    <xf numFmtId="0" fontId="1" fillId="5" borderId="0" xfId="4" applyBorder="1"/>
    <xf numFmtId="164" fontId="1" fillId="5" borderId="0" xfId="4" applyNumberFormat="1" applyBorder="1"/>
    <xf numFmtId="166" fontId="1" fillId="5" borderId="0" xfId="4" applyNumberFormat="1" applyBorder="1"/>
    <xf numFmtId="167" fontId="0" fillId="0" borderId="0" xfId="0" quotePrefix="1" applyNumberFormat="1" applyBorder="1" applyAlignment="1">
      <alignment horizontal="left"/>
    </xf>
    <xf numFmtId="168" fontId="0" fillId="0" borderId="5" xfId="0" quotePrefix="1" applyNumberFormat="1" applyBorder="1"/>
    <xf numFmtId="166" fontId="1" fillId="4" borderId="0" xfId="3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5">
    <cellStyle name="20% - Accent1" xfId="1" builtinId="30"/>
    <cellStyle name="20% - Accent2" xfId="2" builtinId="34"/>
    <cellStyle name="40% - Accent4" xfId="3" builtinId="43"/>
    <cellStyle name="40% - Accent6" xfId="4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7"/>
  <sheetViews>
    <sheetView tabSelected="1" topLeftCell="N1" zoomScaleNormal="100" workbookViewId="0">
      <selection activeCell="S99" sqref="S99"/>
    </sheetView>
  </sheetViews>
  <sheetFormatPr defaultRowHeight="15" x14ac:dyDescent="0.25"/>
  <cols>
    <col min="1" max="1" width="16.28515625" bestFit="1" customWidth="1"/>
    <col min="2" max="2" width="7.5703125" bestFit="1" customWidth="1"/>
    <col min="3" max="3" width="12.42578125" bestFit="1" customWidth="1"/>
    <col min="4" max="4" width="5" bestFit="1" customWidth="1"/>
    <col min="5" max="5" width="5.42578125" bestFit="1" customWidth="1"/>
    <col min="6" max="6" width="5.85546875" bestFit="1" customWidth="1"/>
    <col min="7" max="7" width="12" bestFit="1" customWidth="1"/>
    <col min="8" max="8" width="21.85546875" bestFit="1" customWidth="1"/>
    <col min="9" max="9" width="21.140625" bestFit="1" customWidth="1"/>
    <col min="10" max="10" width="21.140625" customWidth="1"/>
    <col min="11" max="11" width="19.42578125" bestFit="1" customWidth="1"/>
    <col min="12" max="12" width="16.85546875" bestFit="1" customWidth="1"/>
    <col min="13" max="13" width="16.85546875" customWidth="1"/>
    <col min="14" max="14" width="18.5703125" bestFit="1" customWidth="1"/>
    <col min="15" max="15" width="18.5703125" customWidth="1"/>
    <col min="16" max="16" width="12" bestFit="1" customWidth="1"/>
    <col min="17" max="17" width="14.85546875" bestFit="1" customWidth="1"/>
    <col min="18" max="18" width="16.42578125" bestFit="1" customWidth="1"/>
    <col min="19" max="19" width="14.7109375" bestFit="1" customWidth="1"/>
    <col min="20" max="20" width="17.85546875" bestFit="1" customWidth="1"/>
    <col min="21" max="21" width="15" bestFit="1" customWidth="1"/>
    <col min="22" max="22" width="12.7109375" bestFit="1" customWidth="1"/>
    <col min="23" max="23" width="14" bestFit="1" customWidth="1"/>
  </cols>
  <sheetData>
    <row r="1" spans="1:24" ht="15.75" thickTop="1" x14ac:dyDescent="0.25">
      <c r="A1" s="40" t="s">
        <v>5</v>
      </c>
      <c r="B1" s="41"/>
      <c r="C1" s="41"/>
      <c r="D1" s="41"/>
      <c r="E1" s="41"/>
      <c r="F1" s="41"/>
      <c r="G1" s="41"/>
      <c r="H1" s="41"/>
      <c r="I1" s="41"/>
      <c r="J1" s="11"/>
      <c r="K1" s="41" t="s">
        <v>19</v>
      </c>
      <c r="L1" s="41"/>
      <c r="M1" s="41"/>
      <c r="N1" s="41"/>
      <c r="O1" s="41"/>
      <c r="P1" s="42"/>
      <c r="Q1" s="40" t="s">
        <v>13</v>
      </c>
      <c r="R1" s="41"/>
      <c r="S1" s="41"/>
      <c r="T1" s="41"/>
      <c r="U1" s="41"/>
      <c r="V1" s="41"/>
      <c r="W1" s="42"/>
    </row>
    <row r="2" spans="1:24" x14ac:dyDescent="0.25">
      <c r="A2" s="1" t="s">
        <v>0</v>
      </c>
      <c r="B2" s="2" t="s">
        <v>1</v>
      </c>
      <c r="C2" s="2" t="s">
        <v>2</v>
      </c>
      <c r="D2" s="2" t="s">
        <v>16</v>
      </c>
      <c r="E2" s="2" t="s">
        <v>17</v>
      </c>
      <c r="F2" s="2" t="s">
        <v>18</v>
      </c>
      <c r="G2" s="2" t="s">
        <v>36</v>
      </c>
      <c r="H2" s="2" t="s">
        <v>3</v>
      </c>
      <c r="I2" s="2" t="s">
        <v>4</v>
      </c>
      <c r="J2" s="1" t="s">
        <v>48</v>
      </c>
      <c r="K2" s="2" t="s">
        <v>50</v>
      </c>
      <c r="L2" s="7" t="s">
        <v>46</v>
      </c>
      <c r="M2" s="7" t="s">
        <v>51</v>
      </c>
      <c r="N2" s="7" t="s">
        <v>47</v>
      </c>
      <c r="O2" s="7" t="s">
        <v>49</v>
      </c>
      <c r="P2" s="3" t="s">
        <v>33</v>
      </c>
      <c r="Q2" s="1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  <c r="W2" s="3" t="s">
        <v>12</v>
      </c>
    </row>
    <row r="3" spans="1:24" x14ac:dyDescent="0.25">
      <c r="A3" s="1" t="s">
        <v>52</v>
      </c>
      <c r="B3" s="2" t="s">
        <v>14</v>
      </c>
      <c r="C3" s="37">
        <v>3490.54</v>
      </c>
      <c r="D3" s="2">
        <v>2018</v>
      </c>
      <c r="E3" s="14">
        <v>12</v>
      </c>
      <c r="F3" s="14" t="s">
        <v>53</v>
      </c>
      <c r="G3" s="2" t="s">
        <v>15</v>
      </c>
      <c r="H3" s="2">
        <v>2</v>
      </c>
      <c r="I3" s="38" t="s">
        <v>54</v>
      </c>
      <c r="J3" s="32">
        <f>0.06</f>
        <v>0.06</v>
      </c>
      <c r="K3">
        <f>IF((G3="B"),0.33,IF((G3="P"),0.25,IF((G3="S"),0.425,IF((G3="J"),0.33,IF((G3="C"),0.2,IF((G3="R"),0.3,"ERROR!"))))))</f>
        <v>0.33</v>
      </c>
      <c r="L3" s="29">
        <f>ROUND(C3*K3,2)</f>
        <v>1151.8800000000001</v>
      </c>
      <c r="M3" t="str">
        <f>IF((H3=1),"5,415.30",IF((H3=2),"3,980.00",IF((H3=3),"345.45","Error!")))</f>
        <v>3,980.00</v>
      </c>
      <c r="N3" s="29">
        <f>ROUND((C3+I3+L3+M3)*J3,2)</f>
        <v>573.02</v>
      </c>
      <c r="O3" s="29">
        <f>SUM(C3+I3+L3+M3+N3)</f>
        <v>10123.330000000002</v>
      </c>
      <c r="P3" s="3">
        <v>1</v>
      </c>
      <c r="Q3" s="20" t="str">
        <f>A3</f>
        <v>Johnson</v>
      </c>
      <c r="R3" s="21" t="str">
        <f>B3</f>
        <v>IA</v>
      </c>
      <c r="S3" s="22">
        <f>VALUE(C3)</f>
        <v>3490.54</v>
      </c>
      <c r="T3" s="21" t="str">
        <f>CONCATENATE(E3,"/",F3,"/",RIGHT(D3,2))</f>
        <v>12/30/18</v>
      </c>
      <c r="U3" s="21" t="str">
        <f>IF((H3=1),"Electronics",IF((H3=2),"Ski Package",IF((H3=3),"Fishing Package","Error!")))</f>
        <v>Ski Package</v>
      </c>
      <c r="V3" s="22">
        <f>VALUE(I3)</f>
        <v>927.89</v>
      </c>
      <c r="W3" s="23">
        <f>O3</f>
        <v>10123.330000000002</v>
      </c>
    </row>
    <row r="4" spans="1:24" x14ac:dyDescent="0.25">
      <c r="A4" s="1" t="s">
        <v>55</v>
      </c>
      <c r="B4" s="2" t="s">
        <v>14</v>
      </c>
      <c r="C4" s="8" t="s">
        <v>56</v>
      </c>
      <c r="D4" s="2">
        <v>2017</v>
      </c>
      <c r="E4" s="14" t="s">
        <v>57</v>
      </c>
      <c r="F4" s="15" t="s">
        <v>58</v>
      </c>
      <c r="G4" s="2" t="s">
        <v>15</v>
      </c>
      <c r="H4" s="2">
        <v>1</v>
      </c>
      <c r="I4" s="9" t="s">
        <v>59</v>
      </c>
      <c r="J4" s="32">
        <f>0.06</f>
        <v>0.06</v>
      </c>
      <c r="K4">
        <f>IF((G4="B"),0.33,IF((G4="P"),0.25,IF((G4="S"),0.425,IF((G4="J"),0.33,IF((G4="C"),0.2,IF((G4="R"),0.3,"ERROR!"))))))</f>
        <v>0.33</v>
      </c>
      <c r="L4" s="29">
        <f>ROUND(C4*K4,2)</f>
        <v>410.4</v>
      </c>
      <c r="M4" t="str">
        <f>IF((H4=1),"5,415.30",IF((H4=2),"3,980.00",IF((H4=3),"345.45","Error!")))</f>
        <v>5,415.30</v>
      </c>
      <c r="N4" s="29">
        <f>ROUND((C4+I4+L4+M4)*J4,2)</f>
        <v>1017.09</v>
      </c>
      <c r="O4" s="29">
        <f>SUM(C4+I4+L4+N4+M4)</f>
        <v>17968.55</v>
      </c>
      <c r="P4" s="3">
        <f>P3 +1</f>
        <v>2</v>
      </c>
      <c r="Q4" s="20" t="str">
        <f>A4</f>
        <v>Big Name Bobbie</v>
      </c>
      <c r="R4" s="21" t="str">
        <f>B4</f>
        <v>IA</v>
      </c>
      <c r="S4" s="22">
        <f>VALUE(C4)</f>
        <v>1243.6300000000001</v>
      </c>
      <c r="T4" s="21" t="str">
        <f>CONCATENATE(E4,"/",F4,"/",RIGHT(D4,2))</f>
        <v>09/23/17</v>
      </c>
      <c r="U4" s="21" t="str">
        <f>IF((H4=1),"Electronics",IF((H4=2),"Ski Package",IF((H4=3),"Fishing Package","Error!")))</f>
        <v>Electronics</v>
      </c>
      <c r="V4" s="22">
        <f>VALUE(I4)</f>
        <v>9882.1299999999992</v>
      </c>
      <c r="W4" s="23">
        <f>O4</f>
        <v>17968.55</v>
      </c>
    </row>
    <row r="5" spans="1:24" x14ac:dyDescent="0.25">
      <c r="A5" s="1"/>
      <c r="B5" s="2"/>
      <c r="C5" s="8"/>
      <c r="D5" s="2"/>
      <c r="E5" s="14"/>
      <c r="F5" s="15"/>
      <c r="G5" s="2"/>
      <c r="H5" s="2"/>
      <c r="I5" s="30"/>
      <c r="J5" s="32"/>
      <c r="L5" s="29"/>
      <c r="M5" s="29"/>
      <c r="N5" s="29"/>
      <c r="O5" s="29"/>
      <c r="P5" s="3"/>
      <c r="Q5" s="1"/>
      <c r="R5" s="2"/>
      <c r="S5" s="17"/>
      <c r="T5" s="2"/>
      <c r="U5" s="2"/>
      <c r="V5" s="17"/>
      <c r="W5" s="18"/>
    </row>
    <row r="6" spans="1:24" x14ac:dyDescent="0.25">
      <c r="A6" s="1"/>
      <c r="B6" s="2"/>
      <c r="C6" s="8"/>
      <c r="D6" s="2"/>
      <c r="E6" s="14"/>
      <c r="F6" s="15"/>
      <c r="G6" s="2"/>
      <c r="H6" s="2"/>
      <c r="I6" s="30"/>
      <c r="J6" s="32"/>
      <c r="L6" s="29"/>
      <c r="M6" s="29"/>
      <c r="N6" s="29"/>
      <c r="O6" s="29"/>
      <c r="P6" s="3"/>
      <c r="Q6" s="1" t="s">
        <v>37</v>
      </c>
      <c r="R6" s="2" t="s">
        <v>38</v>
      </c>
      <c r="S6" s="17" t="s">
        <v>39</v>
      </c>
      <c r="T6" s="2" t="s">
        <v>40</v>
      </c>
      <c r="U6" s="2"/>
      <c r="V6" s="17"/>
      <c r="W6" s="18"/>
    </row>
    <row r="7" spans="1:24" x14ac:dyDescent="0.25">
      <c r="A7" s="1"/>
      <c r="B7" s="2"/>
      <c r="C7" s="8"/>
      <c r="D7" s="2"/>
      <c r="E7" s="14"/>
      <c r="F7" s="15"/>
      <c r="G7" s="2"/>
      <c r="H7" s="2"/>
      <c r="I7" s="30"/>
      <c r="J7" s="32"/>
      <c r="L7" s="29"/>
      <c r="M7" s="29"/>
      <c r="N7" s="29"/>
      <c r="O7" s="29"/>
      <c r="P7" s="3"/>
      <c r="Q7" s="25" t="s">
        <v>14</v>
      </c>
      <c r="R7" s="24" t="str">
        <f>IF((G3="B"),"Bass Boat",IF((G3="P"),"Pontoon",IF((G3="S"),"Ski Boat",IF((G3="J"),"John Boat",IF((#REF!="C"),"Canoe",IF((#REF!="R"),"Cabin Cruiser","ERROR!"))))))</f>
        <v>Bass Boat</v>
      </c>
      <c r="S7" s="26">
        <f>VALUE(P4)</f>
        <v>2</v>
      </c>
      <c r="T7" s="27">
        <f>SUM(W3:W4)</f>
        <v>28091.88</v>
      </c>
      <c r="U7" s="2"/>
      <c r="V7" s="17"/>
      <c r="W7" s="18"/>
    </row>
    <row r="8" spans="1:24" x14ac:dyDescent="0.25">
      <c r="A8" s="1"/>
      <c r="B8" s="2"/>
      <c r="C8" s="8"/>
      <c r="D8" s="2"/>
      <c r="E8" s="14"/>
      <c r="F8" s="15"/>
      <c r="G8" s="2"/>
      <c r="H8" s="2"/>
      <c r="I8" s="30"/>
      <c r="J8" s="32"/>
      <c r="L8" s="29"/>
      <c r="M8" s="29"/>
      <c r="N8" s="29"/>
      <c r="O8" s="29"/>
      <c r="P8" s="3"/>
      <c r="Q8" s="1"/>
      <c r="R8" s="2"/>
      <c r="S8" s="17"/>
      <c r="T8" s="2"/>
      <c r="U8" s="2"/>
      <c r="V8" s="17"/>
      <c r="W8" s="18"/>
    </row>
    <row r="9" spans="1:24" x14ac:dyDescent="0.25">
      <c r="A9" s="1" t="s">
        <v>60</v>
      </c>
      <c r="B9" s="7" t="s">
        <v>61</v>
      </c>
      <c r="C9" s="8" t="s">
        <v>62</v>
      </c>
      <c r="D9" s="2">
        <v>2019</v>
      </c>
      <c r="E9" s="15" t="s">
        <v>26</v>
      </c>
      <c r="F9" s="16" t="s">
        <v>58</v>
      </c>
      <c r="G9" s="7" t="s">
        <v>15</v>
      </c>
      <c r="H9" s="7">
        <v>3</v>
      </c>
      <c r="I9" s="9" t="s">
        <v>63</v>
      </c>
      <c r="J9" s="32">
        <f>0.06</f>
        <v>0.06</v>
      </c>
      <c r="K9">
        <f>IF((G9="B"),0.33,IF((G9="P"),0.25,IF((G9="S"),0.425,IF((G9="J"),0.33,IF((G9="C"),0.2,IF((G9="R"),0.3,"ERROR!"))))))</f>
        <v>0.33</v>
      </c>
      <c r="L9" s="29">
        <f>ROUND(C9*K9,2)</f>
        <v>29411</v>
      </c>
      <c r="M9" t="str">
        <f>IF((H9=1),"5,415.30",IF((H9=2),"3,980.00",IF((H9=3),"345.45","Error!")))</f>
        <v>345.45</v>
      </c>
      <c r="N9" s="29">
        <f>ROUND((C9+I9+L9)*J9,2)</f>
        <v>13005.46</v>
      </c>
      <c r="O9" s="29">
        <f>SUM(C9+I9+L9+N9)</f>
        <v>229763.12999999998</v>
      </c>
      <c r="P9" s="3">
        <f>1</f>
        <v>1</v>
      </c>
      <c r="Q9" s="20" t="str">
        <f t="shared" ref="Q9:R10" si="0">A9</f>
        <v>Joe</v>
      </c>
      <c r="R9" s="21" t="str">
        <f t="shared" si="0"/>
        <v>WI</v>
      </c>
      <c r="S9" s="22">
        <f>VALUE(C9)</f>
        <v>89124.25</v>
      </c>
      <c r="T9" s="21" t="str">
        <f>CONCATENATE(E9,"/",F9,"/",RIGHT(D9,2))</f>
        <v>01/23/19</v>
      </c>
      <c r="U9" s="21" t="str">
        <f>IF((H9=1),"Electronics",IF((H9=2),"Ski Package",IF((H9=3),"Fishing Package","Error!")))</f>
        <v>Fishing Package</v>
      </c>
      <c r="V9" s="22">
        <f>VALUE(I9)</f>
        <v>98222.42</v>
      </c>
      <c r="W9" s="23">
        <f>O9</f>
        <v>229763.12999999998</v>
      </c>
    </row>
    <row r="10" spans="1:24" x14ac:dyDescent="0.25">
      <c r="A10" s="1" t="s">
        <v>64</v>
      </c>
      <c r="B10" s="7" t="s">
        <v>61</v>
      </c>
      <c r="C10" s="8" t="s">
        <v>23</v>
      </c>
      <c r="D10" s="2">
        <v>2019</v>
      </c>
      <c r="E10" s="15" t="s">
        <v>57</v>
      </c>
      <c r="F10" s="16" t="s">
        <v>57</v>
      </c>
      <c r="G10" s="7" t="s">
        <v>15</v>
      </c>
      <c r="H10" s="7">
        <v>2</v>
      </c>
      <c r="I10" s="9" t="s">
        <v>29</v>
      </c>
      <c r="J10" s="32">
        <f>0.06</f>
        <v>0.06</v>
      </c>
      <c r="K10">
        <f>IF((G10="B"),0.33,IF((G10="P"),0.25,IF((G10="S"),0.425,IF((G10="J"),0.33,IF((G10="C"),0.2,IF((G10="R"),0.3,"ERROR!"))))))</f>
        <v>0.33</v>
      </c>
      <c r="L10" s="29">
        <f>ROUND(C10*K10,2)</f>
        <v>330000</v>
      </c>
      <c r="M10" t="str">
        <f>IF((H10=1),"5,415.30",IF((H10=2),"3,980.00",IF((H10=3),"345.45","Error!")))</f>
        <v>3,980.00</v>
      </c>
      <c r="N10" s="29">
        <f>ROUND((C10+I10+L10)*J10,2)</f>
        <v>85800</v>
      </c>
      <c r="O10" s="29">
        <f>SUM(C10+I10+L10+N10)</f>
        <v>1515799.98</v>
      </c>
      <c r="P10" s="3">
        <f>P9 +1</f>
        <v>2</v>
      </c>
      <c r="Q10" s="20" t="str">
        <f t="shared" si="0"/>
        <v>Smith</v>
      </c>
      <c r="R10" s="21" t="str">
        <f t="shared" si="0"/>
        <v>WI</v>
      </c>
      <c r="S10" s="22">
        <f>VALUE(C10)</f>
        <v>999999.99</v>
      </c>
      <c r="T10" s="21" t="str">
        <f>CONCATENATE(E10,"/",F10,"/",RIGHT(D10,2))</f>
        <v>09/09/19</v>
      </c>
      <c r="U10" s="21" t="str">
        <f>IF((H10=1),"Electronics",IF((H10=2),"Ski Package",IF((H10=3),"Fishing Package","Error!")))</f>
        <v>Ski Package</v>
      </c>
      <c r="V10" s="22">
        <f>VALUE(I10)</f>
        <v>99999.99</v>
      </c>
      <c r="W10" s="23">
        <f>O10</f>
        <v>1515799.98</v>
      </c>
    </row>
    <row r="11" spans="1:24" x14ac:dyDescent="0.25">
      <c r="A11" s="1"/>
      <c r="B11" s="2"/>
      <c r="C11" s="8"/>
      <c r="D11" s="2"/>
      <c r="E11" s="14"/>
      <c r="F11" s="15"/>
      <c r="G11" s="2"/>
      <c r="H11" s="2"/>
      <c r="I11" s="30"/>
      <c r="J11" s="32"/>
      <c r="L11" s="29"/>
      <c r="M11" s="29"/>
      <c r="N11" s="29"/>
      <c r="O11" s="29"/>
      <c r="P11" s="3"/>
      <c r="Q11" s="1"/>
      <c r="R11" s="2"/>
      <c r="S11" s="17"/>
      <c r="T11" s="2"/>
      <c r="U11" s="2"/>
      <c r="V11" s="17"/>
      <c r="W11" s="18"/>
    </row>
    <row r="12" spans="1:24" x14ac:dyDescent="0.25">
      <c r="A12" s="1"/>
      <c r="B12" s="2"/>
      <c r="C12" s="8"/>
      <c r="D12" s="2"/>
      <c r="E12" s="14"/>
      <c r="F12" s="15"/>
      <c r="G12" s="2"/>
      <c r="H12" s="2"/>
      <c r="I12" s="30"/>
      <c r="J12" s="32"/>
      <c r="L12" s="29"/>
      <c r="M12" s="29"/>
      <c r="N12" s="29"/>
      <c r="O12" s="29"/>
      <c r="P12" s="3"/>
      <c r="Q12" s="1" t="s">
        <v>37</v>
      </c>
      <c r="R12" s="2" t="s">
        <v>38</v>
      </c>
      <c r="S12" s="17" t="s">
        <v>39</v>
      </c>
      <c r="T12" s="2" t="s">
        <v>40</v>
      </c>
      <c r="U12" s="2"/>
      <c r="V12" s="17"/>
      <c r="W12" s="18"/>
    </row>
    <row r="13" spans="1:24" x14ac:dyDescent="0.25">
      <c r="A13" s="1"/>
      <c r="B13" s="2"/>
      <c r="C13" s="8"/>
      <c r="D13" s="2"/>
      <c r="E13" s="14"/>
      <c r="F13" s="15"/>
      <c r="G13" s="2"/>
      <c r="H13" s="2"/>
      <c r="I13" s="30"/>
      <c r="J13" s="32"/>
      <c r="L13" s="29"/>
      <c r="M13" s="29"/>
      <c r="N13" s="29"/>
      <c r="O13" s="29"/>
      <c r="P13" s="3"/>
      <c r="Q13" s="25" t="str">
        <f>R10</f>
        <v>WI</v>
      </c>
      <c r="R13" s="24" t="str">
        <f>IF((G10="B"),"Bass Boat",IF((G10="P"),"Pontoon",IF((G10="S"),"Ski Boat",IF((G10="J"),"John Boat",IF((#REF!="C"),"Canoe",IF((#REF!="R"),"Cabin Cruiser","ERROR!"))))))</f>
        <v>Bass Boat</v>
      </c>
      <c r="S13" s="26">
        <f>VALUE(P10)</f>
        <v>2</v>
      </c>
      <c r="T13" s="27">
        <f>SUM(W9:W10)</f>
        <v>1745563.1099999999</v>
      </c>
      <c r="U13" s="2"/>
      <c r="V13" s="17"/>
      <c r="W13" s="18"/>
    </row>
    <row r="14" spans="1:24" x14ac:dyDescent="0.25">
      <c r="A14" s="1"/>
      <c r="B14" s="2"/>
      <c r="C14" s="8"/>
      <c r="D14" s="2"/>
      <c r="E14" s="14"/>
      <c r="F14" s="15"/>
      <c r="G14" s="2"/>
      <c r="H14" s="2"/>
      <c r="I14" s="30"/>
      <c r="J14" s="32"/>
      <c r="L14" s="29"/>
      <c r="M14" s="29"/>
      <c r="N14" s="29"/>
      <c r="O14" s="29"/>
      <c r="P14" s="3"/>
      <c r="Q14" s="1"/>
      <c r="R14" s="2"/>
      <c r="S14" s="17"/>
      <c r="T14" s="2"/>
      <c r="U14" s="2"/>
      <c r="V14" s="17"/>
      <c r="W14" s="18"/>
    </row>
    <row r="15" spans="1:24" x14ac:dyDescent="0.25">
      <c r="A15" s="1"/>
      <c r="B15" s="2"/>
      <c r="C15" s="8"/>
      <c r="D15" s="2"/>
      <c r="E15" s="14"/>
      <c r="F15" s="14"/>
      <c r="G15" s="2"/>
      <c r="H15" s="2"/>
      <c r="I15" s="30"/>
      <c r="J15" s="32"/>
      <c r="L15" s="29"/>
      <c r="M15" s="29"/>
      <c r="N15" s="29"/>
      <c r="O15" s="29"/>
      <c r="P15" s="3"/>
      <c r="Q15" s="1" t="s">
        <v>41</v>
      </c>
      <c r="R15" s="2" t="s">
        <v>42</v>
      </c>
      <c r="S15" s="2" t="s">
        <v>43</v>
      </c>
      <c r="T15" s="2"/>
      <c r="U15" s="2"/>
      <c r="V15" s="2"/>
      <c r="X15" s="1"/>
    </row>
    <row r="16" spans="1:24" x14ac:dyDescent="0.25">
      <c r="A16" s="1"/>
      <c r="B16" s="2"/>
      <c r="C16" s="2"/>
      <c r="D16" s="2"/>
      <c r="E16" s="14"/>
      <c r="F16" s="14"/>
      <c r="G16" s="2"/>
      <c r="H16" s="2"/>
      <c r="I16" s="29"/>
      <c r="J16" s="13"/>
      <c r="L16" s="29"/>
      <c r="M16" s="29"/>
      <c r="N16" s="29"/>
      <c r="O16" s="29"/>
      <c r="P16" s="3"/>
      <c r="Q16" s="34" t="str">
        <f>IF((G3="B"),"Bass Boat",IF((G3="P"),"Pontoon",IF((G3="S"),"Ski Boat",IF((G3="J"),"John Boat",IF((G3="C"),"Canoe",IF((G3="R"),"Cabin Cruiser","ERROR!"))))))</f>
        <v>Bass Boat</v>
      </c>
      <c r="R16" s="36">
        <f xml:space="preserve"> S7+S13</f>
        <v>4</v>
      </c>
      <c r="S16" s="35">
        <f>SUM(T7+T13)</f>
        <v>1773654.9899999998</v>
      </c>
      <c r="T16" s="2"/>
      <c r="U16" s="2"/>
      <c r="V16" s="2"/>
      <c r="X16" s="1"/>
    </row>
    <row r="17" spans="1:23" x14ac:dyDescent="0.25">
      <c r="A17" s="1"/>
      <c r="B17" s="2"/>
      <c r="C17" s="2"/>
      <c r="D17" s="2"/>
      <c r="E17" s="14"/>
      <c r="F17" s="14"/>
      <c r="G17" s="2"/>
      <c r="H17" s="2"/>
      <c r="I17" s="29"/>
      <c r="J17" s="13"/>
      <c r="L17" s="29"/>
      <c r="M17" s="29"/>
      <c r="N17" s="29"/>
      <c r="O17" s="29"/>
      <c r="P17" s="3"/>
      <c r="Q17" s="1"/>
      <c r="R17" s="2"/>
      <c r="S17" s="2"/>
      <c r="T17" s="2"/>
      <c r="U17" s="2"/>
      <c r="V17" s="2"/>
      <c r="W17" s="3"/>
    </row>
    <row r="18" spans="1:23" x14ac:dyDescent="0.25">
      <c r="A18" s="1" t="s">
        <v>65</v>
      </c>
      <c r="B18" s="2" t="s">
        <v>14</v>
      </c>
      <c r="C18" s="8" t="s">
        <v>66</v>
      </c>
      <c r="D18" s="2">
        <v>2015</v>
      </c>
      <c r="E18" s="14" t="s">
        <v>67</v>
      </c>
      <c r="F18" s="15" t="s">
        <v>68</v>
      </c>
      <c r="G18" s="2" t="s">
        <v>20</v>
      </c>
      <c r="H18" s="2">
        <v>1</v>
      </c>
      <c r="I18" s="9" t="s">
        <v>69</v>
      </c>
      <c r="J18" s="32">
        <f>0.06</f>
        <v>0.06</v>
      </c>
      <c r="K18">
        <f>IF((G18="B"),0.33,IF((G18="P"),0.25,IF((G18="S"),0.425,IF((G18="J"),0.33,IF((G18="C"),0.2,IF((G18="R"),0.3,"ERROR!"))))))</f>
        <v>0.25</v>
      </c>
      <c r="L18" s="29">
        <f>ROUND(C18*K18,2)</f>
        <v>2480.7800000000002</v>
      </c>
      <c r="M18" t="str">
        <f>IF((H18=1),"5,415.30",IF((H18=2),"3,980.00",IF((H18=3),"345.45","Error!")))</f>
        <v>5,415.30</v>
      </c>
      <c r="N18" s="29">
        <f>ROUND((C18+I18+L18)*J18,2)</f>
        <v>804.16</v>
      </c>
      <c r="O18" s="29">
        <f>SUM(C18+I18+L18+N18)</f>
        <v>14206.78</v>
      </c>
      <c r="P18" s="3">
        <v>1</v>
      </c>
      <c r="Q18" s="20" t="str">
        <f>A18</f>
        <v>Brown</v>
      </c>
      <c r="R18" s="21" t="str">
        <f>B18</f>
        <v>IA</v>
      </c>
      <c r="S18" s="22">
        <f>VALUE(C18)</f>
        <v>9923.1299999999992</v>
      </c>
      <c r="T18" s="21" t="str">
        <f>CONCATENATE(E18,"/",F18,"/",RIGHT(D18,2))</f>
        <v>11/19/15</v>
      </c>
      <c r="U18" s="21" t="str">
        <f>IF((H18=1),"Electronics",IF((H18=2),"Ski Package",IF((H18=3),"Fishing Package","Error!")))</f>
        <v>Electronics</v>
      </c>
      <c r="V18" s="22">
        <f>VALUE(I18)</f>
        <v>998.71</v>
      </c>
      <c r="W18" s="23">
        <f>O18</f>
        <v>14206.78</v>
      </c>
    </row>
    <row r="19" spans="1:23" x14ac:dyDescent="0.25">
      <c r="A19" s="1" t="s">
        <v>70</v>
      </c>
      <c r="B19" s="2" t="s">
        <v>14</v>
      </c>
      <c r="C19" s="8" t="s">
        <v>71</v>
      </c>
      <c r="D19" s="2">
        <v>2018</v>
      </c>
      <c r="E19" s="14" t="s">
        <v>26</v>
      </c>
      <c r="F19" s="14" t="s">
        <v>26</v>
      </c>
      <c r="G19" s="2" t="s">
        <v>20</v>
      </c>
      <c r="H19" s="2">
        <v>3</v>
      </c>
      <c r="I19" s="9" t="s">
        <v>72</v>
      </c>
      <c r="J19" s="32">
        <f>0.06</f>
        <v>0.06</v>
      </c>
      <c r="K19">
        <f>IF((G19="B"),0.33,IF((G19="P"),0.25,IF((G19="S"),0.425,IF((G19="J"),0.33,IF((G19="C"),0.2,IF((G19="R"),0.3,"ERROR!"))))))</f>
        <v>0.25</v>
      </c>
      <c r="L19" s="29">
        <f>ROUND(C19*K19,2)</f>
        <v>25000</v>
      </c>
      <c r="M19" t="str">
        <f>IF((H19=1),"5,415.30",IF((H19=2),"3,980.00",IF((H19=3),"345.45","Error!")))</f>
        <v>345.45</v>
      </c>
      <c r="N19" s="29">
        <f>ROUND((C19+I19+L19)*J19,2)</f>
        <v>8700</v>
      </c>
      <c r="O19" s="29">
        <f>SUM(C19+I19+L19+N19)</f>
        <v>153700</v>
      </c>
      <c r="P19" s="3">
        <f>P18 + 1</f>
        <v>2</v>
      </c>
      <c r="Q19" s="20" t="str">
        <f>A19</f>
        <v>Halsalfrow</v>
      </c>
      <c r="R19" s="21" t="str">
        <f>B19</f>
        <v>IA</v>
      </c>
      <c r="S19" s="22">
        <f>VALUE(C19)</f>
        <v>100000</v>
      </c>
      <c r="T19" s="21" t="str">
        <f>CONCATENATE(E19,"/",F19,"/",RIGHT(D19,2))</f>
        <v>01/01/18</v>
      </c>
      <c r="U19" s="21" t="str">
        <f>IF((H19=1),"Electronics",IF((H19=2),"Ski Package",IF((H19=3),"Fishing Package","Error!")))</f>
        <v>Fishing Package</v>
      </c>
      <c r="V19" s="22">
        <f>VALUE(I19)</f>
        <v>20000</v>
      </c>
      <c r="W19" s="23">
        <f>O19</f>
        <v>153700</v>
      </c>
    </row>
    <row r="20" spans="1:23" x14ac:dyDescent="0.25">
      <c r="A20" s="1"/>
      <c r="B20" s="2"/>
      <c r="C20" s="8"/>
      <c r="D20" s="2"/>
      <c r="E20" s="14"/>
      <c r="F20" s="14"/>
      <c r="G20" s="2"/>
      <c r="H20" s="2"/>
      <c r="I20" s="30"/>
      <c r="J20" s="32"/>
      <c r="K20" s="29"/>
      <c r="L20" s="29"/>
      <c r="M20" s="29"/>
      <c r="N20" s="29"/>
      <c r="O20" s="29"/>
      <c r="P20" s="3"/>
      <c r="Q20" s="1"/>
      <c r="R20" s="2"/>
      <c r="S20" s="17"/>
      <c r="T20" s="2"/>
      <c r="U20" s="2"/>
      <c r="V20" s="17"/>
      <c r="W20" s="18"/>
    </row>
    <row r="21" spans="1:23" x14ac:dyDescent="0.25">
      <c r="A21" s="1"/>
      <c r="B21" s="2"/>
      <c r="C21" s="8"/>
      <c r="D21" s="2"/>
      <c r="E21" s="14"/>
      <c r="F21" s="15"/>
      <c r="G21" s="2"/>
      <c r="H21" s="2"/>
      <c r="I21" s="30"/>
      <c r="J21" s="32"/>
      <c r="K21" s="29"/>
      <c r="L21" s="29"/>
      <c r="M21" s="29"/>
      <c r="N21" s="29"/>
      <c r="O21" s="29"/>
      <c r="P21" s="3"/>
      <c r="Q21" s="1" t="s">
        <v>37</v>
      </c>
      <c r="R21" s="2" t="s">
        <v>38</v>
      </c>
      <c r="S21" s="17" t="s">
        <v>39</v>
      </c>
      <c r="T21" s="2" t="s">
        <v>40</v>
      </c>
      <c r="U21" s="2"/>
      <c r="V21" s="17"/>
      <c r="W21" s="18"/>
    </row>
    <row r="22" spans="1:23" x14ac:dyDescent="0.25">
      <c r="A22" s="1"/>
      <c r="B22" s="2"/>
      <c r="C22" s="8"/>
      <c r="D22" s="2"/>
      <c r="E22" s="14"/>
      <c r="F22" s="15"/>
      <c r="G22" s="2"/>
      <c r="H22" s="2"/>
      <c r="I22" s="30"/>
      <c r="J22" s="32"/>
      <c r="K22" s="29"/>
      <c r="L22" s="29"/>
      <c r="M22" s="29"/>
      <c r="N22" s="29"/>
      <c r="O22" s="29"/>
      <c r="P22" s="3"/>
      <c r="Q22" s="25" t="s">
        <v>14</v>
      </c>
      <c r="R22" s="24" t="str">
        <f>IF((G18="B"),"Bass Boat",IF((G18="P"),"Pontoon",IF((G18="S"),"Ski Boat",IF((G18="J"),"John Boat",IF((G18="C"),"Canoe",IF((G18="R"),"Cabin Cruiser","ERROR!"))))))</f>
        <v>Pontoon</v>
      </c>
      <c r="S22" s="26">
        <f>VALUE(P19)</f>
        <v>2</v>
      </c>
      <c r="T22" s="27">
        <f>SUM(W18:W19)</f>
        <v>167906.78</v>
      </c>
      <c r="U22" s="2"/>
      <c r="V22" s="17"/>
      <c r="W22" s="18"/>
    </row>
    <row r="23" spans="1:23" x14ac:dyDescent="0.25">
      <c r="A23" s="1"/>
      <c r="B23" s="2"/>
      <c r="C23" s="8"/>
      <c r="D23" s="2"/>
      <c r="E23" s="14"/>
      <c r="F23" s="15"/>
      <c r="G23" s="2"/>
      <c r="H23" s="2"/>
      <c r="I23" s="30"/>
      <c r="J23" s="32"/>
      <c r="K23" s="29"/>
      <c r="L23" s="29"/>
      <c r="M23" s="29"/>
      <c r="N23" s="29"/>
      <c r="O23" s="29"/>
      <c r="P23" s="3"/>
      <c r="U23" s="2"/>
      <c r="V23" s="17"/>
      <c r="W23" s="18"/>
    </row>
    <row r="24" spans="1:23" x14ac:dyDescent="0.25">
      <c r="A24" s="1"/>
      <c r="B24" s="2"/>
      <c r="C24" s="8"/>
      <c r="D24" s="2"/>
      <c r="E24" s="14"/>
      <c r="F24" s="15"/>
      <c r="G24" s="2"/>
      <c r="H24" s="2"/>
      <c r="I24" s="30"/>
      <c r="J24" s="32"/>
      <c r="K24" s="29"/>
      <c r="L24" s="29"/>
      <c r="M24" s="29"/>
      <c r="N24" s="29"/>
      <c r="O24" s="29"/>
      <c r="P24" s="3"/>
      <c r="U24" s="2"/>
      <c r="V24" s="17"/>
      <c r="W24" s="18"/>
    </row>
    <row r="25" spans="1:23" x14ac:dyDescent="0.25">
      <c r="A25" s="1" t="s">
        <v>73</v>
      </c>
      <c r="B25" s="2" t="s">
        <v>74</v>
      </c>
      <c r="C25" s="8" t="s">
        <v>75</v>
      </c>
      <c r="D25" s="2">
        <v>2017</v>
      </c>
      <c r="E25" s="14" t="s">
        <v>76</v>
      </c>
      <c r="F25" s="14" t="s">
        <v>77</v>
      </c>
      <c r="G25" s="2" t="s">
        <v>20</v>
      </c>
      <c r="H25" s="2">
        <v>2</v>
      </c>
      <c r="I25" s="9" t="s">
        <v>78</v>
      </c>
      <c r="J25" s="32">
        <f>0.06</f>
        <v>0.06</v>
      </c>
      <c r="K25">
        <f>IF((G25="B"),0.33,IF((G25="P"),0.25,IF((G25="S"),0.425,IF((G25="J"),0.33,IF((G25="C"),0.2,IF((G25="R"),0.3,"ERROR!"))))))</f>
        <v>0.25</v>
      </c>
      <c r="L25" s="29">
        <f>ROUND(C25*K25,2)</f>
        <v>22727.27</v>
      </c>
      <c r="M25" t="str">
        <f>IF((H25=1),"5,415.30",IF((H25=2),"3,980.00",IF((H25=3),"345.45","Error!")))</f>
        <v>3,980.00</v>
      </c>
      <c r="N25" s="29">
        <f>ROUND((C25+I25+L25)*J25,2)</f>
        <v>6938.24</v>
      </c>
      <c r="O25" s="29">
        <f>SUM(C25+I25+L25+N25)</f>
        <v>122575.63</v>
      </c>
      <c r="P25" s="3">
        <v>1</v>
      </c>
      <c r="Q25" s="20" t="str">
        <f>A25</f>
        <v>Rothchild</v>
      </c>
      <c r="R25" s="21" t="str">
        <f>B25</f>
        <v>MI</v>
      </c>
      <c r="S25" s="22">
        <f>VALUE(C25)</f>
        <v>90909.09</v>
      </c>
      <c r="T25" s="21" t="str">
        <f>CONCATENATE(E25,"/",F25,"/",RIGHT(D25,2))</f>
        <v>08/02/17</v>
      </c>
      <c r="U25" s="21" t="str">
        <f>IF((H25=1),"Electronics",IF((H25=2),"Ski Package",IF((H25=3),"Fishing Package","Error!")))</f>
        <v>Ski Package</v>
      </c>
      <c r="V25" s="22">
        <f>VALUE(I25)</f>
        <v>2001.03</v>
      </c>
      <c r="W25" s="23">
        <f>O25</f>
        <v>122575.63</v>
      </c>
    </row>
    <row r="26" spans="1:23" x14ac:dyDescent="0.25">
      <c r="A26" s="1"/>
      <c r="B26" s="2"/>
      <c r="C26" s="8"/>
      <c r="D26" s="2"/>
      <c r="E26" s="14"/>
      <c r="F26" s="14"/>
      <c r="G26" s="2"/>
      <c r="H26" s="2"/>
      <c r="I26" s="30"/>
      <c r="J26" s="32"/>
      <c r="L26" s="29"/>
      <c r="N26" s="29"/>
      <c r="O26" s="29"/>
      <c r="P26" s="3"/>
    </row>
    <row r="27" spans="1:23" x14ac:dyDescent="0.25">
      <c r="A27" s="1"/>
      <c r="B27" s="2"/>
      <c r="C27" s="8"/>
      <c r="D27" s="2"/>
      <c r="E27" s="14"/>
      <c r="F27" s="15"/>
      <c r="G27" s="2"/>
      <c r="H27" s="2"/>
      <c r="I27" s="30"/>
      <c r="J27" s="32"/>
      <c r="K27" s="29"/>
      <c r="L27" s="29"/>
      <c r="M27" s="29"/>
      <c r="N27" s="29"/>
      <c r="O27" s="29"/>
      <c r="P27" s="3"/>
      <c r="Q27" s="1" t="s">
        <v>37</v>
      </c>
      <c r="R27" s="2" t="s">
        <v>38</v>
      </c>
      <c r="S27" s="17" t="s">
        <v>39</v>
      </c>
      <c r="T27" s="2" t="s">
        <v>40</v>
      </c>
      <c r="U27" s="2"/>
      <c r="V27" s="17"/>
      <c r="W27" s="18"/>
    </row>
    <row r="28" spans="1:23" x14ac:dyDescent="0.25">
      <c r="A28" s="1"/>
      <c r="B28" s="2"/>
      <c r="C28" s="8"/>
      <c r="D28" s="2"/>
      <c r="E28" s="14"/>
      <c r="F28" s="15"/>
      <c r="G28" s="2"/>
      <c r="H28" s="2"/>
      <c r="I28" s="30"/>
      <c r="J28" s="32"/>
      <c r="K28" s="29"/>
      <c r="L28" s="29"/>
      <c r="M28" s="29"/>
      <c r="N28" s="29"/>
      <c r="O28" s="29"/>
      <c r="P28" s="3"/>
      <c r="Q28" s="25" t="str">
        <f>R25</f>
        <v>MI</v>
      </c>
      <c r="R28" s="24" t="str">
        <f>IF((G25="B"),"Bass Boat",IF((G25="P"),"Pontoon",IF((G25="S"),"Ski Boat",IF((G25="J"),"John Boat",IF((G25="C"),"Canoe",IF((G25="R"),"Cabin Cruiser","ERROR!"))))))</f>
        <v>Pontoon</v>
      </c>
      <c r="S28" s="26">
        <f>VALUE(P25)</f>
        <v>1</v>
      </c>
      <c r="T28" s="27">
        <f>SUM(W25)</f>
        <v>122575.63</v>
      </c>
      <c r="U28" s="2"/>
      <c r="V28" s="17"/>
      <c r="W28" s="18"/>
    </row>
    <row r="29" spans="1:23" x14ac:dyDescent="0.25">
      <c r="A29" s="1"/>
      <c r="B29" s="2"/>
      <c r="C29" s="8"/>
      <c r="D29" s="2"/>
      <c r="E29" s="14"/>
      <c r="F29" s="14"/>
      <c r="G29" s="2"/>
      <c r="H29" s="2"/>
      <c r="I29" s="30"/>
      <c r="J29" s="32"/>
      <c r="L29" s="29"/>
      <c r="N29" s="29"/>
      <c r="O29" s="29"/>
      <c r="P29" s="3"/>
    </row>
    <row r="30" spans="1:23" x14ac:dyDescent="0.25">
      <c r="A30" s="1" t="s">
        <v>79</v>
      </c>
      <c r="B30" s="2" t="s">
        <v>80</v>
      </c>
      <c r="C30" s="8" t="s">
        <v>81</v>
      </c>
      <c r="D30" s="2">
        <v>2005</v>
      </c>
      <c r="E30" s="14" t="s">
        <v>82</v>
      </c>
      <c r="F30" s="14" t="s">
        <v>83</v>
      </c>
      <c r="G30" s="2" t="s">
        <v>20</v>
      </c>
      <c r="H30" s="2">
        <v>3</v>
      </c>
      <c r="I30" s="9" t="s">
        <v>84</v>
      </c>
      <c r="J30" s="32">
        <f>0.06</f>
        <v>0.06</v>
      </c>
      <c r="K30">
        <f>IF((G30="B"),0.33,IF((G30="P"),0.25,IF((G30="S"),0.425,IF((G30="J"),0.33,IF((G30="C"),0.2,IF((G30="R"),0.3,"ERROR!"))))))</f>
        <v>0.25</v>
      </c>
      <c r="L30" s="29">
        <f>ROUND(C30*K30,2)</f>
        <v>249750.25</v>
      </c>
      <c r="M30" t="str">
        <f>IF((H30=1),"5,415.30",IF((H30=2),"3,980.00",IF((H30=3),"345.45","Error!")))</f>
        <v>345.45</v>
      </c>
      <c r="N30" s="29">
        <f>ROUND((C30+I30+L30)*J30,2)</f>
        <v>80379.62</v>
      </c>
      <c r="O30" s="29">
        <f>SUM(C30+I30+L30+N30)</f>
        <v>1420039.87</v>
      </c>
      <c r="P30" s="3">
        <v>1</v>
      </c>
      <c r="Q30" s="20" t="str">
        <f>A30</f>
        <v>Gates</v>
      </c>
      <c r="R30" s="21" t="str">
        <f>B30</f>
        <v>VI</v>
      </c>
      <c r="S30" s="22">
        <f>VALUE(C30)</f>
        <v>999000.99</v>
      </c>
      <c r="T30" s="21" t="str">
        <f>CONCATENATE(E30,"/",F30,"/",RIGHT(D30,2))</f>
        <v>05/20/05</v>
      </c>
      <c r="U30" s="21" t="str">
        <f>IF((H30=1),"Electronics",IF((H30=2),"Ski Package",IF((H30=3),"Fishing Package","Error!")))</f>
        <v>Fishing Package</v>
      </c>
      <c r="V30" s="22">
        <f>VALUE(I30)</f>
        <v>90909.01</v>
      </c>
      <c r="W30" s="23">
        <f>O30</f>
        <v>1420039.87</v>
      </c>
    </row>
    <row r="31" spans="1:23" x14ac:dyDescent="0.25">
      <c r="A31" s="1"/>
      <c r="B31" s="2"/>
      <c r="C31" s="8"/>
      <c r="D31" s="2"/>
      <c r="E31" s="14"/>
      <c r="F31" s="14"/>
      <c r="G31" s="2"/>
      <c r="H31" s="2"/>
      <c r="I31" s="30"/>
      <c r="J31" s="32"/>
      <c r="L31" s="29"/>
      <c r="N31" s="29"/>
      <c r="O31" s="29"/>
      <c r="P31" s="3"/>
    </row>
    <row r="32" spans="1:23" x14ac:dyDescent="0.25">
      <c r="A32" s="1"/>
      <c r="B32" s="2"/>
      <c r="C32" s="8"/>
      <c r="D32" s="2"/>
      <c r="E32" s="14"/>
      <c r="F32" s="14"/>
      <c r="G32" s="2"/>
      <c r="H32" s="2"/>
      <c r="I32" s="30"/>
      <c r="J32" s="32"/>
      <c r="L32" s="29"/>
      <c r="N32" s="29"/>
      <c r="O32" s="29"/>
      <c r="P32" s="3"/>
      <c r="Q32" s="1" t="s">
        <v>37</v>
      </c>
      <c r="R32" s="2" t="s">
        <v>38</v>
      </c>
      <c r="S32" s="17" t="s">
        <v>39</v>
      </c>
      <c r="T32" s="2" t="s">
        <v>40</v>
      </c>
    </row>
    <row r="33" spans="1:24" x14ac:dyDescent="0.25">
      <c r="A33" s="1"/>
      <c r="B33" s="2"/>
      <c r="C33" s="8"/>
      <c r="D33" s="2"/>
      <c r="E33" s="14"/>
      <c r="F33" s="14"/>
      <c r="G33" s="2"/>
      <c r="H33" s="2"/>
      <c r="I33" s="30"/>
      <c r="J33" s="32"/>
      <c r="L33" s="29"/>
      <c r="N33" s="29"/>
      <c r="O33" s="29"/>
      <c r="P33" s="3"/>
      <c r="Q33" s="25" t="str">
        <f>R30</f>
        <v>VI</v>
      </c>
      <c r="R33" s="24" t="str">
        <f>IF((G30="B"),"Bass Boat",IF((G30="P"),"Pontoon",IF((G30="S"),"Ski Boat",IF((G30="J"),"John Boat",IF((G30="C"),"Canoe",IF((G30="R"),"Cabin Cruiser","ERROR!"))))))</f>
        <v>Pontoon</v>
      </c>
      <c r="S33" s="26">
        <f>VALUE(P30)</f>
        <v>1</v>
      </c>
      <c r="T33" s="27">
        <f>SUM(W30)</f>
        <v>1420039.87</v>
      </c>
    </row>
    <row r="34" spans="1:24" x14ac:dyDescent="0.25">
      <c r="A34" s="1"/>
      <c r="B34" s="2"/>
      <c r="C34" s="8"/>
      <c r="D34" s="2"/>
      <c r="E34" s="14"/>
      <c r="F34" s="15"/>
      <c r="G34" s="2"/>
      <c r="H34" s="2"/>
      <c r="I34" s="30"/>
      <c r="J34" s="32"/>
      <c r="L34" s="29"/>
      <c r="N34" s="29"/>
      <c r="O34" s="29"/>
      <c r="P34" s="3"/>
    </row>
    <row r="35" spans="1:24" x14ac:dyDescent="0.25">
      <c r="A35" s="1"/>
      <c r="B35" s="2"/>
      <c r="C35" s="8"/>
      <c r="D35" s="2"/>
      <c r="E35" s="14"/>
      <c r="F35" s="14"/>
      <c r="G35" s="2"/>
      <c r="H35" s="2"/>
      <c r="I35" s="30"/>
      <c r="J35" s="32"/>
      <c r="K35" s="29"/>
      <c r="L35" s="29"/>
      <c r="M35" s="29"/>
      <c r="N35" s="29"/>
      <c r="O35" s="29"/>
      <c r="P35" s="3"/>
      <c r="Q35" s="1" t="s">
        <v>41</v>
      </c>
      <c r="R35" s="2" t="s">
        <v>42</v>
      </c>
      <c r="S35" s="2" t="s">
        <v>43</v>
      </c>
      <c r="T35" s="2"/>
      <c r="U35" s="2"/>
      <c r="V35" s="2"/>
      <c r="X35" s="1"/>
    </row>
    <row r="36" spans="1:24" x14ac:dyDescent="0.25">
      <c r="A36" s="1"/>
      <c r="B36" s="2"/>
      <c r="C36" s="2"/>
      <c r="D36" s="2"/>
      <c r="E36" s="14"/>
      <c r="F36" s="14"/>
      <c r="G36" s="2"/>
      <c r="H36" s="2"/>
      <c r="I36" s="29"/>
      <c r="J36" s="13"/>
      <c r="K36" s="29"/>
      <c r="L36" s="29"/>
      <c r="M36" s="29"/>
      <c r="N36" s="29"/>
      <c r="O36" s="29"/>
      <c r="P36" s="3"/>
      <c r="Q36" s="34" t="str">
        <f>IF((G18="B"),"Bass Boat",IF((G18="P"),"Pontoon",IF((G18="S"),"Ski Boat",IF((G18="J"),"John Boat",IF((G18="C"),"Canoe",IF((G18="R"),"Cabin Cruiser","ERROR!"))))))</f>
        <v>Pontoon</v>
      </c>
      <c r="R36" s="36">
        <f xml:space="preserve"> SUM(S22,S28,S33)</f>
        <v>4</v>
      </c>
      <c r="S36" s="35">
        <f>SUM(T22,T28,T33)</f>
        <v>1710522.2800000003</v>
      </c>
      <c r="T36" s="2"/>
      <c r="U36" s="2"/>
      <c r="V36" s="2"/>
      <c r="X36" s="1"/>
    </row>
    <row r="37" spans="1:24" x14ac:dyDescent="0.25">
      <c r="A37" s="1"/>
      <c r="B37" s="7"/>
      <c r="C37" s="8"/>
      <c r="D37" s="2"/>
      <c r="E37" s="15"/>
      <c r="F37" s="16"/>
      <c r="G37" s="7"/>
      <c r="H37" s="7"/>
      <c r="I37" s="30"/>
      <c r="J37" s="32"/>
      <c r="K37" s="29"/>
      <c r="L37" s="29"/>
      <c r="M37" s="29"/>
      <c r="N37" s="29"/>
      <c r="O37" s="29"/>
      <c r="P37" s="3"/>
      <c r="Q37" s="1"/>
      <c r="R37" s="2"/>
      <c r="S37" s="2"/>
      <c r="T37" s="2"/>
      <c r="U37" s="2"/>
      <c r="V37" s="2"/>
      <c r="W37" s="3"/>
    </row>
    <row r="38" spans="1:24" x14ac:dyDescent="0.25">
      <c r="A38" s="1" t="s">
        <v>85</v>
      </c>
      <c r="B38" s="2" t="s">
        <v>86</v>
      </c>
      <c r="C38" s="8" t="s">
        <v>87</v>
      </c>
      <c r="D38" s="2">
        <v>2001</v>
      </c>
      <c r="E38" s="14" t="s">
        <v>57</v>
      </c>
      <c r="F38" s="15" t="s">
        <v>57</v>
      </c>
      <c r="G38" s="2" t="s">
        <v>22</v>
      </c>
      <c r="H38" s="2">
        <v>2</v>
      </c>
      <c r="I38" s="9" t="s">
        <v>88</v>
      </c>
      <c r="J38" s="32">
        <f>0.06</f>
        <v>0.06</v>
      </c>
      <c r="K38">
        <f>IF((G38="B"),0.33,IF((G38="P"),0.25,IF((G38="S"),0.425,IF((G38="J"),0.33,IF((G38="C"),0.2,IF((G38="R"),0.3,"ERROR!"))))))</f>
        <v>0.42499999999999999</v>
      </c>
      <c r="L38" s="29">
        <f>ROUND(C38*K38,2)</f>
        <v>47745.54</v>
      </c>
      <c r="M38" t="str">
        <f>IF((H38=1),"5,415.30",IF((H38=2),"3,980.00",IF((H38=3),"345.45","Error!")))</f>
        <v>3,980.00</v>
      </c>
      <c r="N38" s="29">
        <f>ROUND((C38+I38+L38)*J38,2)</f>
        <v>10345.74</v>
      </c>
      <c r="O38" s="29">
        <f>SUM(C38+I38+L38+N38)</f>
        <v>182774.71</v>
      </c>
      <c r="P38" s="3">
        <v>1</v>
      </c>
      <c r="Q38" s="20" t="str">
        <f>A38</f>
        <v>Jobs</v>
      </c>
      <c r="R38" s="21" t="str">
        <f>B38</f>
        <v>CA</v>
      </c>
      <c r="S38" s="22">
        <f>VALUE(C38)</f>
        <v>112342.45</v>
      </c>
      <c r="T38" s="21" t="str">
        <f>CONCATENATE(E38,"/",F38,"/",RIGHT(D38,2))</f>
        <v>09/09/01</v>
      </c>
      <c r="U38" s="21" t="str">
        <f>IF((H38=1),"Electronics",IF((H38=2),"Ski Package",IF((H38=3),"Fishing Package","Error!")))</f>
        <v>Ski Package</v>
      </c>
      <c r="V38" s="22">
        <f>VALUE(I38)</f>
        <v>12340.98</v>
      </c>
      <c r="W38" s="23">
        <f>O38</f>
        <v>182774.71</v>
      </c>
    </row>
    <row r="39" spans="1:24" x14ac:dyDescent="0.25">
      <c r="A39" s="1" t="s">
        <v>89</v>
      </c>
      <c r="B39" s="2" t="s">
        <v>86</v>
      </c>
      <c r="C39" s="8" t="s">
        <v>23</v>
      </c>
      <c r="D39" s="2">
        <v>1999</v>
      </c>
      <c r="E39" s="14" t="s">
        <v>90</v>
      </c>
      <c r="F39" s="15" t="s">
        <v>91</v>
      </c>
      <c r="G39" s="2" t="s">
        <v>22</v>
      </c>
      <c r="H39" s="2">
        <v>1</v>
      </c>
      <c r="I39" s="9" t="s">
        <v>35</v>
      </c>
      <c r="J39" s="32">
        <f>0.06</f>
        <v>0.06</v>
      </c>
      <c r="K39">
        <f>IF((G39="B"),0.33,IF((G39="P"),0.25,IF((G39="S"),0.425,IF((G39="J"),0.33,IF((G39="C"),0.2,IF((G39="R"),0.3,"ERROR!"))))))</f>
        <v>0.42499999999999999</v>
      </c>
      <c r="L39" s="29">
        <f>ROUND(C39*K39,2)</f>
        <v>425000</v>
      </c>
      <c r="M39" t="str">
        <f>IF((H39=1),"5,415.30",IF((H39=2),"3,980.00",IF((H39=3),"345.45","Error!")))</f>
        <v>5,415.30</v>
      </c>
      <c r="N39" s="29">
        <f>ROUND((C39+I39+L39)*J39,2)</f>
        <v>85500</v>
      </c>
      <c r="O39" s="29">
        <f>SUM(C39+I39+L39+N39)</f>
        <v>1510499.99</v>
      </c>
      <c r="P39" s="3">
        <f>P38 + 1</f>
        <v>2</v>
      </c>
      <c r="Q39" s="20" t="str">
        <f>A39</f>
        <v>Lotsalettersmen</v>
      </c>
      <c r="R39" s="21" t="str">
        <f>B39</f>
        <v>CA</v>
      </c>
      <c r="S39" s="22">
        <f>VALUE(C39)</f>
        <v>999999.99</v>
      </c>
      <c r="T39" s="21" t="str">
        <f>CONCATENATE(E39,"/",F39,"/",RIGHT(D39,2))</f>
        <v>12/31/99</v>
      </c>
      <c r="U39" s="21" t="str">
        <f>IF((H39=1),"Electronics",IF((H39=2),"Ski Package",IF((H39=3),"Fishing Package","Error!")))</f>
        <v>Electronics</v>
      </c>
      <c r="V39" s="22">
        <f>VALUE(I39)</f>
        <v>0</v>
      </c>
      <c r="W39" s="23">
        <f>O39</f>
        <v>1510499.99</v>
      </c>
    </row>
    <row r="40" spans="1:24" x14ac:dyDescent="0.25">
      <c r="A40" s="1"/>
      <c r="B40" s="2"/>
      <c r="C40" s="8"/>
      <c r="D40" s="2"/>
      <c r="E40" s="14"/>
      <c r="F40" s="14"/>
      <c r="G40" s="2"/>
      <c r="H40" s="2"/>
      <c r="I40" s="30"/>
      <c r="J40" s="32"/>
      <c r="K40" s="29"/>
      <c r="L40" s="29"/>
      <c r="M40" s="29"/>
      <c r="N40" s="29"/>
      <c r="O40" s="29"/>
      <c r="P40" s="3"/>
      <c r="Q40" s="1"/>
      <c r="R40" s="2"/>
      <c r="S40" s="17"/>
      <c r="T40" s="2"/>
      <c r="U40" s="2"/>
      <c r="V40" s="17"/>
      <c r="W40" s="18"/>
    </row>
    <row r="41" spans="1:24" x14ac:dyDescent="0.25">
      <c r="A41" s="1"/>
      <c r="B41" s="2"/>
      <c r="C41" s="8"/>
      <c r="D41" s="2"/>
      <c r="E41" s="14"/>
      <c r="F41" s="15"/>
      <c r="G41" s="2"/>
      <c r="H41" s="2"/>
      <c r="I41" s="30"/>
      <c r="J41" s="32"/>
      <c r="K41" s="29"/>
      <c r="L41" s="29"/>
      <c r="M41" s="29"/>
      <c r="N41" s="29"/>
      <c r="O41" s="29"/>
      <c r="P41" s="3"/>
      <c r="Q41" s="1" t="s">
        <v>37</v>
      </c>
      <c r="R41" s="2" t="s">
        <v>38</v>
      </c>
      <c r="S41" s="17" t="s">
        <v>39</v>
      </c>
      <c r="T41" s="2" t="s">
        <v>40</v>
      </c>
      <c r="U41" s="2"/>
      <c r="V41" s="17"/>
      <c r="W41" s="18"/>
    </row>
    <row r="42" spans="1:24" x14ac:dyDescent="0.25">
      <c r="A42" s="1"/>
      <c r="B42" s="2"/>
      <c r="C42" s="8"/>
      <c r="D42" s="2"/>
      <c r="E42" s="14"/>
      <c r="F42" s="15"/>
      <c r="G42" s="2"/>
      <c r="H42" s="2"/>
      <c r="I42" s="30"/>
      <c r="J42" s="32"/>
      <c r="K42" s="29"/>
      <c r="L42" s="29"/>
      <c r="M42" s="29"/>
      <c r="N42" s="29"/>
      <c r="O42" s="29"/>
      <c r="P42" s="3"/>
      <c r="Q42" s="25" t="str">
        <f>R39</f>
        <v>CA</v>
      </c>
      <c r="R42" s="24" t="str">
        <f>IF((G38="B"),"Bass Boat",IF((G38="P"),"Pontoon",IF((G38="S"),"Ski Boat",IF((G38="J"),"John Boat",IF((G38="C"),"Canoe",IF((G38="R"),"Cabin Cruiser","ERROR!"))))))</f>
        <v>Ski Boat</v>
      </c>
      <c r="S42" s="26">
        <f>VALUE(P39)</f>
        <v>2</v>
      </c>
      <c r="T42" s="27">
        <f>SUM(W38:W39)</f>
        <v>1693274.7</v>
      </c>
      <c r="U42" s="2"/>
      <c r="V42" s="17"/>
      <c r="W42" s="18"/>
    </row>
    <row r="43" spans="1:24" x14ac:dyDescent="0.25">
      <c r="A43" s="1"/>
      <c r="B43" s="2"/>
      <c r="C43" s="8"/>
      <c r="D43" s="2"/>
      <c r="E43" s="14"/>
      <c r="F43" s="14"/>
      <c r="G43" s="2"/>
      <c r="H43" s="2"/>
      <c r="I43" s="30"/>
      <c r="J43" s="32"/>
      <c r="L43" s="29"/>
      <c r="N43" s="29"/>
      <c r="O43" s="29"/>
      <c r="P43" s="3"/>
    </row>
    <row r="44" spans="1:24" x14ac:dyDescent="0.25">
      <c r="A44" s="1" t="s">
        <v>92</v>
      </c>
      <c r="B44" s="2" t="s">
        <v>14</v>
      </c>
      <c r="C44" s="8" t="s">
        <v>93</v>
      </c>
      <c r="D44" s="2">
        <v>2019</v>
      </c>
      <c r="E44" s="14" t="s">
        <v>57</v>
      </c>
      <c r="F44" s="15" t="s">
        <v>94</v>
      </c>
      <c r="G44" s="2" t="s">
        <v>22</v>
      </c>
      <c r="H44" s="2">
        <v>3</v>
      </c>
      <c r="I44" s="9" t="s">
        <v>95</v>
      </c>
      <c r="J44" s="32">
        <f>0.06</f>
        <v>0.06</v>
      </c>
      <c r="K44">
        <f>IF((G44="B"),0.33,IF((G44="P"),0.25,IF((G44="S"),0.425,IF((G44="J"),0.33,IF((G44="C"),0.2,IF((G44="R"),0.3,"ERROR!"))))))</f>
        <v>0.42499999999999999</v>
      </c>
      <c r="L44" s="29">
        <f>ROUND(C44*K44,2)</f>
        <v>382714.64</v>
      </c>
      <c r="M44" t="str">
        <f>IF((H44=1),"5,415.30",IF((H44=2),"3,980.00",IF((H44=3),"345.45","Error!")))</f>
        <v>345.45</v>
      </c>
      <c r="N44" s="29">
        <f>ROUND((C44+I44+L44)*J44,2)</f>
        <v>77006.990000000005</v>
      </c>
      <c r="O44" s="29">
        <f>SUM(C44+I44+L44+N44)</f>
        <v>1360456.89</v>
      </c>
      <c r="P44" s="3">
        <v>1</v>
      </c>
      <c r="Q44" s="20" t="str">
        <f>A44</f>
        <v>Legoman</v>
      </c>
      <c r="R44" s="21" t="str">
        <f>B44</f>
        <v>IA</v>
      </c>
      <c r="S44" s="22">
        <f>VALUE(C44)</f>
        <v>900505.03</v>
      </c>
      <c r="T44" s="21" t="str">
        <f>CONCATENATE(E44,"/",F44,"/",RIGHT(D44,2))</f>
        <v>09/04/19</v>
      </c>
      <c r="U44" s="21" t="str">
        <f>IF((H44=1),"Electronics",IF((H44=2),"Ski Package",IF((H44=3),"Fishing Package","Error!")))</f>
        <v>Fishing Package</v>
      </c>
      <c r="V44" s="22">
        <f>VALUE(I44)</f>
        <v>230.23</v>
      </c>
      <c r="W44" s="23">
        <f>O44</f>
        <v>1360456.89</v>
      </c>
    </row>
    <row r="45" spans="1:24" x14ac:dyDescent="0.25">
      <c r="A45" s="1"/>
      <c r="B45" s="2"/>
      <c r="C45" s="8"/>
      <c r="D45" s="2"/>
      <c r="E45" s="14"/>
      <c r="F45" s="14"/>
      <c r="G45" s="2"/>
      <c r="H45" s="2"/>
      <c r="I45" s="30"/>
      <c r="J45" s="32"/>
      <c r="L45" s="29"/>
      <c r="N45" s="29"/>
      <c r="O45" s="29"/>
      <c r="P45" s="3"/>
    </row>
    <row r="46" spans="1:24" x14ac:dyDescent="0.25">
      <c r="A46" s="1"/>
      <c r="B46" s="2"/>
      <c r="C46" s="8"/>
      <c r="D46" s="2"/>
      <c r="E46" s="14"/>
      <c r="F46" s="14"/>
      <c r="G46" s="2"/>
      <c r="H46" s="2"/>
      <c r="I46" s="30"/>
      <c r="J46" s="32"/>
      <c r="L46" s="29"/>
      <c r="N46" s="29"/>
      <c r="O46" s="29"/>
      <c r="P46" s="3"/>
      <c r="Q46" s="1" t="s">
        <v>37</v>
      </c>
      <c r="R46" s="2" t="s">
        <v>38</v>
      </c>
      <c r="S46" s="17" t="s">
        <v>39</v>
      </c>
      <c r="T46" s="2" t="s">
        <v>40</v>
      </c>
    </row>
    <row r="47" spans="1:24" x14ac:dyDescent="0.25">
      <c r="A47" s="1"/>
      <c r="B47" s="2"/>
      <c r="C47" s="8"/>
      <c r="D47" s="2"/>
      <c r="E47" s="14"/>
      <c r="F47" s="14"/>
      <c r="G47" s="2"/>
      <c r="H47" s="2"/>
      <c r="I47" s="30"/>
      <c r="J47" s="32"/>
      <c r="L47" s="29"/>
      <c r="N47" s="29"/>
      <c r="O47" s="29"/>
      <c r="P47" s="3"/>
      <c r="Q47" s="25" t="s">
        <v>14</v>
      </c>
      <c r="R47" s="24" t="str">
        <f>IF((G44="B"),"Bass Boat",IF((G44="P"),"Pontoon",IF((G44="S"),"Ski Boat",IF((G44="J"),"John Boat",IF((G44="C"),"Canoe",IF((G44="R"),"Cabin Cruiser","ERROR!"))))))</f>
        <v>Ski Boat</v>
      </c>
      <c r="S47" s="26">
        <f>VALUE(P44)</f>
        <v>1</v>
      </c>
      <c r="T47" s="27">
        <f>SUM(W44)</f>
        <v>1360456.89</v>
      </c>
    </row>
    <row r="48" spans="1:24" x14ac:dyDescent="0.25">
      <c r="A48" s="1"/>
      <c r="B48" s="2"/>
      <c r="C48" s="8"/>
      <c r="D48" s="2"/>
      <c r="E48" s="14"/>
      <c r="F48" s="15"/>
      <c r="G48" s="2"/>
      <c r="H48" s="2"/>
      <c r="I48" s="30"/>
      <c r="J48" s="32"/>
      <c r="L48" s="29"/>
      <c r="N48" s="29"/>
      <c r="O48" s="29"/>
      <c r="P48" s="3"/>
    </row>
    <row r="49" spans="1:24" x14ac:dyDescent="0.25">
      <c r="A49" s="1"/>
      <c r="B49" s="2"/>
      <c r="C49" s="8"/>
      <c r="D49" s="2"/>
      <c r="E49" s="14"/>
      <c r="F49" s="14"/>
      <c r="G49" s="2"/>
      <c r="H49" s="2"/>
      <c r="I49" s="30"/>
      <c r="J49" s="32"/>
      <c r="K49" s="29"/>
      <c r="L49" s="29"/>
      <c r="M49" s="29"/>
      <c r="N49" s="29"/>
      <c r="O49" s="29"/>
      <c r="P49" s="3"/>
      <c r="Q49" s="1" t="s">
        <v>41</v>
      </c>
      <c r="R49" s="2" t="s">
        <v>42</v>
      </c>
      <c r="S49" s="2" t="s">
        <v>43</v>
      </c>
      <c r="T49" s="2"/>
      <c r="U49" s="2"/>
      <c r="V49" s="2"/>
      <c r="X49" s="1"/>
    </row>
    <row r="50" spans="1:24" x14ac:dyDescent="0.25">
      <c r="A50" s="1"/>
      <c r="B50" s="2"/>
      <c r="C50" s="2"/>
      <c r="D50" s="2"/>
      <c r="E50" s="14"/>
      <c r="F50" s="14"/>
      <c r="G50" s="2"/>
      <c r="H50" s="2"/>
      <c r="I50" s="29"/>
      <c r="J50" s="13"/>
      <c r="K50" s="29"/>
      <c r="L50" s="29"/>
      <c r="M50" s="29"/>
      <c r="N50" s="29"/>
      <c r="O50" s="29"/>
      <c r="P50" s="3"/>
      <c r="Q50" s="34" t="str">
        <f>IF((G39="B"),"Bass Boat",IF((G39="P"),"Pontoon",IF((G39="S"),"Ski Boat",IF((G39="J"),"John Boat",IF((G39="C"),"Canoe",IF((G39="R"),"Cabin Cruiser","ERROR!"))))))</f>
        <v>Ski Boat</v>
      </c>
      <c r="R50" s="36">
        <f xml:space="preserve"> SUM(S42,S47)</f>
        <v>3</v>
      </c>
      <c r="S50" s="35">
        <f>SUM(T42,T47)</f>
        <v>3053731.59</v>
      </c>
      <c r="T50" s="2"/>
      <c r="U50" s="2"/>
      <c r="V50" s="2"/>
      <c r="X50" s="1"/>
    </row>
    <row r="51" spans="1:24" x14ac:dyDescent="0.25">
      <c r="A51" s="1"/>
      <c r="B51" s="7"/>
      <c r="C51" s="8"/>
      <c r="D51" s="2"/>
      <c r="E51" s="15"/>
      <c r="F51" s="16"/>
      <c r="G51" s="7"/>
      <c r="H51" s="7"/>
      <c r="I51" s="30"/>
      <c r="J51" s="32"/>
      <c r="K51" s="29"/>
      <c r="L51" s="29"/>
      <c r="M51" s="29"/>
      <c r="N51" s="29"/>
      <c r="O51" s="29"/>
      <c r="P51" s="3"/>
      <c r="Q51" s="1"/>
      <c r="R51" s="2"/>
      <c r="S51" s="2"/>
      <c r="T51" s="2"/>
      <c r="U51" s="2"/>
      <c r="V51" s="2"/>
      <c r="W51" s="3"/>
    </row>
    <row r="52" spans="1:24" x14ac:dyDescent="0.25">
      <c r="A52" s="1" t="s">
        <v>96</v>
      </c>
      <c r="B52" s="2" t="s">
        <v>14</v>
      </c>
      <c r="C52" s="8" t="s">
        <v>97</v>
      </c>
      <c r="D52" s="2">
        <v>2018</v>
      </c>
      <c r="E52" s="14" t="s">
        <v>90</v>
      </c>
      <c r="F52" s="15" t="s">
        <v>98</v>
      </c>
      <c r="G52" s="2" t="s">
        <v>99</v>
      </c>
      <c r="H52" s="2">
        <v>1</v>
      </c>
      <c r="I52" s="9" t="s">
        <v>100</v>
      </c>
      <c r="J52" s="32">
        <f>0.06</f>
        <v>0.06</v>
      </c>
      <c r="K52">
        <f>IF((G52="B"),0.33,IF((G52="P"),0.25,IF((G52="S"),0.425,IF((G52="J"),0.33,IF((G52="C"),0.2,IF((G52="R"),0.3,"ERROR!"))))))</f>
        <v>0.33</v>
      </c>
      <c r="L52" s="29">
        <f>ROUND(C52*K52,2)</f>
        <v>297042.57</v>
      </c>
      <c r="M52" t="str">
        <f>IF((H52=1),"5,415.30",IF((H52=2),"3,980.00",IF((H52=3),"345.45","Error!")))</f>
        <v>5,415.30</v>
      </c>
      <c r="N52" s="29">
        <f>ROUND((C52+I52+L52)*J52,2)</f>
        <v>72371.570000000007</v>
      </c>
      <c r="O52" s="29">
        <f>SUM(C52+I52+L52+N52)</f>
        <v>1278564.47</v>
      </c>
      <c r="P52" s="3">
        <v>1</v>
      </c>
      <c r="Q52" s="20" t="str">
        <f>A52</f>
        <v>Snipes</v>
      </c>
      <c r="R52" s="21" t="str">
        <f>B52</f>
        <v>IA</v>
      </c>
      <c r="S52" s="22">
        <f>VALUE(C52)</f>
        <v>900129</v>
      </c>
      <c r="T52" s="21" t="str">
        <f>CONCATENATE(E52,"/",F52,"/",RIGHT(D52,2))</f>
        <v>12/13/18</v>
      </c>
      <c r="U52" s="21" t="str">
        <f>IF((H52=1),"Electronics",IF((H52=2),"Ski Package",IF((H52=3),"Fishing Package","Error!")))</f>
        <v>Electronics</v>
      </c>
      <c r="V52" s="22">
        <f>VALUE(I52)</f>
        <v>9021.33</v>
      </c>
      <c r="W52" s="23">
        <f>O52</f>
        <v>1278564.47</v>
      </c>
    </row>
    <row r="53" spans="1:24" x14ac:dyDescent="0.25">
      <c r="A53" s="1" t="s">
        <v>101</v>
      </c>
      <c r="B53" s="2" t="s">
        <v>14</v>
      </c>
      <c r="C53" s="8" t="s">
        <v>102</v>
      </c>
      <c r="D53" s="2">
        <v>2019</v>
      </c>
      <c r="E53" s="14" t="s">
        <v>103</v>
      </c>
      <c r="F53" s="15" t="s">
        <v>91</v>
      </c>
      <c r="G53" s="2" t="s">
        <v>99</v>
      </c>
      <c r="H53" s="2">
        <v>3</v>
      </c>
      <c r="I53" s="9" t="s">
        <v>104</v>
      </c>
      <c r="J53" s="32">
        <f>0.06</f>
        <v>0.06</v>
      </c>
      <c r="K53">
        <f>IF((G53="B"),0.33,IF((G53="P"),0.25,IF((G53="S"),0.425,IF((G53="J"),0.33,IF((G53="C"),0.2,IF((G53="R"),0.3,"ERROR!"))))))</f>
        <v>0.33</v>
      </c>
      <c r="L53" s="29">
        <f>ROUND(C53*K53,2)</f>
        <v>267048.95</v>
      </c>
      <c r="M53" t="str">
        <f>IF((H53=1),"5,415.30",IF((H53=2),"3,980.00",IF((H53=3),"345.45","Error!")))</f>
        <v>345.45</v>
      </c>
      <c r="N53" s="29">
        <f>ROUND((C53+I53+L53)*J53,2)</f>
        <v>65129.37</v>
      </c>
      <c r="O53" s="29">
        <f>SUM(C53+I53+L53+N53)</f>
        <v>1150618.8800000001</v>
      </c>
      <c r="P53" s="3">
        <f>P52 + 1</f>
        <v>2</v>
      </c>
      <c r="Q53" s="20" t="str">
        <f>A53</f>
        <v>Hoffman</v>
      </c>
      <c r="R53" s="21" t="str">
        <f>B53</f>
        <v>IA</v>
      </c>
      <c r="S53" s="22">
        <f>VALUE(C53)</f>
        <v>809239.23</v>
      </c>
      <c r="T53" s="21" t="str">
        <f>CONCATENATE(E53,"/",F53,"/",RIGHT(D53,2))</f>
        <v>10/31/19</v>
      </c>
      <c r="U53" s="21" t="str">
        <f>IF((H53=1),"Electronics",IF((H53=2),"Ski Package",IF((H53=3),"Fishing Package","Error!")))</f>
        <v>Fishing Package</v>
      </c>
      <c r="V53" s="22">
        <f>VALUE(I53)</f>
        <v>9201.33</v>
      </c>
      <c r="W53" s="23">
        <f>O53</f>
        <v>1150618.8800000001</v>
      </c>
    </row>
    <row r="54" spans="1:24" x14ac:dyDescent="0.25">
      <c r="A54" s="1"/>
      <c r="B54" s="2"/>
      <c r="C54" s="8"/>
      <c r="D54" s="2"/>
      <c r="E54" s="14"/>
      <c r="F54" s="14"/>
      <c r="G54" s="2"/>
      <c r="H54" s="2"/>
      <c r="I54" s="30"/>
      <c r="J54" s="32"/>
      <c r="K54" s="29"/>
      <c r="L54" s="29"/>
      <c r="M54" s="29"/>
      <c r="N54" s="29"/>
      <c r="O54" s="29"/>
      <c r="P54" s="3"/>
      <c r="Q54" s="1"/>
      <c r="R54" s="2"/>
      <c r="S54" s="17"/>
      <c r="T54" s="2"/>
      <c r="U54" s="2"/>
      <c r="V54" s="17"/>
      <c r="W54" s="18"/>
    </row>
    <row r="55" spans="1:24" x14ac:dyDescent="0.25">
      <c r="A55" s="1"/>
      <c r="B55" s="2"/>
      <c r="C55" s="8"/>
      <c r="D55" s="2"/>
      <c r="E55" s="14"/>
      <c r="F55" s="15"/>
      <c r="G55" s="2"/>
      <c r="H55" s="2"/>
      <c r="I55" s="30"/>
      <c r="J55" s="32"/>
      <c r="K55" s="29"/>
      <c r="L55" s="29"/>
      <c r="M55" s="29"/>
      <c r="N55" s="29"/>
      <c r="O55" s="29"/>
      <c r="P55" s="3"/>
      <c r="Q55" s="1" t="s">
        <v>37</v>
      </c>
      <c r="R55" s="2" t="s">
        <v>38</v>
      </c>
      <c r="S55" s="17" t="s">
        <v>39</v>
      </c>
      <c r="T55" s="2" t="s">
        <v>40</v>
      </c>
      <c r="U55" s="2"/>
      <c r="V55" s="17"/>
      <c r="W55" s="18"/>
    </row>
    <row r="56" spans="1:24" x14ac:dyDescent="0.25">
      <c r="A56" s="1"/>
      <c r="B56" s="2"/>
      <c r="C56" s="8"/>
      <c r="D56" s="2"/>
      <c r="E56" s="14"/>
      <c r="F56" s="15"/>
      <c r="G56" s="2"/>
      <c r="H56" s="2"/>
      <c r="I56" s="30"/>
      <c r="J56" s="32"/>
      <c r="K56" s="29"/>
      <c r="L56" s="29"/>
      <c r="M56" s="29"/>
      <c r="N56" s="29"/>
      <c r="O56" s="29"/>
      <c r="P56" s="3"/>
      <c r="Q56" s="25" t="s">
        <v>14</v>
      </c>
      <c r="R56" s="24" t="str">
        <f>IF((G52="B"),"Bass Boat",IF((G52="P"),"Pontoon",IF((G52="S"),"Ski Boat",IF((G52="J"),"John Boat",IF((G52="C"),"Canoe",IF((G52="R"),"Cabin Cruiser","ERROR!"))))))</f>
        <v>John Boat</v>
      </c>
      <c r="S56" s="26">
        <f>VALUE(P53)</f>
        <v>2</v>
      </c>
      <c r="T56" s="27">
        <f>SUM(W52:W53)</f>
        <v>2429183.35</v>
      </c>
      <c r="U56" s="2"/>
      <c r="V56" s="17"/>
      <c r="W56" s="18"/>
    </row>
    <row r="57" spans="1:24" x14ac:dyDescent="0.25">
      <c r="A57" s="1"/>
      <c r="B57" s="2"/>
      <c r="C57" s="8"/>
      <c r="D57" s="2"/>
      <c r="E57" s="14"/>
      <c r="F57" s="15"/>
      <c r="G57" s="2"/>
      <c r="H57" s="2"/>
      <c r="I57" s="30"/>
      <c r="J57" s="32"/>
      <c r="L57" s="29"/>
      <c r="M57" s="29"/>
      <c r="N57" s="29"/>
      <c r="O57" s="29"/>
      <c r="P57" s="3"/>
      <c r="Q57" s="1"/>
      <c r="R57" s="2"/>
      <c r="S57" s="17"/>
      <c r="T57" s="2"/>
      <c r="U57" s="2"/>
      <c r="V57" s="17"/>
      <c r="W57" s="18"/>
    </row>
    <row r="58" spans="1:24" x14ac:dyDescent="0.25">
      <c r="A58" s="1" t="s">
        <v>105</v>
      </c>
      <c r="B58" s="2" t="s">
        <v>21</v>
      </c>
      <c r="C58" s="8" t="s">
        <v>106</v>
      </c>
      <c r="D58" s="2">
        <v>2019</v>
      </c>
      <c r="E58" s="14" t="s">
        <v>103</v>
      </c>
      <c r="F58" s="15" t="s">
        <v>53</v>
      </c>
      <c r="G58" s="2" t="s">
        <v>99</v>
      </c>
      <c r="H58" s="2">
        <v>2</v>
      </c>
      <c r="I58" s="9" t="s">
        <v>107</v>
      </c>
      <c r="J58" s="32">
        <f>0.06</f>
        <v>0.06</v>
      </c>
      <c r="K58">
        <f>IF((G58="B"),0.33,IF((G58="P"),0.25,IF((G58="S"),0.425,IF((G58="J"),0.33,IF((G58="C"),0.2,IF((G58="R"),0.3,"ERROR!"))))))</f>
        <v>0.33</v>
      </c>
      <c r="L58" s="29">
        <f>ROUND(C58*K58,2)</f>
        <v>299974.06</v>
      </c>
      <c r="M58" t="str">
        <f>IF((H58=1),"5,415.30",IF((H58=2),"3,980.00",IF((H58=3),"345.45","Error!")))</f>
        <v>3,980.00</v>
      </c>
      <c r="N58" s="29">
        <f>ROUND((C58+I58+L58)*J58,2)</f>
        <v>72625.06</v>
      </c>
      <c r="O58" s="29">
        <f>SUM(C58+I58+L58+N58)</f>
        <v>1283042.6600000001</v>
      </c>
      <c r="P58" s="3">
        <f>1</f>
        <v>1</v>
      </c>
      <c r="Q58" s="20" t="str">
        <f t="shared" ref="Q58:Q59" si="1">A58</f>
        <v>Westendorf</v>
      </c>
      <c r="R58" s="21" t="str">
        <f t="shared" ref="R58:R59" si="2">B58</f>
        <v>MO</v>
      </c>
      <c r="S58" s="22">
        <f>VALUE(C58)</f>
        <v>909012.3</v>
      </c>
      <c r="T58" s="21" t="str">
        <f>CONCATENATE(E58,"/",F58,"/",RIGHT(D58,2))</f>
        <v>10/30/19</v>
      </c>
      <c r="U58" s="21" t="str">
        <f>IF((H58=1),"Electronics",IF((H58=2),"Ski Package",IF((H58=3),"Fishing Package","Error!")))</f>
        <v>Ski Package</v>
      </c>
      <c r="V58" s="22">
        <f>VALUE(I58)</f>
        <v>1431.24</v>
      </c>
      <c r="W58" s="23">
        <f>O58</f>
        <v>1283042.6600000001</v>
      </c>
    </row>
    <row r="59" spans="1:24" x14ac:dyDescent="0.25">
      <c r="A59" s="1" t="s">
        <v>108</v>
      </c>
      <c r="B59" s="7" t="s">
        <v>21</v>
      </c>
      <c r="C59" s="10" t="s">
        <v>109</v>
      </c>
      <c r="D59" s="7">
        <v>2017</v>
      </c>
      <c r="E59" s="14" t="s">
        <v>67</v>
      </c>
      <c r="F59" s="15" t="s">
        <v>67</v>
      </c>
      <c r="G59" s="7" t="s">
        <v>99</v>
      </c>
      <c r="H59" s="7">
        <v>3</v>
      </c>
      <c r="I59" s="9" t="s">
        <v>110</v>
      </c>
      <c r="J59" s="32">
        <f>0.06</f>
        <v>0.06</v>
      </c>
      <c r="K59">
        <f>IF((G59="B"),0.33,IF((G59="P"),0.25,IF((G59="S"),0.425,IF((G59="J"),0.33,IF((G59="C"),0.2,IF((G59="R"),0.3,"ERROR!"))))))</f>
        <v>0.33</v>
      </c>
      <c r="L59" s="29">
        <f>ROUND(C59*K59,2)</f>
        <v>324172.96999999997</v>
      </c>
      <c r="M59" t="str">
        <f>IF((H59=1),"5,415.30",IF((H59=2),"3,980.00",IF((H59=3),"345.45","Error!")))</f>
        <v>345.45</v>
      </c>
      <c r="N59" s="29">
        <f>ROUND((C59+I59+L59)*J59,2)</f>
        <v>84385.52</v>
      </c>
      <c r="O59" s="29">
        <f>SUM(C59+I59+L59+N59)</f>
        <v>1490810.8599999999</v>
      </c>
      <c r="P59" s="3">
        <f>P58 +1</f>
        <v>2</v>
      </c>
      <c r="Q59" s="20" t="str">
        <f t="shared" si="1"/>
        <v>Talahosy</v>
      </c>
      <c r="R59" s="21" t="str">
        <f t="shared" si="2"/>
        <v>MO</v>
      </c>
      <c r="S59" s="22">
        <f>VALUE(C59)</f>
        <v>982342.34</v>
      </c>
      <c r="T59" s="21" t="str">
        <f>CONCATENATE(E59,"/",F59,"/",RIGHT(D59,2))</f>
        <v>11/11/17</v>
      </c>
      <c r="U59" s="21" t="str">
        <f>IF((H59=1),"Electronics",IF((H59=2),"Ski Package",IF((H59=3),"Fishing Package","Error!")))</f>
        <v>Fishing Package</v>
      </c>
      <c r="V59" s="22">
        <f>VALUE(I59)</f>
        <v>99910.03</v>
      </c>
      <c r="W59" s="23">
        <f>O59</f>
        <v>1490810.8599999999</v>
      </c>
    </row>
    <row r="60" spans="1:24" x14ac:dyDescent="0.25">
      <c r="A60" s="1"/>
      <c r="B60" s="2"/>
      <c r="C60" s="8"/>
      <c r="D60" s="2"/>
      <c r="E60" s="14"/>
      <c r="F60" s="15"/>
      <c r="G60" s="2"/>
      <c r="H60" s="2"/>
      <c r="I60" s="30"/>
      <c r="J60" s="32"/>
      <c r="L60" s="29"/>
      <c r="M60" s="29"/>
      <c r="N60" s="29"/>
      <c r="O60" s="29"/>
      <c r="P60" s="3"/>
      <c r="Q60" s="1"/>
      <c r="R60" s="2"/>
      <c r="S60" s="17"/>
      <c r="T60" s="2"/>
      <c r="U60" s="2"/>
      <c r="V60" s="17"/>
      <c r="W60" s="18"/>
    </row>
    <row r="61" spans="1:24" x14ac:dyDescent="0.25">
      <c r="A61" s="1"/>
      <c r="B61" s="2"/>
      <c r="C61" s="8"/>
      <c r="D61" s="2"/>
      <c r="E61" s="14"/>
      <c r="F61" s="15"/>
      <c r="G61" s="2"/>
      <c r="H61" s="2"/>
      <c r="I61" s="30"/>
      <c r="J61" s="32"/>
      <c r="L61" s="29"/>
      <c r="M61" s="29"/>
      <c r="N61" s="29"/>
      <c r="O61" s="29"/>
      <c r="P61" s="3"/>
      <c r="Q61" s="1" t="s">
        <v>37</v>
      </c>
      <c r="R61" s="2" t="s">
        <v>38</v>
      </c>
      <c r="S61" s="17" t="s">
        <v>39</v>
      </c>
      <c r="T61" s="2" t="s">
        <v>40</v>
      </c>
      <c r="U61" s="2"/>
      <c r="V61" s="17"/>
      <c r="W61" s="18"/>
    </row>
    <row r="62" spans="1:24" x14ac:dyDescent="0.25">
      <c r="A62" s="1"/>
      <c r="B62" s="2"/>
      <c r="C62" s="8"/>
      <c r="D62" s="2"/>
      <c r="E62" s="14"/>
      <c r="F62" s="15"/>
      <c r="G62" s="2"/>
      <c r="H62" s="2"/>
      <c r="I62" s="30"/>
      <c r="J62" s="32"/>
      <c r="L62" s="29"/>
      <c r="M62" s="29"/>
      <c r="N62" s="29"/>
      <c r="O62" s="29"/>
      <c r="P62" s="3"/>
      <c r="Q62" s="25" t="s">
        <v>21</v>
      </c>
      <c r="R62" s="24" t="str">
        <f>IF((G59="B"),"Bass Boat",IF((G59="P"),"Pontoon",IF((G59="S"),"Ski Boat",IF((G59="J"),"John Boat",IF((#REF!="C"),"Canoe",IF((#REF!="R"),"Cabin Cruiser","ERROR!"))))))</f>
        <v>John Boat</v>
      </c>
      <c r="S62" s="26">
        <f>VALUE(P59)</f>
        <v>2</v>
      </c>
      <c r="T62" s="27">
        <f>SUM(W58:W59)</f>
        <v>2773853.52</v>
      </c>
      <c r="U62" s="2"/>
      <c r="V62" s="17"/>
      <c r="W62" s="18"/>
    </row>
    <row r="63" spans="1:24" x14ac:dyDescent="0.25">
      <c r="A63" s="1"/>
      <c r="B63" s="2"/>
      <c r="C63" s="8"/>
      <c r="D63" s="2"/>
      <c r="E63" s="14"/>
      <c r="F63" s="15"/>
      <c r="G63" s="2"/>
      <c r="H63" s="2"/>
      <c r="I63" s="30"/>
      <c r="J63" s="32"/>
      <c r="L63" s="29"/>
      <c r="M63" s="29"/>
      <c r="N63" s="29"/>
      <c r="O63" s="29"/>
      <c r="P63" s="3"/>
      <c r="Q63" s="1"/>
      <c r="R63" s="2"/>
      <c r="S63" s="17"/>
      <c r="T63" s="2"/>
      <c r="U63" s="2"/>
      <c r="V63" s="17"/>
      <c r="W63" s="18"/>
    </row>
    <row r="64" spans="1:24" x14ac:dyDescent="0.25">
      <c r="A64" s="1"/>
      <c r="B64" s="2"/>
      <c r="C64" s="8"/>
      <c r="D64" s="2"/>
      <c r="E64" s="14"/>
      <c r="F64" s="14"/>
      <c r="G64" s="2"/>
      <c r="H64" s="2"/>
      <c r="I64" s="30"/>
      <c r="J64" s="32"/>
      <c r="L64" s="29"/>
      <c r="M64" s="29"/>
      <c r="N64" s="29"/>
      <c r="O64" s="29"/>
      <c r="P64" s="3"/>
      <c r="Q64" s="1" t="s">
        <v>41</v>
      </c>
      <c r="R64" s="2" t="s">
        <v>42</v>
      </c>
      <c r="S64" s="2" t="s">
        <v>43</v>
      </c>
      <c r="T64" s="2"/>
      <c r="U64" s="2"/>
      <c r="V64" s="2"/>
      <c r="X64" s="1"/>
    </row>
    <row r="65" spans="1:24" x14ac:dyDescent="0.25">
      <c r="A65" s="1"/>
      <c r="B65" s="2"/>
      <c r="C65" s="2"/>
      <c r="D65" s="2"/>
      <c r="E65" s="14"/>
      <c r="F65" s="14"/>
      <c r="G65" s="2"/>
      <c r="H65" s="2"/>
      <c r="I65" s="29"/>
      <c r="J65" s="13"/>
      <c r="L65" s="29"/>
      <c r="M65" s="29"/>
      <c r="N65" s="29"/>
      <c r="O65" s="29"/>
      <c r="P65" s="3"/>
      <c r="Q65" s="34" t="str">
        <f>IF((G52="B"),"Bass Boat",IF((G52="P"),"Pontoon",IF((G52="S"),"Ski Boat",IF((G52="J"),"John Boat",IF((G52="C"),"Canoe",IF((G52="R"),"Cabin Cruiser","ERROR!"))))))</f>
        <v>John Boat</v>
      </c>
      <c r="R65" s="36">
        <f xml:space="preserve"> S56+S62</f>
        <v>4</v>
      </c>
      <c r="S65" s="35">
        <f>SUM(T56+T62)</f>
        <v>5203036.87</v>
      </c>
      <c r="T65" s="2"/>
      <c r="U65" s="2"/>
      <c r="V65" s="2"/>
      <c r="X65" s="1"/>
    </row>
    <row r="66" spans="1:24" x14ac:dyDescent="0.25">
      <c r="A66" s="1"/>
      <c r="B66" s="2"/>
      <c r="C66" s="2"/>
      <c r="D66" s="2"/>
      <c r="E66" s="14"/>
      <c r="F66" s="14"/>
      <c r="G66" s="2"/>
      <c r="H66" s="2"/>
      <c r="I66" s="29"/>
      <c r="J66" s="13"/>
      <c r="L66" s="29"/>
      <c r="M66" s="29"/>
      <c r="N66" s="29"/>
      <c r="O66" s="29"/>
      <c r="P66" s="3"/>
      <c r="Q66" s="1"/>
      <c r="R66" s="2"/>
      <c r="S66" s="2"/>
      <c r="T66" s="2"/>
      <c r="U66" s="2"/>
      <c r="V66" s="2"/>
      <c r="W66" s="3"/>
    </row>
    <row r="67" spans="1:24" x14ac:dyDescent="0.25">
      <c r="A67" s="1"/>
      <c r="B67" s="7"/>
      <c r="C67" s="8"/>
      <c r="D67" s="2"/>
      <c r="E67" s="15"/>
      <c r="F67" s="16"/>
      <c r="G67" s="7"/>
      <c r="H67" s="7"/>
      <c r="I67" s="30"/>
      <c r="J67" s="32"/>
      <c r="K67" s="29"/>
      <c r="L67" s="29"/>
      <c r="M67" s="29"/>
      <c r="N67" s="29"/>
      <c r="O67" s="29"/>
      <c r="P67" s="3"/>
      <c r="Q67" s="1"/>
      <c r="R67" s="2"/>
      <c r="S67" s="2"/>
      <c r="T67" s="2"/>
      <c r="U67" s="2"/>
      <c r="V67" s="2"/>
      <c r="W67" s="3"/>
    </row>
    <row r="68" spans="1:24" x14ac:dyDescent="0.25">
      <c r="A68" s="1" t="s">
        <v>111</v>
      </c>
      <c r="B68" s="2" t="s">
        <v>14</v>
      </c>
      <c r="C68" s="8" t="s">
        <v>112</v>
      </c>
      <c r="D68" s="2">
        <v>2018</v>
      </c>
      <c r="E68" s="14" t="s">
        <v>113</v>
      </c>
      <c r="F68" s="15" t="s">
        <v>114</v>
      </c>
      <c r="G68" s="2" t="s">
        <v>115</v>
      </c>
      <c r="H68" s="2">
        <v>1</v>
      </c>
      <c r="I68" s="9" t="s">
        <v>116</v>
      </c>
      <c r="J68" s="32">
        <f>0.06</f>
        <v>0.06</v>
      </c>
      <c r="K68">
        <f>IF((G68="B"),0.33,IF((G68="P"),0.25,IF((G68="S"),0.425,IF((G68="J"),0.33,IF((G68="C"),0.2,IF((G68="R"),0.3,"ERROR!"))))))</f>
        <v>0.2</v>
      </c>
      <c r="L68" s="29">
        <f>ROUND(C68*K68,2)</f>
        <v>180248.5</v>
      </c>
      <c r="M68" t="str">
        <f>IF((H68=1),"5,415.30",IF((H68=2),"3,980.00",IF((H68=3),"345.45","Error!")))</f>
        <v>5,415.30</v>
      </c>
      <c r="N68" s="29">
        <f>ROUND((C68+I68+L68)*J68,2)</f>
        <v>66678.320000000007</v>
      </c>
      <c r="O68" s="29">
        <f>SUM(C68+I68+L68+N68)</f>
        <v>1177983.6599999999</v>
      </c>
      <c r="P68" s="3">
        <v>1</v>
      </c>
      <c r="Q68" s="20" t="str">
        <f>A68</f>
        <v>Barnical</v>
      </c>
      <c r="R68" s="21" t="str">
        <f>B68</f>
        <v>IA</v>
      </c>
      <c r="S68" s="22">
        <f>VALUE(C68)</f>
        <v>901242.52</v>
      </c>
      <c r="T68" s="21" t="str">
        <f>CONCATENATE(E68,"/",F68,"/",RIGHT(D68,2))</f>
        <v>07/15/18</v>
      </c>
      <c r="U68" s="21" t="str">
        <f>IF((H68=1),"Electronics",IF((H68=2),"Ski Package",IF((H68=3),"Fishing Package","Error!")))</f>
        <v>Electronics</v>
      </c>
      <c r="V68" s="22">
        <f>VALUE(I68)</f>
        <v>29814.32</v>
      </c>
      <c r="W68" s="23">
        <f>O68</f>
        <v>1177983.6599999999</v>
      </c>
    </row>
    <row r="69" spans="1:24" x14ac:dyDescent="0.25">
      <c r="A69" s="1" t="s">
        <v>117</v>
      </c>
      <c r="B69" s="2" t="s">
        <v>14</v>
      </c>
      <c r="C69" s="8" t="s">
        <v>118</v>
      </c>
      <c r="D69" s="2">
        <v>2019</v>
      </c>
      <c r="E69" s="14" t="s">
        <v>90</v>
      </c>
      <c r="F69" s="15" t="s">
        <v>98</v>
      </c>
      <c r="G69" s="2" t="s">
        <v>115</v>
      </c>
      <c r="H69" s="2">
        <v>2</v>
      </c>
      <c r="I69" s="9" t="s">
        <v>119</v>
      </c>
      <c r="J69" s="32">
        <f>0.06</f>
        <v>0.06</v>
      </c>
      <c r="K69">
        <f>IF((G69="B"),0.33,IF((G69="P"),0.25,IF((G69="S"),0.425,IF((G69="J"),0.33,IF((G69="C"),0.2,IF((G69="R"),0.3,"ERROR!"))))))</f>
        <v>0.2</v>
      </c>
      <c r="L69" s="29">
        <f>ROUND(C69*K69,2)</f>
        <v>0.25</v>
      </c>
      <c r="M69" t="str">
        <f>IF((H69=1),"5,415.30",IF((H69=2),"3,980.00",IF((H69=3),"345.45","Error!")))</f>
        <v>3,980.00</v>
      </c>
      <c r="N69" s="29">
        <f>ROUND((C69+I69+L69)*J69,2)</f>
        <v>0.28000000000000003</v>
      </c>
      <c r="O69" s="29">
        <f>SUM(C69+I69+L69+N69)</f>
        <v>5.0000000000000009</v>
      </c>
      <c r="P69" s="3">
        <f>P68 + 1</f>
        <v>2</v>
      </c>
      <c r="Q69" s="20" t="str">
        <f>A69</f>
        <v>Boyou</v>
      </c>
      <c r="R69" s="21" t="str">
        <f>B69</f>
        <v>IA</v>
      </c>
      <c r="S69" s="22">
        <f>VALUE(C69)</f>
        <v>1.23</v>
      </c>
      <c r="T69" s="21" t="str">
        <f>CONCATENATE(E69,"/",F69,"/",RIGHT(D69,2))</f>
        <v>12/13/19</v>
      </c>
      <c r="U69" s="21" t="str">
        <f>IF((H69=1),"Electronics",IF((H69=2),"Ski Package",IF((H69=3),"Fishing Package","Error!")))</f>
        <v>Ski Package</v>
      </c>
      <c r="V69" s="22">
        <f>VALUE(I69)</f>
        <v>3.24</v>
      </c>
      <c r="W69" s="23">
        <f>O69</f>
        <v>5.0000000000000009</v>
      </c>
    </row>
    <row r="70" spans="1:24" x14ac:dyDescent="0.25">
      <c r="A70" s="1"/>
      <c r="B70" s="2"/>
      <c r="C70" s="8"/>
      <c r="D70" s="2"/>
      <c r="E70" s="14"/>
      <c r="F70" s="14"/>
      <c r="G70" s="2"/>
      <c r="H70" s="2"/>
      <c r="I70" s="30"/>
      <c r="J70" s="32"/>
      <c r="K70" s="29"/>
      <c r="L70" s="29"/>
      <c r="M70" s="29"/>
      <c r="N70" s="29"/>
      <c r="O70" s="29"/>
      <c r="P70" s="3"/>
      <c r="Q70" s="1"/>
      <c r="R70" s="2"/>
      <c r="S70" s="17"/>
      <c r="T70" s="2"/>
      <c r="U70" s="2"/>
      <c r="V70" s="17"/>
      <c r="W70" s="18"/>
    </row>
    <row r="71" spans="1:24" x14ac:dyDescent="0.25">
      <c r="A71" s="1"/>
      <c r="B71" s="2"/>
      <c r="C71" s="8"/>
      <c r="D71" s="2"/>
      <c r="E71" s="14"/>
      <c r="F71" s="15"/>
      <c r="G71" s="2"/>
      <c r="H71" s="2"/>
      <c r="I71" s="30"/>
      <c r="J71" s="32"/>
      <c r="K71" s="29"/>
      <c r="L71" s="29"/>
      <c r="M71" s="29"/>
      <c r="N71" s="29"/>
      <c r="O71" s="29"/>
      <c r="P71" s="3"/>
      <c r="Q71" s="1" t="s">
        <v>37</v>
      </c>
      <c r="R71" s="2" t="s">
        <v>38</v>
      </c>
      <c r="S71" s="17" t="s">
        <v>39</v>
      </c>
      <c r="T71" s="2" t="s">
        <v>40</v>
      </c>
      <c r="U71" s="2"/>
      <c r="V71" s="17"/>
      <c r="W71" s="18"/>
    </row>
    <row r="72" spans="1:24" x14ac:dyDescent="0.25">
      <c r="A72" s="1"/>
      <c r="B72" s="2"/>
      <c r="C72" s="8"/>
      <c r="D72" s="2"/>
      <c r="E72" s="14"/>
      <c r="F72" s="15"/>
      <c r="G72" s="2"/>
      <c r="H72" s="2"/>
      <c r="I72" s="30"/>
      <c r="J72" s="32"/>
      <c r="K72" s="29"/>
      <c r="L72" s="29"/>
      <c r="M72" s="29"/>
      <c r="N72" s="29"/>
      <c r="O72" s="29"/>
      <c r="P72" s="3"/>
      <c r="Q72" s="25" t="s">
        <v>14</v>
      </c>
      <c r="R72" s="24" t="str">
        <f>IF((G68="B"),"Bass Boat",IF((G68="P"),"Pontoon",IF((G68="S"),"Ski Boat",IF((G68="J"),"John Boat",IF((G68="C"),"Canoe",IF((G68="R"),"Cabin Cruiser","ERROR!"))))))</f>
        <v>Canoe</v>
      </c>
      <c r="S72" s="26">
        <f>VALUE(P69)</f>
        <v>2</v>
      </c>
      <c r="T72" s="27">
        <f>SUM(W68:W69)</f>
        <v>1177988.6599999999</v>
      </c>
      <c r="U72" s="2"/>
      <c r="V72" s="17"/>
      <c r="W72" s="18"/>
    </row>
    <row r="73" spans="1:24" x14ac:dyDescent="0.25">
      <c r="A73" s="1"/>
      <c r="B73" s="2"/>
      <c r="C73" s="8"/>
      <c r="D73" s="2"/>
      <c r="E73" s="14"/>
      <c r="F73" s="15"/>
      <c r="G73" s="2"/>
      <c r="H73" s="2"/>
      <c r="I73" s="30"/>
      <c r="J73" s="32"/>
      <c r="L73" s="29"/>
      <c r="M73" s="29"/>
      <c r="N73" s="29"/>
      <c r="O73" s="29"/>
      <c r="P73" s="3"/>
      <c r="Q73" s="1"/>
      <c r="R73" s="2"/>
      <c r="S73" s="17"/>
      <c r="T73" s="2"/>
      <c r="U73" s="2"/>
      <c r="V73" s="17"/>
      <c r="W73" s="18"/>
    </row>
    <row r="74" spans="1:24" x14ac:dyDescent="0.25">
      <c r="A74" s="1" t="s">
        <v>120</v>
      </c>
      <c r="B74" s="2" t="s">
        <v>121</v>
      </c>
      <c r="C74" s="8" t="s">
        <v>122</v>
      </c>
      <c r="D74" s="2">
        <v>2008</v>
      </c>
      <c r="E74" s="14" t="s">
        <v>94</v>
      </c>
      <c r="F74" s="15" t="s">
        <v>83</v>
      </c>
      <c r="G74" s="2" t="s">
        <v>115</v>
      </c>
      <c r="H74" s="2">
        <v>1</v>
      </c>
      <c r="I74" s="9" t="s">
        <v>123</v>
      </c>
      <c r="J74" s="32">
        <f>0.06</f>
        <v>0.06</v>
      </c>
      <c r="K74">
        <f>IF((G74="B"),0.33,IF((G74="P"),0.25,IF((G74="S"),0.425,IF((G74="J"),0.33,IF((G74="C"),0.2,IF((G74="R"),0.3,"ERROR!"))))))</f>
        <v>0.2</v>
      </c>
      <c r="L74" s="29">
        <f>ROUND(C74*K74,2)</f>
        <v>180024.66</v>
      </c>
      <c r="M74" t="str">
        <f>IF((H74=1),"5,415.30",IF((H74=2),"3,980.00",IF((H74=3),"345.45","Error!")))</f>
        <v>5,415.30</v>
      </c>
      <c r="N74" s="29">
        <f>ROUND((C74+I74+L74)*J74,2)</f>
        <v>65572.92</v>
      </c>
      <c r="O74" s="29">
        <f>SUM(C74+I74+L74+N74)</f>
        <v>1158454.98</v>
      </c>
      <c r="P74" s="3">
        <f>1</f>
        <v>1</v>
      </c>
      <c r="Q74" s="20" t="str">
        <f t="shared" ref="Q74:Q75" si="3">A74</f>
        <v>Mary Jane</v>
      </c>
      <c r="R74" s="21" t="str">
        <f t="shared" ref="R74:R75" si="4">B74</f>
        <v>CO</v>
      </c>
      <c r="S74" s="22">
        <f>VALUE(C74)</f>
        <v>900123.31</v>
      </c>
      <c r="T74" s="21" t="str">
        <f>CONCATENATE(E74,"/",F74,"/",RIGHT(D74,2))</f>
        <v>04/20/08</v>
      </c>
      <c r="U74" s="21" t="str">
        <f>IF((H74=1),"Electronics",IF((H74=2),"Ski Package",IF((H74=3),"Fishing Package","Error!")))</f>
        <v>Electronics</v>
      </c>
      <c r="V74" s="22">
        <f>VALUE(I74)</f>
        <v>12734.09</v>
      </c>
      <c r="W74" s="23">
        <f>O74</f>
        <v>1158454.98</v>
      </c>
    </row>
    <row r="75" spans="1:24" x14ac:dyDescent="0.25">
      <c r="A75" s="1" t="s">
        <v>124</v>
      </c>
      <c r="B75" s="7" t="s">
        <v>121</v>
      </c>
      <c r="C75" s="10" t="s">
        <v>125</v>
      </c>
      <c r="D75" s="7">
        <v>2019</v>
      </c>
      <c r="E75" s="14" t="s">
        <v>126</v>
      </c>
      <c r="F75" s="15" t="s">
        <v>127</v>
      </c>
      <c r="G75" s="7" t="s">
        <v>115</v>
      </c>
      <c r="H75" s="7">
        <v>2</v>
      </c>
      <c r="I75" s="9" t="s">
        <v>128</v>
      </c>
      <c r="J75" s="32">
        <f>0.06</f>
        <v>0.06</v>
      </c>
      <c r="K75">
        <f>IF((G75="B"),0.33,IF((G75="P"),0.25,IF((G75="S"),0.425,IF((G75="J"),0.33,IF((G75="C"),0.2,IF((G75="R"),0.3,"ERROR!"))))))</f>
        <v>0.2</v>
      </c>
      <c r="L75" s="29">
        <f>ROUND(C75*K75,2)</f>
        <v>8469.6200000000008</v>
      </c>
      <c r="M75" t="str">
        <f>IF((H75=1),"5,415.30",IF((H75=2),"3,980.00",IF((H75=3),"345.45","Error!")))</f>
        <v>3,980.00</v>
      </c>
      <c r="N75" s="29">
        <f>ROUND((C75+I75+L75)*J75,2)</f>
        <v>3590.34</v>
      </c>
      <c r="O75" s="29">
        <f>SUM(C75+I75+L75+N75)</f>
        <v>63429.39</v>
      </c>
      <c r="P75" s="3">
        <f>P74 +1</f>
        <v>2</v>
      </c>
      <c r="Q75" s="20" t="str">
        <f t="shared" si="3"/>
        <v>Biggins</v>
      </c>
      <c r="R75" s="21" t="str">
        <f t="shared" si="4"/>
        <v>CO</v>
      </c>
      <c r="S75" s="22">
        <f>VALUE(C75)</f>
        <v>42348.09</v>
      </c>
      <c r="T75" s="21" t="str">
        <f>CONCATENATE(E75,"/",F75,"/",RIGHT(D75,2))</f>
        <v>06/27/19</v>
      </c>
      <c r="U75" s="21" t="str">
        <f>IF((H75=1),"Electronics",IF((H75=2),"Ski Package",IF((H75=3),"Fishing Package","Error!")))</f>
        <v>Ski Package</v>
      </c>
      <c r="V75" s="22">
        <f>VALUE(I75)</f>
        <v>9021.34</v>
      </c>
      <c r="W75" s="23">
        <f>O75</f>
        <v>63429.39</v>
      </c>
    </row>
    <row r="76" spans="1:24" x14ac:dyDescent="0.25">
      <c r="A76" s="1"/>
      <c r="B76" s="2"/>
      <c r="C76" s="8"/>
      <c r="D76" s="2"/>
      <c r="E76" s="14"/>
      <c r="F76" s="15"/>
      <c r="G76" s="2"/>
      <c r="H76" s="2"/>
      <c r="I76" s="30"/>
      <c r="J76" s="32"/>
      <c r="L76" s="29"/>
      <c r="M76" s="29"/>
      <c r="N76" s="29"/>
      <c r="O76" s="29"/>
      <c r="P76" s="3"/>
      <c r="Q76" s="1"/>
      <c r="R76" s="2"/>
      <c r="S76" s="17"/>
      <c r="T76" s="2"/>
      <c r="U76" s="2"/>
      <c r="V76" s="17"/>
      <c r="W76" s="18"/>
    </row>
    <row r="77" spans="1:24" x14ac:dyDescent="0.25">
      <c r="A77" s="1"/>
      <c r="B77" s="2"/>
      <c r="C77" s="8"/>
      <c r="D77" s="2"/>
      <c r="E77" s="14"/>
      <c r="F77" s="15"/>
      <c r="G77" s="2"/>
      <c r="H77" s="2"/>
      <c r="I77" s="30"/>
      <c r="J77" s="32"/>
      <c r="L77" s="29"/>
      <c r="M77" s="29"/>
      <c r="N77" s="29"/>
      <c r="O77" s="29"/>
      <c r="P77" s="3"/>
      <c r="Q77" s="1" t="s">
        <v>37</v>
      </c>
      <c r="R77" s="2" t="s">
        <v>38</v>
      </c>
      <c r="S77" s="17" t="s">
        <v>39</v>
      </c>
      <c r="T77" s="2" t="s">
        <v>40</v>
      </c>
      <c r="U77" s="2"/>
      <c r="V77" s="17"/>
      <c r="W77" s="18"/>
    </row>
    <row r="78" spans="1:24" x14ac:dyDescent="0.25">
      <c r="A78" s="1"/>
      <c r="B78" s="2"/>
      <c r="C78" s="8"/>
      <c r="D78" s="2"/>
      <c r="E78" s="14"/>
      <c r="F78" s="15"/>
      <c r="G78" s="2"/>
      <c r="H78" s="2"/>
      <c r="I78" s="30"/>
      <c r="J78" s="32"/>
      <c r="L78" s="29"/>
      <c r="M78" s="29"/>
      <c r="N78" s="29"/>
      <c r="O78" s="29"/>
      <c r="P78" s="3"/>
      <c r="Q78" s="25" t="str">
        <f>R75</f>
        <v>CO</v>
      </c>
      <c r="R78" s="24" t="str">
        <f>IF((G75="B"),"Bass Boat",IF((G75="P"),"Pontoon",IF((G75="S"),"Ski Boat",IF((G75="J"),"John Boat",IF((G75="C"),"Canoe",IF((G75="R"),"Cabin Cruiser","ERROR!"))))))</f>
        <v>Canoe</v>
      </c>
      <c r="S78" s="26">
        <f>VALUE(P75)</f>
        <v>2</v>
      </c>
      <c r="T78" s="27">
        <f>SUM(W74:W75)</f>
        <v>1221884.3699999999</v>
      </c>
      <c r="U78" s="2"/>
      <c r="V78" s="17"/>
      <c r="W78" s="18"/>
    </row>
    <row r="79" spans="1:24" x14ac:dyDescent="0.25">
      <c r="A79" s="1"/>
      <c r="B79" s="2"/>
      <c r="C79" s="8"/>
      <c r="D79" s="2"/>
      <c r="E79" s="14"/>
      <c r="F79" s="15"/>
      <c r="G79" s="2"/>
      <c r="H79" s="2"/>
      <c r="I79" s="30"/>
      <c r="J79" s="32"/>
      <c r="L79" s="29"/>
      <c r="M79" s="29"/>
      <c r="N79" s="29"/>
      <c r="O79" s="29"/>
      <c r="P79" s="3"/>
      <c r="Q79" s="1"/>
      <c r="R79" s="2"/>
      <c r="S79" s="17"/>
      <c r="T79" s="2"/>
      <c r="U79" s="2"/>
      <c r="V79" s="17"/>
      <c r="W79" s="18"/>
    </row>
    <row r="80" spans="1:24" x14ac:dyDescent="0.25">
      <c r="A80" s="1"/>
      <c r="B80" s="2"/>
      <c r="C80" s="8"/>
      <c r="D80" s="2"/>
      <c r="E80" s="14"/>
      <c r="F80" s="14"/>
      <c r="G80" s="2"/>
      <c r="H80" s="2"/>
      <c r="I80" s="30"/>
      <c r="J80" s="32"/>
      <c r="L80" s="29"/>
      <c r="M80" s="29"/>
      <c r="N80" s="29"/>
      <c r="O80" s="29"/>
      <c r="P80" s="3"/>
      <c r="Q80" s="1" t="s">
        <v>41</v>
      </c>
      <c r="R80" s="2" t="s">
        <v>42</v>
      </c>
      <c r="S80" s="2" t="s">
        <v>43</v>
      </c>
      <c r="T80" s="2"/>
      <c r="U80" s="2"/>
      <c r="V80" s="2"/>
      <c r="X80" s="1"/>
    </row>
    <row r="81" spans="1:24" x14ac:dyDescent="0.25">
      <c r="A81" s="1"/>
      <c r="B81" s="2"/>
      <c r="C81" s="2"/>
      <c r="D81" s="2"/>
      <c r="E81" s="14"/>
      <c r="F81" s="14"/>
      <c r="G81" s="2"/>
      <c r="H81" s="2"/>
      <c r="I81" s="29"/>
      <c r="J81" s="13"/>
      <c r="L81" s="29"/>
      <c r="M81" s="29"/>
      <c r="N81" s="29"/>
      <c r="O81" s="29"/>
      <c r="P81" s="3"/>
      <c r="Q81" s="34" t="str">
        <f>IF((G68="B"),"Bass Boat",IF((G68="P"),"Pontoon",IF((G68="S"),"Ski Boat",IF((G68="J"),"John Boat",IF((G68="C"),"Canoe",IF((G68="R"),"Cabin Cruiser","ERROR!"))))))</f>
        <v>Canoe</v>
      </c>
      <c r="R81" s="36">
        <f xml:space="preserve"> S72+S78</f>
        <v>4</v>
      </c>
      <c r="S81" s="35">
        <f>SUM(T72+T78)</f>
        <v>2399873.0299999998</v>
      </c>
      <c r="T81" s="2"/>
      <c r="U81" s="2"/>
      <c r="V81" s="2"/>
      <c r="X81" s="1"/>
    </row>
    <row r="82" spans="1:24" x14ac:dyDescent="0.25">
      <c r="A82" s="1"/>
      <c r="B82" s="2"/>
      <c r="C82" s="8"/>
      <c r="D82" s="2"/>
      <c r="E82" s="14"/>
      <c r="F82" s="14"/>
      <c r="G82" s="2"/>
      <c r="H82" s="2"/>
      <c r="I82" s="30"/>
      <c r="J82" s="32"/>
      <c r="L82" s="29"/>
      <c r="N82" s="29"/>
      <c r="O82" s="29"/>
      <c r="P82" s="3"/>
    </row>
    <row r="83" spans="1:24" x14ac:dyDescent="0.25">
      <c r="A83" s="1" t="s">
        <v>129</v>
      </c>
      <c r="B83" s="2" t="s">
        <v>130</v>
      </c>
      <c r="C83" s="8" t="s">
        <v>34</v>
      </c>
      <c r="D83" s="2">
        <v>1720</v>
      </c>
      <c r="E83" s="14" t="s">
        <v>126</v>
      </c>
      <c r="F83" s="15" t="s">
        <v>127</v>
      </c>
      <c r="G83" s="2" t="s">
        <v>131</v>
      </c>
      <c r="H83" s="2">
        <v>3</v>
      </c>
      <c r="I83" s="9" t="s">
        <v>35</v>
      </c>
      <c r="J83" s="32">
        <f>0.06</f>
        <v>0.06</v>
      </c>
      <c r="K83">
        <f>IF((G83="B"),0.33,IF((G83="P"),0.25,IF((G83="S"),0.425,IF((G83="J"),0.33,IF((G83="C"),0.2,IF((G83="R"),0.3,"ERROR!"))))))</f>
        <v>0.3</v>
      </c>
      <c r="L83" s="29">
        <f>ROUND(C83*K83,2)</f>
        <v>0</v>
      </c>
      <c r="M83" t="str">
        <f>IF((H83=1),"5,415.30",IF((H83=2),"3,980.00",IF((H83=3),"345.45","Error!")))</f>
        <v>345.45</v>
      </c>
      <c r="N83" s="29">
        <f>ROUND((C83+I83+L83)*J83,2)</f>
        <v>0</v>
      </c>
      <c r="O83" s="29">
        <f>SUM(C83+I83+L83+N83)</f>
        <v>0</v>
      </c>
      <c r="P83" s="3">
        <v>1</v>
      </c>
      <c r="Q83" s="20" t="str">
        <f>A83</f>
        <v>Captain Jack</v>
      </c>
      <c r="R83" s="21" t="str">
        <f>B83</f>
        <v>FL</v>
      </c>
      <c r="S83" s="22">
        <f>VALUE(C83)</f>
        <v>0</v>
      </c>
      <c r="T83" s="21" t="str">
        <f>CONCATENATE(E83,"/",F83,"/",RIGHT(D83,2))</f>
        <v>06/27/20</v>
      </c>
      <c r="U83" s="21" t="str">
        <f>IF((H83=1),"Electronics",IF((H83=2),"Ski Package",IF((H83=3),"Fishing Package","Error!")))</f>
        <v>Fishing Package</v>
      </c>
      <c r="V83" s="22">
        <f>VALUE(I83)</f>
        <v>0</v>
      </c>
      <c r="W83" s="23">
        <f>O83</f>
        <v>0</v>
      </c>
    </row>
    <row r="84" spans="1:24" x14ac:dyDescent="0.25">
      <c r="A84" s="1"/>
      <c r="B84" s="2"/>
      <c r="C84" s="8"/>
      <c r="D84" s="2"/>
      <c r="E84" s="14"/>
      <c r="F84" s="14"/>
      <c r="G84" s="2"/>
      <c r="H84" s="2"/>
      <c r="I84" s="30"/>
      <c r="J84" s="32"/>
      <c r="L84" s="29"/>
      <c r="N84" s="29"/>
      <c r="O84" s="29"/>
      <c r="P84" s="3"/>
    </row>
    <row r="85" spans="1:24" x14ac:dyDescent="0.25">
      <c r="A85" s="1"/>
      <c r="B85" s="2"/>
      <c r="C85" s="8"/>
      <c r="D85" s="2"/>
      <c r="E85" s="14"/>
      <c r="F85" s="14"/>
      <c r="G85" s="2"/>
      <c r="H85" s="2"/>
      <c r="I85" s="30"/>
      <c r="J85" s="32"/>
      <c r="L85" s="29"/>
      <c r="N85" s="29"/>
      <c r="O85" s="29"/>
      <c r="P85" s="3"/>
      <c r="Q85" s="1" t="s">
        <v>37</v>
      </c>
      <c r="R85" s="2" t="s">
        <v>38</v>
      </c>
      <c r="S85" s="17" t="s">
        <v>39</v>
      </c>
      <c r="T85" s="2" t="s">
        <v>40</v>
      </c>
    </row>
    <row r="86" spans="1:24" x14ac:dyDescent="0.25">
      <c r="A86" s="1"/>
      <c r="B86" s="2"/>
      <c r="C86" s="8"/>
      <c r="D86" s="2"/>
      <c r="E86" s="14"/>
      <c r="F86" s="14"/>
      <c r="G86" s="2"/>
      <c r="H86" s="2"/>
      <c r="I86" s="30"/>
      <c r="J86" s="32"/>
      <c r="L86" s="29"/>
      <c r="N86" s="29"/>
      <c r="O86" s="29"/>
      <c r="P86" s="3"/>
      <c r="Q86" s="25" t="str">
        <f>R83</f>
        <v>FL</v>
      </c>
      <c r="R86" s="24" t="str">
        <f>IF((G83="B"),"Bass Boat",IF((G83="P"),"Pontoon",IF((G83="S"),"Ski Boat",IF((G83="J"),"John Boat",IF((G83="C"),"Canoe",IF((G83="R"),"Cabin Cruiser","ERROR!"))))))</f>
        <v>Cabin Cruiser</v>
      </c>
      <c r="S86" s="26">
        <f>VALUE(P83)</f>
        <v>1</v>
      </c>
      <c r="T86" s="27">
        <f>SUM(W83)</f>
        <v>0</v>
      </c>
    </row>
    <row r="87" spans="1:24" x14ac:dyDescent="0.25">
      <c r="A87" s="1"/>
      <c r="B87" s="2"/>
      <c r="C87" s="8"/>
      <c r="D87" s="2"/>
      <c r="E87" s="14"/>
      <c r="F87" s="15"/>
      <c r="G87" s="2"/>
      <c r="H87" s="2"/>
      <c r="I87" s="30"/>
      <c r="J87" s="32"/>
      <c r="L87" s="29"/>
      <c r="N87" s="29"/>
      <c r="O87" s="29"/>
      <c r="P87" s="3"/>
    </row>
    <row r="88" spans="1:24" x14ac:dyDescent="0.25">
      <c r="A88" s="1" t="s">
        <v>132</v>
      </c>
      <c r="B88" s="2" t="s">
        <v>133</v>
      </c>
      <c r="C88" s="8" t="s">
        <v>134</v>
      </c>
      <c r="D88" s="2">
        <v>2003</v>
      </c>
      <c r="E88" s="14" t="s">
        <v>135</v>
      </c>
      <c r="F88" s="15" t="s">
        <v>136</v>
      </c>
      <c r="G88" s="2" t="s">
        <v>131</v>
      </c>
      <c r="H88" s="2">
        <v>1</v>
      </c>
      <c r="I88" s="9" t="s">
        <v>137</v>
      </c>
      <c r="J88" s="32">
        <f>0.06</f>
        <v>0.06</v>
      </c>
      <c r="K88">
        <f>IF((G88="B"),0.33,IF((G88="P"),0.25,IF((G88="S"),0.425,IF((G88="J"),0.33,IF((G88="C"),0.2,IF((G88="R"),0.3,"ERROR!"))))))</f>
        <v>0.3</v>
      </c>
      <c r="L88" s="29">
        <f>ROUND(C88*K88,2)</f>
        <v>272732.76</v>
      </c>
      <c r="M88" t="str">
        <f>IF((H88=1),"5,415.30",IF((H88=2),"3,980.00",IF((H88=3),"345.45","Error!")))</f>
        <v>5,415.30</v>
      </c>
      <c r="N88" s="29">
        <f>ROUND((C88+I88+L88)*J88,2)</f>
        <v>72200.45</v>
      </c>
      <c r="O88" s="29">
        <f>SUM(C88+I88+L88+N88)</f>
        <v>1275541.24</v>
      </c>
      <c r="P88" s="3">
        <f>1</f>
        <v>1</v>
      </c>
      <c r="Q88" s="20" t="str">
        <f t="shared" ref="Q88:Q89" si="5">A88</f>
        <v>Moriarti</v>
      </c>
      <c r="R88" s="21" t="str">
        <f t="shared" ref="R88:R89" si="6">B88</f>
        <v>ME</v>
      </c>
      <c r="S88" s="22">
        <f>VALUE(C88)</f>
        <v>909109.21</v>
      </c>
      <c r="T88" s="21" t="str">
        <f>CONCATENATE(E88,"/",F88,"/",RIGHT(D88,2))</f>
        <v>03/28/03</v>
      </c>
      <c r="U88" s="21" t="str">
        <f>IF((H88=1),"Electronics",IF((H88=2),"Ski Package",IF((H88=3),"Fishing Package","Error!")))</f>
        <v>Electronics</v>
      </c>
      <c r="V88" s="22">
        <f>VALUE(I88)</f>
        <v>21498.82</v>
      </c>
      <c r="W88" s="23">
        <f>O88</f>
        <v>1275541.24</v>
      </c>
    </row>
    <row r="89" spans="1:24" x14ac:dyDescent="0.25">
      <c r="A89" s="1" t="s">
        <v>138</v>
      </c>
      <c r="B89" s="2" t="s">
        <v>133</v>
      </c>
      <c r="C89" s="8" t="s">
        <v>139</v>
      </c>
      <c r="D89" s="2">
        <v>2012</v>
      </c>
      <c r="E89" s="14" t="s">
        <v>90</v>
      </c>
      <c r="F89" s="15" t="s">
        <v>82</v>
      </c>
      <c r="G89" s="2" t="s">
        <v>131</v>
      </c>
      <c r="H89" s="2">
        <v>2</v>
      </c>
      <c r="I89" s="9" t="s">
        <v>140</v>
      </c>
      <c r="J89" s="32">
        <f>0.06</f>
        <v>0.06</v>
      </c>
      <c r="K89">
        <f>IF((G89="B"),0.33,IF((G89="P"),0.25,IF((G89="S"),0.425,IF((G89="J"),0.33,IF((G89="C"),0.2,IF((G89="R"),0.3,"ERROR!"))))))</f>
        <v>0.3</v>
      </c>
      <c r="L89" s="29">
        <f>ROUND(C89*K89,2)</f>
        <v>29673.7</v>
      </c>
      <c r="M89" t="str">
        <f>IF((H89=1),"5,415.30",IF((H89=2),"3,980.00",IF((H89=3),"345.45","Error!")))</f>
        <v>3,980.00</v>
      </c>
      <c r="N89" s="29">
        <f>ROUND((C89+I89+L89)*J89,2)</f>
        <v>8268.02</v>
      </c>
      <c r="O89" s="29">
        <f>SUM(C89+I89+L89+N89)</f>
        <v>146068.26999999999</v>
      </c>
      <c r="P89" s="3">
        <f>P88 +1</f>
        <v>2</v>
      </c>
      <c r="Q89" s="20" t="str">
        <f t="shared" si="5"/>
        <v>Homes</v>
      </c>
      <c r="R89" s="21" t="str">
        <f t="shared" si="6"/>
        <v>ME</v>
      </c>
      <c r="S89" s="22">
        <f>VALUE(C89)</f>
        <v>98912.320000000007</v>
      </c>
      <c r="T89" s="21" t="str">
        <f>CONCATENATE(E89,"/",F89,"/",RIGHT(D89,2))</f>
        <v>12/05/12</v>
      </c>
      <c r="U89" s="21" t="str">
        <f>IF((H89=1),"Electronics",IF((H89=2),"Ski Package",IF((H89=3),"Fishing Package","Error!")))</f>
        <v>Ski Package</v>
      </c>
      <c r="V89" s="22">
        <f>VALUE(I89)</f>
        <v>9214.23</v>
      </c>
      <c r="W89" s="23">
        <f>O89</f>
        <v>146068.26999999999</v>
      </c>
    </row>
    <row r="90" spans="1:24" x14ac:dyDescent="0.25">
      <c r="A90" s="1" t="s">
        <v>141</v>
      </c>
      <c r="B90" s="7" t="s">
        <v>133</v>
      </c>
      <c r="C90" s="10" t="s">
        <v>142</v>
      </c>
      <c r="D90" s="7">
        <v>2015</v>
      </c>
      <c r="E90" s="14" t="s">
        <v>57</v>
      </c>
      <c r="F90" s="15" t="s">
        <v>57</v>
      </c>
      <c r="G90" s="7" t="s">
        <v>131</v>
      </c>
      <c r="H90" s="7">
        <v>1</v>
      </c>
      <c r="I90" s="9" t="s">
        <v>143</v>
      </c>
      <c r="J90" s="32">
        <f>0.06</f>
        <v>0.06</v>
      </c>
      <c r="K90">
        <f>IF((G90="B"),0.33,IF((G90="P"),0.25,IF((G90="S"),0.425,IF((G90="J"),0.33,IF((G90="C"),0.2,IF((G90="R"),0.3,"ERROR!"))))))</f>
        <v>0.3</v>
      </c>
      <c r="L90" s="29">
        <f>ROUND(C90*K90,2)</f>
        <v>299764.03000000003</v>
      </c>
      <c r="M90" t="str">
        <f>IF((H90=1),"5,415.30",IF((H90=2),"3,980.00",IF((H90=3),"345.45","Error!")))</f>
        <v>5,415.30</v>
      </c>
      <c r="N90" s="29">
        <f>ROUND((C90+I90+L90)*J90,2)</f>
        <v>78114.7</v>
      </c>
      <c r="O90" s="29">
        <f>SUM(C90+I90+L90+N90)</f>
        <v>1380026.3800000001</v>
      </c>
      <c r="P90" s="3">
        <f>P89 +1</f>
        <v>3</v>
      </c>
      <c r="Q90" s="20" t="str">
        <f t="shared" ref="Q90" si="7">A90</f>
        <v>Jackson</v>
      </c>
      <c r="R90" s="21" t="str">
        <f t="shared" ref="R90" si="8">B90</f>
        <v>ME</v>
      </c>
      <c r="S90" s="22">
        <f>VALUE(C90)</f>
        <v>999213.42</v>
      </c>
      <c r="T90" s="21" t="str">
        <f>CONCATENATE(E90,"/",F90,"/",RIGHT(D90,2))</f>
        <v>09/09/15</v>
      </c>
      <c r="U90" s="21" t="str">
        <f>IF((H90=1),"Electronics",IF((H90=2),"Ski Package",IF((H90=3),"Fishing Package","Error!")))</f>
        <v>Electronics</v>
      </c>
      <c r="V90" s="22">
        <f>VALUE(I90)</f>
        <v>2934.23</v>
      </c>
      <c r="W90" s="23">
        <f>O90</f>
        <v>1380026.3800000001</v>
      </c>
    </row>
    <row r="91" spans="1:24" x14ac:dyDescent="0.25">
      <c r="A91" s="1"/>
      <c r="B91" s="2"/>
      <c r="C91" s="8"/>
      <c r="D91" s="2"/>
      <c r="E91" s="14"/>
      <c r="F91" s="15"/>
      <c r="G91" s="2"/>
      <c r="H91" s="2"/>
      <c r="I91" s="30"/>
      <c r="J91" s="32"/>
      <c r="L91" s="29"/>
      <c r="M91" s="29"/>
      <c r="N91" s="29"/>
      <c r="O91" s="29"/>
      <c r="P91" s="3"/>
      <c r="Q91" s="1"/>
      <c r="R91" s="2"/>
      <c r="S91" s="17"/>
      <c r="T91" s="2"/>
      <c r="U91" s="2"/>
      <c r="V91" s="17"/>
      <c r="W91" s="18"/>
    </row>
    <row r="92" spans="1:24" x14ac:dyDescent="0.25">
      <c r="A92" s="1"/>
      <c r="B92" s="2"/>
      <c r="C92" s="8"/>
      <c r="D92" s="2"/>
      <c r="E92" s="14"/>
      <c r="F92" s="15"/>
      <c r="G92" s="2"/>
      <c r="H92" s="2"/>
      <c r="I92" s="30"/>
      <c r="J92" s="32"/>
      <c r="L92" s="29"/>
      <c r="M92" s="29"/>
      <c r="N92" s="29"/>
      <c r="O92" s="29"/>
      <c r="P92" s="3"/>
      <c r="Q92" s="1" t="s">
        <v>37</v>
      </c>
      <c r="R92" s="2" t="s">
        <v>38</v>
      </c>
      <c r="S92" s="17" t="s">
        <v>39</v>
      </c>
      <c r="T92" s="2" t="s">
        <v>40</v>
      </c>
      <c r="U92" s="2"/>
      <c r="V92" s="17"/>
      <c r="W92" s="18"/>
    </row>
    <row r="93" spans="1:24" x14ac:dyDescent="0.25">
      <c r="A93" s="1"/>
      <c r="B93" s="2"/>
      <c r="C93" s="8"/>
      <c r="D93" s="2"/>
      <c r="E93" s="14"/>
      <c r="F93" s="15"/>
      <c r="G93" s="2"/>
      <c r="H93" s="2"/>
      <c r="I93" s="30"/>
      <c r="J93" s="32"/>
      <c r="L93" s="29"/>
      <c r="M93" s="29"/>
      <c r="N93" s="29"/>
      <c r="O93" s="29"/>
      <c r="P93" s="3"/>
      <c r="Q93" s="25" t="str">
        <f>R89</f>
        <v>ME</v>
      </c>
      <c r="R93" s="24" t="str">
        <f>IF((G89="B"),"Bass Boat",IF((G89="P"),"Pontoon",IF((G89="S"),"Ski Boat",IF((G89="J"),"John Boat",IF((G89="C"),"Canoe",IF((G89="R"),"Cabin Cruiser","ERROR!"))))))</f>
        <v>Cabin Cruiser</v>
      </c>
      <c r="S93" s="26">
        <f>VALUE(P90)</f>
        <v>3</v>
      </c>
      <c r="T93" s="27">
        <f>SUM(W88:W90)</f>
        <v>2801635.89</v>
      </c>
      <c r="U93" s="2"/>
      <c r="V93" s="17"/>
      <c r="W93" s="18"/>
    </row>
    <row r="94" spans="1:24" x14ac:dyDescent="0.25">
      <c r="A94" s="1"/>
      <c r="B94" s="2"/>
      <c r="C94" s="8"/>
      <c r="D94" s="2"/>
      <c r="E94" s="14"/>
      <c r="F94" s="15"/>
      <c r="G94" s="2"/>
      <c r="H94" s="2"/>
      <c r="I94" s="30"/>
      <c r="J94" s="32"/>
      <c r="L94" s="29"/>
      <c r="M94" s="29"/>
      <c r="N94" s="29"/>
      <c r="O94" s="29"/>
      <c r="P94" s="3"/>
      <c r="Q94" s="1"/>
      <c r="R94" s="2"/>
      <c r="S94" s="17"/>
      <c r="T94" s="2"/>
      <c r="U94" s="2"/>
      <c r="V94" s="17"/>
      <c r="W94" s="18"/>
    </row>
    <row r="95" spans="1:24" x14ac:dyDescent="0.25">
      <c r="A95" s="1"/>
      <c r="B95" s="2"/>
      <c r="C95" s="8"/>
      <c r="D95" s="2"/>
      <c r="E95" s="14"/>
      <c r="F95" s="14"/>
      <c r="G95" s="2"/>
      <c r="H95" s="2"/>
      <c r="I95" s="30"/>
      <c r="J95" s="32"/>
      <c r="L95" s="29"/>
      <c r="M95" s="29"/>
      <c r="N95" s="29"/>
      <c r="O95" s="29"/>
      <c r="P95" s="3"/>
      <c r="Q95" s="1" t="s">
        <v>41</v>
      </c>
      <c r="R95" s="2" t="s">
        <v>42</v>
      </c>
      <c r="S95" s="2" t="s">
        <v>43</v>
      </c>
      <c r="T95" s="2"/>
      <c r="U95" s="2"/>
      <c r="V95" s="2"/>
      <c r="X95" s="1"/>
    </row>
    <row r="96" spans="1:24" x14ac:dyDescent="0.25">
      <c r="A96" s="1"/>
      <c r="B96" s="2"/>
      <c r="C96" s="2"/>
      <c r="D96" s="2"/>
      <c r="E96" s="14"/>
      <c r="F96" s="14"/>
      <c r="G96" s="2"/>
      <c r="H96" s="2"/>
      <c r="I96" s="29"/>
      <c r="J96" s="13"/>
      <c r="L96" s="29"/>
      <c r="M96" s="29"/>
      <c r="N96" s="29"/>
      <c r="O96" s="29"/>
      <c r="P96" s="3"/>
      <c r="Q96" s="34" t="str">
        <f>IF((G83="B"),"Bass Boat",IF((G83="P"),"Pontoon",IF((G83="S"),"Ski Boat",IF((G83="J"),"John Boat",IF((G83="C"),"Canoe",IF((G83="R"),"Cabin Cruiser","ERROR!"))))))</f>
        <v>Cabin Cruiser</v>
      </c>
      <c r="R96" s="36">
        <f xml:space="preserve"> S86+S93</f>
        <v>4</v>
      </c>
      <c r="S96" s="35">
        <f>SUM(T86+T93)</f>
        <v>2801635.89</v>
      </c>
      <c r="T96" s="2"/>
      <c r="U96" s="2"/>
      <c r="V96" s="2"/>
      <c r="X96" s="1"/>
    </row>
    <row r="97" spans="1:23" x14ac:dyDescent="0.25">
      <c r="A97" s="1"/>
      <c r="B97" s="7"/>
      <c r="C97" s="8"/>
      <c r="D97" s="2"/>
      <c r="E97" s="15"/>
      <c r="F97" s="16"/>
      <c r="G97" s="7"/>
      <c r="H97" s="7"/>
      <c r="I97" s="30"/>
      <c r="J97" s="32"/>
      <c r="K97" s="29"/>
      <c r="L97" s="29"/>
      <c r="M97" s="29"/>
      <c r="N97" s="29"/>
      <c r="O97" s="29"/>
      <c r="P97" s="3"/>
      <c r="Q97" s="1"/>
      <c r="R97" s="2"/>
      <c r="S97" s="2"/>
      <c r="T97" s="2"/>
      <c r="U97" s="2"/>
      <c r="V97" s="2"/>
      <c r="W97" s="3"/>
    </row>
    <row r="98" spans="1:23" x14ac:dyDescent="0.25">
      <c r="A98" s="1"/>
      <c r="B98" s="2"/>
      <c r="C98" s="8"/>
      <c r="D98" s="2"/>
      <c r="E98" s="14"/>
      <c r="F98" s="15"/>
      <c r="G98" s="2"/>
      <c r="H98" s="2"/>
      <c r="I98" s="30"/>
      <c r="J98" s="32"/>
      <c r="K98" s="29"/>
      <c r="L98" s="29"/>
      <c r="M98" s="29"/>
      <c r="N98" s="29"/>
      <c r="O98" s="29"/>
      <c r="P98" s="3"/>
      <c r="U98" s="2"/>
      <c r="V98" s="17"/>
      <c r="W98" s="18"/>
    </row>
    <row r="99" spans="1:23" x14ac:dyDescent="0.25">
      <c r="A99" s="1"/>
      <c r="B99" s="2"/>
      <c r="C99" s="8"/>
      <c r="D99" s="2"/>
      <c r="E99" s="14"/>
      <c r="F99" s="14"/>
      <c r="G99" s="2"/>
      <c r="H99" s="2"/>
      <c r="I99" s="30"/>
      <c r="J99" s="32"/>
      <c r="K99" s="29"/>
      <c r="L99" s="29"/>
      <c r="M99" s="29"/>
      <c r="N99" s="29"/>
      <c r="O99" s="29"/>
      <c r="P99" s="3"/>
      <c r="Q99" s="2" t="s">
        <v>44</v>
      </c>
      <c r="R99" s="3" t="s">
        <v>45</v>
      </c>
      <c r="T99" s="2"/>
      <c r="U99" s="2"/>
      <c r="V99" s="2"/>
      <c r="W99" s="3"/>
    </row>
    <row r="100" spans="1:23" x14ac:dyDescent="0.25">
      <c r="A100" s="1"/>
      <c r="B100" s="2"/>
      <c r="C100" s="2"/>
      <c r="D100" s="2"/>
      <c r="E100" s="14"/>
      <c r="F100" s="14"/>
      <c r="G100" s="2"/>
      <c r="H100" s="2"/>
      <c r="I100" s="29"/>
      <c r="J100" s="13"/>
      <c r="K100" s="29"/>
      <c r="L100" s="29"/>
      <c r="M100" s="29"/>
      <c r="N100" s="29"/>
      <c r="O100" s="29"/>
      <c r="P100" s="3"/>
      <c r="Q100" s="39">
        <f>SUM(R96,R81,R65,R50,R36,R16)</f>
        <v>23</v>
      </c>
      <c r="R100" s="28">
        <f>SUM(S16,S36,S50,S65,S81,S96)</f>
        <v>16942454.649999999</v>
      </c>
      <c r="T100" s="2"/>
      <c r="U100" s="2"/>
      <c r="V100" s="2"/>
      <c r="W100" s="19"/>
    </row>
    <row r="101" spans="1:23" x14ac:dyDescent="0.25">
      <c r="A101" s="1"/>
      <c r="B101" s="2"/>
      <c r="C101" s="2"/>
      <c r="D101" s="2"/>
      <c r="E101" s="14"/>
      <c r="F101" s="14"/>
      <c r="G101" s="2"/>
      <c r="H101" s="2"/>
      <c r="I101" s="29"/>
      <c r="J101" s="13"/>
      <c r="K101" s="29"/>
      <c r="L101" s="29"/>
      <c r="M101" s="29"/>
      <c r="N101" s="29"/>
      <c r="O101" s="29"/>
      <c r="P101" s="3"/>
      <c r="Q101" s="2"/>
      <c r="R101" s="2"/>
      <c r="T101" s="2"/>
      <c r="U101" s="2"/>
      <c r="V101" s="2"/>
      <c r="W101" s="19"/>
    </row>
    <row r="102" spans="1:23" x14ac:dyDescent="0.25">
      <c r="A102" s="1"/>
      <c r="B102" s="2"/>
      <c r="C102" s="2"/>
      <c r="D102" s="2"/>
      <c r="E102" s="2"/>
      <c r="F102" s="2"/>
      <c r="G102" s="2"/>
      <c r="H102" s="2"/>
      <c r="I102" s="29"/>
      <c r="J102" s="13"/>
      <c r="K102" s="29"/>
      <c r="L102" s="29"/>
      <c r="M102" s="29"/>
      <c r="N102" s="29"/>
      <c r="O102" s="29"/>
      <c r="P102" s="3"/>
      <c r="Q102" s="1"/>
      <c r="R102" s="2"/>
      <c r="S102" s="2"/>
      <c r="T102" s="2"/>
      <c r="U102" s="2"/>
      <c r="V102" s="2"/>
      <c r="W102" s="3"/>
    </row>
    <row r="103" spans="1:23" x14ac:dyDescent="0.25">
      <c r="A103" s="1"/>
      <c r="B103" s="2"/>
      <c r="C103" s="2"/>
      <c r="D103" s="2"/>
      <c r="E103" s="2"/>
      <c r="F103" s="2"/>
      <c r="G103" s="2"/>
      <c r="H103" s="2"/>
      <c r="I103" s="29"/>
      <c r="J103" s="13"/>
      <c r="K103" s="29"/>
      <c r="L103" s="29"/>
      <c r="M103" s="29"/>
      <c r="N103" s="29"/>
      <c r="O103" s="29"/>
      <c r="P103" s="3"/>
      <c r="Q103" s="1"/>
      <c r="R103" s="2"/>
      <c r="S103" s="2"/>
      <c r="T103" s="2"/>
      <c r="U103" s="2"/>
      <c r="V103" s="2"/>
      <c r="W103" s="3"/>
    </row>
    <row r="104" spans="1:23" x14ac:dyDescent="0.25">
      <c r="A104" s="1"/>
      <c r="B104" s="2"/>
      <c r="C104" s="2"/>
      <c r="D104" s="2"/>
      <c r="E104" s="2"/>
      <c r="F104" s="2"/>
      <c r="G104" s="2"/>
      <c r="H104" s="2"/>
      <c r="I104" s="29"/>
      <c r="J104" s="13"/>
      <c r="K104" s="29"/>
      <c r="L104" s="29"/>
      <c r="M104" s="29"/>
      <c r="N104" s="29"/>
      <c r="O104" s="29"/>
      <c r="P104" s="3"/>
      <c r="Q104" s="1"/>
      <c r="R104" s="2"/>
      <c r="S104" s="2"/>
      <c r="T104" s="2"/>
      <c r="U104" s="2"/>
      <c r="V104" s="2"/>
      <c r="W104" s="19"/>
    </row>
    <row r="105" spans="1:23" x14ac:dyDescent="0.25">
      <c r="A105" s="1"/>
      <c r="B105" s="2"/>
      <c r="C105" s="2"/>
      <c r="D105" s="2"/>
      <c r="E105" s="2"/>
      <c r="F105" s="2"/>
      <c r="G105" s="2"/>
      <c r="H105" s="2"/>
      <c r="I105" s="29"/>
      <c r="J105" s="13"/>
      <c r="K105" s="29"/>
      <c r="L105" s="29"/>
      <c r="M105" s="29"/>
      <c r="N105" s="29"/>
      <c r="O105" s="29"/>
      <c r="P105" s="3"/>
      <c r="Q105" s="1"/>
      <c r="R105" s="2"/>
      <c r="S105" s="2"/>
      <c r="T105" s="2"/>
      <c r="U105" s="2"/>
      <c r="V105" s="2"/>
      <c r="W105" s="3"/>
    </row>
    <row r="106" spans="1:23" ht="15.75" thickBot="1" x14ac:dyDescent="0.3">
      <c r="A106" s="4"/>
      <c r="B106" s="5"/>
      <c r="C106" s="5"/>
      <c r="D106" s="5"/>
      <c r="E106" s="5"/>
      <c r="F106" s="5"/>
      <c r="G106" s="5"/>
      <c r="H106" s="5"/>
      <c r="I106" s="31"/>
      <c r="J106" s="33"/>
      <c r="K106" s="31"/>
      <c r="L106" s="31"/>
      <c r="M106" s="31"/>
      <c r="N106" s="31"/>
      <c r="O106" s="31"/>
      <c r="P106" s="6"/>
      <c r="Q106" s="1"/>
      <c r="R106" s="5"/>
      <c r="S106" s="5"/>
      <c r="T106" s="2"/>
      <c r="U106" s="2"/>
      <c r="V106" s="2"/>
      <c r="W106" s="6"/>
    </row>
    <row r="107" spans="1:23" ht="15.75" thickTop="1" x14ac:dyDescent="0.25">
      <c r="K107" s="2"/>
      <c r="L107" s="2"/>
      <c r="M107" s="2"/>
      <c r="N107" s="2"/>
      <c r="O107" s="2"/>
      <c r="Q107" s="12"/>
      <c r="T107" s="12"/>
      <c r="U107" s="12"/>
      <c r="V107" s="12"/>
    </row>
  </sheetData>
  <mergeCells count="3">
    <mergeCell ref="A1:I1"/>
    <mergeCell ref="Q1:W1"/>
    <mergeCell ref="K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1" t="s">
        <v>30</v>
      </c>
      <c r="B1" s="2" t="s">
        <v>14</v>
      </c>
      <c r="C1" s="8" t="s">
        <v>23</v>
      </c>
      <c r="D1" s="2">
        <v>2019</v>
      </c>
      <c r="E1" s="2">
        <v>12</v>
      </c>
      <c r="F1" s="2">
        <v>16</v>
      </c>
      <c r="G1" s="2" t="s">
        <v>15</v>
      </c>
      <c r="H1" s="2">
        <v>1</v>
      </c>
      <c r="I1" s="9" t="s">
        <v>29</v>
      </c>
    </row>
    <row r="2" spans="1:9" x14ac:dyDescent="0.25">
      <c r="A2" s="1" t="s">
        <v>31</v>
      </c>
      <c r="B2" s="2" t="s">
        <v>14</v>
      </c>
      <c r="C2" s="8" t="s">
        <v>24</v>
      </c>
      <c r="D2" s="2">
        <v>2019</v>
      </c>
      <c r="E2" s="2">
        <v>11</v>
      </c>
      <c r="F2" s="8" t="s">
        <v>26</v>
      </c>
      <c r="G2" s="2" t="s">
        <v>20</v>
      </c>
      <c r="H2" s="2">
        <v>2</v>
      </c>
      <c r="I2" s="9" t="s">
        <v>28</v>
      </c>
    </row>
    <row r="3" spans="1:9" x14ac:dyDescent="0.25">
      <c r="A3" s="1" t="s">
        <v>32</v>
      </c>
      <c r="B3" s="7" t="s">
        <v>21</v>
      </c>
      <c r="C3" s="8" t="s">
        <v>25</v>
      </c>
      <c r="D3" s="2">
        <v>2018</v>
      </c>
      <c r="E3" s="8" t="s">
        <v>26</v>
      </c>
      <c r="F3" s="10" t="s">
        <v>26</v>
      </c>
      <c r="G3" s="7" t="s">
        <v>22</v>
      </c>
      <c r="H3" s="7">
        <v>3</v>
      </c>
      <c r="I3" s="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VanVelsor</dc:creator>
  <cp:lastModifiedBy>David Amos</cp:lastModifiedBy>
  <dcterms:created xsi:type="dcterms:W3CDTF">2019-12-16T13:37:40Z</dcterms:created>
  <dcterms:modified xsi:type="dcterms:W3CDTF">2020-01-07T20:32:12Z</dcterms:modified>
</cp:coreProperties>
</file>