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IHCC\COBOL\"/>
    </mc:Choice>
  </mc:AlternateContent>
  <xr:revisionPtr revIDLastSave="0" documentId="13_ncr:1_{95DCD116-C9FF-4EA2-BCAC-13EB85429C0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8" i="1" l="1"/>
  <c r="Q39" i="1"/>
  <c r="Q40" i="1"/>
  <c r="Q41" i="1"/>
  <c r="R41" i="1" s="1"/>
  <c r="R40" i="1"/>
  <c r="M40" i="1"/>
  <c r="R34" i="1"/>
  <c r="R35" i="1"/>
  <c r="R36" i="1"/>
  <c r="R38" i="1"/>
  <c r="R39" i="1"/>
  <c r="Q3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17" i="1"/>
  <c r="Y47" i="1" l="1"/>
  <c r="W47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W44" i="1" s="1"/>
  <c r="AC41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3" i="1"/>
  <c r="S3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3" i="1"/>
  <c r="Q36" i="1"/>
  <c r="Q3" i="1"/>
  <c r="T3" i="1" s="1"/>
  <c r="Q5" i="1"/>
  <c r="Q6" i="1"/>
  <c r="Q7" i="1"/>
  <c r="Q8" i="1"/>
  <c r="Q4" i="1"/>
  <c r="S4" i="1" l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AA46" i="1" s="1"/>
  <c r="T4" i="1"/>
  <c r="T5" i="1" s="1"/>
  <c r="T6" i="1" s="1"/>
  <c r="T7" i="1" s="1"/>
  <c r="T8" i="1" s="1"/>
  <c r="O41" i="1"/>
  <c r="N41" i="1"/>
  <c r="L41" i="1"/>
  <c r="K41" i="1"/>
  <c r="H41" i="1"/>
  <c r="I41" i="1" s="1"/>
  <c r="O40" i="1"/>
  <c r="N40" i="1"/>
  <c r="L40" i="1"/>
  <c r="K40" i="1"/>
  <c r="H40" i="1"/>
  <c r="I40" i="1" s="1"/>
  <c r="J40" i="1" s="1"/>
  <c r="O39" i="1"/>
  <c r="N39" i="1"/>
  <c r="L39" i="1"/>
  <c r="K39" i="1"/>
  <c r="H39" i="1"/>
  <c r="I39" i="1" s="1"/>
  <c r="J39" i="1" s="1"/>
  <c r="M39" i="1" s="1"/>
  <c r="O38" i="1"/>
  <c r="N38" i="1"/>
  <c r="L38" i="1"/>
  <c r="K38" i="1"/>
  <c r="H38" i="1"/>
  <c r="I38" i="1" s="1"/>
  <c r="O37" i="1"/>
  <c r="N37" i="1"/>
  <c r="L37" i="1"/>
  <c r="K37" i="1"/>
  <c r="H37" i="1"/>
  <c r="I37" i="1" s="1"/>
  <c r="J37" i="1" s="1"/>
  <c r="O36" i="1"/>
  <c r="N36" i="1"/>
  <c r="L36" i="1"/>
  <c r="K36" i="1"/>
  <c r="H36" i="1"/>
  <c r="I36" i="1" s="1"/>
  <c r="O35" i="1"/>
  <c r="N35" i="1"/>
  <c r="L35" i="1"/>
  <c r="K35" i="1"/>
  <c r="H35" i="1"/>
  <c r="I35" i="1" s="1"/>
  <c r="Q35" i="1" s="1"/>
  <c r="O34" i="1"/>
  <c r="N34" i="1"/>
  <c r="L34" i="1"/>
  <c r="K34" i="1"/>
  <c r="H34" i="1"/>
  <c r="I34" i="1" s="1"/>
  <c r="Q34" i="1" s="1"/>
  <c r="O33" i="1"/>
  <c r="N33" i="1"/>
  <c r="L33" i="1"/>
  <c r="K33" i="1"/>
  <c r="H33" i="1"/>
  <c r="I33" i="1" s="1"/>
  <c r="O32" i="1"/>
  <c r="N32" i="1"/>
  <c r="L32" i="1"/>
  <c r="K32" i="1"/>
  <c r="H32" i="1"/>
  <c r="I32" i="1" s="1"/>
  <c r="O31" i="1"/>
  <c r="N31" i="1"/>
  <c r="L31" i="1"/>
  <c r="K31" i="1"/>
  <c r="H31" i="1"/>
  <c r="I31" i="1" s="1"/>
  <c r="O30" i="1"/>
  <c r="N30" i="1"/>
  <c r="L30" i="1"/>
  <c r="K30" i="1"/>
  <c r="H30" i="1"/>
  <c r="I30" i="1" s="1"/>
  <c r="J30" i="1" s="1"/>
  <c r="O29" i="1"/>
  <c r="N29" i="1"/>
  <c r="L29" i="1"/>
  <c r="K29" i="1"/>
  <c r="H29" i="1"/>
  <c r="I29" i="1" s="1"/>
  <c r="J29" i="1" s="1"/>
  <c r="N28" i="1"/>
  <c r="L28" i="1"/>
  <c r="K28" i="1"/>
  <c r="H28" i="1"/>
  <c r="I28" i="1" s="1"/>
  <c r="J28" i="1" s="1"/>
  <c r="O27" i="1"/>
  <c r="N27" i="1"/>
  <c r="R27" i="1" s="1"/>
  <c r="AD27" i="1" s="1"/>
  <c r="L27" i="1"/>
  <c r="K27" i="1"/>
  <c r="H27" i="1"/>
  <c r="I27" i="1" s="1"/>
  <c r="J27" i="1" s="1"/>
  <c r="O26" i="1"/>
  <c r="L26" i="1"/>
  <c r="K26" i="1"/>
  <c r="H26" i="1"/>
  <c r="I26" i="1" s="1"/>
  <c r="J26" i="1" s="1"/>
  <c r="O25" i="1"/>
  <c r="L25" i="1"/>
  <c r="K25" i="1"/>
  <c r="H25" i="1"/>
  <c r="I25" i="1" s="1"/>
  <c r="J25" i="1" s="1"/>
  <c r="O24" i="1"/>
  <c r="L24" i="1"/>
  <c r="K24" i="1"/>
  <c r="H24" i="1"/>
  <c r="I24" i="1" s="1"/>
  <c r="J24" i="1" s="1"/>
  <c r="O23" i="1"/>
  <c r="L23" i="1"/>
  <c r="K23" i="1"/>
  <c r="H23" i="1"/>
  <c r="I23" i="1" s="1"/>
  <c r="J23" i="1" s="1"/>
  <c r="O22" i="1"/>
  <c r="L22" i="1"/>
  <c r="K22" i="1"/>
  <c r="H22" i="1"/>
  <c r="I22" i="1" s="1"/>
  <c r="J22" i="1" s="1"/>
  <c r="O21" i="1"/>
  <c r="L21" i="1"/>
  <c r="K21" i="1"/>
  <c r="H21" i="1"/>
  <c r="I21" i="1" s="1"/>
  <c r="J21" i="1" s="1"/>
  <c r="O20" i="1"/>
  <c r="N20" i="1"/>
  <c r="L20" i="1"/>
  <c r="K20" i="1"/>
  <c r="H20" i="1"/>
  <c r="I20" i="1" s="1"/>
  <c r="J20" i="1" s="1"/>
  <c r="O19" i="1"/>
  <c r="L19" i="1"/>
  <c r="K19" i="1"/>
  <c r="H19" i="1"/>
  <c r="I19" i="1" s="1"/>
  <c r="J19" i="1" s="1"/>
  <c r="O18" i="1"/>
  <c r="L18" i="1"/>
  <c r="K18" i="1"/>
  <c r="H18" i="1"/>
  <c r="I18" i="1" s="1"/>
  <c r="J18" i="1" s="1"/>
  <c r="O17" i="1"/>
  <c r="L17" i="1"/>
  <c r="K17" i="1"/>
  <c r="H17" i="1"/>
  <c r="I17" i="1" s="1"/>
  <c r="J17" i="1" s="1"/>
  <c r="O16" i="1"/>
  <c r="L16" i="1"/>
  <c r="K16" i="1"/>
  <c r="H16" i="1"/>
  <c r="I16" i="1" s="1"/>
  <c r="J16" i="1" s="1"/>
  <c r="O15" i="1"/>
  <c r="L15" i="1"/>
  <c r="K15" i="1"/>
  <c r="H15" i="1"/>
  <c r="I15" i="1" s="1"/>
  <c r="J15" i="1" s="1"/>
  <c r="O14" i="1"/>
  <c r="L14" i="1"/>
  <c r="K14" i="1"/>
  <c r="H14" i="1"/>
  <c r="I14" i="1" s="1"/>
  <c r="J14" i="1" s="1"/>
  <c r="O13" i="1"/>
  <c r="L13" i="1"/>
  <c r="K13" i="1"/>
  <c r="H13" i="1"/>
  <c r="I13" i="1" s="1"/>
  <c r="J13" i="1" s="1"/>
  <c r="L12" i="1"/>
  <c r="O12" i="1"/>
  <c r="H12" i="1"/>
  <c r="I12" i="1" s="1"/>
  <c r="J12" i="1" s="1"/>
  <c r="K12" i="1"/>
  <c r="O4" i="1"/>
  <c r="O9" i="1"/>
  <c r="O10" i="1"/>
  <c r="O11" i="1"/>
  <c r="O3" i="1"/>
  <c r="N5" i="1"/>
  <c r="N7" i="1"/>
  <c r="N11" i="1"/>
  <c r="R11" i="1" s="1"/>
  <c r="AD11" i="1" s="1"/>
  <c r="N3" i="1"/>
  <c r="L4" i="1"/>
  <c r="L5" i="1"/>
  <c r="L6" i="1"/>
  <c r="L7" i="1"/>
  <c r="L8" i="1"/>
  <c r="L9" i="1"/>
  <c r="L10" i="1"/>
  <c r="L11" i="1"/>
  <c r="L3" i="1"/>
  <c r="R29" i="1" l="1"/>
  <c r="AD29" i="1" s="1"/>
  <c r="R37" i="1"/>
  <c r="AD40" i="1"/>
  <c r="R30" i="1"/>
  <c r="AD30" i="1" s="1"/>
  <c r="M37" i="1"/>
  <c r="AD41" i="1"/>
  <c r="M12" i="1"/>
  <c r="R20" i="1"/>
  <c r="AD20" i="1" s="1"/>
  <c r="M30" i="1"/>
  <c r="AD35" i="1"/>
  <c r="M21" i="1"/>
  <c r="M22" i="1"/>
  <c r="M27" i="1"/>
  <c r="U27" i="1" s="1"/>
  <c r="AE27" i="1" s="1"/>
  <c r="AF27" i="1" s="1"/>
  <c r="J31" i="1"/>
  <c r="M31" i="1" s="1"/>
  <c r="Q31" i="1"/>
  <c r="R31" i="1" s="1"/>
  <c r="AD31" i="1" s="1"/>
  <c r="J38" i="1"/>
  <c r="M38" i="1" s="1"/>
  <c r="AD38" i="1"/>
  <c r="AD34" i="1"/>
  <c r="R3" i="1"/>
  <c r="AD3" i="1" s="1"/>
  <c r="J32" i="1"/>
  <c r="M32" i="1" s="1"/>
  <c r="Q32" i="1"/>
  <c r="R32" i="1" s="1"/>
  <c r="AD32" i="1" s="1"/>
  <c r="R33" i="1"/>
  <c r="AD33" i="1" s="1"/>
  <c r="AD36" i="1"/>
  <c r="M29" i="1"/>
  <c r="M28" i="1"/>
  <c r="J41" i="1"/>
  <c r="M41" i="1" s="1"/>
  <c r="J36" i="1"/>
  <c r="M36" i="1" s="1"/>
  <c r="J35" i="1"/>
  <c r="M35" i="1" s="1"/>
  <c r="J34" i="1"/>
  <c r="M34" i="1" s="1"/>
  <c r="J33" i="1"/>
  <c r="M33" i="1" s="1"/>
  <c r="O28" i="1"/>
  <c r="R28" i="1" s="1"/>
  <c r="AD28" i="1" s="1"/>
  <c r="N26" i="1"/>
  <c r="R26" i="1" s="1"/>
  <c r="AD26" i="1" s="1"/>
  <c r="M26" i="1"/>
  <c r="N25" i="1"/>
  <c r="R25" i="1" s="1"/>
  <c r="AD25" i="1" s="1"/>
  <c r="M25" i="1"/>
  <c r="N24" i="1"/>
  <c r="R24" i="1" s="1"/>
  <c r="AD24" i="1" s="1"/>
  <c r="M24" i="1"/>
  <c r="N23" i="1"/>
  <c r="R23" i="1" s="1"/>
  <c r="AD23" i="1" s="1"/>
  <c r="M23" i="1"/>
  <c r="N22" i="1"/>
  <c r="N21" i="1"/>
  <c r="M20" i="1"/>
  <c r="U20" i="1" s="1"/>
  <c r="AE20" i="1" s="1"/>
  <c r="AF20" i="1" s="1"/>
  <c r="N19" i="1"/>
  <c r="R19" i="1" s="1"/>
  <c r="AD19" i="1" s="1"/>
  <c r="M19" i="1"/>
  <c r="N18" i="1"/>
  <c r="R18" i="1" s="1"/>
  <c r="AD18" i="1" s="1"/>
  <c r="M18" i="1"/>
  <c r="N17" i="1"/>
  <c r="R17" i="1" s="1"/>
  <c r="AD17" i="1" s="1"/>
  <c r="M17" i="1"/>
  <c r="N16" i="1"/>
  <c r="R16" i="1" s="1"/>
  <c r="AD16" i="1" s="1"/>
  <c r="M16" i="1"/>
  <c r="N15" i="1"/>
  <c r="R15" i="1" s="1"/>
  <c r="AD15" i="1" s="1"/>
  <c r="M15" i="1"/>
  <c r="N14" i="1"/>
  <c r="R14" i="1" s="1"/>
  <c r="AD14" i="1" s="1"/>
  <c r="M14" i="1"/>
  <c r="N13" i="1"/>
  <c r="R13" i="1" s="1"/>
  <c r="AD13" i="1" s="1"/>
  <c r="M13" i="1"/>
  <c r="N12" i="1"/>
  <c r="K9" i="1"/>
  <c r="H9" i="1"/>
  <c r="I9" i="1" s="1"/>
  <c r="K11" i="1"/>
  <c r="H11" i="1"/>
  <c r="I11" i="1" s="1"/>
  <c r="J11" i="1" s="1"/>
  <c r="K10" i="1"/>
  <c r="H10" i="1"/>
  <c r="I10" i="1" s="1"/>
  <c r="K8" i="1"/>
  <c r="H8" i="1"/>
  <c r="I8" i="1" s="1"/>
  <c r="J8" i="1" s="1"/>
  <c r="H4" i="1"/>
  <c r="K4" i="1"/>
  <c r="H5" i="1"/>
  <c r="I5" i="1" s="1"/>
  <c r="J5" i="1" s="1"/>
  <c r="O5" i="1" s="1"/>
  <c r="R5" i="1" s="1"/>
  <c r="AD5" i="1" s="1"/>
  <c r="K5" i="1"/>
  <c r="H6" i="1"/>
  <c r="I6" i="1" s="1"/>
  <c r="J6" i="1" s="1"/>
  <c r="K6" i="1"/>
  <c r="H7" i="1"/>
  <c r="I7" i="1" s="1"/>
  <c r="J7" i="1" s="1"/>
  <c r="O7" i="1" s="1"/>
  <c r="R7" i="1" s="1"/>
  <c r="AD7" i="1" s="1"/>
  <c r="K7" i="1"/>
  <c r="H3" i="1"/>
  <c r="I3" i="1" s="1"/>
  <c r="J3" i="1" s="1"/>
  <c r="K3" i="1"/>
  <c r="U30" i="1" l="1"/>
  <c r="AE30" i="1" s="1"/>
  <c r="AF30" i="1" s="1"/>
  <c r="U40" i="1"/>
  <c r="AE40" i="1" s="1"/>
  <c r="AF40" i="1" s="1"/>
  <c r="U37" i="1"/>
  <c r="AE37" i="1" s="1"/>
  <c r="AF37" i="1" s="1"/>
  <c r="AD37" i="1"/>
  <c r="U39" i="1"/>
  <c r="AE39" i="1" s="1"/>
  <c r="AF39" i="1" s="1"/>
  <c r="AD39" i="1"/>
  <c r="U31" i="1"/>
  <c r="AE31" i="1" s="1"/>
  <c r="AF31" i="1" s="1"/>
  <c r="M7" i="1"/>
  <c r="U32" i="1"/>
  <c r="AE32" i="1" s="1"/>
  <c r="AF32" i="1" s="1"/>
  <c r="I4" i="1"/>
  <c r="J4" i="1" s="1"/>
  <c r="N4" i="1" s="1"/>
  <c r="R4" i="1" s="1"/>
  <c r="AD4" i="1" s="1"/>
  <c r="N8" i="1"/>
  <c r="O8" i="1"/>
  <c r="R12" i="1"/>
  <c r="R21" i="1"/>
  <c r="AD21" i="1" s="1"/>
  <c r="R22" i="1"/>
  <c r="N6" i="1"/>
  <c r="O6" i="1"/>
  <c r="U28" i="1"/>
  <c r="AE28" i="1" s="1"/>
  <c r="AF28" i="1" s="1"/>
  <c r="J10" i="1"/>
  <c r="N10" i="1" s="1"/>
  <c r="Q10" i="1"/>
  <c r="J9" i="1"/>
  <c r="N9" i="1" s="1"/>
  <c r="Q9" i="1"/>
  <c r="T9" i="1" s="1"/>
  <c r="U29" i="1"/>
  <c r="AE29" i="1" s="1"/>
  <c r="AF29" i="1" s="1"/>
  <c r="U38" i="1"/>
  <c r="AE38" i="1" s="1"/>
  <c r="AF38" i="1" s="1"/>
  <c r="U41" i="1"/>
  <c r="AE41" i="1" s="1"/>
  <c r="AF41" i="1" s="1"/>
  <c r="U36" i="1"/>
  <c r="AE36" i="1" s="1"/>
  <c r="AF36" i="1" s="1"/>
  <c r="U34" i="1"/>
  <c r="AE34" i="1" s="1"/>
  <c r="AF34" i="1" s="1"/>
  <c r="U35" i="1"/>
  <c r="AE35" i="1" s="1"/>
  <c r="AF35" i="1" s="1"/>
  <c r="U33" i="1"/>
  <c r="AE33" i="1" s="1"/>
  <c r="AF33" i="1" s="1"/>
  <c r="U26" i="1"/>
  <c r="AE26" i="1" s="1"/>
  <c r="AF26" i="1" s="1"/>
  <c r="U25" i="1"/>
  <c r="AE25" i="1" s="1"/>
  <c r="AF25" i="1" s="1"/>
  <c r="U24" i="1"/>
  <c r="AE24" i="1" s="1"/>
  <c r="AF24" i="1" s="1"/>
  <c r="U23" i="1"/>
  <c r="AE23" i="1" s="1"/>
  <c r="AF23" i="1" s="1"/>
  <c r="U19" i="1"/>
  <c r="AE19" i="1" s="1"/>
  <c r="AF19" i="1" s="1"/>
  <c r="U16" i="1"/>
  <c r="AE16" i="1" s="1"/>
  <c r="AF16" i="1" s="1"/>
  <c r="U14" i="1"/>
  <c r="AE14" i="1" s="1"/>
  <c r="AF14" i="1" s="1"/>
  <c r="U18" i="1"/>
  <c r="AE18" i="1" s="1"/>
  <c r="AF18" i="1" s="1"/>
  <c r="U17" i="1"/>
  <c r="AE17" i="1" s="1"/>
  <c r="U15" i="1"/>
  <c r="AE15" i="1" s="1"/>
  <c r="AF15" i="1" s="1"/>
  <c r="U13" i="1"/>
  <c r="AE13" i="1" s="1"/>
  <c r="AF13" i="1" s="1"/>
  <c r="M5" i="1"/>
  <c r="M6" i="1"/>
  <c r="U7" i="1"/>
  <c r="AE7" i="1" s="1"/>
  <c r="AF7" i="1" s="1"/>
  <c r="M3" i="1"/>
  <c r="U12" i="1" l="1"/>
  <c r="AE12" i="1" s="1"/>
  <c r="AF12" i="1" s="1"/>
  <c r="AD12" i="1"/>
  <c r="U21" i="1"/>
  <c r="AE21" i="1" s="1"/>
  <c r="AF21" i="1" s="1"/>
  <c r="U22" i="1"/>
  <c r="AE22" i="1" s="1"/>
  <c r="AF22" i="1" s="1"/>
  <c r="AD22" i="1"/>
  <c r="AF17" i="1"/>
  <c r="R6" i="1"/>
  <c r="AD6" i="1" s="1"/>
  <c r="Y44" i="1" s="1"/>
  <c r="R8" i="1"/>
  <c r="AD8" i="1" s="1"/>
  <c r="T10" i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Y46" i="1" s="1"/>
  <c r="M4" i="1"/>
  <c r="U4" i="1" s="1"/>
  <c r="AE4" i="1" s="1"/>
  <c r="AF4" i="1" s="1"/>
  <c r="R10" i="1"/>
  <c r="AD10" i="1" s="1"/>
  <c r="R9" i="1"/>
  <c r="AD9" i="1" s="1"/>
  <c r="U5" i="1"/>
  <c r="AE5" i="1" s="1"/>
  <c r="AF5" i="1" s="1"/>
  <c r="M8" i="1"/>
  <c r="M9" i="1"/>
  <c r="U9" i="1" s="1"/>
  <c r="AE9" i="1" s="1"/>
  <c r="AF9" i="1" s="1"/>
  <c r="M10" i="1"/>
  <c r="M11" i="1"/>
  <c r="U6" i="1" l="1"/>
  <c r="AE6" i="1" s="1"/>
  <c r="AF6" i="1" s="1"/>
  <c r="U10" i="1"/>
  <c r="AE10" i="1" s="1"/>
  <c r="AF10" i="1" s="1"/>
  <c r="U11" i="1"/>
  <c r="AE11" i="1" s="1"/>
  <c r="AF11" i="1" s="1"/>
  <c r="U8" i="1"/>
  <c r="AE8" i="1" s="1"/>
  <c r="AF8" i="1" s="1"/>
  <c r="U3" i="1"/>
  <c r="AE3" i="1" s="1"/>
  <c r="AF3" i="1" s="1"/>
  <c r="AA44" i="1" l="1"/>
</calcChain>
</file>

<file path=xl/sharedStrings.xml><?xml version="1.0" encoding="utf-8"?>
<sst xmlns="http://schemas.openxmlformats.org/spreadsheetml/2006/main" count="198" uniqueCount="91">
  <si>
    <t>INPUT</t>
  </si>
  <si>
    <t>WORKING STORAGE</t>
  </si>
  <si>
    <t>OUTPUT</t>
  </si>
  <si>
    <t>I-GUEST</t>
  </si>
  <si>
    <t>I-CONDO</t>
  </si>
  <si>
    <t>I-BEDROOMS</t>
  </si>
  <si>
    <t>I-NIGHTS</t>
  </si>
  <si>
    <t>I-PETS</t>
  </si>
  <si>
    <t>I-HOTTUB</t>
  </si>
  <si>
    <t>I-DOCKSLIP</t>
  </si>
  <si>
    <t>WS-BED-CHARGE</t>
  </si>
  <si>
    <t>WS-NIGHTLY-FEES</t>
  </si>
  <si>
    <t>WS-CONDO-FEE</t>
  </si>
  <si>
    <t>WS-CLEAN-FEE</t>
  </si>
  <si>
    <t>WS-DOCK-FEE</t>
  </si>
  <si>
    <t>WS-SUBTOTAL</t>
  </si>
  <si>
    <t>WS-PET-FEE</t>
  </si>
  <si>
    <t>WS-TUB-FEE</t>
  </si>
  <si>
    <t>WS-FREE-NIGHT</t>
  </si>
  <si>
    <t>WS-DEAL-AMOUNT</t>
  </si>
  <si>
    <t>WS-AMOUNT-DUE</t>
  </si>
  <si>
    <t>Y</t>
  </si>
  <si>
    <t>HB</t>
  </si>
  <si>
    <t>N</t>
  </si>
  <si>
    <t>OB</t>
  </si>
  <si>
    <t>PP</t>
  </si>
  <si>
    <t>RB</t>
  </si>
  <si>
    <t>SB</t>
  </si>
  <si>
    <t>L</t>
  </si>
  <si>
    <t>HT</t>
  </si>
  <si>
    <t>CP</t>
  </si>
  <si>
    <t>GT-FREE-NIGHT-CTR</t>
  </si>
  <si>
    <t>GT-FREE-CLEANING-CTR</t>
  </si>
  <si>
    <t>WS-FREE-CLEANING</t>
  </si>
  <si>
    <t>CONDOMINIUM</t>
  </si>
  <si>
    <t>GUEST-NAME</t>
  </si>
  <si>
    <t>STAY-NIGHTS</t>
  </si>
  <si>
    <t>NIGHT-FEE</t>
  </si>
  <si>
    <t>CONDO-FEE</t>
  </si>
  <si>
    <t>CLEANING-FEE</t>
  </si>
  <si>
    <t>DOCK-SLIP-FEE</t>
  </si>
  <si>
    <t>SUBTOTAL</t>
  </si>
  <si>
    <t>DEAL-AMOUNT</t>
  </si>
  <si>
    <t>AMOUNT-DUE</t>
  </si>
  <si>
    <t>GT-SUBTOTAL:</t>
  </si>
  <si>
    <t>GT-DEALS:</t>
  </si>
  <si>
    <t>GT-AMOUNT-DUE:</t>
  </si>
  <si>
    <t>GT-RENTAL-CTR:</t>
  </si>
  <si>
    <t>GT-FREE-NIGHTS:</t>
  </si>
  <si>
    <t>GT-FREE-CLEANING:</t>
  </si>
  <si>
    <t>PET-FEES:</t>
  </si>
  <si>
    <t>HOT-TUB-FEES:</t>
  </si>
  <si>
    <t xml:space="preserve">Billy Bob           </t>
  </si>
  <si>
    <t xml:space="preserve">Hobo Jones          </t>
  </si>
  <si>
    <t>Big Name Billy Boedo</t>
  </si>
  <si>
    <t xml:space="preserve">Youth group         </t>
  </si>
  <si>
    <t xml:space="preserve">Steve Wonder        </t>
  </si>
  <si>
    <t xml:space="preserve">Adelle              </t>
  </si>
  <si>
    <t xml:space="preserve">David Amos          </t>
  </si>
  <si>
    <t xml:space="preserve">Forigner            </t>
  </si>
  <si>
    <t xml:space="preserve">Journey             </t>
  </si>
  <si>
    <t xml:space="preserve">CCR                 </t>
  </si>
  <si>
    <t xml:space="preserve">Bo                  </t>
  </si>
  <si>
    <t xml:space="preserve">Mr. Big Guy         </t>
  </si>
  <si>
    <t xml:space="preserve">La-a                </t>
  </si>
  <si>
    <t xml:space="preserve">Mama Mia            </t>
  </si>
  <si>
    <t xml:space="preserve">Here we go again    </t>
  </si>
  <si>
    <t xml:space="preserve">White Snakes        </t>
  </si>
  <si>
    <t xml:space="preserve">Bon Jovi            </t>
  </si>
  <si>
    <t xml:space="preserve">Campers             </t>
  </si>
  <si>
    <t xml:space="preserve">Boy Scouts          </t>
  </si>
  <si>
    <t xml:space="preserve">Toby Kieth          </t>
  </si>
  <si>
    <t xml:space="preserve">Mr. Chow            </t>
  </si>
  <si>
    <t xml:space="preserve">Bart                </t>
  </si>
  <si>
    <t xml:space="preserve">Who                 </t>
  </si>
  <si>
    <t xml:space="preserve">Horton              </t>
  </si>
  <si>
    <t xml:space="preserve">El Tigre            </t>
  </si>
  <si>
    <t xml:space="preserve">Mi Huevos           </t>
  </si>
  <si>
    <t xml:space="preserve">Bus Load            </t>
  </si>
  <si>
    <t xml:space="preserve">T                   </t>
  </si>
  <si>
    <t xml:space="preserve">21 Pilots           </t>
  </si>
  <si>
    <t xml:space="preserve">Green Day           </t>
  </si>
  <si>
    <t xml:space="preserve">Fall Out Boy        </t>
  </si>
  <si>
    <t xml:space="preserve">Panic at the Disco  </t>
  </si>
  <si>
    <t xml:space="preserve">Imagine Dragons     </t>
  </si>
  <si>
    <t xml:space="preserve">Cage the Elephant   </t>
  </si>
  <si>
    <t xml:space="preserve">MCR                 </t>
  </si>
  <si>
    <t xml:space="preserve">Red Barron          </t>
  </si>
  <si>
    <t xml:space="preserve">Snoopie             </t>
  </si>
  <si>
    <t xml:space="preserve">Charlie Brown       </t>
  </si>
  <si>
    <t xml:space="preserve">Frank Galager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</si>
</sst>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.00"/>
    <numFmt numFmtId="166" formatCode="&quot;$&quot;#,##0.00"/>
    <numFmt numFmtId="167" formatCode="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4" xfId="0" applyFill="1" applyBorder="1"/>
    <xf numFmtId="0" fontId="0" fillId="0" borderId="5" xfId="0" applyFill="1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topLeftCell="U31" workbookViewId="0">
      <selection activeCell="Q37" sqref="Q37:Q41"/>
    </sheetView>
  </sheetViews>
  <sheetFormatPr defaultRowHeight="15" x14ac:dyDescent="0.25"/>
  <cols>
    <col min="1" max="1" width="24.28515625" bestFit="1" customWidth="1"/>
    <col min="2" max="2" width="9" bestFit="1" customWidth="1"/>
    <col min="3" max="3" width="12.42578125" bestFit="1" customWidth="1"/>
    <col min="4" max="4" width="8.85546875" bestFit="1" customWidth="1"/>
    <col min="5" max="5" width="6.42578125" bestFit="1" customWidth="1"/>
    <col min="6" max="6" width="9.42578125" bestFit="1" customWidth="1"/>
    <col min="7" max="7" width="10.85546875" bestFit="1" customWidth="1"/>
    <col min="8" max="8" width="16" bestFit="1" customWidth="1"/>
    <col min="9" max="9" width="16.85546875" bestFit="1" customWidth="1"/>
    <col min="10" max="10" width="15.140625" bestFit="1" customWidth="1"/>
    <col min="11" max="11" width="14.140625" bestFit="1" customWidth="1"/>
    <col min="12" max="12" width="13.42578125" bestFit="1" customWidth="1"/>
    <col min="13" max="13" width="13.7109375" bestFit="1" customWidth="1"/>
    <col min="14" max="14" width="11.42578125" bestFit="1" customWidth="1"/>
    <col min="15" max="15" width="11.7109375" bestFit="1" customWidth="1"/>
    <col min="16" max="16" width="18.7109375" bestFit="1" customWidth="1"/>
    <col min="17" max="17" width="15.140625" bestFit="1" customWidth="1"/>
    <col min="18" max="18" width="18.140625" bestFit="1" customWidth="1"/>
    <col min="19" max="19" width="22.28515625" bestFit="1" customWidth="1"/>
    <col min="20" max="20" width="18.7109375" bestFit="1" customWidth="1"/>
    <col min="21" max="21" width="17.28515625" bestFit="1" customWidth="1"/>
    <col min="22" max="22" width="16.42578125" bestFit="1" customWidth="1"/>
    <col min="23" max="23" width="24.28515625" bestFit="1" customWidth="1"/>
    <col min="24" max="24" width="16.140625" bestFit="1" customWidth="1"/>
    <col min="25" max="25" width="10.28515625" bestFit="1" customWidth="1"/>
    <col min="26" max="26" width="18.7109375" bestFit="1" customWidth="1"/>
    <col min="27" max="27" width="13.85546875" bestFit="1" customWidth="1"/>
    <col min="28" max="28" width="14.140625" bestFit="1" customWidth="1"/>
    <col min="29" max="29" width="11.140625" bestFit="1" customWidth="1"/>
    <col min="30" max="30" width="14.42578125" bestFit="1" customWidth="1"/>
    <col min="31" max="31" width="13.5703125" bestFit="1" customWidth="1"/>
  </cols>
  <sheetData>
    <row r="1" spans="1:32" ht="15.75" thickTop="1" x14ac:dyDescent="0.25">
      <c r="A1" s="20" t="s">
        <v>0</v>
      </c>
      <c r="B1" s="21"/>
      <c r="C1" s="21"/>
      <c r="D1" s="21"/>
      <c r="E1" s="21"/>
      <c r="F1" s="21"/>
      <c r="G1" s="21"/>
      <c r="H1" s="5"/>
      <c r="I1" s="21" t="s">
        <v>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  <c r="V1" s="18" t="s">
        <v>2</v>
      </c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33</v>
      </c>
      <c r="Q2" s="2" t="s">
        <v>18</v>
      </c>
      <c r="R2" s="2" t="s">
        <v>19</v>
      </c>
      <c r="S2" s="2" t="s">
        <v>32</v>
      </c>
      <c r="T2" s="2" t="s">
        <v>31</v>
      </c>
      <c r="U2" s="3" t="s">
        <v>20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/>
    </row>
    <row r="3" spans="1:32" x14ac:dyDescent="0.25">
      <c r="A3" t="s">
        <v>52</v>
      </c>
      <c r="B3" t="s">
        <v>22</v>
      </c>
      <c r="C3" s="8">
        <v>1</v>
      </c>
      <c r="D3" s="11">
        <v>1</v>
      </c>
      <c r="E3" t="s">
        <v>23</v>
      </c>
      <c r="F3" t="s">
        <v>23</v>
      </c>
      <c r="G3" s="12">
        <v>0</v>
      </c>
      <c r="H3" s="6" t="str">
        <f t="shared" ref="H3:H12" si="0">IF((B3="HB"),"99.50",IF((B3="OB"),"188.00",IF((B3="PP"),"50.00",IF((B3="RB"),"62.10",IF((B3="SB"),"100.00",IF((B3="L"),"76.35",IF((B3="HT"),"50.00",IF((B3="CP"),"125.00","ERROR!"))))))))</f>
        <v>99.50</v>
      </c>
      <c r="I3">
        <f>C3*H3</f>
        <v>99.5</v>
      </c>
      <c r="J3">
        <f>D3*I3</f>
        <v>99.5</v>
      </c>
      <c r="K3" t="str">
        <f t="shared" ref="K3:K12" si="1">IF((B3="HB"),"100",IF((B3="OB"),"150",IF((B3="PP"),"75",IF((B3="RB"),"75",IF((B3="SB"),"150",IF((B3="L"),"0",IF((B3="HT"),"100",IF((B3="CP"),"0","ERROR!"))))))))</f>
        <v>100</v>
      </c>
      <c r="L3">
        <f>G3*D3</f>
        <v>0</v>
      </c>
      <c r="M3">
        <f>SUM(J3+K3+L3)</f>
        <v>199.5</v>
      </c>
      <c r="N3" s="7" t="str">
        <f>IF(AND(OR(B3="HB",B3="OB",B3="SB"),E3="Y"),SUM(J3*0.1),"0")</f>
        <v>0</v>
      </c>
      <c r="O3">
        <f>ROUND(IF(AND(OR(B3="HB",B3="L"),F3="Y"),IF(B3="HB",J3*0.05,IF((B3="L"),J3*0.075,0))),2)</f>
        <v>0</v>
      </c>
      <c r="P3">
        <f t="shared" ref="P3:P16" si="2">IF(B3="RB",IF(D3&gt;5,-75,0),0)</f>
        <v>0</v>
      </c>
      <c r="Q3">
        <f t="shared" ref="Q3:Q41" si="3">IF(AND(B3="OB",D3&gt;6),I3*-1,IF(AND(B3="HT",D3&gt;2),I3*-0.5,IF(AND(B3="CP",D3&gt;5),I3*-1,0)))</f>
        <v>0</v>
      </c>
      <c r="R3" s="13">
        <f>SUM(N3+O3+Q3+P3)</f>
        <v>0</v>
      </c>
      <c r="S3">
        <f>IF(P3=-75,1,0)</f>
        <v>0</v>
      </c>
      <c r="T3">
        <f>IF(Q3&lt;0,IF(B3 = "HT",T3 +0.5,T3+1),)</f>
        <v>0</v>
      </c>
      <c r="U3" s="4">
        <f t="shared" ref="U3:U12" si="4">M3+R3</f>
        <v>199.5</v>
      </c>
      <c r="V3" t="str">
        <f>_xlfn.SWITCH(B3,"HB","Horseshoe Bend", "OB","Osage Beach","PP","Pistol Point","RB","Regatta Bay","SB","Shawnee Bend","L","Ledges","HT","Harbour Towne","CP","Compasse Pointe", "Error")</f>
        <v>Horseshoe Bend</v>
      </c>
      <c r="W3" t="str">
        <f>A3</f>
        <v xml:space="preserve">Billy Bob           </v>
      </c>
      <c r="X3" s="15">
        <f>D3</f>
        <v>1</v>
      </c>
      <c r="Y3" s="16">
        <f>I3</f>
        <v>99.5</v>
      </c>
      <c r="Z3" s="16">
        <f>J3</f>
        <v>99.5</v>
      </c>
      <c r="AA3" s="17" t="str">
        <f>K3</f>
        <v>100</v>
      </c>
      <c r="AB3">
        <f>L3</f>
        <v>0</v>
      </c>
      <c r="AC3" s="16">
        <f>M3</f>
        <v>199.5</v>
      </c>
      <c r="AD3" s="16">
        <f>R3</f>
        <v>0</v>
      </c>
      <c r="AE3" s="16">
        <f>U3</f>
        <v>199.5</v>
      </c>
      <c r="AF3" t="str">
        <f>IF(AE3&gt;750,"****","")</f>
        <v/>
      </c>
    </row>
    <row r="4" spans="1:32" x14ac:dyDescent="0.25">
      <c r="A4" t="s">
        <v>53</v>
      </c>
      <c r="B4" t="s">
        <v>22</v>
      </c>
      <c r="C4" s="8">
        <v>2</v>
      </c>
      <c r="D4" s="11">
        <v>1</v>
      </c>
      <c r="E4" t="s">
        <v>21</v>
      </c>
      <c r="F4" t="s">
        <v>23</v>
      </c>
      <c r="G4" s="12">
        <v>0</v>
      </c>
      <c r="H4" s="6" t="str">
        <f t="shared" si="0"/>
        <v>99.50</v>
      </c>
      <c r="I4">
        <f t="shared" ref="I4:I12" si="5">C4*H4</f>
        <v>199</v>
      </c>
      <c r="J4">
        <f t="shared" ref="J4:J12" si="6">D4*I4</f>
        <v>199</v>
      </c>
      <c r="K4" t="str">
        <f t="shared" si="1"/>
        <v>100</v>
      </c>
      <c r="L4">
        <f t="shared" ref="L4:L12" si="7">G4*D4</f>
        <v>0</v>
      </c>
      <c r="M4">
        <f t="shared" ref="M4:M12" si="8">SUM(J4+K4+L4)</f>
        <v>299</v>
      </c>
      <c r="N4" s="7">
        <f t="shared" ref="N4:N12" si="9">IF(AND(OR(B4="HB",B4="OB",B4="SB"),E4="Y"),SUM(J4*0.1),"0")</f>
        <v>19.900000000000002</v>
      </c>
      <c r="O4">
        <f t="shared" ref="O4:O12" si="10">ROUND(IF(AND(OR(B4="HB",B4="L"),F4="Y"),IF(B4="HB",J4*0.05,IF((B4="L"),J4*0.075,0))),2)</f>
        <v>0</v>
      </c>
      <c r="P4">
        <f t="shared" si="2"/>
        <v>0</v>
      </c>
      <c r="Q4">
        <f>IF(AND(B4="OB",D4&gt;6),I4*-1,IF(AND(B4="HT",D4&gt;2),I4*-0.5,IF(AND(B4="CP",D4&gt;5),I4*-1,0)))</f>
        <v>0</v>
      </c>
      <c r="R4" s="13">
        <f t="shared" ref="R4:R41" si="11">SUM(N4+O4+Q4+P4)</f>
        <v>19.900000000000002</v>
      </c>
      <c r="S4">
        <f>IF(P4=-75,S3+1,S3)</f>
        <v>0</v>
      </c>
      <c r="T4">
        <f>IF(Q4&lt;0,IF(B4 = "HT",T3 +0.5,T3+1),T3)</f>
        <v>0</v>
      </c>
      <c r="U4" s="4">
        <f t="shared" si="4"/>
        <v>318.89999999999998</v>
      </c>
      <c r="V4" t="str">
        <f t="shared" ref="V4:V41" si="12">_xlfn.SWITCH(B4,"HB","Horseshoe Bend", "OB","Osage Beach","PP","Pistol Point","RB","Regatta Bay","SB","Shawnee Bend","L","Ledges","HT","Harbour Towne","CP","Compasse Pointe", "Error")</f>
        <v>Horseshoe Bend</v>
      </c>
      <c r="W4" t="str">
        <f t="shared" ref="W4:W41" si="13">A4</f>
        <v xml:space="preserve">Hobo Jones          </v>
      </c>
      <c r="X4" s="15">
        <f t="shared" ref="X4:X41" si="14">D4</f>
        <v>1</v>
      </c>
      <c r="Y4" s="16">
        <f t="shared" ref="Y4:Y41" si="15">I4</f>
        <v>199</v>
      </c>
      <c r="Z4" s="16">
        <f t="shared" ref="Z4:Z41" si="16">J4</f>
        <v>199</v>
      </c>
      <c r="AA4" s="17" t="str">
        <f t="shared" ref="AA4:AA41" si="17">K4</f>
        <v>100</v>
      </c>
      <c r="AB4">
        <f t="shared" ref="AB4:AB41" si="18">L4</f>
        <v>0</v>
      </c>
      <c r="AC4" s="16">
        <f t="shared" ref="AC4:AC41" si="19">M4</f>
        <v>299</v>
      </c>
      <c r="AD4" s="16">
        <f t="shared" ref="AD4:AD41" si="20">R4</f>
        <v>19.900000000000002</v>
      </c>
      <c r="AE4" s="16">
        <f t="shared" ref="AE4:AE41" si="21">U4</f>
        <v>318.89999999999998</v>
      </c>
      <c r="AF4" t="str">
        <f t="shared" ref="AF4:AF41" si="22">IF(AE4&gt;750,"****","")</f>
        <v/>
      </c>
    </row>
    <row r="5" spans="1:32" x14ac:dyDescent="0.25">
      <c r="A5" t="s">
        <v>54</v>
      </c>
      <c r="B5" t="s">
        <v>22</v>
      </c>
      <c r="C5" s="8">
        <v>1</v>
      </c>
      <c r="D5" s="11">
        <v>2</v>
      </c>
      <c r="E5" t="s">
        <v>23</v>
      </c>
      <c r="F5" t="s">
        <v>21</v>
      </c>
      <c r="G5" s="12">
        <v>0</v>
      </c>
      <c r="H5" s="6" t="str">
        <f t="shared" si="0"/>
        <v>99.50</v>
      </c>
      <c r="I5">
        <f t="shared" si="5"/>
        <v>99.5</v>
      </c>
      <c r="J5">
        <f t="shared" si="6"/>
        <v>199</v>
      </c>
      <c r="K5" t="str">
        <f t="shared" si="1"/>
        <v>100</v>
      </c>
      <c r="L5">
        <f t="shared" si="7"/>
        <v>0</v>
      </c>
      <c r="M5">
        <f t="shared" si="8"/>
        <v>299</v>
      </c>
      <c r="N5" s="7" t="str">
        <f t="shared" si="9"/>
        <v>0</v>
      </c>
      <c r="O5">
        <f t="shared" si="10"/>
        <v>9.9499999999999993</v>
      </c>
      <c r="P5">
        <f t="shared" si="2"/>
        <v>0</v>
      </c>
      <c r="Q5">
        <f t="shared" si="3"/>
        <v>0</v>
      </c>
      <c r="R5" s="13">
        <f t="shared" si="11"/>
        <v>9.9499999999999993</v>
      </c>
      <c r="S5">
        <f t="shared" ref="S5:S41" si="23">IF(P5=-75,S4+1,S4)</f>
        <v>0</v>
      </c>
      <c r="T5">
        <f t="shared" ref="T5:T41" si="24">IF(Q5&lt;0,IF(B5 = "HT",T4 +0.5,T4+1),T4)</f>
        <v>0</v>
      </c>
      <c r="U5" s="4">
        <f t="shared" si="4"/>
        <v>308.95</v>
      </c>
      <c r="V5" t="str">
        <f t="shared" si="12"/>
        <v>Horseshoe Bend</v>
      </c>
      <c r="W5" t="str">
        <f t="shared" si="13"/>
        <v>Big Name Billy Boedo</v>
      </c>
      <c r="X5" s="15">
        <f t="shared" si="14"/>
        <v>2</v>
      </c>
      <c r="Y5" s="16">
        <f t="shared" si="15"/>
        <v>99.5</v>
      </c>
      <c r="Z5" s="16">
        <f t="shared" si="16"/>
        <v>199</v>
      </c>
      <c r="AA5" s="17" t="str">
        <f t="shared" si="17"/>
        <v>100</v>
      </c>
      <c r="AB5">
        <f t="shared" si="18"/>
        <v>0</v>
      </c>
      <c r="AC5" s="16">
        <f t="shared" si="19"/>
        <v>299</v>
      </c>
      <c r="AD5" s="16">
        <f t="shared" si="20"/>
        <v>9.9499999999999993</v>
      </c>
      <c r="AE5" s="16">
        <f t="shared" si="21"/>
        <v>308.95</v>
      </c>
      <c r="AF5" t="str">
        <f t="shared" si="22"/>
        <v/>
      </c>
    </row>
    <row r="6" spans="1:32" x14ac:dyDescent="0.25">
      <c r="A6" t="s">
        <v>55</v>
      </c>
      <c r="B6" t="s">
        <v>22</v>
      </c>
      <c r="C6" s="8">
        <v>1</v>
      </c>
      <c r="D6" s="11">
        <v>1</v>
      </c>
      <c r="E6" t="s">
        <v>21</v>
      </c>
      <c r="F6" t="s">
        <v>21</v>
      </c>
      <c r="G6" s="12">
        <v>21</v>
      </c>
      <c r="H6" s="6" t="str">
        <f t="shared" si="0"/>
        <v>99.50</v>
      </c>
      <c r="I6">
        <f t="shared" si="5"/>
        <v>99.5</v>
      </c>
      <c r="J6">
        <f t="shared" si="6"/>
        <v>99.5</v>
      </c>
      <c r="K6" t="str">
        <f t="shared" si="1"/>
        <v>100</v>
      </c>
      <c r="L6">
        <f t="shared" si="7"/>
        <v>21</v>
      </c>
      <c r="M6">
        <f t="shared" si="8"/>
        <v>220.5</v>
      </c>
      <c r="N6" s="7">
        <f t="shared" si="9"/>
        <v>9.9500000000000011</v>
      </c>
      <c r="O6">
        <f t="shared" si="10"/>
        <v>4.9800000000000004</v>
      </c>
      <c r="P6">
        <f t="shared" si="2"/>
        <v>0</v>
      </c>
      <c r="Q6">
        <f t="shared" si="3"/>
        <v>0</v>
      </c>
      <c r="R6" s="13">
        <f t="shared" si="11"/>
        <v>14.930000000000001</v>
      </c>
      <c r="S6">
        <f t="shared" si="23"/>
        <v>0</v>
      </c>
      <c r="T6">
        <f t="shared" si="24"/>
        <v>0</v>
      </c>
      <c r="U6" s="4">
        <f t="shared" si="4"/>
        <v>235.43</v>
      </c>
      <c r="V6" t="str">
        <f t="shared" si="12"/>
        <v>Horseshoe Bend</v>
      </c>
      <c r="W6" t="str">
        <f t="shared" si="13"/>
        <v xml:space="preserve">Youth group         </v>
      </c>
      <c r="X6" s="15">
        <f t="shared" si="14"/>
        <v>1</v>
      </c>
      <c r="Y6" s="16">
        <f t="shared" si="15"/>
        <v>99.5</v>
      </c>
      <c r="Z6" s="16">
        <f t="shared" si="16"/>
        <v>99.5</v>
      </c>
      <c r="AA6" s="17" t="str">
        <f t="shared" si="17"/>
        <v>100</v>
      </c>
      <c r="AB6">
        <f t="shared" si="18"/>
        <v>21</v>
      </c>
      <c r="AC6" s="16">
        <f t="shared" si="19"/>
        <v>220.5</v>
      </c>
      <c r="AD6" s="16">
        <f t="shared" si="20"/>
        <v>14.930000000000001</v>
      </c>
      <c r="AE6" s="16">
        <f t="shared" si="21"/>
        <v>235.43</v>
      </c>
      <c r="AF6" t="str">
        <f t="shared" si="22"/>
        <v/>
      </c>
    </row>
    <row r="7" spans="1:32" x14ac:dyDescent="0.25">
      <c r="A7" t="s">
        <v>56</v>
      </c>
      <c r="B7" t="s">
        <v>22</v>
      </c>
      <c r="C7" s="8">
        <v>1</v>
      </c>
      <c r="D7" s="11">
        <v>1</v>
      </c>
      <c r="E7" t="s">
        <v>23</v>
      </c>
      <c r="F7" t="s">
        <v>21</v>
      </c>
      <c r="G7" s="12">
        <v>0</v>
      </c>
      <c r="H7" s="6" t="str">
        <f t="shared" si="0"/>
        <v>99.50</v>
      </c>
      <c r="I7">
        <f t="shared" si="5"/>
        <v>99.5</v>
      </c>
      <c r="J7">
        <f t="shared" si="6"/>
        <v>99.5</v>
      </c>
      <c r="K7" t="str">
        <f t="shared" si="1"/>
        <v>100</v>
      </c>
      <c r="L7">
        <f t="shared" si="7"/>
        <v>0</v>
      </c>
      <c r="M7">
        <f t="shared" si="8"/>
        <v>199.5</v>
      </c>
      <c r="N7" s="7" t="str">
        <f t="shared" si="9"/>
        <v>0</v>
      </c>
      <c r="O7">
        <f t="shared" si="10"/>
        <v>4.9800000000000004</v>
      </c>
      <c r="P7">
        <f t="shared" si="2"/>
        <v>0</v>
      </c>
      <c r="Q7">
        <f t="shared" si="3"/>
        <v>0</v>
      </c>
      <c r="R7" s="13">
        <f t="shared" si="11"/>
        <v>4.9800000000000004</v>
      </c>
      <c r="S7">
        <f t="shared" si="23"/>
        <v>0</v>
      </c>
      <c r="T7">
        <f t="shared" si="24"/>
        <v>0</v>
      </c>
      <c r="U7" s="4">
        <f t="shared" si="4"/>
        <v>204.48</v>
      </c>
      <c r="V7" t="str">
        <f t="shared" si="12"/>
        <v>Horseshoe Bend</v>
      </c>
      <c r="W7" t="str">
        <f t="shared" si="13"/>
        <v xml:space="preserve">Steve Wonder        </v>
      </c>
      <c r="X7" s="15">
        <f t="shared" si="14"/>
        <v>1</v>
      </c>
      <c r="Y7" s="16">
        <f t="shared" si="15"/>
        <v>99.5</v>
      </c>
      <c r="Z7" s="16">
        <f t="shared" si="16"/>
        <v>99.5</v>
      </c>
      <c r="AA7" s="17" t="str">
        <f t="shared" si="17"/>
        <v>100</v>
      </c>
      <c r="AB7">
        <f t="shared" si="18"/>
        <v>0</v>
      </c>
      <c r="AC7" s="16">
        <f t="shared" si="19"/>
        <v>199.5</v>
      </c>
      <c r="AD7" s="16">
        <f t="shared" si="20"/>
        <v>4.9800000000000004</v>
      </c>
      <c r="AE7" s="16">
        <f t="shared" si="21"/>
        <v>204.48</v>
      </c>
      <c r="AF7" t="str">
        <f t="shared" si="22"/>
        <v/>
      </c>
    </row>
    <row r="8" spans="1:32" x14ac:dyDescent="0.25">
      <c r="A8" t="s">
        <v>57</v>
      </c>
      <c r="B8" t="s">
        <v>22</v>
      </c>
      <c r="C8" s="8">
        <v>9</v>
      </c>
      <c r="D8" s="11">
        <v>99</v>
      </c>
      <c r="E8" t="s">
        <v>21</v>
      </c>
      <c r="F8" t="s">
        <v>21</v>
      </c>
      <c r="G8" s="12">
        <v>99.99</v>
      </c>
      <c r="H8" s="6" t="str">
        <f t="shared" si="0"/>
        <v>99.50</v>
      </c>
      <c r="I8">
        <f t="shared" si="5"/>
        <v>895.5</v>
      </c>
      <c r="J8">
        <f t="shared" si="6"/>
        <v>88654.5</v>
      </c>
      <c r="K8" t="str">
        <f t="shared" si="1"/>
        <v>100</v>
      </c>
      <c r="L8">
        <f t="shared" si="7"/>
        <v>9899.01</v>
      </c>
      <c r="M8">
        <f t="shared" si="8"/>
        <v>98653.51</v>
      </c>
      <c r="N8" s="7">
        <f t="shared" si="9"/>
        <v>8865.4500000000007</v>
      </c>
      <c r="O8">
        <f t="shared" si="10"/>
        <v>4432.7299999999996</v>
      </c>
      <c r="P8">
        <f t="shared" si="2"/>
        <v>0</v>
      </c>
      <c r="Q8">
        <f t="shared" si="3"/>
        <v>0</v>
      </c>
      <c r="R8" s="13">
        <f t="shared" si="11"/>
        <v>13298.18</v>
      </c>
      <c r="S8">
        <f t="shared" si="23"/>
        <v>0</v>
      </c>
      <c r="T8">
        <f t="shared" si="24"/>
        <v>0</v>
      </c>
      <c r="U8" s="4">
        <f t="shared" si="4"/>
        <v>111951.69</v>
      </c>
      <c r="V8" t="str">
        <f t="shared" si="12"/>
        <v>Horseshoe Bend</v>
      </c>
      <c r="W8" t="str">
        <f t="shared" si="13"/>
        <v xml:space="preserve">Adelle              </v>
      </c>
      <c r="X8" s="15">
        <f t="shared" si="14"/>
        <v>99</v>
      </c>
      <c r="Y8" s="16">
        <f t="shared" si="15"/>
        <v>895.5</v>
      </c>
      <c r="Z8" s="16">
        <f t="shared" si="16"/>
        <v>88654.5</v>
      </c>
      <c r="AA8" s="17" t="str">
        <f t="shared" si="17"/>
        <v>100</v>
      </c>
      <c r="AB8">
        <f t="shared" si="18"/>
        <v>9899.01</v>
      </c>
      <c r="AC8" s="16">
        <f t="shared" si="19"/>
        <v>98653.51</v>
      </c>
      <c r="AD8" s="16">
        <f t="shared" si="20"/>
        <v>13298.18</v>
      </c>
      <c r="AE8" s="16">
        <f t="shared" si="21"/>
        <v>111951.69</v>
      </c>
      <c r="AF8" t="str">
        <f t="shared" si="22"/>
        <v>****</v>
      </c>
    </row>
    <row r="9" spans="1:32" x14ac:dyDescent="0.25">
      <c r="A9" t="s">
        <v>58</v>
      </c>
      <c r="B9" t="s">
        <v>24</v>
      </c>
      <c r="C9" s="8">
        <v>3</v>
      </c>
      <c r="D9" s="11">
        <v>7</v>
      </c>
      <c r="E9" t="s">
        <v>21</v>
      </c>
      <c r="F9" t="s">
        <v>23</v>
      </c>
      <c r="G9" s="12">
        <v>0</v>
      </c>
      <c r="H9" s="6" t="str">
        <f t="shared" si="0"/>
        <v>188.00</v>
      </c>
      <c r="I9">
        <f t="shared" si="5"/>
        <v>564</v>
      </c>
      <c r="J9">
        <f t="shared" si="6"/>
        <v>3948</v>
      </c>
      <c r="K9" t="str">
        <f t="shared" si="1"/>
        <v>150</v>
      </c>
      <c r="L9">
        <f t="shared" si="7"/>
        <v>0</v>
      </c>
      <c r="M9">
        <f t="shared" si="8"/>
        <v>4098</v>
      </c>
      <c r="N9" s="7">
        <f t="shared" si="9"/>
        <v>394.8</v>
      </c>
      <c r="O9">
        <f t="shared" si="10"/>
        <v>0</v>
      </c>
      <c r="P9">
        <f t="shared" si="2"/>
        <v>0</v>
      </c>
      <c r="Q9">
        <f t="shared" si="3"/>
        <v>-564</v>
      </c>
      <c r="R9" s="13">
        <f t="shared" si="11"/>
        <v>-169.2</v>
      </c>
      <c r="S9">
        <f t="shared" si="23"/>
        <v>0</v>
      </c>
      <c r="T9">
        <f t="shared" si="24"/>
        <v>1</v>
      </c>
      <c r="U9" s="4">
        <f t="shared" si="4"/>
        <v>3928.8</v>
      </c>
      <c r="V9" t="str">
        <f t="shared" si="12"/>
        <v>Osage Beach</v>
      </c>
      <c r="W9" t="str">
        <f t="shared" si="13"/>
        <v xml:space="preserve">David Amos          </v>
      </c>
      <c r="X9" s="15">
        <f t="shared" si="14"/>
        <v>7</v>
      </c>
      <c r="Y9" s="16">
        <f t="shared" si="15"/>
        <v>564</v>
      </c>
      <c r="Z9" s="16">
        <f t="shared" si="16"/>
        <v>3948</v>
      </c>
      <c r="AA9" s="17" t="str">
        <f t="shared" si="17"/>
        <v>150</v>
      </c>
      <c r="AB9">
        <f t="shared" si="18"/>
        <v>0</v>
      </c>
      <c r="AC9" s="16">
        <f t="shared" si="19"/>
        <v>4098</v>
      </c>
      <c r="AD9" s="16">
        <f t="shared" si="20"/>
        <v>-169.2</v>
      </c>
      <c r="AE9" s="16">
        <f t="shared" si="21"/>
        <v>3928.8</v>
      </c>
      <c r="AF9" t="str">
        <f t="shared" si="22"/>
        <v>****</v>
      </c>
    </row>
    <row r="10" spans="1:32" x14ac:dyDescent="0.25">
      <c r="A10" t="s">
        <v>59</v>
      </c>
      <c r="B10" t="s">
        <v>24</v>
      </c>
      <c r="C10" s="8">
        <v>9</v>
      </c>
      <c r="D10" s="11">
        <v>99</v>
      </c>
      <c r="E10" t="s">
        <v>21</v>
      </c>
      <c r="F10" t="s">
        <v>23</v>
      </c>
      <c r="G10" s="12">
        <v>0</v>
      </c>
      <c r="H10" s="6" t="str">
        <f t="shared" si="0"/>
        <v>188.00</v>
      </c>
      <c r="I10">
        <f t="shared" si="5"/>
        <v>1692</v>
      </c>
      <c r="J10">
        <f t="shared" si="6"/>
        <v>167508</v>
      </c>
      <c r="K10" t="str">
        <f t="shared" si="1"/>
        <v>150</v>
      </c>
      <c r="L10">
        <f t="shared" si="7"/>
        <v>0</v>
      </c>
      <c r="M10">
        <f t="shared" si="8"/>
        <v>167658</v>
      </c>
      <c r="N10" s="7">
        <f t="shared" si="9"/>
        <v>16750.8</v>
      </c>
      <c r="O10">
        <f t="shared" si="10"/>
        <v>0</v>
      </c>
      <c r="P10">
        <f t="shared" si="2"/>
        <v>0</v>
      </c>
      <c r="Q10">
        <f t="shared" si="3"/>
        <v>-1692</v>
      </c>
      <c r="R10" s="13">
        <f t="shared" si="11"/>
        <v>15058.8</v>
      </c>
      <c r="S10">
        <f t="shared" si="23"/>
        <v>0</v>
      </c>
      <c r="T10">
        <f t="shared" si="24"/>
        <v>2</v>
      </c>
      <c r="U10" s="4">
        <f t="shared" si="4"/>
        <v>182716.79999999999</v>
      </c>
      <c r="V10" t="str">
        <f t="shared" si="12"/>
        <v>Osage Beach</v>
      </c>
      <c r="W10" t="str">
        <f t="shared" si="13"/>
        <v xml:space="preserve">Forigner            </v>
      </c>
      <c r="X10" s="15">
        <f t="shared" si="14"/>
        <v>99</v>
      </c>
      <c r="Y10" s="16">
        <f t="shared" si="15"/>
        <v>1692</v>
      </c>
      <c r="Z10" s="16">
        <f t="shared" si="16"/>
        <v>167508</v>
      </c>
      <c r="AA10" s="17" t="str">
        <f t="shared" si="17"/>
        <v>150</v>
      </c>
      <c r="AB10">
        <f t="shared" si="18"/>
        <v>0</v>
      </c>
      <c r="AC10" s="16">
        <f t="shared" si="19"/>
        <v>167658</v>
      </c>
      <c r="AD10" s="16">
        <f t="shared" si="20"/>
        <v>15058.8</v>
      </c>
      <c r="AE10" s="16">
        <f t="shared" si="21"/>
        <v>182716.79999999999</v>
      </c>
      <c r="AF10" t="str">
        <f t="shared" si="22"/>
        <v>****</v>
      </c>
    </row>
    <row r="11" spans="1:32" x14ac:dyDescent="0.25">
      <c r="A11" t="s">
        <v>60</v>
      </c>
      <c r="B11" t="s">
        <v>24</v>
      </c>
      <c r="C11" s="8">
        <v>1</v>
      </c>
      <c r="D11" s="11">
        <v>1</v>
      </c>
      <c r="E11" t="s">
        <v>23</v>
      </c>
      <c r="F11" t="s">
        <v>21</v>
      </c>
      <c r="G11" s="12">
        <v>0</v>
      </c>
      <c r="H11" s="6" t="str">
        <f t="shared" si="0"/>
        <v>188.00</v>
      </c>
      <c r="I11">
        <f t="shared" si="5"/>
        <v>188</v>
      </c>
      <c r="J11">
        <f t="shared" si="6"/>
        <v>188</v>
      </c>
      <c r="K11" t="str">
        <f t="shared" si="1"/>
        <v>150</v>
      </c>
      <c r="L11">
        <f t="shared" si="7"/>
        <v>0</v>
      </c>
      <c r="M11">
        <f t="shared" si="8"/>
        <v>338</v>
      </c>
      <c r="N11" s="7" t="str">
        <f t="shared" si="9"/>
        <v>0</v>
      </c>
      <c r="O11">
        <f t="shared" si="10"/>
        <v>0</v>
      </c>
      <c r="P11">
        <f t="shared" si="2"/>
        <v>0</v>
      </c>
      <c r="Q11">
        <f t="shared" si="3"/>
        <v>0</v>
      </c>
      <c r="R11" s="13">
        <f t="shared" si="11"/>
        <v>0</v>
      </c>
      <c r="S11">
        <f t="shared" si="23"/>
        <v>0</v>
      </c>
      <c r="T11">
        <f t="shared" si="24"/>
        <v>2</v>
      </c>
      <c r="U11" s="4">
        <f t="shared" si="4"/>
        <v>338</v>
      </c>
      <c r="V11" t="str">
        <f t="shared" si="12"/>
        <v>Osage Beach</v>
      </c>
      <c r="W11" t="str">
        <f t="shared" si="13"/>
        <v xml:space="preserve">Journey             </v>
      </c>
      <c r="X11" s="15">
        <f t="shared" si="14"/>
        <v>1</v>
      </c>
      <c r="Y11" s="16">
        <f t="shared" si="15"/>
        <v>188</v>
      </c>
      <c r="Z11" s="16">
        <f t="shared" si="16"/>
        <v>188</v>
      </c>
      <c r="AA11" s="17" t="str">
        <f t="shared" si="17"/>
        <v>150</v>
      </c>
      <c r="AB11">
        <f t="shared" si="18"/>
        <v>0</v>
      </c>
      <c r="AC11" s="16">
        <f t="shared" si="19"/>
        <v>338</v>
      </c>
      <c r="AD11" s="16">
        <f t="shared" si="20"/>
        <v>0</v>
      </c>
      <c r="AE11" s="16">
        <f t="shared" si="21"/>
        <v>338</v>
      </c>
      <c r="AF11" t="str">
        <f t="shared" si="22"/>
        <v/>
      </c>
    </row>
    <row r="12" spans="1:32" x14ac:dyDescent="0.25">
      <c r="A12" t="s">
        <v>61</v>
      </c>
      <c r="B12" t="s">
        <v>24</v>
      </c>
      <c r="C12" s="8">
        <v>1</v>
      </c>
      <c r="D12" s="11">
        <v>1</v>
      </c>
      <c r="E12" t="s">
        <v>21</v>
      </c>
      <c r="F12" t="s">
        <v>23</v>
      </c>
      <c r="G12" s="12">
        <v>10</v>
      </c>
      <c r="H12" s="9" t="str">
        <f t="shared" si="0"/>
        <v>188.00</v>
      </c>
      <c r="I12">
        <f t="shared" si="5"/>
        <v>188</v>
      </c>
      <c r="J12">
        <f t="shared" si="6"/>
        <v>188</v>
      </c>
      <c r="K12" t="str">
        <f t="shared" si="1"/>
        <v>150</v>
      </c>
      <c r="L12">
        <f t="shared" si="7"/>
        <v>10</v>
      </c>
      <c r="M12">
        <f t="shared" si="8"/>
        <v>348</v>
      </c>
      <c r="N12" s="7">
        <f t="shared" si="9"/>
        <v>18.8</v>
      </c>
      <c r="O12">
        <f t="shared" si="10"/>
        <v>0</v>
      </c>
      <c r="P12">
        <f t="shared" si="2"/>
        <v>0</v>
      </c>
      <c r="Q12">
        <f t="shared" si="3"/>
        <v>0</v>
      </c>
      <c r="R12" s="13">
        <f t="shared" si="11"/>
        <v>18.8</v>
      </c>
      <c r="S12">
        <f t="shared" si="23"/>
        <v>0</v>
      </c>
      <c r="T12">
        <f t="shared" si="24"/>
        <v>2</v>
      </c>
      <c r="U12" s="10">
        <f t="shared" si="4"/>
        <v>366.8</v>
      </c>
      <c r="V12" t="str">
        <f t="shared" si="12"/>
        <v>Osage Beach</v>
      </c>
      <c r="W12" t="str">
        <f t="shared" si="13"/>
        <v xml:space="preserve">CCR                 </v>
      </c>
      <c r="X12" s="15">
        <f t="shared" si="14"/>
        <v>1</v>
      </c>
      <c r="Y12" s="16">
        <f t="shared" si="15"/>
        <v>188</v>
      </c>
      <c r="Z12" s="16">
        <f t="shared" si="16"/>
        <v>188</v>
      </c>
      <c r="AA12" s="17" t="str">
        <f t="shared" si="17"/>
        <v>150</v>
      </c>
      <c r="AB12">
        <f t="shared" si="18"/>
        <v>10</v>
      </c>
      <c r="AC12" s="16">
        <f t="shared" si="19"/>
        <v>348</v>
      </c>
      <c r="AD12" s="16">
        <f t="shared" si="20"/>
        <v>18.8</v>
      </c>
      <c r="AE12" s="16">
        <f t="shared" si="21"/>
        <v>366.8</v>
      </c>
      <c r="AF12" t="str">
        <f t="shared" si="22"/>
        <v/>
      </c>
    </row>
    <row r="13" spans="1:32" x14ac:dyDescent="0.25">
      <c r="A13" t="s">
        <v>62</v>
      </c>
      <c r="B13" t="s">
        <v>25</v>
      </c>
      <c r="C13" s="8">
        <v>9</v>
      </c>
      <c r="D13" s="11">
        <v>1</v>
      </c>
      <c r="E13" t="s">
        <v>21</v>
      </c>
      <c r="F13" t="s">
        <v>23</v>
      </c>
      <c r="G13" s="12">
        <v>0</v>
      </c>
      <c r="H13" s="9" t="str">
        <f t="shared" ref="H13:H19" si="25">IF((B13="HB"),"99.50",IF((B13="OB"),"188.00",IF((B13="PP"),"50.00",IF((B13="RB"),"62.10",IF((B13="SB"),"100.00",IF((B13="L"),"76.35",IF((B13="HT"),"50.00",IF((B13="CP"),"125.00","ERROR!"))))))))</f>
        <v>50.00</v>
      </c>
      <c r="I13">
        <f t="shared" ref="I13:I19" si="26">C13*H13</f>
        <v>450</v>
      </c>
      <c r="J13">
        <f t="shared" ref="J13:J19" si="27">D13*I13</f>
        <v>450</v>
      </c>
      <c r="K13" t="str">
        <f t="shared" ref="K13:K19" si="28">IF((B13="HB"),"100",IF((B13="OB"),"150",IF((B13="PP"),"75",IF((B13="RB"),"75",IF((B13="SB"),"150",IF((B13="L"),"0",IF((B13="HT"),"100",IF((B13="CP"),"0","ERROR!"))))))))</f>
        <v>75</v>
      </c>
      <c r="L13">
        <f t="shared" ref="L13:L19" si="29">G13*D13</f>
        <v>0</v>
      </c>
      <c r="M13">
        <f t="shared" ref="M13:M19" si="30">SUM(J13+K13+L13)</f>
        <v>525</v>
      </c>
      <c r="N13" s="7" t="str">
        <f t="shared" ref="N13:N19" si="31">IF(AND(OR(B13="HB",B13="OB",B13="SB"),E13="Y"),SUM(J13*0.1),"0")</f>
        <v>0</v>
      </c>
      <c r="O13">
        <f t="shared" ref="O13:O19" si="32">ROUND(IF(AND(OR(B13="HB",B13="L"),F13="Y"),IF(B13="HB",J13*0.05,IF((B13="L"),J13*0.075,0))),2)</f>
        <v>0</v>
      </c>
      <c r="P13">
        <f t="shared" si="2"/>
        <v>0</v>
      </c>
      <c r="Q13">
        <f t="shared" si="3"/>
        <v>0</v>
      </c>
      <c r="R13" s="13">
        <f t="shared" si="11"/>
        <v>0</v>
      </c>
      <c r="S13">
        <f t="shared" si="23"/>
        <v>0</v>
      </c>
      <c r="T13">
        <f t="shared" si="24"/>
        <v>2</v>
      </c>
      <c r="U13" s="10">
        <f t="shared" ref="U13:U19" si="33">M13+R13</f>
        <v>525</v>
      </c>
      <c r="V13" t="str">
        <f t="shared" si="12"/>
        <v>Pistol Point</v>
      </c>
      <c r="W13" t="str">
        <f t="shared" si="13"/>
        <v xml:space="preserve">Bo                  </v>
      </c>
      <c r="X13" s="15">
        <f t="shared" si="14"/>
        <v>1</v>
      </c>
      <c r="Y13" s="16">
        <f t="shared" si="15"/>
        <v>450</v>
      </c>
      <c r="Z13" s="16">
        <f t="shared" si="16"/>
        <v>450</v>
      </c>
      <c r="AA13" s="17" t="str">
        <f t="shared" si="17"/>
        <v>75</v>
      </c>
      <c r="AB13">
        <f t="shared" si="18"/>
        <v>0</v>
      </c>
      <c r="AC13" s="16">
        <f t="shared" si="19"/>
        <v>525</v>
      </c>
      <c r="AD13" s="16">
        <f t="shared" si="20"/>
        <v>0</v>
      </c>
      <c r="AE13" s="16">
        <f t="shared" si="21"/>
        <v>525</v>
      </c>
      <c r="AF13" t="str">
        <f t="shared" si="22"/>
        <v/>
      </c>
    </row>
    <row r="14" spans="1:32" x14ac:dyDescent="0.25">
      <c r="A14" t="s">
        <v>63</v>
      </c>
      <c r="B14" t="s">
        <v>25</v>
      </c>
      <c r="C14" s="8">
        <v>1</v>
      </c>
      <c r="D14" s="11">
        <v>99</v>
      </c>
      <c r="E14" t="s">
        <v>23</v>
      </c>
      <c r="F14" t="s">
        <v>21</v>
      </c>
      <c r="G14" s="12">
        <v>99.99</v>
      </c>
      <c r="H14" s="9" t="str">
        <f t="shared" si="25"/>
        <v>50.00</v>
      </c>
      <c r="I14">
        <f t="shared" si="26"/>
        <v>50</v>
      </c>
      <c r="J14">
        <f t="shared" si="27"/>
        <v>4950</v>
      </c>
      <c r="K14" t="str">
        <f t="shared" si="28"/>
        <v>75</v>
      </c>
      <c r="L14">
        <f t="shared" si="29"/>
        <v>9899.01</v>
      </c>
      <c r="M14">
        <f t="shared" si="30"/>
        <v>14924.01</v>
      </c>
      <c r="N14" s="7" t="str">
        <f t="shared" si="31"/>
        <v>0</v>
      </c>
      <c r="O14">
        <f t="shared" si="32"/>
        <v>0</v>
      </c>
      <c r="P14">
        <f t="shared" si="2"/>
        <v>0</v>
      </c>
      <c r="Q14">
        <f t="shared" si="3"/>
        <v>0</v>
      </c>
      <c r="R14" s="13">
        <f t="shared" si="11"/>
        <v>0</v>
      </c>
      <c r="S14">
        <f t="shared" si="23"/>
        <v>0</v>
      </c>
      <c r="T14">
        <f t="shared" si="24"/>
        <v>2</v>
      </c>
      <c r="U14" s="10">
        <f t="shared" si="33"/>
        <v>14924.01</v>
      </c>
      <c r="V14" t="str">
        <f t="shared" si="12"/>
        <v>Pistol Point</v>
      </c>
      <c r="W14" t="str">
        <f t="shared" si="13"/>
        <v xml:space="preserve">Mr. Big Guy         </v>
      </c>
      <c r="X14" s="15">
        <f t="shared" si="14"/>
        <v>99</v>
      </c>
      <c r="Y14" s="16">
        <f t="shared" si="15"/>
        <v>50</v>
      </c>
      <c r="Z14" s="16">
        <f t="shared" si="16"/>
        <v>4950</v>
      </c>
      <c r="AA14" s="17" t="str">
        <f t="shared" si="17"/>
        <v>75</v>
      </c>
      <c r="AB14">
        <f t="shared" si="18"/>
        <v>9899.01</v>
      </c>
      <c r="AC14" s="16">
        <f t="shared" si="19"/>
        <v>14924.01</v>
      </c>
      <c r="AD14" s="16">
        <f t="shared" si="20"/>
        <v>0</v>
      </c>
      <c r="AE14" s="16">
        <f t="shared" si="21"/>
        <v>14924.01</v>
      </c>
      <c r="AF14" t="str">
        <f t="shared" si="22"/>
        <v>****</v>
      </c>
    </row>
    <row r="15" spans="1:32" x14ac:dyDescent="0.25">
      <c r="A15" t="s">
        <v>64</v>
      </c>
      <c r="B15" t="s">
        <v>25</v>
      </c>
      <c r="C15" s="8">
        <v>1</v>
      </c>
      <c r="D15" s="11">
        <v>1</v>
      </c>
      <c r="E15" t="s">
        <v>23</v>
      </c>
      <c r="F15" t="s">
        <v>23</v>
      </c>
      <c r="G15" s="12">
        <v>10</v>
      </c>
      <c r="H15" s="9" t="str">
        <f t="shared" si="25"/>
        <v>50.00</v>
      </c>
      <c r="I15">
        <f t="shared" si="26"/>
        <v>50</v>
      </c>
      <c r="J15">
        <f t="shared" si="27"/>
        <v>50</v>
      </c>
      <c r="K15" t="str">
        <f t="shared" si="28"/>
        <v>75</v>
      </c>
      <c r="L15">
        <f t="shared" si="29"/>
        <v>10</v>
      </c>
      <c r="M15">
        <f t="shared" si="30"/>
        <v>135</v>
      </c>
      <c r="N15" s="7" t="str">
        <f t="shared" si="31"/>
        <v>0</v>
      </c>
      <c r="O15">
        <f t="shared" si="32"/>
        <v>0</v>
      </c>
      <c r="P15">
        <f t="shared" si="2"/>
        <v>0</v>
      </c>
      <c r="Q15">
        <f t="shared" si="3"/>
        <v>0</v>
      </c>
      <c r="R15" s="13">
        <f t="shared" si="11"/>
        <v>0</v>
      </c>
      <c r="S15">
        <f t="shared" si="23"/>
        <v>0</v>
      </c>
      <c r="T15">
        <f t="shared" si="24"/>
        <v>2</v>
      </c>
      <c r="U15" s="10">
        <f t="shared" si="33"/>
        <v>135</v>
      </c>
      <c r="V15" t="str">
        <f t="shared" si="12"/>
        <v>Pistol Point</v>
      </c>
      <c r="W15" t="str">
        <f t="shared" si="13"/>
        <v xml:space="preserve">La-a                </v>
      </c>
      <c r="X15" s="15">
        <f t="shared" si="14"/>
        <v>1</v>
      </c>
      <c r="Y15" s="16">
        <f t="shared" si="15"/>
        <v>50</v>
      </c>
      <c r="Z15" s="16">
        <f t="shared" si="16"/>
        <v>50</v>
      </c>
      <c r="AA15" s="17" t="str">
        <f t="shared" si="17"/>
        <v>75</v>
      </c>
      <c r="AB15">
        <f t="shared" si="18"/>
        <v>10</v>
      </c>
      <c r="AC15" s="16">
        <f t="shared" si="19"/>
        <v>135</v>
      </c>
      <c r="AD15" s="16">
        <f t="shared" si="20"/>
        <v>0</v>
      </c>
      <c r="AE15" s="16">
        <f t="shared" si="21"/>
        <v>135</v>
      </c>
      <c r="AF15" t="str">
        <f t="shared" si="22"/>
        <v/>
      </c>
    </row>
    <row r="16" spans="1:32" x14ac:dyDescent="0.25">
      <c r="A16" t="s">
        <v>65</v>
      </c>
      <c r="B16" t="s">
        <v>25</v>
      </c>
      <c r="C16" s="8">
        <v>9</v>
      </c>
      <c r="D16" s="11">
        <v>99</v>
      </c>
      <c r="E16" t="s">
        <v>21</v>
      </c>
      <c r="F16" t="s">
        <v>21</v>
      </c>
      <c r="G16" s="12">
        <v>0</v>
      </c>
      <c r="H16" s="9" t="str">
        <f t="shared" si="25"/>
        <v>50.00</v>
      </c>
      <c r="I16">
        <f t="shared" si="26"/>
        <v>450</v>
      </c>
      <c r="J16">
        <f t="shared" si="27"/>
        <v>44550</v>
      </c>
      <c r="K16" t="str">
        <f t="shared" si="28"/>
        <v>75</v>
      </c>
      <c r="L16">
        <f t="shared" si="29"/>
        <v>0</v>
      </c>
      <c r="M16">
        <f t="shared" si="30"/>
        <v>44625</v>
      </c>
      <c r="N16" s="7" t="str">
        <f t="shared" si="31"/>
        <v>0</v>
      </c>
      <c r="O16">
        <f t="shared" si="32"/>
        <v>0</v>
      </c>
      <c r="P16">
        <f t="shared" si="2"/>
        <v>0</v>
      </c>
      <c r="Q16">
        <f t="shared" si="3"/>
        <v>0</v>
      </c>
      <c r="R16" s="13">
        <f t="shared" si="11"/>
        <v>0</v>
      </c>
      <c r="S16">
        <f t="shared" si="23"/>
        <v>0</v>
      </c>
      <c r="T16">
        <f t="shared" si="24"/>
        <v>2</v>
      </c>
      <c r="U16" s="10">
        <f t="shared" si="33"/>
        <v>44625</v>
      </c>
      <c r="V16" t="str">
        <f t="shared" si="12"/>
        <v>Pistol Point</v>
      </c>
      <c r="W16" t="str">
        <f t="shared" si="13"/>
        <v xml:space="preserve">Mama Mia            </v>
      </c>
      <c r="X16" s="15">
        <f t="shared" si="14"/>
        <v>99</v>
      </c>
      <c r="Y16" s="16">
        <f t="shared" si="15"/>
        <v>450</v>
      </c>
      <c r="Z16" s="16">
        <f t="shared" si="16"/>
        <v>44550</v>
      </c>
      <c r="AA16" s="17" t="str">
        <f t="shared" si="17"/>
        <v>75</v>
      </c>
      <c r="AB16">
        <f t="shared" si="18"/>
        <v>0</v>
      </c>
      <c r="AC16" s="16">
        <f t="shared" si="19"/>
        <v>44625</v>
      </c>
      <c r="AD16" s="16">
        <f t="shared" si="20"/>
        <v>0</v>
      </c>
      <c r="AE16" s="16">
        <f t="shared" si="21"/>
        <v>44625</v>
      </c>
      <c r="AF16" t="str">
        <f t="shared" si="22"/>
        <v>****</v>
      </c>
    </row>
    <row r="17" spans="1:32" x14ac:dyDescent="0.25">
      <c r="A17" t="s">
        <v>66</v>
      </c>
      <c r="B17" t="s">
        <v>26</v>
      </c>
      <c r="C17" s="8">
        <v>2</v>
      </c>
      <c r="D17" s="11">
        <v>5</v>
      </c>
      <c r="E17" t="s">
        <v>21</v>
      </c>
      <c r="F17" t="s">
        <v>23</v>
      </c>
      <c r="G17" s="12">
        <v>4</v>
      </c>
      <c r="H17" s="9" t="str">
        <f t="shared" si="25"/>
        <v>62.10</v>
      </c>
      <c r="I17">
        <f t="shared" si="26"/>
        <v>124.2</v>
      </c>
      <c r="J17">
        <f t="shared" si="27"/>
        <v>621</v>
      </c>
      <c r="K17" t="str">
        <f t="shared" si="28"/>
        <v>75</v>
      </c>
      <c r="L17">
        <f t="shared" si="29"/>
        <v>20</v>
      </c>
      <c r="M17">
        <f t="shared" si="30"/>
        <v>716</v>
      </c>
      <c r="N17" s="7" t="str">
        <f t="shared" si="31"/>
        <v>0</v>
      </c>
      <c r="O17">
        <f t="shared" si="32"/>
        <v>0</v>
      </c>
      <c r="P17">
        <f>IF(B17="RB",IF(D17&gt;5,-75,0),0)</f>
        <v>0</v>
      </c>
      <c r="Q17">
        <f t="shared" si="3"/>
        <v>0</v>
      </c>
      <c r="R17" s="13">
        <f t="shared" si="11"/>
        <v>0</v>
      </c>
      <c r="S17">
        <f t="shared" si="23"/>
        <v>0</v>
      </c>
      <c r="T17">
        <f t="shared" si="24"/>
        <v>2</v>
      </c>
      <c r="U17" s="10">
        <f t="shared" si="33"/>
        <v>716</v>
      </c>
      <c r="V17" t="str">
        <f t="shared" si="12"/>
        <v>Regatta Bay</v>
      </c>
      <c r="W17" t="str">
        <f t="shared" si="13"/>
        <v xml:space="preserve">Here we go again    </v>
      </c>
      <c r="X17" s="15">
        <f t="shared" si="14"/>
        <v>5</v>
      </c>
      <c r="Y17" s="16">
        <f t="shared" si="15"/>
        <v>124.2</v>
      </c>
      <c r="Z17" s="16">
        <f t="shared" si="16"/>
        <v>621</v>
      </c>
      <c r="AA17" s="17" t="str">
        <f t="shared" si="17"/>
        <v>75</v>
      </c>
      <c r="AB17">
        <f t="shared" si="18"/>
        <v>20</v>
      </c>
      <c r="AC17" s="16">
        <f t="shared" si="19"/>
        <v>716</v>
      </c>
      <c r="AD17" s="16">
        <f t="shared" si="20"/>
        <v>0</v>
      </c>
      <c r="AE17" s="16">
        <f t="shared" si="21"/>
        <v>716</v>
      </c>
      <c r="AF17" t="str">
        <f t="shared" si="22"/>
        <v/>
      </c>
    </row>
    <row r="18" spans="1:32" x14ac:dyDescent="0.25">
      <c r="A18" t="s">
        <v>67</v>
      </c>
      <c r="B18" t="s">
        <v>26</v>
      </c>
      <c r="C18" s="8">
        <v>3</v>
      </c>
      <c r="D18" s="11">
        <v>1</v>
      </c>
      <c r="E18" t="s">
        <v>23</v>
      </c>
      <c r="F18" t="s">
        <v>23</v>
      </c>
      <c r="G18" s="12">
        <v>0</v>
      </c>
      <c r="H18" s="9" t="str">
        <f t="shared" si="25"/>
        <v>62.10</v>
      </c>
      <c r="I18">
        <f t="shared" si="26"/>
        <v>186.3</v>
      </c>
      <c r="J18">
        <f t="shared" si="27"/>
        <v>186.3</v>
      </c>
      <c r="K18" t="str">
        <f t="shared" si="28"/>
        <v>75</v>
      </c>
      <c r="L18">
        <f t="shared" si="29"/>
        <v>0</v>
      </c>
      <c r="M18">
        <f t="shared" si="30"/>
        <v>261.3</v>
      </c>
      <c r="N18" s="7" t="str">
        <f t="shared" si="31"/>
        <v>0</v>
      </c>
      <c r="O18">
        <f t="shared" si="32"/>
        <v>0</v>
      </c>
      <c r="P18">
        <f t="shared" ref="P18:P41" si="34">IF(B18="RB",IF(D18&gt;5,-75,0),0)</f>
        <v>0</v>
      </c>
      <c r="Q18">
        <f t="shared" si="3"/>
        <v>0</v>
      </c>
      <c r="R18" s="13">
        <f t="shared" si="11"/>
        <v>0</v>
      </c>
      <c r="S18">
        <f t="shared" si="23"/>
        <v>0</v>
      </c>
      <c r="T18">
        <f t="shared" si="24"/>
        <v>2</v>
      </c>
      <c r="U18" s="10">
        <f t="shared" si="33"/>
        <v>261.3</v>
      </c>
      <c r="V18" t="str">
        <f t="shared" si="12"/>
        <v>Regatta Bay</v>
      </c>
      <c r="W18" t="str">
        <f t="shared" si="13"/>
        <v xml:space="preserve">White Snakes        </v>
      </c>
      <c r="X18" s="15">
        <f t="shared" si="14"/>
        <v>1</v>
      </c>
      <c r="Y18" s="16">
        <f t="shared" si="15"/>
        <v>186.3</v>
      </c>
      <c r="Z18" s="16">
        <f t="shared" si="16"/>
        <v>186.3</v>
      </c>
      <c r="AA18" s="17" t="str">
        <f t="shared" si="17"/>
        <v>75</v>
      </c>
      <c r="AB18">
        <f t="shared" si="18"/>
        <v>0</v>
      </c>
      <c r="AC18" s="16">
        <f t="shared" si="19"/>
        <v>261.3</v>
      </c>
      <c r="AD18" s="16">
        <f t="shared" si="20"/>
        <v>0</v>
      </c>
      <c r="AE18" s="16">
        <f t="shared" si="21"/>
        <v>261.3</v>
      </c>
      <c r="AF18" t="str">
        <f t="shared" si="22"/>
        <v/>
      </c>
    </row>
    <row r="19" spans="1:32" x14ac:dyDescent="0.25">
      <c r="A19" t="s">
        <v>68</v>
      </c>
      <c r="B19" t="s">
        <v>26</v>
      </c>
      <c r="C19" s="8">
        <v>1</v>
      </c>
      <c r="D19" s="11">
        <v>6</v>
      </c>
      <c r="E19" t="s">
        <v>21</v>
      </c>
      <c r="F19" t="s">
        <v>21</v>
      </c>
      <c r="G19" s="12">
        <v>0</v>
      </c>
      <c r="H19" s="9" t="str">
        <f t="shared" si="25"/>
        <v>62.10</v>
      </c>
      <c r="I19">
        <f t="shared" si="26"/>
        <v>62.1</v>
      </c>
      <c r="J19">
        <f t="shared" si="27"/>
        <v>372.6</v>
      </c>
      <c r="K19" t="str">
        <f t="shared" si="28"/>
        <v>75</v>
      </c>
      <c r="L19">
        <f t="shared" si="29"/>
        <v>0</v>
      </c>
      <c r="M19">
        <f t="shared" si="30"/>
        <v>447.6</v>
      </c>
      <c r="N19" s="7" t="str">
        <f t="shared" si="31"/>
        <v>0</v>
      </c>
      <c r="O19">
        <f t="shared" si="32"/>
        <v>0</v>
      </c>
      <c r="P19">
        <f t="shared" si="34"/>
        <v>-75</v>
      </c>
      <c r="Q19">
        <f t="shared" si="3"/>
        <v>0</v>
      </c>
      <c r="R19" s="13">
        <f t="shared" si="11"/>
        <v>-75</v>
      </c>
      <c r="S19">
        <f t="shared" si="23"/>
        <v>1</v>
      </c>
      <c r="T19">
        <f t="shared" si="24"/>
        <v>2</v>
      </c>
      <c r="U19" s="10">
        <f t="shared" si="33"/>
        <v>372.6</v>
      </c>
      <c r="V19" t="str">
        <f t="shared" si="12"/>
        <v>Regatta Bay</v>
      </c>
      <c r="W19" t="str">
        <f t="shared" si="13"/>
        <v xml:space="preserve">Bon Jovi            </v>
      </c>
      <c r="X19" s="15">
        <f t="shared" si="14"/>
        <v>6</v>
      </c>
      <c r="Y19" s="16">
        <f t="shared" si="15"/>
        <v>62.1</v>
      </c>
      <c r="Z19" s="16">
        <f t="shared" si="16"/>
        <v>372.6</v>
      </c>
      <c r="AA19" s="17" t="str">
        <f t="shared" si="17"/>
        <v>75</v>
      </c>
      <c r="AB19">
        <f t="shared" si="18"/>
        <v>0</v>
      </c>
      <c r="AC19" s="16">
        <f t="shared" si="19"/>
        <v>447.6</v>
      </c>
      <c r="AD19" s="16">
        <f t="shared" si="20"/>
        <v>-75</v>
      </c>
      <c r="AE19" s="16">
        <f t="shared" si="21"/>
        <v>372.6</v>
      </c>
      <c r="AF19" t="str">
        <f t="shared" si="22"/>
        <v/>
      </c>
    </row>
    <row r="20" spans="1:32" x14ac:dyDescent="0.25">
      <c r="A20" t="s">
        <v>69</v>
      </c>
      <c r="B20" t="s">
        <v>26</v>
      </c>
      <c r="C20" s="8">
        <v>1</v>
      </c>
      <c r="D20" s="11">
        <v>1</v>
      </c>
      <c r="E20" t="s">
        <v>23</v>
      </c>
      <c r="F20" t="s">
        <v>23</v>
      </c>
      <c r="G20" s="12">
        <v>0</v>
      </c>
      <c r="H20" s="9" t="str">
        <f t="shared" ref="H20:H22" si="35">IF((B20="HB"),"99.50",IF((B20="OB"),"188.00",IF((B20="PP"),"50.00",IF((B20="RB"),"62.10",IF((B20="SB"),"100.00",IF((B20="L"),"76.35",IF((B20="HT"),"50.00",IF((B20="CP"),"125.00","ERROR!"))))))))</f>
        <v>62.10</v>
      </c>
      <c r="I20">
        <f t="shared" ref="I20:I22" si="36">C20*H20</f>
        <v>62.1</v>
      </c>
      <c r="J20">
        <f t="shared" ref="J20:J22" si="37">D20*I20</f>
        <v>62.1</v>
      </c>
      <c r="K20" t="str">
        <f t="shared" ref="K20:K22" si="38">IF((B20="HB"),"100",IF((B20="OB"),"150",IF((B20="PP"),"75",IF((B20="RB"),"75",IF((B20="SB"),"150",IF((B20="L"),"0",IF((B20="HT"),"100",IF((B20="CP"),"0","ERROR!"))))))))</f>
        <v>75</v>
      </c>
      <c r="L20">
        <f t="shared" ref="L20:L22" si="39">G20*D20</f>
        <v>0</v>
      </c>
      <c r="M20">
        <f t="shared" ref="M20:M22" si="40">SUM(J20+K20+L20)</f>
        <v>137.1</v>
      </c>
      <c r="N20" s="7" t="str">
        <f t="shared" ref="N20:N22" si="41">IF(AND(OR(B20="HB",B20="OB",B20="SB"),E20="Y"),SUM(J20*0.1),"0")</f>
        <v>0</v>
      </c>
      <c r="O20">
        <f t="shared" ref="O20:O22" si="42">ROUND(IF(AND(OR(B20="HB",B20="L"),F20="Y"),IF(B20="HB",J20*0.05,IF((B20="L"),J20*0.075,0))),2)</f>
        <v>0</v>
      </c>
      <c r="P20">
        <f t="shared" si="34"/>
        <v>0</v>
      </c>
      <c r="Q20">
        <f t="shared" si="3"/>
        <v>0</v>
      </c>
      <c r="R20" s="13">
        <f t="shared" si="11"/>
        <v>0</v>
      </c>
      <c r="S20">
        <f t="shared" si="23"/>
        <v>1</v>
      </c>
      <c r="T20">
        <f t="shared" si="24"/>
        <v>2</v>
      </c>
      <c r="U20" s="10">
        <f t="shared" ref="U20:U22" si="43">M20+R20</f>
        <v>137.1</v>
      </c>
      <c r="V20" t="str">
        <f t="shared" si="12"/>
        <v>Regatta Bay</v>
      </c>
      <c r="W20" t="str">
        <f t="shared" si="13"/>
        <v xml:space="preserve">Campers             </v>
      </c>
      <c r="X20" s="15">
        <f t="shared" si="14"/>
        <v>1</v>
      </c>
      <c r="Y20" s="16">
        <f t="shared" si="15"/>
        <v>62.1</v>
      </c>
      <c r="Z20" s="16">
        <f t="shared" si="16"/>
        <v>62.1</v>
      </c>
      <c r="AA20" s="17" t="str">
        <f t="shared" si="17"/>
        <v>75</v>
      </c>
      <c r="AB20">
        <f t="shared" si="18"/>
        <v>0</v>
      </c>
      <c r="AC20" s="16">
        <f t="shared" si="19"/>
        <v>137.1</v>
      </c>
      <c r="AD20" s="16">
        <f t="shared" si="20"/>
        <v>0</v>
      </c>
      <c r="AE20" s="16">
        <f t="shared" si="21"/>
        <v>137.1</v>
      </c>
      <c r="AF20" t="str">
        <f t="shared" si="22"/>
        <v/>
      </c>
    </row>
    <row r="21" spans="1:32" x14ac:dyDescent="0.25">
      <c r="A21" t="s">
        <v>70</v>
      </c>
      <c r="B21" t="s">
        <v>27</v>
      </c>
      <c r="C21" s="8">
        <v>1</v>
      </c>
      <c r="D21" s="11">
        <v>1</v>
      </c>
      <c r="E21" t="s">
        <v>21</v>
      </c>
      <c r="F21" t="s">
        <v>23</v>
      </c>
      <c r="G21" s="12">
        <v>0</v>
      </c>
      <c r="H21" s="9" t="str">
        <f t="shared" si="35"/>
        <v>100.00</v>
      </c>
      <c r="I21">
        <f t="shared" si="36"/>
        <v>100</v>
      </c>
      <c r="J21">
        <f t="shared" si="37"/>
        <v>100</v>
      </c>
      <c r="K21" t="str">
        <f t="shared" si="38"/>
        <v>150</v>
      </c>
      <c r="L21">
        <f t="shared" si="39"/>
        <v>0</v>
      </c>
      <c r="M21">
        <f t="shared" si="40"/>
        <v>250</v>
      </c>
      <c r="N21" s="7">
        <f t="shared" si="41"/>
        <v>10</v>
      </c>
      <c r="O21">
        <f t="shared" si="42"/>
        <v>0</v>
      </c>
      <c r="P21">
        <f t="shared" si="34"/>
        <v>0</v>
      </c>
      <c r="Q21">
        <f t="shared" si="3"/>
        <v>0</v>
      </c>
      <c r="R21" s="13">
        <f t="shared" si="11"/>
        <v>10</v>
      </c>
      <c r="S21">
        <f t="shared" si="23"/>
        <v>1</v>
      </c>
      <c r="T21">
        <f t="shared" si="24"/>
        <v>2</v>
      </c>
      <c r="U21" s="10">
        <f t="shared" si="43"/>
        <v>260</v>
      </c>
      <c r="V21" t="str">
        <f t="shared" si="12"/>
        <v>Shawnee Bend</v>
      </c>
      <c r="W21" t="str">
        <f t="shared" si="13"/>
        <v xml:space="preserve">Boy Scouts          </v>
      </c>
      <c r="X21" s="15">
        <f t="shared" si="14"/>
        <v>1</v>
      </c>
      <c r="Y21" s="16">
        <f t="shared" si="15"/>
        <v>100</v>
      </c>
      <c r="Z21" s="16">
        <f t="shared" si="16"/>
        <v>100</v>
      </c>
      <c r="AA21" s="17" t="str">
        <f t="shared" si="17"/>
        <v>150</v>
      </c>
      <c r="AB21">
        <f t="shared" si="18"/>
        <v>0</v>
      </c>
      <c r="AC21" s="16">
        <f t="shared" si="19"/>
        <v>250</v>
      </c>
      <c r="AD21" s="16">
        <f t="shared" si="20"/>
        <v>10</v>
      </c>
      <c r="AE21" s="16">
        <f t="shared" si="21"/>
        <v>260</v>
      </c>
      <c r="AF21" t="str">
        <f t="shared" si="22"/>
        <v/>
      </c>
    </row>
    <row r="22" spans="1:32" x14ac:dyDescent="0.25">
      <c r="A22" t="s">
        <v>71</v>
      </c>
      <c r="B22" t="s">
        <v>27</v>
      </c>
      <c r="C22" s="8">
        <v>2</v>
      </c>
      <c r="D22" s="11">
        <v>2</v>
      </c>
      <c r="E22" t="s">
        <v>23</v>
      </c>
      <c r="F22" t="s">
        <v>23</v>
      </c>
      <c r="G22" s="12">
        <v>25</v>
      </c>
      <c r="H22" s="9" t="str">
        <f t="shared" si="35"/>
        <v>100.00</v>
      </c>
      <c r="I22">
        <f t="shared" si="36"/>
        <v>200</v>
      </c>
      <c r="J22">
        <f t="shared" si="37"/>
        <v>400</v>
      </c>
      <c r="K22" t="str">
        <f t="shared" si="38"/>
        <v>150</v>
      </c>
      <c r="L22">
        <f t="shared" si="39"/>
        <v>50</v>
      </c>
      <c r="M22">
        <f t="shared" si="40"/>
        <v>600</v>
      </c>
      <c r="N22" s="7" t="str">
        <f t="shared" si="41"/>
        <v>0</v>
      </c>
      <c r="O22">
        <f t="shared" si="42"/>
        <v>0</v>
      </c>
      <c r="P22">
        <f t="shared" si="34"/>
        <v>0</v>
      </c>
      <c r="Q22">
        <f t="shared" si="3"/>
        <v>0</v>
      </c>
      <c r="R22" s="13">
        <f t="shared" si="11"/>
        <v>0</v>
      </c>
      <c r="S22">
        <f t="shared" si="23"/>
        <v>1</v>
      </c>
      <c r="T22">
        <f t="shared" si="24"/>
        <v>2</v>
      </c>
      <c r="U22" s="10">
        <f t="shared" si="43"/>
        <v>600</v>
      </c>
      <c r="V22" t="str">
        <f t="shared" si="12"/>
        <v>Shawnee Bend</v>
      </c>
      <c r="W22" t="str">
        <f t="shared" si="13"/>
        <v xml:space="preserve">Toby Kieth          </v>
      </c>
      <c r="X22" s="15">
        <f t="shared" si="14"/>
        <v>2</v>
      </c>
      <c r="Y22" s="16">
        <f t="shared" si="15"/>
        <v>200</v>
      </c>
      <c r="Z22" s="16">
        <f t="shared" si="16"/>
        <v>400</v>
      </c>
      <c r="AA22" s="17" t="str">
        <f t="shared" si="17"/>
        <v>150</v>
      </c>
      <c r="AB22">
        <f t="shared" si="18"/>
        <v>50</v>
      </c>
      <c r="AC22" s="16">
        <f t="shared" si="19"/>
        <v>600</v>
      </c>
      <c r="AD22" s="16">
        <f t="shared" si="20"/>
        <v>0</v>
      </c>
      <c r="AE22" s="16">
        <f t="shared" si="21"/>
        <v>600</v>
      </c>
      <c r="AF22" t="str">
        <f t="shared" si="22"/>
        <v/>
      </c>
    </row>
    <row r="23" spans="1:32" x14ac:dyDescent="0.25">
      <c r="A23" t="s">
        <v>72</v>
      </c>
      <c r="B23" t="s">
        <v>27</v>
      </c>
      <c r="C23" s="8">
        <v>4</v>
      </c>
      <c r="D23" s="11">
        <v>6</v>
      </c>
      <c r="E23" t="s">
        <v>21</v>
      </c>
      <c r="F23" t="s">
        <v>21</v>
      </c>
      <c r="G23" s="12">
        <v>34.5</v>
      </c>
      <c r="H23" s="9" t="str">
        <f t="shared" ref="H23:H25" si="44">IF((B23="HB"),"99.50",IF((B23="OB"),"188.00",IF((B23="PP"),"50.00",IF((B23="RB"),"62.10",IF((B23="SB"),"100.00",IF((B23="L"),"76.35",IF((B23="HT"),"50.00",IF((B23="CP"),"125.00","ERROR!"))))))))</f>
        <v>100.00</v>
      </c>
      <c r="I23">
        <f t="shared" ref="I23:I25" si="45">C23*H23</f>
        <v>400</v>
      </c>
      <c r="J23">
        <f t="shared" ref="J23:J25" si="46">D23*I23</f>
        <v>2400</v>
      </c>
      <c r="K23" t="str">
        <f t="shared" ref="K23:K25" si="47">IF((B23="HB"),"100",IF((B23="OB"),"150",IF((B23="PP"),"75",IF((B23="RB"),"75",IF((B23="SB"),"150",IF((B23="L"),"0",IF((B23="HT"),"100",IF((B23="CP"),"0","ERROR!"))))))))</f>
        <v>150</v>
      </c>
      <c r="L23">
        <f t="shared" ref="L23:L25" si="48">G23*D23</f>
        <v>207</v>
      </c>
      <c r="M23">
        <f t="shared" ref="M23:M25" si="49">SUM(J23+K23+L23)</f>
        <v>2757</v>
      </c>
      <c r="N23" s="7">
        <f t="shared" ref="N23:N25" si="50">IF(AND(OR(B23="HB",B23="OB",B23="SB"),E23="Y"),SUM(J23*0.1),"0")</f>
        <v>240</v>
      </c>
      <c r="O23">
        <f t="shared" ref="O23:O25" si="51">ROUND(IF(AND(OR(B23="HB",B23="L"),F23="Y"),IF(B23="HB",J23*0.05,IF((B23="L"),J23*0.075,0))),2)</f>
        <v>0</v>
      </c>
      <c r="P23">
        <f t="shared" si="34"/>
        <v>0</v>
      </c>
      <c r="Q23">
        <f t="shared" si="3"/>
        <v>0</v>
      </c>
      <c r="R23" s="13">
        <f t="shared" si="11"/>
        <v>240</v>
      </c>
      <c r="S23">
        <f t="shared" si="23"/>
        <v>1</v>
      </c>
      <c r="T23">
        <f t="shared" si="24"/>
        <v>2</v>
      </c>
      <c r="U23" s="10">
        <f t="shared" ref="U23:U25" si="52">M23+R23</f>
        <v>2997</v>
      </c>
      <c r="V23" t="str">
        <f t="shared" si="12"/>
        <v>Shawnee Bend</v>
      </c>
      <c r="W23" t="str">
        <f t="shared" si="13"/>
        <v xml:space="preserve">Mr. Chow            </v>
      </c>
      <c r="X23" s="15">
        <f t="shared" si="14"/>
        <v>6</v>
      </c>
      <c r="Y23" s="16">
        <f t="shared" si="15"/>
        <v>400</v>
      </c>
      <c r="Z23" s="16">
        <f t="shared" si="16"/>
        <v>2400</v>
      </c>
      <c r="AA23" s="17" t="str">
        <f t="shared" si="17"/>
        <v>150</v>
      </c>
      <c r="AB23">
        <f t="shared" si="18"/>
        <v>207</v>
      </c>
      <c r="AC23" s="16">
        <f t="shared" si="19"/>
        <v>2757</v>
      </c>
      <c r="AD23" s="16">
        <f t="shared" si="20"/>
        <v>240</v>
      </c>
      <c r="AE23" s="16">
        <f t="shared" si="21"/>
        <v>2997</v>
      </c>
      <c r="AF23" t="str">
        <f t="shared" si="22"/>
        <v>****</v>
      </c>
    </row>
    <row r="24" spans="1:32" x14ac:dyDescent="0.25">
      <c r="A24" t="s">
        <v>73</v>
      </c>
      <c r="B24" t="s">
        <v>27</v>
      </c>
      <c r="C24" s="8">
        <v>5</v>
      </c>
      <c r="D24" s="11">
        <v>6</v>
      </c>
      <c r="E24" t="s">
        <v>23</v>
      </c>
      <c r="F24" t="s">
        <v>21</v>
      </c>
      <c r="G24" s="12">
        <v>0</v>
      </c>
      <c r="H24" s="9" t="str">
        <f t="shared" si="44"/>
        <v>100.00</v>
      </c>
      <c r="I24">
        <f t="shared" si="45"/>
        <v>500</v>
      </c>
      <c r="J24">
        <f t="shared" si="46"/>
        <v>3000</v>
      </c>
      <c r="K24" t="str">
        <f t="shared" si="47"/>
        <v>150</v>
      </c>
      <c r="L24">
        <f t="shared" si="48"/>
        <v>0</v>
      </c>
      <c r="M24">
        <f t="shared" si="49"/>
        <v>3150</v>
      </c>
      <c r="N24" s="7" t="str">
        <f t="shared" si="50"/>
        <v>0</v>
      </c>
      <c r="O24">
        <f t="shared" si="51"/>
        <v>0</v>
      </c>
      <c r="P24">
        <f t="shared" si="34"/>
        <v>0</v>
      </c>
      <c r="Q24">
        <f t="shared" si="3"/>
        <v>0</v>
      </c>
      <c r="R24" s="13">
        <f t="shared" si="11"/>
        <v>0</v>
      </c>
      <c r="S24">
        <f t="shared" si="23"/>
        <v>1</v>
      </c>
      <c r="T24">
        <f t="shared" si="24"/>
        <v>2</v>
      </c>
      <c r="U24" s="10">
        <f t="shared" si="52"/>
        <v>3150</v>
      </c>
      <c r="V24" t="str">
        <f t="shared" si="12"/>
        <v>Shawnee Bend</v>
      </c>
      <c r="W24" t="str">
        <f t="shared" si="13"/>
        <v xml:space="preserve">Bart                </v>
      </c>
      <c r="X24" s="15">
        <f t="shared" si="14"/>
        <v>6</v>
      </c>
      <c r="Y24" s="16">
        <f t="shared" si="15"/>
        <v>500</v>
      </c>
      <c r="Z24" s="16">
        <f t="shared" si="16"/>
        <v>3000</v>
      </c>
      <c r="AA24" s="17" t="str">
        <f t="shared" si="17"/>
        <v>150</v>
      </c>
      <c r="AB24">
        <f t="shared" si="18"/>
        <v>0</v>
      </c>
      <c r="AC24" s="16">
        <f t="shared" si="19"/>
        <v>3150</v>
      </c>
      <c r="AD24" s="16">
        <f t="shared" si="20"/>
        <v>0</v>
      </c>
      <c r="AE24" s="16">
        <f t="shared" si="21"/>
        <v>3150</v>
      </c>
      <c r="AF24" t="str">
        <f t="shared" si="22"/>
        <v>****</v>
      </c>
    </row>
    <row r="25" spans="1:32" x14ac:dyDescent="0.25">
      <c r="A25" t="s">
        <v>74</v>
      </c>
      <c r="B25" t="s">
        <v>27</v>
      </c>
      <c r="C25" s="8">
        <v>1</v>
      </c>
      <c r="D25" s="11">
        <v>1</v>
      </c>
      <c r="E25" t="s">
        <v>21</v>
      </c>
      <c r="F25" t="s">
        <v>23</v>
      </c>
      <c r="G25" s="12">
        <v>0</v>
      </c>
      <c r="H25" s="9" t="str">
        <f t="shared" si="44"/>
        <v>100.00</v>
      </c>
      <c r="I25">
        <f t="shared" si="45"/>
        <v>100</v>
      </c>
      <c r="J25">
        <f t="shared" si="46"/>
        <v>100</v>
      </c>
      <c r="K25" t="str">
        <f t="shared" si="47"/>
        <v>150</v>
      </c>
      <c r="L25">
        <f t="shared" si="48"/>
        <v>0</v>
      </c>
      <c r="M25">
        <f t="shared" si="49"/>
        <v>250</v>
      </c>
      <c r="N25" s="7">
        <f t="shared" si="50"/>
        <v>10</v>
      </c>
      <c r="O25">
        <f t="shared" si="51"/>
        <v>0</v>
      </c>
      <c r="P25">
        <f t="shared" si="34"/>
        <v>0</v>
      </c>
      <c r="Q25">
        <f t="shared" si="3"/>
        <v>0</v>
      </c>
      <c r="R25" s="13">
        <f t="shared" si="11"/>
        <v>10</v>
      </c>
      <c r="S25">
        <f t="shared" si="23"/>
        <v>1</v>
      </c>
      <c r="T25">
        <f t="shared" si="24"/>
        <v>2</v>
      </c>
      <c r="U25" s="10">
        <f t="shared" si="52"/>
        <v>260</v>
      </c>
      <c r="V25" t="str">
        <f t="shared" si="12"/>
        <v>Shawnee Bend</v>
      </c>
      <c r="W25" t="str">
        <f t="shared" si="13"/>
        <v xml:space="preserve">Who                 </v>
      </c>
      <c r="X25" s="15">
        <f t="shared" si="14"/>
        <v>1</v>
      </c>
      <c r="Y25" s="16">
        <f t="shared" si="15"/>
        <v>100</v>
      </c>
      <c r="Z25" s="16">
        <f t="shared" si="16"/>
        <v>100</v>
      </c>
      <c r="AA25" s="17" t="str">
        <f t="shared" si="17"/>
        <v>150</v>
      </c>
      <c r="AB25">
        <f t="shared" si="18"/>
        <v>0</v>
      </c>
      <c r="AC25" s="16">
        <f t="shared" si="19"/>
        <v>250</v>
      </c>
      <c r="AD25" s="16">
        <f t="shared" si="20"/>
        <v>10</v>
      </c>
      <c r="AE25" s="16">
        <f t="shared" si="21"/>
        <v>260</v>
      </c>
      <c r="AF25" t="str">
        <f t="shared" si="22"/>
        <v/>
      </c>
    </row>
    <row r="26" spans="1:32" x14ac:dyDescent="0.25">
      <c r="A26" t="s">
        <v>75</v>
      </c>
      <c r="B26" t="s">
        <v>28</v>
      </c>
      <c r="C26" s="8">
        <v>1</v>
      </c>
      <c r="D26" s="11">
        <v>1</v>
      </c>
      <c r="E26" t="s">
        <v>23</v>
      </c>
      <c r="F26" t="s">
        <v>21</v>
      </c>
      <c r="G26" s="12">
        <v>0</v>
      </c>
      <c r="H26" s="9" t="str">
        <f t="shared" ref="H26" si="53">IF((B26="HB"),"99.50",IF((B26="OB"),"188.00",IF((B26="PP"),"50.00",IF((B26="RB"),"62.10",IF((B26="SB"),"100.00",IF((B26="L"),"76.35",IF((B26="HT"),"50.00",IF((B26="CP"),"125.00","ERROR!"))))))))</f>
        <v>76.35</v>
      </c>
      <c r="I26">
        <f t="shared" ref="I26" si="54">C26*H26</f>
        <v>76.349999999999994</v>
      </c>
      <c r="J26">
        <f t="shared" ref="J26" si="55">D26*I26</f>
        <v>76.349999999999994</v>
      </c>
      <c r="K26" t="str">
        <f t="shared" ref="K26" si="56">IF((B26="HB"),"100",IF((B26="OB"),"150",IF((B26="PP"),"75",IF((B26="RB"),"75",IF((B26="SB"),"150",IF((B26="L"),"0",IF((B26="HT"),"100",IF((B26="CP"),"0","ERROR!"))))))))</f>
        <v>0</v>
      </c>
      <c r="L26">
        <f t="shared" ref="L26" si="57">G26*D26</f>
        <v>0</v>
      </c>
      <c r="M26">
        <f t="shared" ref="M26" si="58">SUM(J26+K26+L26)</f>
        <v>76.349999999999994</v>
      </c>
      <c r="N26" s="7" t="str">
        <f t="shared" ref="N26" si="59">IF(AND(OR(B26="HB",B26="OB",B26="SB"),E26="Y"),SUM(J26*0.1),"0")</f>
        <v>0</v>
      </c>
      <c r="O26">
        <f t="shared" ref="O26" si="60">ROUND(IF(AND(OR(B26="HB",B26="L"),F26="Y"),IF(B26="HB",J26*0.05,IF((B26="L"),J26*0.075,0))),2)</f>
        <v>5.73</v>
      </c>
      <c r="P26">
        <f t="shared" si="34"/>
        <v>0</v>
      </c>
      <c r="Q26">
        <f t="shared" si="3"/>
        <v>0</v>
      </c>
      <c r="R26" s="13">
        <f t="shared" si="11"/>
        <v>5.73</v>
      </c>
      <c r="S26">
        <f t="shared" si="23"/>
        <v>1</v>
      </c>
      <c r="T26">
        <f t="shared" si="24"/>
        <v>2</v>
      </c>
      <c r="U26" s="10">
        <f t="shared" ref="U26" si="61">M26+R26</f>
        <v>82.08</v>
      </c>
      <c r="V26" t="str">
        <f t="shared" si="12"/>
        <v>Ledges</v>
      </c>
      <c r="W26" t="str">
        <f t="shared" si="13"/>
        <v xml:space="preserve">Horton              </v>
      </c>
      <c r="X26" s="15">
        <f t="shared" si="14"/>
        <v>1</v>
      </c>
      <c r="Y26" s="16">
        <f t="shared" si="15"/>
        <v>76.349999999999994</v>
      </c>
      <c r="Z26" s="16">
        <f t="shared" si="16"/>
        <v>76.349999999999994</v>
      </c>
      <c r="AA26" s="17" t="str">
        <f t="shared" si="17"/>
        <v>0</v>
      </c>
      <c r="AB26">
        <f t="shared" si="18"/>
        <v>0</v>
      </c>
      <c r="AC26" s="16">
        <f t="shared" si="19"/>
        <v>76.349999999999994</v>
      </c>
      <c r="AD26" s="16">
        <f t="shared" si="20"/>
        <v>5.73</v>
      </c>
      <c r="AE26" s="16">
        <f t="shared" si="21"/>
        <v>82.08</v>
      </c>
      <c r="AF26" t="str">
        <f t="shared" si="22"/>
        <v/>
      </c>
    </row>
    <row r="27" spans="1:32" x14ac:dyDescent="0.25">
      <c r="A27" t="s">
        <v>76</v>
      </c>
      <c r="B27" t="s">
        <v>28</v>
      </c>
      <c r="C27" s="8">
        <v>1</v>
      </c>
      <c r="D27" s="11">
        <v>1</v>
      </c>
      <c r="E27" t="s">
        <v>21</v>
      </c>
      <c r="F27" t="s">
        <v>23</v>
      </c>
      <c r="G27" s="12">
        <v>0</v>
      </c>
      <c r="H27" s="9" t="str">
        <f t="shared" ref="H27" si="62">IF((B27="HB"),"99.50",IF((B27="OB"),"188.00",IF((B27="PP"),"50.00",IF((B27="RB"),"62.10",IF((B27="SB"),"100.00",IF((B27="L"),"76.35",IF((B27="HT"),"50.00",IF((B27="CP"),"125.00","ERROR!"))))))))</f>
        <v>76.35</v>
      </c>
      <c r="I27">
        <f t="shared" ref="I27" si="63">C27*H27</f>
        <v>76.349999999999994</v>
      </c>
      <c r="J27">
        <f t="shared" ref="J27" si="64">D27*I27</f>
        <v>76.349999999999994</v>
      </c>
      <c r="K27" t="str">
        <f t="shared" ref="K27" si="65">IF((B27="HB"),"100",IF((B27="OB"),"150",IF((B27="PP"),"75",IF((B27="RB"),"75",IF((B27="SB"),"150",IF((B27="L"),"0",IF((B27="HT"),"100",IF((B27="CP"),"0","ERROR!"))))))))</f>
        <v>0</v>
      </c>
      <c r="L27">
        <f t="shared" ref="L27" si="66">G27*D27</f>
        <v>0</v>
      </c>
      <c r="M27">
        <f t="shared" ref="M27" si="67">SUM(J27+K27+L27)</f>
        <v>76.349999999999994</v>
      </c>
      <c r="N27" s="7" t="str">
        <f t="shared" ref="N27" si="68">IF(AND(OR(B27="HB",B27="OB",B27="SB"),E27="Y"),SUM(J27*0.1),"0")</f>
        <v>0</v>
      </c>
      <c r="O27">
        <f t="shared" ref="O27" si="69">ROUND(IF(AND(OR(B27="HB",B27="L"),F27="Y"),IF(B27="HB",J27*0.05,IF((B27="L"),J27*0.075,0))),2)</f>
        <v>0</v>
      </c>
      <c r="P27">
        <f t="shared" si="34"/>
        <v>0</v>
      </c>
      <c r="Q27">
        <f t="shared" si="3"/>
        <v>0</v>
      </c>
      <c r="R27" s="13">
        <f t="shared" si="11"/>
        <v>0</v>
      </c>
      <c r="S27">
        <f t="shared" si="23"/>
        <v>1</v>
      </c>
      <c r="T27">
        <f t="shared" si="24"/>
        <v>2</v>
      </c>
      <c r="U27" s="10">
        <f t="shared" ref="U27" si="70">M27+R27</f>
        <v>76.349999999999994</v>
      </c>
      <c r="V27" t="str">
        <f t="shared" si="12"/>
        <v>Ledges</v>
      </c>
      <c r="W27" t="str">
        <f t="shared" si="13"/>
        <v xml:space="preserve">El Tigre            </v>
      </c>
      <c r="X27" s="15">
        <f t="shared" si="14"/>
        <v>1</v>
      </c>
      <c r="Y27" s="16">
        <f t="shared" si="15"/>
        <v>76.349999999999994</v>
      </c>
      <c r="Z27" s="16">
        <f t="shared" si="16"/>
        <v>76.349999999999994</v>
      </c>
      <c r="AA27" s="17" t="str">
        <f t="shared" si="17"/>
        <v>0</v>
      </c>
      <c r="AB27">
        <f t="shared" si="18"/>
        <v>0</v>
      </c>
      <c r="AC27" s="16">
        <f t="shared" si="19"/>
        <v>76.349999999999994</v>
      </c>
      <c r="AD27" s="16">
        <f t="shared" si="20"/>
        <v>0</v>
      </c>
      <c r="AE27" s="16">
        <f t="shared" si="21"/>
        <v>76.349999999999994</v>
      </c>
      <c r="AF27" t="str">
        <f t="shared" si="22"/>
        <v/>
      </c>
    </row>
    <row r="28" spans="1:32" x14ac:dyDescent="0.25">
      <c r="A28" t="s">
        <v>77</v>
      </c>
      <c r="B28" t="s">
        <v>28</v>
      </c>
      <c r="C28" s="8">
        <v>3</v>
      </c>
      <c r="D28" s="11">
        <v>7</v>
      </c>
      <c r="E28" t="s">
        <v>21</v>
      </c>
      <c r="F28" t="s">
        <v>21</v>
      </c>
      <c r="G28" s="12">
        <v>0</v>
      </c>
      <c r="H28" s="9" t="str">
        <f t="shared" ref="H28:H29" si="71">IF((B28="HB"),"99.50",IF((B28="OB"),"188.00",IF((B28="PP"),"50.00",IF((B28="RB"),"62.10",IF((B28="SB"),"100.00",IF((B28="L"),"76.35",IF((B28="HT"),"50.00",IF((B28="CP"),"125.00","ERROR!"))))))))</f>
        <v>76.35</v>
      </c>
      <c r="I28">
        <f t="shared" ref="I28:I29" si="72">C28*H28</f>
        <v>229.04999999999998</v>
      </c>
      <c r="J28">
        <f t="shared" ref="J28:J29" si="73">D28*I28</f>
        <v>1603.35</v>
      </c>
      <c r="K28" t="str">
        <f t="shared" ref="K28:K29" si="74">IF((B28="HB"),"100",IF((B28="OB"),"150",IF((B28="PP"),"75",IF((B28="RB"),"75",IF((B28="SB"),"150",IF((B28="L"),"0",IF((B28="HT"),"100",IF((B28="CP"),"0","ERROR!"))))))))</f>
        <v>0</v>
      </c>
      <c r="L28">
        <f t="shared" ref="L28:L29" si="75">G28*D28</f>
        <v>0</v>
      </c>
      <c r="M28">
        <f t="shared" ref="M28:M29" si="76">SUM(J28+K28+L28)</f>
        <v>1603.35</v>
      </c>
      <c r="N28" s="7" t="str">
        <f t="shared" ref="N28:N29" si="77">IF(AND(OR(B28="HB",B28="OB",B28="SB"),E28="Y"),SUM(J28*0.1),"0")</f>
        <v>0</v>
      </c>
      <c r="O28">
        <f t="shared" ref="O28:O29" si="78">ROUND(IF(AND(OR(B28="HB",B28="L"),F28="Y"),IF(B28="HB",J28*0.05,IF((B28="L"),J28*0.075,0))),2)</f>
        <v>120.25</v>
      </c>
      <c r="P28">
        <f t="shared" si="34"/>
        <v>0</v>
      </c>
      <c r="Q28">
        <f t="shared" si="3"/>
        <v>0</v>
      </c>
      <c r="R28" s="13">
        <f t="shared" si="11"/>
        <v>120.25</v>
      </c>
      <c r="S28">
        <f t="shared" si="23"/>
        <v>1</v>
      </c>
      <c r="T28">
        <f t="shared" si="24"/>
        <v>2</v>
      </c>
      <c r="U28" s="10">
        <f t="shared" ref="U28:U29" si="79">M28+R28</f>
        <v>1723.6</v>
      </c>
      <c r="V28" t="str">
        <f t="shared" si="12"/>
        <v>Ledges</v>
      </c>
      <c r="W28" t="str">
        <f t="shared" si="13"/>
        <v xml:space="preserve">Mi Huevos           </v>
      </c>
      <c r="X28" s="15">
        <f t="shared" si="14"/>
        <v>7</v>
      </c>
      <c r="Y28" s="16">
        <f t="shared" si="15"/>
        <v>229.04999999999998</v>
      </c>
      <c r="Z28" s="16">
        <f t="shared" si="16"/>
        <v>1603.35</v>
      </c>
      <c r="AA28" s="17" t="str">
        <f t="shared" si="17"/>
        <v>0</v>
      </c>
      <c r="AB28">
        <f t="shared" si="18"/>
        <v>0</v>
      </c>
      <c r="AC28" s="16">
        <f t="shared" si="19"/>
        <v>1603.35</v>
      </c>
      <c r="AD28" s="16">
        <f t="shared" si="20"/>
        <v>120.25</v>
      </c>
      <c r="AE28" s="16">
        <f t="shared" si="21"/>
        <v>1723.6</v>
      </c>
      <c r="AF28" t="str">
        <f t="shared" si="22"/>
        <v>****</v>
      </c>
    </row>
    <row r="29" spans="1:32" x14ac:dyDescent="0.25">
      <c r="A29" t="s">
        <v>78</v>
      </c>
      <c r="B29" t="s">
        <v>28</v>
      </c>
      <c r="C29" s="8">
        <v>4</v>
      </c>
      <c r="D29" s="11">
        <v>8</v>
      </c>
      <c r="E29" t="s">
        <v>23</v>
      </c>
      <c r="F29" t="s">
        <v>23</v>
      </c>
      <c r="G29" s="12">
        <v>6</v>
      </c>
      <c r="H29" s="9" t="str">
        <f t="shared" si="71"/>
        <v>76.35</v>
      </c>
      <c r="I29">
        <f t="shared" si="72"/>
        <v>305.39999999999998</v>
      </c>
      <c r="J29">
        <f t="shared" si="73"/>
        <v>2443.1999999999998</v>
      </c>
      <c r="K29" t="str">
        <f t="shared" si="74"/>
        <v>0</v>
      </c>
      <c r="L29">
        <f t="shared" si="75"/>
        <v>48</v>
      </c>
      <c r="M29">
        <f t="shared" si="76"/>
        <v>2491.1999999999998</v>
      </c>
      <c r="N29" s="7" t="str">
        <f t="shared" si="77"/>
        <v>0</v>
      </c>
      <c r="O29">
        <f t="shared" si="78"/>
        <v>0</v>
      </c>
      <c r="P29">
        <f t="shared" si="34"/>
        <v>0</v>
      </c>
      <c r="Q29">
        <f t="shared" si="3"/>
        <v>0</v>
      </c>
      <c r="R29" s="13">
        <f t="shared" si="11"/>
        <v>0</v>
      </c>
      <c r="S29">
        <f t="shared" si="23"/>
        <v>1</v>
      </c>
      <c r="T29">
        <f t="shared" si="24"/>
        <v>2</v>
      </c>
      <c r="U29" s="10">
        <f t="shared" si="79"/>
        <v>2491.1999999999998</v>
      </c>
      <c r="V29" t="str">
        <f t="shared" si="12"/>
        <v>Ledges</v>
      </c>
      <c r="W29" t="str">
        <f t="shared" si="13"/>
        <v xml:space="preserve">Bus Load            </v>
      </c>
      <c r="X29" s="15">
        <f t="shared" si="14"/>
        <v>8</v>
      </c>
      <c r="Y29" s="16">
        <f t="shared" si="15"/>
        <v>305.39999999999998</v>
      </c>
      <c r="Z29" s="16">
        <f t="shared" si="16"/>
        <v>2443.1999999999998</v>
      </c>
      <c r="AA29" s="17" t="str">
        <f t="shared" si="17"/>
        <v>0</v>
      </c>
      <c r="AB29">
        <f t="shared" si="18"/>
        <v>48</v>
      </c>
      <c r="AC29" s="16">
        <f t="shared" si="19"/>
        <v>2491.1999999999998</v>
      </c>
      <c r="AD29" s="16">
        <f t="shared" si="20"/>
        <v>0</v>
      </c>
      <c r="AE29" s="16">
        <f t="shared" si="21"/>
        <v>2491.1999999999998</v>
      </c>
      <c r="AF29" t="str">
        <f t="shared" si="22"/>
        <v>****</v>
      </c>
    </row>
    <row r="30" spans="1:32" x14ac:dyDescent="0.25">
      <c r="A30" t="s">
        <v>79</v>
      </c>
      <c r="B30" t="s">
        <v>29</v>
      </c>
      <c r="C30" s="8">
        <v>1</v>
      </c>
      <c r="D30" s="11">
        <v>1</v>
      </c>
      <c r="E30" t="s">
        <v>23</v>
      </c>
      <c r="F30" t="s">
        <v>23</v>
      </c>
      <c r="G30" s="12">
        <v>4</v>
      </c>
      <c r="H30" s="9" t="str">
        <f t="shared" ref="H30" si="80">IF((B30="HB"),"99.50",IF((B30="OB"),"188.00",IF((B30="PP"),"50.00",IF((B30="RB"),"62.10",IF((B30="SB"),"100.00",IF((B30="L"),"76.35",IF((B30="HT"),"50.00",IF((B30="CP"),"125.00","ERROR!"))))))))</f>
        <v>50.00</v>
      </c>
      <c r="I30">
        <f t="shared" ref="I30" si="81">C30*H30</f>
        <v>50</v>
      </c>
      <c r="J30">
        <f t="shared" ref="J30" si="82">D30*I30</f>
        <v>50</v>
      </c>
      <c r="K30" t="str">
        <f t="shared" ref="K30" si="83">IF((B30="HB"),"100",IF((B30="OB"),"150",IF((B30="PP"),"75",IF((B30="RB"),"75",IF((B30="SB"),"150",IF((B30="L"),"0",IF((B30="HT"),"100",IF((B30="CP"),"0","ERROR!"))))))))</f>
        <v>100</v>
      </c>
      <c r="L30">
        <f t="shared" ref="L30" si="84">G30*D30</f>
        <v>4</v>
      </c>
      <c r="M30">
        <f t="shared" ref="M30" si="85">SUM(J30+K30+L30)</f>
        <v>154</v>
      </c>
      <c r="N30" s="7" t="str">
        <f t="shared" ref="N30" si="86">IF(AND(OR(B30="HB",B30="OB",B30="SB"),E30="Y"),SUM(J30*0.1),"0")</f>
        <v>0</v>
      </c>
      <c r="O30">
        <f t="shared" ref="O30" si="87">ROUND(IF(AND(OR(B30="HB",B30="L"),F30="Y"),IF(B30="HB",J30*0.05,IF((B30="L"),J30*0.075,0))),2)</f>
        <v>0</v>
      </c>
      <c r="P30">
        <f t="shared" si="34"/>
        <v>0</v>
      </c>
      <c r="Q30">
        <f t="shared" si="3"/>
        <v>0</v>
      </c>
      <c r="R30" s="13">
        <f t="shared" si="11"/>
        <v>0</v>
      </c>
      <c r="S30">
        <f t="shared" si="23"/>
        <v>1</v>
      </c>
      <c r="T30">
        <f t="shared" si="24"/>
        <v>2</v>
      </c>
      <c r="U30" s="10">
        <f t="shared" ref="U30" si="88">M30+R30</f>
        <v>154</v>
      </c>
      <c r="V30" t="str">
        <f t="shared" si="12"/>
        <v>Harbour Towne</v>
      </c>
      <c r="W30" t="str">
        <f t="shared" si="13"/>
        <v xml:space="preserve">T                   </v>
      </c>
      <c r="X30" s="15">
        <f t="shared" si="14"/>
        <v>1</v>
      </c>
      <c r="Y30" s="16">
        <f t="shared" si="15"/>
        <v>50</v>
      </c>
      <c r="Z30" s="16">
        <f t="shared" si="16"/>
        <v>50</v>
      </c>
      <c r="AA30" s="17" t="str">
        <f t="shared" si="17"/>
        <v>100</v>
      </c>
      <c r="AB30">
        <f t="shared" si="18"/>
        <v>4</v>
      </c>
      <c r="AC30" s="16">
        <f t="shared" si="19"/>
        <v>154</v>
      </c>
      <c r="AD30" s="16">
        <f t="shared" si="20"/>
        <v>0</v>
      </c>
      <c r="AE30" s="16">
        <f t="shared" si="21"/>
        <v>154</v>
      </c>
      <c r="AF30" t="str">
        <f t="shared" si="22"/>
        <v/>
      </c>
    </row>
    <row r="31" spans="1:32" x14ac:dyDescent="0.25">
      <c r="A31" t="s">
        <v>80</v>
      </c>
      <c r="B31" t="s">
        <v>29</v>
      </c>
      <c r="C31" s="8">
        <v>1</v>
      </c>
      <c r="D31" s="11">
        <v>3</v>
      </c>
      <c r="E31" t="s">
        <v>21</v>
      </c>
      <c r="F31" t="s">
        <v>23</v>
      </c>
      <c r="G31" s="12">
        <v>99.99</v>
      </c>
      <c r="H31" s="9" t="str">
        <f t="shared" ref="H31:H32" si="89">IF((B31="HB"),"99.50",IF((B31="OB"),"188.00",IF((B31="PP"),"50.00",IF((B31="RB"),"62.10",IF((B31="SB"),"100.00",IF((B31="L"),"76.35",IF((B31="HT"),"50.00",IF((B31="CP"),"125.00","ERROR!"))))))))</f>
        <v>50.00</v>
      </c>
      <c r="I31">
        <f t="shared" ref="I31:I32" si="90">C31*H31</f>
        <v>50</v>
      </c>
      <c r="J31">
        <f t="shared" ref="J31:J32" si="91">D31*I31</f>
        <v>150</v>
      </c>
      <c r="K31" t="str">
        <f t="shared" ref="K31:K32" si="92">IF((B31="HB"),"100",IF((B31="OB"),"150",IF((B31="PP"),"75",IF((B31="RB"),"75",IF((B31="SB"),"150",IF((B31="L"),"0",IF((B31="HT"),"100",IF((B31="CP"),"0","ERROR!"))))))))</f>
        <v>100</v>
      </c>
      <c r="L31">
        <f t="shared" ref="L31:L32" si="93">G31*D31</f>
        <v>299.96999999999997</v>
      </c>
      <c r="M31">
        <f t="shared" ref="M31:M32" si="94">SUM(J31+K31+L31)</f>
        <v>549.97</v>
      </c>
      <c r="N31" s="7" t="str">
        <f t="shared" ref="N31:N32" si="95">IF(AND(OR(B31="HB",B31="OB",B31="SB"),E31="Y"),SUM(J31*0.1),"0")</f>
        <v>0</v>
      </c>
      <c r="O31">
        <f t="shared" ref="O31:O32" si="96">ROUND(IF(AND(OR(B31="HB",B31="L"),F31="Y"),IF(B31="HB",J31*0.05,IF((B31="L"),J31*0.075,0))),2)</f>
        <v>0</v>
      </c>
      <c r="P31">
        <f t="shared" si="34"/>
        <v>0</v>
      </c>
      <c r="Q31">
        <f t="shared" si="3"/>
        <v>-25</v>
      </c>
      <c r="R31" s="13">
        <f t="shared" si="11"/>
        <v>-25</v>
      </c>
      <c r="S31">
        <f t="shared" si="23"/>
        <v>1</v>
      </c>
      <c r="T31">
        <f t="shared" si="24"/>
        <v>2.5</v>
      </c>
      <c r="U31" s="10">
        <f t="shared" ref="U31:U32" si="97">M31+R31</f>
        <v>524.97</v>
      </c>
      <c r="V31" t="str">
        <f t="shared" si="12"/>
        <v>Harbour Towne</v>
      </c>
      <c r="W31" t="str">
        <f t="shared" si="13"/>
        <v xml:space="preserve">21 Pilots           </v>
      </c>
      <c r="X31" s="15">
        <f t="shared" si="14"/>
        <v>3</v>
      </c>
      <c r="Y31" s="16">
        <f t="shared" si="15"/>
        <v>50</v>
      </c>
      <c r="Z31" s="16">
        <f t="shared" si="16"/>
        <v>150</v>
      </c>
      <c r="AA31" s="17" t="str">
        <f t="shared" si="17"/>
        <v>100</v>
      </c>
      <c r="AB31">
        <f t="shared" si="18"/>
        <v>299.96999999999997</v>
      </c>
      <c r="AC31" s="16">
        <f t="shared" si="19"/>
        <v>549.97</v>
      </c>
      <c r="AD31" s="16">
        <f t="shared" si="20"/>
        <v>-25</v>
      </c>
      <c r="AE31" s="16">
        <f t="shared" si="21"/>
        <v>524.97</v>
      </c>
      <c r="AF31" t="str">
        <f t="shared" si="22"/>
        <v/>
      </c>
    </row>
    <row r="32" spans="1:32" x14ac:dyDescent="0.25">
      <c r="A32" t="s">
        <v>81</v>
      </c>
      <c r="B32" t="s">
        <v>29</v>
      </c>
      <c r="C32" s="8">
        <v>1</v>
      </c>
      <c r="D32" s="11">
        <v>7</v>
      </c>
      <c r="E32" t="s">
        <v>23</v>
      </c>
      <c r="F32" t="s">
        <v>23</v>
      </c>
      <c r="G32" s="12">
        <v>0</v>
      </c>
      <c r="H32" s="9" t="str">
        <f t="shared" si="89"/>
        <v>50.00</v>
      </c>
      <c r="I32">
        <f t="shared" si="90"/>
        <v>50</v>
      </c>
      <c r="J32">
        <f t="shared" si="91"/>
        <v>350</v>
      </c>
      <c r="K32" t="str">
        <f t="shared" si="92"/>
        <v>100</v>
      </c>
      <c r="L32">
        <f t="shared" si="93"/>
        <v>0</v>
      </c>
      <c r="M32">
        <f t="shared" si="94"/>
        <v>450</v>
      </c>
      <c r="N32" s="7" t="str">
        <f t="shared" si="95"/>
        <v>0</v>
      </c>
      <c r="O32">
        <f t="shared" si="96"/>
        <v>0</v>
      </c>
      <c r="P32">
        <f t="shared" si="34"/>
        <v>0</v>
      </c>
      <c r="Q32">
        <f t="shared" si="3"/>
        <v>-25</v>
      </c>
      <c r="R32" s="13">
        <f t="shared" si="11"/>
        <v>-25</v>
      </c>
      <c r="S32">
        <f t="shared" si="23"/>
        <v>1</v>
      </c>
      <c r="T32">
        <f t="shared" si="24"/>
        <v>3</v>
      </c>
      <c r="U32" s="10">
        <f t="shared" si="97"/>
        <v>425</v>
      </c>
      <c r="V32" t="str">
        <f t="shared" si="12"/>
        <v>Harbour Towne</v>
      </c>
      <c r="W32" t="str">
        <f t="shared" si="13"/>
        <v xml:space="preserve">Green Day           </v>
      </c>
      <c r="X32" s="15">
        <f t="shared" si="14"/>
        <v>7</v>
      </c>
      <c r="Y32" s="16">
        <f t="shared" si="15"/>
        <v>50</v>
      </c>
      <c r="Z32" s="16">
        <f t="shared" si="16"/>
        <v>350</v>
      </c>
      <c r="AA32" s="17" t="str">
        <f t="shared" si="17"/>
        <v>100</v>
      </c>
      <c r="AB32">
        <f t="shared" si="18"/>
        <v>0</v>
      </c>
      <c r="AC32" s="16">
        <f t="shared" si="19"/>
        <v>450</v>
      </c>
      <c r="AD32" s="16">
        <f t="shared" si="20"/>
        <v>-25</v>
      </c>
      <c r="AE32" s="16">
        <f t="shared" si="21"/>
        <v>425</v>
      </c>
      <c r="AF32" t="str">
        <f t="shared" si="22"/>
        <v/>
      </c>
    </row>
    <row r="33" spans="1:32" x14ac:dyDescent="0.25">
      <c r="A33" t="s">
        <v>82</v>
      </c>
      <c r="B33" t="s">
        <v>29</v>
      </c>
      <c r="C33" s="8">
        <v>5</v>
      </c>
      <c r="D33" s="11">
        <v>1</v>
      </c>
      <c r="E33" t="s">
        <v>23</v>
      </c>
      <c r="F33" t="s">
        <v>21</v>
      </c>
      <c r="G33" s="12">
        <v>0</v>
      </c>
      <c r="H33" s="9" t="str">
        <f t="shared" ref="H33:H35" si="98">IF((B33="HB"),"99.50",IF((B33="OB"),"188.00",IF((B33="PP"),"50.00",IF((B33="RB"),"62.10",IF((B33="SB"),"100.00",IF((B33="L"),"76.35",IF((B33="HT"),"50.00",IF((B33="CP"),"125.00","ERROR!"))))))))</f>
        <v>50.00</v>
      </c>
      <c r="I33">
        <f t="shared" ref="I33:I35" si="99">C33*H33</f>
        <v>250</v>
      </c>
      <c r="J33">
        <f t="shared" ref="J33:J35" si="100">D33*I33</f>
        <v>250</v>
      </c>
      <c r="K33" t="str">
        <f t="shared" ref="K33:K35" si="101">IF((B33="HB"),"100",IF((B33="OB"),"150",IF((B33="PP"),"75",IF((B33="RB"),"75",IF((B33="SB"),"150",IF((B33="L"),"0",IF((B33="HT"),"100",IF((B33="CP"),"0","ERROR!"))))))))</f>
        <v>100</v>
      </c>
      <c r="L33">
        <f t="shared" ref="L33:L35" si="102">G33*D33</f>
        <v>0</v>
      </c>
      <c r="M33">
        <f t="shared" ref="M33:M35" si="103">SUM(J33+K33+L33)</f>
        <v>350</v>
      </c>
      <c r="N33" s="7" t="str">
        <f t="shared" ref="N33:N35" si="104">IF(AND(OR(B33="HB",B33="OB",B33="SB"),E33="Y"),SUM(J33*0.1),"0")</f>
        <v>0</v>
      </c>
      <c r="O33">
        <f t="shared" ref="O33:O35" si="105">ROUND(IF(AND(OR(B33="HB",B33="L"),F33="Y"),IF(B33="HB",J33*0.05,IF((B33="L"),J33*0.075,0))),2)</f>
        <v>0</v>
      </c>
      <c r="P33">
        <f t="shared" si="34"/>
        <v>0</v>
      </c>
      <c r="Q33">
        <f t="shared" si="3"/>
        <v>0</v>
      </c>
      <c r="R33" s="13">
        <f t="shared" si="11"/>
        <v>0</v>
      </c>
      <c r="S33">
        <f t="shared" si="23"/>
        <v>1</v>
      </c>
      <c r="T33">
        <f t="shared" si="24"/>
        <v>3</v>
      </c>
      <c r="U33" s="10">
        <f t="shared" ref="U33:U35" si="106">M33+R33</f>
        <v>350</v>
      </c>
      <c r="V33" t="str">
        <f t="shared" si="12"/>
        <v>Harbour Towne</v>
      </c>
      <c r="W33" t="str">
        <f t="shared" si="13"/>
        <v xml:space="preserve">Fall Out Boy        </v>
      </c>
      <c r="X33" s="15">
        <f t="shared" si="14"/>
        <v>1</v>
      </c>
      <c r="Y33" s="16">
        <f t="shared" si="15"/>
        <v>250</v>
      </c>
      <c r="Z33" s="16">
        <f t="shared" si="16"/>
        <v>250</v>
      </c>
      <c r="AA33" s="17" t="str">
        <f t="shared" si="17"/>
        <v>100</v>
      </c>
      <c r="AB33">
        <f t="shared" si="18"/>
        <v>0</v>
      </c>
      <c r="AC33" s="16">
        <f t="shared" si="19"/>
        <v>350</v>
      </c>
      <c r="AD33" s="16">
        <f t="shared" si="20"/>
        <v>0</v>
      </c>
      <c r="AE33" s="16">
        <f t="shared" si="21"/>
        <v>350</v>
      </c>
      <c r="AF33" t="str">
        <f t="shared" si="22"/>
        <v/>
      </c>
    </row>
    <row r="34" spans="1:32" x14ac:dyDescent="0.25">
      <c r="A34" t="s">
        <v>83</v>
      </c>
      <c r="B34" t="s">
        <v>29</v>
      </c>
      <c r="C34" s="8">
        <v>7</v>
      </c>
      <c r="D34" s="11">
        <v>3</v>
      </c>
      <c r="E34" t="s">
        <v>21</v>
      </c>
      <c r="F34" t="s">
        <v>21</v>
      </c>
      <c r="G34" s="12">
        <v>5</v>
      </c>
      <c r="H34" s="9" t="str">
        <f t="shared" si="98"/>
        <v>50.00</v>
      </c>
      <c r="I34">
        <f t="shared" si="99"/>
        <v>350</v>
      </c>
      <c r="J34">
        <f t="shared" si="100"/>
        <v>1050</v>
      </c>
      <c r="K34" t="str">
        <f t="shared" si="101"/>
        <v>100</v>
      </c>
      <c r="L34">
        <f t="shared" si="102"/>
        <v>15</v>
      </c>
      <c r="M34">
        <f t="shared" si="103"/>
        <v>1165</v>
      </c>
      <c r="N34" s="7" t="str">
        <f t="shared" si="104"/>
        <v>0</v>
      </c>
      <c r="O34">
        <f t="shared" si="105"/>
        <v>0</v>
      </c>
      <c r="P34">
        <f t="shared" si="34"/>
        <v>0</v>
      </c>
      <c r="Q34">
        <f t="shared" si="3"/>
        <v>-175</v>
      </c>
      <c r="R34" s="13">
        <f t="shared" si="11"/>
        <v>-175</v>
      </c>
      <c r="S34">
        <f t="shared" si="23"/>
        <v>1</v>
      </c>
      <c r="T34">
        <f t="shared" si="24"/>
        <v>3.5</v>
      </c>
      <c r="U34" s="10">
        <f t="shared" si="106"/>
        <v>990</v>
      </c>
      <c r="V34" t="str">
        <f t="shared" si="12"/>
        <v>Harbour Towne</v>
      </c>
      <c r="W34" t="str">
        <f t="shared" si="13"/>
        <v xml:space="preserve">Panic at the Disco  </v>
      </c>
      <c r="X34" s="15">
        <f t="shared" si="14"/>
        <v>3</v>
      </c>
      <c r="Y34" s="16">
        <f t="shared" si="15"/>
        <v>350</v>
      </c>
      <c r="Z34" s="16">
        <f t="shared" si="16"/>
        <v>1050</v>
      </c>
      <c r="AA34" s="17" t="str">
        <f t="shared" si="17"/>
        <v>100</v>
      </c>
      <c r="AB34">
        <f t="shared" si="18"/>
        <v>15</v>
      </c>
      <c r="AC34" s="16">
        <f t="shared" si="19"/>
        <v>1165</v>
      </c>
      <c r="AD34" s="16">
        <f t="shared" si="20"/>
        <v>-175</v>
      </c>
      <c r="AE34" s="16">
        <f t="shared" si="21"/>
        <v>990</v>
      </c>
      <c r="AF34" t="str">
        <f t="shared" si="22"/>
        <v>****</v>
      </c>
    </row>
    <row r="35" spans="1:32" x14ac:dyDescent="0.25">
      <c r="A35" t="s">
        <v>84</v>
      </c>
      <c r="B35" t="s">
        <v>29</v>
      </c>
      <c r="C35" s="8">
        <v>2</v>
      </c>
      <c r="D35" s="11">
        <v>7</v>
      </c>
      <c r="E35" t="s">
        <v>21</v>
      </c>
      <c r="F35" t="s">
        <v>23</v>
      </c>
      <c r="G35" s="12">
        <v>2</v>
      </c>
      <c r="H35" s="9" t="str">
        <f t="shared" si="98"/>
        <v>50.00</v>
      </c>
      <c r="I35">
        <f t="shared" si="99"/>
        <v>100</v>
      </c>
      <c r="J35">
        <f t="shared" si="100"/>
        <v>700</v>
      </c>
      <c r="K35" t="str">
        <f t="shared" si="101"/>
        <v>100</v>
      </c>
      <c r="L35">
        <f t="shared" si="102"/>
        <v>14</v>
      </c>
      <c r="M35">
        <f t="shared" si="103"/>
        <v>814</v>
      </c>
      <c r="N35" s="7" t="str">
        <f t="shared" si="104"/>
        <v>0</v>
      </c>
      <c r="O35">
        <f t="shared" si="105"/>
        <v>0</v>
      </c>
      <c r="P35">
        <f t="shared" si="34"/>
        <v>0</v>
      </c>
      <c r="Q35">
        <f t="shared" si="3"/>
        <v>-50</v>
      </c>
      <c r="R35" s="13">
        <f t="shared" si="11"/>
        <v>-50</v>
      </c>
      <c r="S35">
        <f t="shared" si="23"/>
        <v>1</v>
      </c>
      <c r="T35">
        <f t="shared" si="24"/>
        <v>4</v>
      </c>
      <c r="U35" s="10">
        <f t="shared" si="106"/>
        <v>764</v>
      </c>
      <c r="V35" t="str">
        <f t="shared" si="12"/>
        <v>Harbour Towne</v>
      </c>
      <c r="W35" t="str">
        <f t="shared" si="13"/>
        <v xml:space="preserve">Imagine Dragons     </v>
      </c>
      <c r="X35" s="15">
        <f t="shared" si="14"/>
        <v>7</v>
      </c>
      <c r="Y35" s="16">
        <f t="shared" si="15"/>
        <v>100</v>
      </c>
      <c r="Z35" s="16">
        <f t="shared" si="16"/>
        <v>700</v>
      </c>
      <c r="AA35" s="17" t="str">
        <f t="shared" si="17"/>
        <v>100</v>
      </c>
      <c r="AB35">
        <f t="shared" si="18"/>
        <v>14</v>
      </c>
      <c r="AC35" s="16">
        <f t="shared" si="19"/>
        <v>814</v>
      </c>
      <c r="AD35" s="16">
        <f t="shared" si="20"/>
        <v>-50</v>
      </c>
      <c r="AE35" s="16">
        <f t="shared" si="21"/>
        <v>764</v>
      </c>
      <c r="AF35" t="str">
        <f t="shared" si="22"/>
        <v>****</v>
      </c>
    </row>
    <row r="36" spans="1:32" x14ac:dyDescent="0.25">
      <c r="A36" t="s">
        <v>85</v>
      </c>
      <c r="B36" t="s">
        <v>30</v>
      </c>
      <c r="C36" s="8">
        <v>1</v>
      </c>
      <c r="D36" s="11">
        <v>1</v>
      </c>
      <c r="E36" t="s">
        <v>23</v>
      </c>
      <c r="F36" t="s">
        <v>23</v>
      </c>
      <c r="G36" s="12">
        <v>14</v>
      </c>
      <c r="H36" s="9" t="str">
        <f t="shared" ref="H36" si="107">IF((B36="HB"),"99.50",IF((B36="OB"),"188.00",IF((B36="PP"),"50.00",IF((B36="RB"),"62.10",IF((B36="SB"),"100.00",IF((B36="L"),"76.35",IF((B36="HT"),"50.00",IF((B36="CP"),"125.00","ERROR!"))))))))</f>
        <v>125.00</v>
      </c>
      <c r="I36">
        <f t="shared" ref="I36" si="108">C36*H36</f>
        <v>125</v>
      </c>
      <c r="J36">
        <f t="shared" ref="J36" si="109">D36*I36</f>
        <v>125</v>
      </c>
      <c r="K36" t="str">
        <f t="shared" ref="K36" si="110">IF((B36="HB"),"100",IF((B36="OB"),"150",IF((B36="PP"),"75",IF((B36="RB"),"75",IF((B36="SB"),"150",IF((B36="L"),"0",IF((B36="HT"),"100",IF((B36="CP"),"0","ERROR!"))))))))</f>
        <v>0</v>
      </c>
      <c r="L36">
        <f t="shared" ref="L36" si="111">G36*D36</f>
        <v>14</v>
      </c>
      <c r="M36">
        <f t="shared" ref="M36" si="112">SUM(J36+K36+L36)</f>
        <v>139</v>
      </c>
      <c r="N36" s="7" t="str">
        <f t="shared" ref="N36" si="113">IF(AND(OR(B36="HB",B36="OB",B36="SB"),E36="Y"),SUM(J36*0.1),"0")</f>
        <v>0</v>
      </c>
      <c r="O36">
        <f t="shared" ref="O36" si="114">ROUND(IF(AND(OR(B36="HB",B36="L"),F36="Y"),IF(B36="HB",J36*0.05,IF((B36="L"),J36*0.075,0))),2)</f>
        <v>0</v>
      </c>
      <c r="P36">
        <f t="shared" si="34"/>
        <v>0</v>
      </c>
      <c r="Q36">
        <f t="shared" si="3"/>
        <v>0</v>
      </c>
      <c r="R36" s="13">
        <f t="shared" si="11"/>
        <v>0</v>
      </c>
      <c r="S36">
        <f t="shared" si="23"/>
        <v>1</v>
      </c>
      <c r="T36">
        <f t="shared" si="24"/>
        <v>4</v>
      </c>
      <c r="U36" s="10">
        <f t="shared" ref="U36" si="115">M36+R36</f>
        <v>139</v>
      </c>
      <c r="V36" t="str">
        <f t="shared" si="12"/>
        <v>Compasse Pointe</v>
      </c>
      <c r="W36" t="str">
        <f t="shared" si="13"/>
        <v xml:space="preserve">Cage the Elephant   </v>
      </c>
      <c r="X36" s="15">
        <f t="shared" si="14"/>
        <v>1</v>
      </c>
      <c r="Y36" s="16">
        <f t="shared" si="15"/>
        <v>125</v>
      </c>
      <c r="Z36" s="16">
        <f t="shared" si="16"/>
        <v>125</v>
      </c>
      <c r="AA36" s="17" t="str">
        <f t="shared" si="17"/>
        <v>0</v>
      </c>
      <c r="AB36">
        <f t="shared" si="18"/>
        <v>14</v>
      </c>
      <c r="AC36" s="16">
        <f t="shared" si="19"/>
        <v>139</v>
      </c>
      <c r="AD36" s="16">
        <f t="shared" si="20"/>
        <v>0</v>
      </c>
      <c r="AE36" s="16">
        <f t="shared" si="21"/>
        <v>139</v>
      </c>
      <c r="AF36" t="str">
        <f t="shared" si="22"/>
        <v/>
      </c>
    </row>
    <row r="37" spans="1:32" x14ac:dyDescent="0.25">
      <c r="A37" t="s">
        <v>86</v>
      </c>
      <c r="B37" t="s">
        <v>30</v>
      </c>
      <c r="C37" s="8">
        <v>1</v>
      </c>
      <c r="D37" s="11">
        <v>5</v>
      </c>
      <c r="E37" t="s">
        <v>23</v>
      </c>
      <c r="F37" t="s">
        <v>23</v>
      </c>
      <c r="G37" s="12">
        <v>54</v>
      </c>
      <c r="H37" s="9" t="str">
        <f t="shared" ref="H37:H39" si="116">IF((B37="HB"),"99.50",IF((B37="OB"),"188.00",IF((B37="PP"),"50.00",IF((B37="RB"),"62.10",IF((B37="SB"),"100.00",IF((B37="L"),"76.35",IF((B37="HT"),"50.00",IF((B37="CP"),"125.00","ERROR!"))))))))</f>
        <v>125.00</v>
      </c>
      <c r="I37">
        <f t="shared" ref="I37:I39" si="117">C37*H37</f>
        <v>125</v>
      </c>
      <c r="J37">
        <f t="shared" ref="J37:J39" si="118">D37*I37</f>
        <v>625</v>
      </c>
      <c r="K37" t="str">
        <f t="shared" ref="K37:K39" si="119">IF((B37="HB"),"100",IF((B37="OB"),"150",IF((B37="PP"),"75",IF((B37="RB"),"75",IF((B37="SB"),"150",IF((B37="L"),"0",IF((B37="HT"),"100",IF((B37="CP"),"0","ERROR!"))))))))</f>
        <v>0</v>
      </c>
      <c r="L37">
        <f t="shared" ref="L37:L39" si="120">G37*D37</f>
        <v>270</v>
      </c>
      <c r="M37">
        <f t="shared" ref="M37:M39" si="121">SUM(J37+K37+L37)</f>
        <v>895</v>
      </c>
      <c r="N37" s="7" t="str">
        <f t="shared" ref="N37:N39" si="122">IF(AND(OR(B37="HB",B37="OB",B37="SB"),E37="Y"),SUM(J37*0.1),"0")</f>
        <v>0</v>
      </c>
      <c r="O37">
        <f t="shared" ref="O37:O39" si="123">ROUND(IF(AND(OR(B37="HB",B37="L"),F37="Y"),IF(B37="HB",J37*0.05,IF((B37="L"),J37*0.075,0))),2)</f>
        <v>0</v>
      </c>
      <c r="P37">
        <f t="shared" si="34"/>
        <v>0</v>
      </c>
      <c r="Q37">
        <f>IF(AND(B37="OB",D37&gt;6),I37*-1,IF(AND(B37="HT",D37&gt;2),I37*-0.5,IF(AND(B37="CP",D37&gt;=5),I37*-1,0)))</f>
        <v>-125</v>
      </c>
      <c r="R37" s="13">
        <f t="shared" si="11"/>
        <v>-125</v>
      </c>
      <c r="S37">
        <f t="shared" si="23"/>
        <v>1</v>
      </c>
      <c r="T37">
        <f t="shared" si="24"/>
        <v>5</v>
      </c>
      <c r="U37" s="10">
        <f t="shared" ref="U37:U39" si="124">M37+R37</f>
        <v>770</v>
      </c>
      <c r="V37" t="str">
        <f t="shared" si="12"/>
        <v>Compasse Pointe</v>
      </c>
      <c r="W37" t="str">
        <f t="shared" si="13"/>
        <v xml:space="preserve">MCR                 </v>
      </c>
      <c r="X37" s="15">
        <f t="shared" si="14"/>
        <v>5</v>
      </c>
      <c r="Y37" s="16">
        <f t="shared" si="15"/>
        <v>125</v>
      </c>
      <c r="Z37" s="16">
        <f t="shared" si="16"/>
        <v>625</v>
      </c>
      <c r="AA37" s="17" t="str">
        <f t="shared" si="17"/>
        <v>0</v>
      </c>
      <c r="AB37">
        <f t="shared" si="18"/>
        <v>270</v>
      </c>
      <c r="AC37" s="16">
        <f t="shared" si="19"/>
        <v>895</v>
      </c>
      <c r="AD37" s="16">
        <f t="shared" si="20"/>
        <v>-125</v>
      </c>
      <c r="AE37" s="16">
        <f t="shared" si="21"/>
        <v>770</v>
      </c>
      <c r="AF37" t="str">
        <f t="shared" si="22"/>
        <v>****</v>
      </c>
    </row>
    <row r="38" spans="1:32" x14ac:dyDescent="0.25">
      <c r="A38" t="s">
        <v>87</v>
      </c>
      <c r="B38" t="s">
        <v>30</v>
      </c>
      <c r="C38" s="8">
        <v>1</v>
      </c>
      <c r="D38" s="11">
        <v>7</v>
      </c>
      <c r="E38" t="s">
        <v>21</v>
      </c>
      <c r="F38" t="s">
        <v>21</v>
      </c>
      <c r="G38" s="12">
        <v>19.95</v>
      </c>
      <c r="H38" s="9" t="str">
        <f t="shared" si="116"/>
        <v>125.00</v>
      </c>
      <c r="I38">
        <f t="shared" si="117"/>
        <v>125</v>
      </c>
      <c r="J38">
        <f t="shared" si="118"/>
        <v>875</v>
      </c>
      <c r="K38" t="str">
        <f t="shared" si="119"/>
        <v>0</v>
      </c>
      <c r="L38">
        <f t="shared" si="120"/>
        <v>139.65</v>
      </c>
      <c r="M38">
        <f t="shared" si="121"/>
        <v>1014.65</v>
      </c>
      <c r="N38" s="7" t="str">
        <f t="shared" si="122"/>
        <v>0</v>
      </c>
      <c r="O38">
        <f t="shared" si="123"/>
        <v>0</v>
      </c>
      <c r="P38">
        <f t="shared" si="34"/>
        <v>0</v>
      </c>
      <c r="Q38">
        <f t="shared" ref="Q38:Q41" si="125">IF(AND(B38="OB",D38&gt;6),I38*-1,IF(AND(B38="HT",D38&gt;2),I38*-0.5,IF(AND(B38="CP",D38&gt;=5),I38*-1,0)))</f>
        <v>-125</v>
      </c>
      <c r="R38" s="13">
        <f t="shared" si="11"/>
        <v>-125</v>
      </c>
      <c r="S38">
        <f t="shared" si="23"/>
        <v>1</v>
      </c>
      <c r="T38">
        <f t="shared" si="24"/>
        <v>6</v>
      </c>
      <c r="U38" s="10">
        <f t="shared" si="124"/>
        <v>889.65</v>
      </c>
      <c r="V38" t="str">
        <f t="shared" si="12"/>
        <v>Compasse Pointe</v>
      </c>
      <c r="W38" t="str">
        <f t="shared" si="13"/>
        <v xml:space="preserve">Red Barron          </v>
      </c>
      <c r="X38" s="15">
        <f t="shared" si="14"/>
        <v>7</v>
      </c>
      <c r="Y38" s="16">
        <f t="shared" si="15"/>
        <v>125</v>
      </c>
      <c r="Z38" s="16">
        <f t="shared" si="16"/>
        <v>875</v>
      </c>
      <c r="AA38" s="17" t="str">
        <f t="shared" si="17"/>
        <v>0</v>
      </c>
      <c r="AB38">
        <f t="shared" si="18"/>
        <v>139.65</v>
      </c>
      <c r="AC38" s="16">
        <f t="shared" si="19"/>
        <v>1014.65</v>
      </c>
      <c r="AD38" s="16">
        <f t="shared" si="20"/>
        <v>-125</v>
      </c>
      <c r="AE38" s="16">
        <f t="shared" si="21"/>
        <v>889.65</v>
      </c>
      <c r="AF38" t="str">
        <f t="shared" si="22"/>
        <v>****</v>
      </c>
    </row>
    <row r="39" spans="1:32" x14ac:dyDescent="0.25">
      <c r="A39" t="s">
        <v>88</v>
      </c>
      <c r="B39" t="s">
        <v>30</v>
      </c>
      <c r="C39" s="8">
        <v>4</v>
      </c>
      <c r="D39" s="11">
        <v>1</v>
      </c>
      <c r="E39" t="s">
        <v>21</v>
      </c>
      <c r="F39" t="s">
        <v>23</v>
      </c>
      <c r="G39" s="12">
        <v>2</v>
      </c>
      <c r="H39" s="9" t="str">
        <f t="shared" si="116"/>
        <v>125.00</v>
      </c>
      <c r="I39">
        <f t="shared" si="117"/>
        <v>500</v>
      </c>
      <c r="J39">
        <f t="shared" si="118"/>
        <v>500</v>
      </c>
      <c r="K39" t="str">
        <f t="shared" si="119"/>
        <v>0</v>
      </c>
      <c r="L39">
        <f t="shared" si="120"/>
        <v>2</v>
      </c>
      <c r="M39">
        <f t="shared" si="121"/>
        <v>502</v>
      </c>
      <c r="N39" s="7" t="str">
        <f t="shared" si="122"/>
        <v>0</v>
      </c>
      <c r="O39">
        <f t="shared" si="123"/>
        <v>0</v>
      </c>
      <c r="P39">
        <f t="shared" si="34"/>
        <v>0</v>
      </c>
      <c r="Q39">
        <f t="shared" si="125"/>
        <v>0</v>
      </c>
      <c r="R39" s="13">
        <f t="shared" si="11"/>
        <v>0</v>
      </c>
      <c r="S39">
        <f t="shared" si="23"/>
        <v>1</v>
      </c>
      <c r="T39">
        <f t="shared" si="24"/>
        <v>6</v>
      </c>
      <c r="U39" s="10">
        <f t="shared" si="124"/>
        <v>502</v>
      </c>
      <c r="V39" t="str">
        <f t="shared" si="12"/>
        <v>Compasse Pointe</v>
      </c>
      <c r="W39" t="str">
        <f t="shared" si="13"/>
        <v xml:space="preserve">Snoopie             </v>
      </c>
      <c r="X39" s="15">
        <f t="shared" si="14"/>
        <v>1</v>
      </c>
      <c r="Y39" s="16">
        <f t="shared" si="15"/>
        <v>500</v>
      </c>
      <c r="Z39" s="16">
        <f t="shared" si="16"/>
        <v>500</v>
      </c>
      <c r="AA39" s="17" t="str">
        <f t="shared" si="17"/>
        <v>0</v>
      </c>
      <c r="AB39">
        <f t="shared" si="18"/>
        <v>2</v>
      </c>
      <c r="AC39" s="16">
        <f t="shared" si="19"/>
        <v>502</v>
      </c>
      <c r="AD39" s="16">
        <f t="shared" si="20"/>
        <v>0</v>
      </c>
      <c r="AE39" s="16">
        <f t="shared" si="21"/>
        <v>502</v>
      </c>
      <c r="AF39" t="str">
        <f t="shared" si="22"/>
        <v/>
      </c>
    </row>
    <row r="40" spans="1:32" x14ac:dyDescent="0.25">
      <c r="A40" t="s">
        <v>89</v>
      </c>
      <c r="B40" t="s">
        <v>30</v>
      </c>
      <c r="C40" s="8">
        <v>6</v>
      </c>
      <c r="D40" s="11">
        <v>5</v>
      </c>
      <c r="E40" t="s">
        <v>23</v>
      </c>
      <c r="F40" t="s">
        <v>21</v>
      </c>
      <c r="G40" s="12">
        <v>5</v>
      </c>
      <c r="H40" s="9" t="str">
        <f t="shared" ref="H40:H41" si="126">IF((B40="HB"),"99.50",IF((B40="OB"),"188.00",IF((B40="PP"),"50.00",IF((B40="RB"),"62.10",IF((B40="SB"),"100.00",IF((B40="L"),"76.35",IF((B40="HT"),"50.00",IF((B40="CP"),"125.00","ERROR!"))))))))</f>
        <v>125.00</v>
      </c>
      <c r="I40">
        <f t="shared" ref="I40:I41" si="127">C40*H40</f>
        <v>750</v>
      </c>
      <c r="J40">
        <f t="shared" ref="J40:J41" si="128">D40*I40</f>
        <v>3750</v>
      </c>
      <c r="K40" t="str">
        <f t="shared" ref="K40:K41" si="129">IF((B40="HB"),"100",IF((B40="OB"),"150",IF((B40="PP"),"75",IF((B40="RB"),"75",IF((B40="SB"),"150",IF((B40="L"),"0",IF((B40="HT"),"100",IF((B40="CP"),"0","ERROR!"))))))))</f>
        <v>0</v>
      </c>
      <c r="L40">
        <f t="shared" ref="L40:L41" si="130">G40*D40</f>
        <v>25</v>
      </c>
      <c r="M40">
        <f>SUM(J40+K40+L40)</f>
        <v>3775</v>
      </c>
      <c r="N40" s="7" t="str">
        <f t="shared" ref="N40:N41" si="131">IF(AND(OR(B40="HB",B40="OB",B40="SB"),E40="Y"),SUM(J40*0.1),"0")</f>
        <v>0</v>
      </c>
      <c r="O40">
        <f t="shared" ref="O40:O41" si="132">ROUND(IF(AND(OR(B40="HB",B40="L"),F40="Y"),IF(B40="HB",J40*0.05,IF((B40="L"),J40*0.075,0))),2)</f>
        <v>0</v>
      </c>
      <c r="P40">
        <f t="shared" si="34"/>
        <v>0</v>
      </c>
      <c r="Q40">
        <f t="shared" si="125"/>
        <v>-750</v>
      </c>
      <c r="R40" s="13">
        <f>SUM(N40+O40+Q40+P40)</f>
        <v>-750</v>
      </c>
      <c r="S40">
        <f t="shared" si="23"/>
        <v>1</v>
      </c>
      <c r="T40">
        <f t="shared" si="24"/>
        <v>7</v>
      </c>
      <c r="U40" s="10">
        <f t="shared" ref="U40:U41" si="133">M40+R40</f>
        <v>3025</v>
      </c>
      <c r="V40" t="str">
        <f t="shared" si="12"/>
        <v>Compasse Pointe</v>
      </c>
      <c r="W40" t="str">
        <f t="shared" si="13"/>
        <v xml:space="preserve">Charlie Brown       </v>
      </c>
      <c r="X40" s="15">
        <f t="shared" si="14"/>
        <v>5</v>
      </c>
      <c r="Y40" s="16">
        <f t="shared" si="15"/>
        <v>750</v>
      </c>
      <c r="Z40" s="16">
        <f t="shared" si="16"/>
        <v>3750</v>
      </c>
      <c r="AA40" s="17" t="str">
        <f t="shared" si="17"/>
        <v>0</v>
      </c>
      <c r="AB40">
        <f t="shared" si="18"/>
        <v>25</v>
      </c>
      <c r="AC40" s="16">
        <f t="shared" si="19"/>
        <v>3775</v>
      </c>
      <c r="AD40" s="16">
        <f t="shared" si="20"/>
        <v>-750</v>
      </c>
      <c r="AE40" s="16">
        <f t="shared" si="21"/>
        <v>3025</v>
      </c>
      <c r="AF40" t="str">
        <f t="shared" si="22"/>
        <v>****</v>
      </c>
    </row>
    <row r="41" spans="1:32" x14ac:dyDescent="0.25">
      <c r="A41" t="s">
        <v>90</v>
      </c>
      <c r="B41" t="s">
        <v>30</v>
      </c>
      <c r="C41" s="8">
        <v>2</v>
      </c>
      <c r="D41" s="11">
        <v>7</v>
      </c>
      <c r="E41" t="s">
        <v>23</v>
      </c>
      <c r="F41" t="s">
        <v>23</v>
      </c>
      <c r="G41" s="12">
        <v>10.99</v>
      </c>
      <c r="H41" s="9" t="str">
        <f t="shared" si="126"/>
        <v>125.00</v>
      </c>
      <c r="I41">
        <f t="shared" si="127"/>
        <v>250</v>
      </c>
      <c r="J41">
        <f t="shared" si="128"/>
        <v>1750</v>
      </c>
      <c r="K41" t="str">
        <f t="shared" si="129"/>
        <v>0</v>
      </c>
      <c r="L41">
        <f t="shared" si="130"/>
        <v>76.930000000000007</v>
      </c>
      <c r="M41">
        <f t="shared" ref="M40:M41" si="134">SUM(J41+K41+L41)</f>
        <v>1826.93</v>
      </c>
      <c r="N41" s="7" t="str">
        <f t="shared" si="131"/>
        <v>0</v>
      </c>
      <c r="O41">
        <f t="shared" si="132"/>
        <v>0</v>
      </c>
      <c r="P41">
        <f t="shared" si="34"/>
        <v>0</v>
      </c>
      <c r="Q41">
        <f t="shared" si="125"/>
        <v>-250</v>
      </c>
      <c r="R41" s="13">
        <f t="shared" si="11"/>
        <v>-250</v>
      </c>
      <c r="S41">
        <f t="shared" si="23"/>
        <v>1</v>
      </c>
      <c r="T41">
        <f t="shared" si="24"/>
        <v>8</v>
      </c>
      <c r="U41" s="10">
        <f t="shared" si="133"/>
        <v>1576.93</v>
      </c>
      <c r="V41" t="str">
        <f t="shared" si="12"/>
        <v>Compasse Pointe</v>
      </c>
      <c r="W41" t="str">
        <f t="shared" si="13"/>
        <v xml:space="preserve">Frank Galager       </v>
      </c>
      <c r="X41" s="15">
        <f t="shared" si="14"/>
        <v>7</v>
      </c>
      <c r="Y41" s="16">
        <f t="shared" si="15"/>
        <v>250</v>
      </c>
      <c r="Z41" s="16">
        <f t="shared" si="16"/>
        <v>1750</v>
      </c>
      <c r="AA41" s="17" t="str">
        <f t="shared" si="17"/>
        <v>0</v>
      </c>
      <c r="AB41">
        <f t="shared" si="18"/>
        <v>76.930000000000007</v>
      </c>
      <c r="AC41" s="16">
        <f t="shared" si="19"/>
        <v>1826.93</v>
      </c>
      <c r="AD41" s="16">
        <f t="shared" si="20"/>
        <v>-250</v>
      </c>
      <c r="AE41" s="16">
        <f t="shared" si="21"/>
        <v>1576.93</v>
      </c>
      <c r="AF41" t="str">
        <f t="shared" si="22"/>
        <v>****</v>
      </c>
    </row>
    <row r="42" spans="1:32" x14ac:dyDescent="0.25">
      <c r="C42" s="8"/>
      <c r="D42" s="11"/>
      <c r="G42" s="12"/>
      <c r="H42" s="14"/>
      <c r="N42" s="7"/>
      <c r="R42" s="13"/>
      <c r="U42" s="14"/>
      <c r="X42" s="15"/>
      <c r="Y42" s="16"/>
      <c r="Z42" s="16"/>
      <c r="AA42" s="17"/>
      <c r="AC42" s="16"/>
      <c r="AD42" s="16"/>
      <c r="AE42" s="16"/>
    </row>
    <row r="44" spans="1:32" x14ac:dyDescent="0.25">
      <c r="V44" t="s">
        <v>44</v>
      </c>
      <c r="W44" s="16">
        <f>SUM(AC3:AC41)</f>
        <v>356973.81999999989</v>
      </c>
      <c r="X44" t="s">
        <v>45</v>
      </c>
      <c r="Y44" s="16">
        <f>SUM(AD3:AD41)</f>
        <v>27042.32</v>
      </c>
      <c r="Z44" t="s">
        <v>46</v>
      </c>
      <c r="AA44" s="16">
        <f>SUM(AE3:AE41)</f>
        <v>384016.1399999999</v>
      </c>
    </row>
    <row r="46" spans="1:32" x14ac:dyDescent="0.25">
      <c r="V46" t="s">
        <v>47</v>
      </c>
      <c r="W46">
        <v>39</v>
      </c>
      <c r="X46" t="s">
        <v>48</v>
      </c>
      <c r="Y46">
        <f>T41</f>
        <v>8</v>
      </c>
      <c r="Z46" t="s">
        <v>49</v>
      </c>
      <c r="AA46">
        <f>S41</f>
        <v>1</v>
      </c>
    </row>
    <row r="47" spans="1:32" x14ac:dyDescent="0.25">
      <c r="V47" t="s">
        <v>50</v>
      </c>
      <c r="W47" s="13">
        <f>SUM(N3:N41)</f>
        <v>26319.7</v>
      </c>
      <c r="X47" t="s">
        <v>51</v>
      </c>
      <c r="Y47">
        <f>SUM(O3:O41)</f>
        <v>4578.619999999999</v>
      </c>
    </row>
  </sheetData>
  <mergeCells count="3">
    <mergeCell ref="V1:AF1"/>
    <mergeCell ref="A1:G1"/>
    <mergeCell ref="I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Amos</cp:lastModifiedBy>
  <dcterms:created xsi:type="dcterms:W3CDTF">2020-01-14T10:25:54Z</dcterms:created>
  <dcterms:modified xsi:type="dcterms:W3CDTF">2020-01-20T00:37:37Z</dcterms:modified>
</cp:coreProperties>
</file>