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0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1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2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13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14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15.xml" ContentType="application/vnd.openxmlformats-officedocument.drawingml.chartshapes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18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19.xml" ContentType="application/vnd.openxmlformats-officedocument.drawing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20.xml" ContentType="application/vnd.openxmlformats-officedocument.drawingml.chartshapes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drawings/drawing23.xml" ContentType="application/vnd.openxmlformats-officedocument.drawingml.chartshapes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24.xml" ContentType="application/vnd.openxmlformats-officedocument.drawingml.chartshapes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25.xml" ContentType="application/vnd.openxmlformats-officedocument.drawingml.chartshapes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drawings/drawing28.xml" ContentType="application/vnd.openxmlformats-officedocument.drawing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2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Library/CloudStorage/Dropbox/Projects/BOOKS/Statistics for ABA Practitioners/"/>
    </mc:Choice>
  </mc:AlternateContent>
  <xr:revisionPtr revIDLastSave="0" documentId="13_ncr:1_{F3ADCEA5-F605-0D45-9E86-15122DCF433B}" xr6:coauthVersionLast="47" xr6:coauthVersionMax="47" xr10:uidLastSave="{00000000-0000-0000-0000-000000000000}"/>
  <bookViews>
    <workbookView minimized="1" xWindow="0" yWindow="500" windowWidth="33600" windowHeight="19600" activeTab="4" xr2:uid="{37949644-5625-2C42-9159-13DE11A34E3A}"/>
  </bookViews>
  <sheets>
    <sheet name="CH. 2 - Binomial" sheetId="1" r:id="rId1"/>
    <sheet name="Ch. 2 - Distribution Summary" sheetId="3" r:id="rId2"/>
    <sheet name="Ch. 3 - Levels of Aggregating" sheetId="11" r:id="rId3"/>
    <sheet name="Ch. 3- Means" sheetId="7" r:id="rId4"/>
    <sheet name="Figure 4.1" sheetId="8" r:id="rId5"/>
    <sheet name="Figure 4.4" sheetId="9" r:id="rId6"/>
    <sheet name="Figure 5.2" sheetId="16" r:id="rId7"/>
    <sheet name="Figure 6.1" sheetId="10" r:id="rId8"/>
    <sheet name="Figure 6.n" sheetId="4" r:id="rId9"/>
    <sheet name="Figure 6.n2" sheetId="5" r:id="rId10"/>
    <sheet name="Figure 6.n3" sheetId="6" r:id="rId11"/>
    <sheet name="Figure 7.1" sheetId="17" r:id="rId12"/>
    <sheet name="Figure 7.2" sheetId="18" r:id="rId13"/>
    <sheet name="Figure 8.1" sheetId="12" r:id="rId14"/>
    <sheet name="Figure 8.2" sheetId="14" r:id="rId15"/>
    <sheet name="Figure 8.3" sheetId="15" r:id="rId16"/>
    <sheet name="Figure 11.1" sheetId="20" r:id="rId17"/>
  </sheets>
  <definedNames>
    <definedName name="solver_adj" localSheetId="8" hidden="1">'Figure 6.n'!$C$15:$C$18</definedName>
    <definedName name="solver_adj" localSheetId="10" hidden="1">'Figure 6.n3'!$C$13:$C$14</definedName>
    <definedName name="solver_cvg" localSheetId="8" hidden="1">0.0001</definedName>
    <definedName name="solver_cvg" localSheetId="10" hidden="1">0.0001</definedName>
    <definedName name="solver_drv" localSheetId="8" hidden="1">1</definedName>
    <definedName name="solver_drv" localSheetId="10" hidden="1">1</definedName>
    <definedName name="solver_eng" localSheetId="8" hidden="1">1</definedName>
    <definedName name="solver_eng" localSheetId="10" hidden="1">1</definedName>
    <definedName name="solver_itr" localSheetId="8" hidden="1">2147483647</definedName>
    <definedName name="solver_itr" localSheetId="10" hidden="1">2147483647</definedName>
    <definedName name="solver_lin" localSheetId="8" hidden="1">2</definedName>
    <definedName name="solver_lin" localSheetId="10" hidden="1">2</definedName>
    <definedName name="solver_mip" localSheetId="8" hidden="1">2147483647</definedName>
    <definedName name="solver_mip" localSheetId="10" hidden="1">2147483647</definedName>
    <definedName name="solver_mni" localSheetId="8" hidden="1">30</definedName>
    <definedName name="solver_mni" localSheetId="10" hidden="1">30</definedName>
    <definedName name="solver_mrt" localSheetId="8" hidden="1">0.075</definedName>
    <definedName name="solver_mrt" localSheetId="10" hidden="1">0.075</definedName>
    <definedName name="solver_msl" localSheetId="8" hidden="1">2</definedName>
    <definedName name="solver_msl" localSheetId="10" hidden="1">2</definedName>
    <definedName name="solver_neg" localSheetId="8" hidden="1">2</definedName>
    <definedName name="solver_neg" localSheetId="10" hidden="1">1</definedName>
    <definedName name="solver_nod" localSheetId="8" hidden="1">2147483647</definedName>
    <definedName name="solver_nod" localSheetId="10" hidden="1">2147483647</definedName>
    <definedName name="solver_num" localSheetId="8" hidden="1">0</definedName>
    <definedName name="solver_num" localSheetId="10" hidden="1">0</definedName>
    <definedName name="solver_opt" localSheetId="8" hidden="1">'Figure 6.n'!$I$14</definedName>
    <definedName name="solver_opt" localSheetId="10" hidden="1">'Figure 6.n3'!$E$11</definedName>
    <definedName name="solver_pre" localSheetId="8" hidden="1">0.000001</definedName>
    <definedName name="solver_pre" localSheetId="10" hidden="1">0.000001</definedName>
    <definedName name="solver_rbv" localSheetId="8" hidden="1">1</definedName>
    <definedName name="solver_rbv" localSheetId="10" hidden="1">1</definedName>
    <definedName name="solver_rlx" localSheetId="8" hidden="1">2</definedName>
    <definedName name="solver_rlx" localSheetId="10" hidden="1">2</definedName>
    <definedName name="solver_rsd" localSheetId="8" hidden="1">0</definedName>
    <definedName name="solver_rsd" localSheetId="10" hidden="1">0</definedName>
    <definedName name="solver_scl" localSheetId="8" hidden="1">1</definedName>
    <definedName name="solver_scl" localSheetId="10" hidden="1">1</definedName>
    <definedName name="solver_sho" localSheetId="8" hidden="1">2</definedName>
    <definedName name="solver_sho" localSheetId="10" hidden="1">2</definedName>
    <definedName name="solver_ssz" localSheetId="8" hidden="1">100</definedName>
    <definedName name="solver_ssz" localSheetId="10" hidden="1">100</definedName>
    <definedName name="solver_tim" localSheetId="8" hidden="1">2147483647</definedName>
    <definedName name="solver_tim" localSheetId="10" hidden="1">2147483647</definedName>
    <definedName name="solver_tol" localSheetId="8" hidden="1">0.01</definedName>
    <definedName name="solver_tol" localSheetId="10" hidden="1">0.01</definedName>
    <definedName name="solver_typ" localSheetId="8" hidden="1">1</definedName>
    <definedName name="solver_typ" localSheetId="10" hidden="1">2</definedName>
    <definedName name="solver_val" localSheetId="8" hidden="1">0</definedName>
    <definedName name="solver_val" localSheetId="10" hidden="1">0</definedName>
    <definedName name="solver_ver" localSheetId="8" hidden="1">2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P29" i="20"/>
  <c r="O29" i="20"/>
  <c r="N29" i="20"/>
  <c r="F29" i="20"/>
  <c r="E29" i="20"/>
  <c r="D29" i="20"/>
  <c r="Q27" i="20"/>
  <c r="G27" i="20"/>
  <c r="Q26" i="20"/>
  <c r="G26" i="20"/>
  <c r="Q25" i="20"/>
  <c r="G25" i="20"/>
  <c r="Q24" i="20"/>
  <c r="G24" i="20"/>
  <c r="A24" i="20"/>
  <c r="Q23" i="20"/>
  <c r="G23" i="20"/>
  <c r="Q20" i="20"/>
  <c r="G20" i="20"/>
  <c r="Q19" i="20"/>
  <c r="G19" i="20"/>
  <c r="Q18" i="20"/>
  <c r="G18" i="20"/>
  <c r="A18" i="20"/>
  <c r="A19" i="20" s="1"/>
  <c r="Q17" i="20"/>
  <c r="N17" i="20"/>
  <c r="G17" i="20"/>
  <c r="A17" i="20"/>
  <c r="Q16" i="20"/>
  <c r="U29" i="20" s="1"/>
  <c r="P16" i="20"/>
  <c r="N16" i="20"/>
  <c r="G16" i="20"/>
  <c r="K29" i="20" s="1"/>
  <c r="Q13" i="20"/>
  <c r="G13" i="20"/>
  <c r="Q12" i="20"/>
  <c r="G12" i="20"/>
  <c r="Q11" i="20"/>
  <c r="G11" i="20"/>
  <c r="Q10" i="20"/>
  <c r="T29" i="20" s="1"/>
  <c r="G10" i="20"/>
  <c r="J29" i="20" s="1"/>
  <c r="A10" i="20"/>
  <c r="A11" i="20" s="1"/>
  <c r="O9" i="20"/>
  <c r="N9" i="20"/>
  <c r="Q6" i="20"/>
  <c r="G6" i="20"/>
  <c r="Q5" i="20"/>
  <c r="G5" i="20"/>
  <c r="Q4" i="20"/>
  <c r="G4" i="20"/>
  <c r="Q3" i="20"/>
  <c r="G3" i="20"/>
  <c r="I29" i="20" s="1"/>
  <c r="A3" i="20"/>
  <c r="N2" i="20"/>
  <c r="AQ2" i="18"/>
  <c r="AI2" i="18"/>
  <c r="AJ2" i="18"/>
  <c r="AK2" i="18"/>
  <c r="AL2" i="18"/>
  <c r="AM2" i="18"/>
  <c r="AN2" i="18"/>
  <c r="AO2" i="18"/>
  <c r="AP2" i="18"/>
  <c r="AI3" i="18"/>
  <c r="AJ3" i="18"/>
  <c r="AK3" i="18"/>
  <c r="AL3" i="18"/>
  <c r="AM3" i="18"/>
  <c r="AN3" i="18"/>
  <c r="AO3" i="18"/>
  <c r="AP3" i="18"/>
  <c r="AQ3" i="18"/>
  <c r="AI4" i="18"/>
  <c r="AJ4" i="18"/>
  <c r="AK4" i="18"/>
  <c r="AL4" i="18"/>
  <c r="AM4" i="18"/>
  <c r="AN4" i="18"/>
  <c r="AO4" i="18"/>
  <c r="AP4" i="18"/>
  <c r="AQ4" i="18"/>
  <c r="AI5" i="18"/>
  <c r="AJ5" i="18"/>
  <c r="AK5" i="18"/>
  <c r="AL5" i="18"/>
  <c r="AM5" i="18"/>
  <c r="AN5" i="18"/>
  <c r="AO5" i="18"/>
  <c r="AP5" i="18"/>
  <c r="AQ5" i="18"/>
  <c r="AI6" i="18"/>
  <c r="AJ6" i="18"/>
  <c r="AK6" i="18"/>
  <c r="AL6" i="18"/>
  <c r="AM6" i="18"/>
  <c r="AN6" i="18"/>
  <c r="AO6" i="18"/>
  <c r="AP6" i="18"/>
  <c r="AQ6" i="18"/>
  <c r="AI7" i="18"/>
  <c r="AJ7" i="18"/>
  <c r="AK7" i="18"/>
  <c r="AL7" i="18"/>
  <c r="AM7" i="18"/>
  <c r="AN7" i="18"/>
  <c r="AO7" i="18"/>
  <c r="AP7" i="18"/>
  <c r="AQ7" i="18"/>
  <c r="AI8" i="18"/>
  <c r="AJ8" i="18"/>
  <c r="AK8" i="18"/>
  <c r="AL8" i="18"/>
  <c r="AM8" i="18"/>
  <c r="AN8" i="18"/>
  <c r="AO8" i="18"/>
  <c r="AP8" i="18"/>
  <c r="AQ8" i="18"/>
  <c r="AI9" i="18"/>
  <c r="AJ9" i="18"/>
  <c r="AK9" i="18"/>
  <c r="AL9" i="18"/>
  <c r="AM9" i="18"/>
  <c r="AN9" i="18"/>
  <c r="AO9" i="18"/>
  <c r="AP9" i="18"/>
  <c r="AQ9" i="18"/>
  <c r="AI10" i="18"/>
  <c r="AJ10" i="18"/>
  <c r="AK10" i="18"/>
  <c r="AL10" i="18"/>
  <c r="AM10" i="18"/>
  <c r="AN10" i="18"/>
  <c r="AO10" i="18"/>
  <c r="AP10" i="18"/>
  <c r="AQ10" i="18"/>
  <c r="AI11" i="18"/>
  <c r="AJ11" i="18"/>
  <c r="AK11" i="18"/>
  <c r="AL11" i="18"/>
  <c r="AM11" i="18"/>
  <c r="AN11" i="18"/>
  <c r="AO11" i="18"/>
  <c r="AP11" i="18"/>
  <c r="AQ11" i="18"/>
  <c r="AI12" i="18"/>
  <c r="AJ12" i="18"/>
  <c r="AK12" i="18"/>
  <c r="AL12" i="18"/>
  <c r="AM12" i="18"/>
  <c r="AN12" i="18"/>
  <c r="AO12" i="18"/>
  <c r="AP12" i="18"/>
  <c r="AQ12" i="18"/>
  <c r="AI13" i="18"/>
  <c r="AJ13" i="18"/>
  <c r="AK13" i="18"/>
  <c r="AL13" i="18"/>
  <c r="AM13" i="18"/>
  <c r="AN13" i="18"/>
  <c r="AO13" i="18"/>
  <c r="AP13" i="18"/>
  <c r="AQ13" i="18"/>
  <c r="AI14" i="18"/>
  <c r="AJ14" i="18"/>
  <c r="AK14" i="18"/>
  <c r="AL14" i="18"/>
  <c r="AM14" i="18"/>
  <c r="AN14" i="18"/>
  <c r="AO14" i="18"/>
  <c r="AP14" i="18"/>
  <c r="AQ14" i="18"/>
  <c r="AI15" i="18"/>
  <c r="AJ15" i="18"/>
  <c r="AK15" i="18"/>
  <c r="AL15" i="18"/>
  <c r="AM15" i="18"/>
  <c r="AN15" i="18"/>
  <c r="AO15" i="18"/>
  <c r="AP15" i="18"/>
  <c r="AQ15" i="18"/>
  <c r="AI16" i="18"/>
  <c r="AJ16" i="18"/>
  <c r="AK16" i="18"/>
  <c r="AL16" i="18"/>
  <c r="AM16" i="18"/>
  <c r="AN16" i="18"/>
  <c r="AO16" i="18"/>
  <c r="AP16" i="18"/>
  <c r="AQ16" i="18"/>
  <c r="AI17" i="18"/>
  <c r="AJ17" i="18"/>
  <c r="AK17" i="18"/>
  <c r="AL17" i="18"/>
  <c r="AM17" i="18"/>
  <c r="AN17" i="18"/>
  <c r="AO17" i="18"/>
  <c r="AP17" i="18"/>
  <c r="AQ17" i="18"/>
  <c r="AI18" i="18"/>
  <c r="AJ18" i="18"/>
  <c r="AK18" i="18"/>
  <c r="AL18" i="18"/>
  <c r="AM18" i="18"/>
  <c r="AN18" i="18"/>
  <c r="AO18" i="18"/>
  <c r="AP18" i="18"/>
  <c r="AQ18" i="18"/>
  <c r="AI19" i="18"/>
  <c r="AJ19" i="18"/>
  <c r="AK19" i="18"/>
  <c r="AL19" i="18"/>
  <c r="AM19" i="18"/>
  <c r="AN19" i="18"/>
  <c r="AO19" i="18"/>
  <c r="AP19" i="18"/>
  <c r="AQ19" i="18"/>
  <c r="AI20" i="18"/>
  <c r="AJ20" i="18"/>
  <c r="AK20" i="18"/>
  <c r="AL20" i="18"/>
  <c r="AM20" i="18"/>
  <c r="AN20" i="18"/>
  <c r="AO20" i="18"/>
  <c r="AP20" i="18"/>
  <c r="AQ20" i="18"/>
  <c r="AI21" i="18"/>
  <c r="AJ21" i="18"/>
  <c r="AK21" i="18"/>
  <c r="AL21" i="18"/>
  <c r="AM21" i="18"/>
  <c r="AN21" i="18"/>
  <c r="AO21" i="18"/>
  <c r="AP21" i="18"/>
  <c r="AQ21" i="18"/>
  <c r="AH3" i="18"/>
  <c r="AH4" i="18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" i="18"/>
  <c r="U21" i="18"/>
  <c r="T21" i="18"/>
  <c r="S21" i="18"/>
  <c r="R21" i="18"/>
  <c r="Q21" i="18"/>
  <c r="U20" i="18"/>
  <c r="T20" i="18"/>
  <c r="S20" i="18"/>
  <c r="R20" i="18"/>
  <c r="Q20" i="18"/>
  <c r="U19" i="18"/>
  <c r="T19" i="18"/>
  <c r="S19" i="18"/>
  <c r="R19" i="18"/>
  <c r="Q19" i="18"/>
  <c r="U18" i="18"/>
  <c r="T18" i="18"/>
  <c r="S18" i="18"/>
  <c r="R18" i="18"/>
  <c r="Q18" i="18"/>
  <c r="U17" i="18"/>
  <c r="T17" i="18"/>
  <c r="S17" i="18"/>
  <c r="R17" i="18"/>
  <c r="Q17" i="18"/>
  <c r="U16" i="18"/>
  <c r="T16" i="18"/>
  <c r="S16" i="18"/>
  <c r="R16" i="18"/>
  <c r="Q16" i="18"/>
  <c r="U15" i="18"/>
  <c r="T15" i="18"/>
  <c r="S15" i="18"/>
  <c r="R15" i="18"/>
  <c r="Q15" i="18"/>
  <c r="U14" i="18"/>
  <c r="T14" i="18"/>
  <c r="S14" i="18"/>
  <c r="R14" i="18"/>
  <c r="Q14" i="18"/>
  <c r="U13" i="18"/>
  <c r="T13" i="18"/>
  <c r="S13" i="18"/>
  <c r="R13" i="18"/>
  <c r="Q13" i="18"/>
  <c r="U12" i="18"/>
  <c r="T12" i="18"/>
  <c r="S12" i="18"/>
  <c r="R12" i="18"/>
  <c r="Q12" i="18"/>
  <c r="U11" i="18"/>
  <c r="T11" i="18"/>
  <c r="S11" i="18"/>
  <c r="R11" i="18"/>
  <c r="Q11" i="18"/>
  <c r="U10" i="18"/>
  <c r="T10" i="18"/>
  <c r="S10" i="18"/>
  <c r="R10" i="18"/>
  <c r="Q10" i="18"/>
  <c r="U9" i="18"/>
  <c r="T9" i="18"/>
  <c r="S9" i="18"/>
  <c r="R9" i="18"/>
  <c r="Q9" i="18"/>
  <c r="U8" i="18"/>
  <c r="T8" i="18"/>
  <c r="S8" i="18"/>
  <c r="R8" i="18"/>
  <c r="Q8" i="18"/>
  <c r="U7" i="18"/>
  <c r="T7" i="18"/>
  <c r="S7" i="18"/>
  <c r="R7" i="18"/>
  <c r="Q7" i="18"/>
  <c r="U6" i="18"/>
  <c r="T6" i="18"/>
  <c r="S6" i="18"/>
  <c r="R6" i="18"/>
  <c r="Q6" i="18"/>
  <c r="U5" i="18"/>
  <c r="T5" i="18"/>
  <c r="S5" i="18"/>
  <c r="R5" i="18"/>
  <c r="Q5" i="18"/>
  <c r="U4" i="18"/>
  <c r="T4" i="18"/>
  <c r="S4" i="18"/>
  <c r="R4" i="18"/>
  <c r="Q4" i="18"/>
  <c r="U3" i="18"/>
  <c r="T3" i="18"/>
  <c r="S3" i="18"/>
  <c r="R3" i="18"/>
  <c r="Q3" i="18"/>
  <c r="U2" i="18"/>
  <c r="T2" i="18"/>
  <c r="S2" i="18"/>
  <c r="R2" i="18"/>
  <c r="Q2" i="18"/>
  <c r="M8" i="18"/>
  <c r="M2" i="18"/>
  <c r="N2" i="18"/>
  <c r="O2" i="18"/>
  <c r="P2" i="18"/>
  <c r="M3" i="18"/>
  <c r="N3" i="18"/>
  <c r="O3" i="18"/>
  <c r="P3" i="18"/>
  <c r="M4" i="18"/>
  <c r="N4" i="18"/>
  <c r="O4" i="18"/>
  <c r="P4" i="18"/>
  <c r="M5" i="18"/>
  <c r="N5" i="18"/>
  <c r="O5" i="18"/>
  <c r="P5" i="18"/>
  <c r="M6" i="18"/>
  <c r="N6" i="18"/>
  <c r="O6" i="18"/>
  <c r="P6" i="18"/>
  <c r="M7" i="18"/>
  <c r="N7" i="18"/>
  <c r="O7" i="18"/>
  <c r="P7" i="18"/>
  <c r="N8" i="18"/>
  <c r="O8" i="18"/>
  <c r="P8" i="18"/>
  <c r="M9" i="18"/>
  <c r="N9" i="18"/>
  <c r="O9" i="18"/>
  <c r="P9" i="18"/>
  <c r="M10" i="18"/>
  <c r="N10" i="18"/>
  <c r="O10" i="18"/>
  <c r="P10" i="18"/>
  <c r="M11" i="18"/>
  <c r="N11" i="18"/>
  <c r="O11" i="18"/>
  <c r="P11" i="18"/>
  <c r="M12" i="18"/>
  <c r="N12" i="18"/>
  <c r="O12" i="18"/>
  <c r="P12" i="18"/>
  <c r="M13" i="18"/>
  <c r="N13" i="18"/>
  <c r="O13" i="18"/>
  <c r="P13" i="18"/>
  <c r="M14" i="18"/>
  <c r="N14" i="18"/>
  <c r="O14" i="18"/>
  <c r="P14" i="18"/>
  <c r="M15" i="18"/>
  <c r="N15" i="18"/>
  <c r="O15" i="18"/>
  <c r="P15" i="18"/>
  <c r="M16" i="18"/>
  <c r="N16" i="18"/>
  <c r="O16" i="18"/>
  <c r="P16" i="18"/>
  <c r="M17" i="18"/>
  <c r="N17" i="18"/>
  <c r="O17" i="18"/>
  <c r="P17" i="18"/>
  <c r="M18" i="18"/>
  <c r="N18" i="18"/>
  <c r="O18" i="18"/>
  <c r="P18" i="18"/>
  <c r="M19" i="18"/>
  <c r="N19" i="18"/>
  <c r="O19" i="18"/>
  <c r="P19" i="18"/>
  <c r="M20" i="18"/>
  <c r="N20" i="18"/>
  <c r="O20" i="18"/>
  <c r="P20" i="18"/>
  <c r="M21" i="18"/>
  <c r="N21" i="18"/>
  <c r="O21" i="18"/>
  <c r="P21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" i="18"/>
  <c r="N19" i="20" l="1"/>
  <c r="A20" i="20"/>
  <c r="A12" i="20"/>
  <c r="N11" i="20"/>
  <c r="P17" i="20"/>
  <c r="K23" i="20"/>
  <c r="N18" i="20"/>
  <c r="N3" i="20"/>
  <c r="O10" i="20"/>
  <c r="A25" i="20"/>
  <c r="S29" i="20"/>
  <c r="N10" i="20"/>
  <c r="A4" i="20"/>
  <c r="F24" i="20"/>
  <c r="N16" i="17"/>
  <c r="N17" i="17"/>
  <c r="N18" i="17"/>
  <c r="N19" i="17"/>
  <c r="N20" i="17"/>
  <c r="N21" i="17"/>
  <c r="N22" i="17"/>
  <c r="N23" i="17"/>
  <c r="N24" i="17"/>
  <c r="N15" i="17"/>
  <c r="N4" i="17"/>
  <c r="N5" i="17"/>
  <c r="N6" i="17"/>
  <c r="N7" i="17"/>
  <c r="N8" i="17"/>
  <c r="N9" i="17"/>
  <c r="N10" i="17"/>
  <c r="N11" i="17"/>
  <c r="N12" i="17"/>
  <c r="N3" i="17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" i="16"/>
  <c r="Q23" i="15"/>
  <c r="Q16" i="15"/>
  <c r="G23" i="15"/>
  <c r="G16" i="15"/>
  <c r="J46" i="12"/>
  <c r="I46" i="12"/>
  <c r="J39" i="12"/>
  <c r="I39" i="12"/>
  <c r="J32" i="12"/>
  <c r="F46" i="12"/>
  <c r="E46" i="12"/>
  <c r="E47" i="12"/>
  <c r="E48" i="12"/>
  <c r="E49" i="12"/>
  <c r="E50" i="12"/>
  <c r="F39" i="12"/>
  <c r="F40" i="12"/>
  <c r="F41" i="12"/>
  <c r="F42" i="12"/>
  <c r="F43" i="12"/>
  <c r="E39" i="12"/>
  <c r="E40" i="12"/>
  <c r="E41" i="12"/>
  <c r="E42" i="12"/>
  <c r="E43" i="12"/>
  <c r="E36" i="12"/>
  <c r="F33" i="12"/>
  <c r="F34" i="12"/>
  <c r="F35" i="12"/>
  <c r="F36" i="12"/>
  <c r="F32" i="12"/>
  <c r="E33" i="12"/>
  <c r="E34" i="12"/>
  <c r="E35" i="12"/>
  <c r="E32" i="12"/>
  <c r="I32" i="12"/>
  <c r="T20" i="20" l="1"/>
  <c r="E20" i="20"/>
  <c r="N20" i="20"/>
  <c r="N12" i="20"/>
  <c r="A13" i="20"/>
  <c r="E24" i="20"/>
  <c r="T16" i="20"/>
  <c r="J19" i="20"/>
  <c r="N4" i="20"/>
  <c r="P18" i="20"/>
  <c r="A5" i="20"/>
  <c r="O11" i="20"/>
  <c r="T17" i="20"/>
  <c r="F25" i="20"/>
  <c r="E25" i="20"/>
  <c r="A26" i="20"/>
  <c r="J24" i="20"/>
  <c r="E17" i="20"/>
  <c r="K25" i="20"/>
  <c r="J16" i="20"/>
  <c r="K24" i="20"/>
  <c r="F23" i="20"/>
  <c r="H24" i="14"/>
  <c r="H23" i="14"/>
  <c r="H22" i="14"/>
  <c r="H21" i="14"/>
  <c r="H20" i="14"/>
  <c r="H19" i="14"/>
  <c r="H18" i="14"/>
  <c r="H17" i="14"/>
  <c r="H16" i="14"/>
  <c r="H5" i="14"/>
  <c r="H6" i="14"/>
  <c r="H7" i="14"/>
  <c r="H8" i="14"/>
  <c r="H9" i="14"/>
  <c r="H10" i="14"/>
  <c r="H11" i="14"/>
  <c r="H12" i="14"/>
  <c r="H4" i="14"/>
  <c r="D17" i="14"/>
  <c r="D18" i="14"/>
  <c r="D19" i="14"/>
  <c r="D20" i="14"/>
  <c r="D21" i="14"/>
  <c r="D26" i="14" s="1"/>
  <c r="D22" i="14"/>
  <c r="D23" i="14"/>
  <c r="D24" i="14"/>
  <c r="D25" i="14"/>
  <c r="D28" i="14"/>
  <c r="D16" i="14"/>
  <c r="D5" i="14"/>
  <c r="D6" i="14"/>
  <c r="D7" i="14"/>
  <c r="D8" i="14"/>
  <c r="D9" i="14"/>
  <c r="D10" i="14"/>
  <c r="D11" i="14"/>
  <c r="D12" i="14"/>
  <c r="D4" i="14"/>
  <c r="G27" i="15"/>
  <c r="G26" i="15"/>
  <c r="G25" i="15"/>
  <c r="G24" i="15"/>
  <c r="G20" i="15"/>
  <c r="G19" i="15"/>
  <c r="G18" i="15"/>
  <c r="G17" i="15"/>
  <c r="G13" i="15"/>
  <c r="G12" i="15"/>
  <c r="G11" i="15"/>
  <c r="G10" i="15"/>
  <c r="G6" i="15"/>
  <c r="G5" i="15"/>
  <c r="G4" i="15"/>
  <c r="G3" i="15"/>
  <c r="Q27" i="15"/>
  <c r="Q26" i="15"/>
  <c r="Q25" i="15"/>
  <c r="Q24" i="15"/>
  <c r="Q20" i="15"/>
  <c r="Q19" i="15"/>
  <c r="Q18" i="15"/>
  <c r="Q17" i="15"/>
  <c r="Q13" i="15"/>
  <c r="Q12" i="15"/>
  <c r="Q11" i="15"/>
  <c r="Q10" i="15"/>
  <c r="Q6" i="15"/>
  <c r="Q5" i="15"/>
  <c r="Q4" i="15"/>
  <c r="Q3" i="15"/>
  <c r="P17" i="15"/>
  <c r="P16" i="15"/>
  <c r="N9" i="15"/>
  <c r="O9" i="15"/>
  <c r="O12" i="15"/>
  <c r="N16" i="15"/>
  <c r="N2" i="15"/>
  <c r="D16" i="15"/>
  <c r="D9" i="15"/>
  <c r="D29" i="15"/>
  <c r="E29" i="15"/>
  <c r="F29" i="15"/>
  <c r="P29" i="15"/>
  <c r="O29" i="15"/>
  <c r="N29" i="15"/>
  <c r="A3" i="15"/>
  <c r="A4" i="15" s="1"/>
  <c r="A5" i="15" s="1"/>
  <c r="A6" i="15" s="1"/>
  <c r="A10" i="15" s="1"/>
  <c r="N13" i="20" l="1"/>
  <c r="D13" i="20"/>
  <c r="J17" i="20"/>
  <c r="T19" i="20"/>
  <c r="E19" i="20"/>
  <c r="T18" i="20"/>
  <c r="T23" i="20"/>
  <c r="E23" i="20"/>
  <c r="E16" i="20"/>
  <c r="J18" i="20"/>
  <c r="T24" i="20"/>
  <c r="E18" i="20"/>
  <c r="T25" i="20"/>
  <c r="J25" i="20"/>
  <c r="P19" i="20"/>
  <c r="A6" i="20"/>
  <c r="O12" i="20"/>
  <c r="N5" i="20"/>
  <c r="D10" i="20"/>
  <c r="S10" i="20"/>
  <c r="D18" i="20"/>
  <c r="I18" i="20"/>
  <c r="I17" i="20"/>
  <c r="S11" i="20"/>
  <c r="S18" i="20"/>
  <c r="S20" i="20"/>
  <c r="S9" i="20"/>
  <c r="J23" i="20"/>
  <c r="F26" i="20"/>
  <c r="E26" i="20"/>
  <c r="A27" i="20"/>
  <c r="T26" i="20"/>
  <c r="J26" i="20"/>
  <c r="K26" i="20"/>
  <c r="J20" i="20"/>
  <c r="N6" i="15"/>
  <c r="O13" i="15"/>
  <c r="S16" i="15"/>
  <c r="S9" i="15"/>
  <c r="I16" i="15"/>
  <c r="I9" i="15"/>
  <c r="N5" i="15"/>
  <c r="N4" i="15"/>
  <c r="A11" i="15"/>
  <c r="S10" i="15"/>
  <c r="D10" i="15"/>
  <c r="N3" i="15"/>
  <c r="N10" i="15"/>
  <c r="P20" i="15"/>
  <c r="O10" i="15"/>
  <c r="P19" i="15"/>
  <c r="O11" i="15"/>
  <c r="P18" i="15"/>
  <c r="D27" i="14"/>
  <c r="I11" i="15"/>
  <c r="I29" i="15"/>
  <c r="I10" i="15"/>
  <c r="S11" i="15"/>
  <c r="J29" i="15"/>
  <c r="K29" i="15"/>
  <c r="U29" i="15"/>
  <c r="S29" i="15"/>
  <c r="T29" i="15"/>
  <c r="H28" i="14"/>
  <c r="H27" i="14"/>
  <c r="H26" i="14"/>
  <c r="H25" i="14"/>
  <c r="I14" i="14"/>
  <c r="N6" i="20" l="1"/>
  <c r="O13" i="20"/>
  <c r="P20" i="20"/>
  <c r="D20" i="20"/>
  <c r="I19" i="20"/>
  <c r="D11" i="20"/>
  <c r="D19" i="20"/>
  <c r="D9" i="20"/>
  <c r="D12" i="20"/>
  <c r="D17" i="20"/>
  <c r="D16" i="20"/>
  <c r="S16" i="20"/>
  <c r="S12" i="20"/>
  <c r="I13" i="20"/>
  <c r="I9" i="20"/>
  <c r="I11" i="20"/>
  <c r="S19" i="20"/>
  <c r="I10" i="20"/>
  <c r="S13" i="20"/>
  <c r="F27" i="20"/>
  <c r="E27" i="20"/>
  <c r="T27" i="20"/>
  <c r="J27" i="20"/>
  <c r="K27" i="20"/>
  <c r="I16" i="20"/>
  <c r="S17" i="20"/>
  <c r="I12" i="20"/>
  <c r="I20" i="20"/>
  <c r="A12" i="15"/>
  <c r="N11" i="15"/>
  <c r="D11" i="15"/>
  <c r="F25" i="14"/>
  <c r="F28" i="14"/>
  <c r="F27" i="14"/>
  <c r="F26" i="14"/>
  <c r="B16" i="14"/>
  <c r="B17" i="14"/>
  <c r="B18" i="14"/>
  <c r="B19" i="14"/>
  <c r="B20" i="14"/>
  <c r="B21" i="14"/>
  <c r="B22" i="14"/>
  <c r="B23" i="14"/>
  <c r="B24" i="14"/>
  <c r="B15" i="14"/>
  <c r="G14" i="14"/>
  <c r="A4" i="14"/>
  <c r="A5" i="14" s="1"/>
  <c r="A6" i="14" s="1"/>
  <c r="A7" i="14" s="1"/>
  <c r="J47" i="12"/>
  <c r="J48" i="12" s="1"/>
  <c r="J49" i="12" s="1"/>
  <c r="J50" i="12" s="1"/>
  <c r="J33" i="12"/>
  <c r="J34" i="12" s="1"/>
  <c r="J35" i="12" s="1"/>
  <c r="J36" i="12" s="1"/>
  <c r="H45" i="12"/>
  <c r="H38" i="12"/>
  <c r="H31" i="12"/>
  <c r="J40" i="12"/>
  <c r="J41" i="12" s="1"/>
  <c r="J42" i="12" s="1"/>
  <c r="J43" i="12" s="1"/>
  <c r="F47" i="12"/>
  <c r="F48" i="12" s="1"/>
  <c r="F49" i="12" s="1"/>
  <c r="F50" i="12" s="1"/>
  <c r="A13" i="15" l="1"/>
  <c r="N12" i="15"/>
  <c r="D12" i="15"/>
  <c r="S12" i="15"/>
  <c r="I12" i="15"/>
  <c r="B25" i="14"/>
  <c r="B27" i="14"/>
  <c r="B26" i="14"/>
  <c r="B28" i="14"/>
  <c r="A8" i="14"/>
  <c r="B26" i="12"/>
  <c r="N22" i="12"/>
  <c r="P22" i="12" s="1"/>
  <c r="N21" i="12"/>
  <c r="P21" i="12" s="1"/>
  <c r="N20" i="12"/>
  <c r="P20" i="12" s="1"/>
  <c r="N19" i="12"/>
  <c r="P19" i="12" s="1"/>
  <c r="N18" i="12"/>
  <c r="O18" i="12" s="1"/>
  <c r="N17" i="12"/>
  <c r="O17" i="12" s="1"/>
  <c r="N16" i="12"/>
  <c r="O16" i="12" s="1"/>
  <c r="N15" i="12"/>
  <c r="P15" i="12" s="1"/>
  <c r="N14" i="12"/>
  <c r="O14" i="12" s="1"/>
  <c r="N13" i="12"/>
  <c r="P13" i="12" s="1"/>
  <c r="N12" i="12"/>
  <c r="P12" i="12" s="1"/>
  <c r="N11" i="12"/>
  <c r="O11" i="12" s="1"/>
  <c r="N10" i="12"/>
  <c r="P10" i="12" s="1"/>
  <c r="N9" i="12"/>
  <c r="O9" i="12" s="1"/>
  <c r="N8" i="12"/>
  <c r="O8" i="12" s="1"/>
  <c r="N7" i="12"/>
  <c r="P7" i="12" s="1"/>
  <c r="N6" i="12"/>
  <c r="P6" i="12" s="1"/>
  <c r="N5" i="12"/>
  <c r="P5" i="12" s="1"/>
  <c r="N4" i="12"/>
  <c r="P4" i="12" s="1"/>
  <c r="N3" i="12"/>
  <c r="O3" i="12" s="1"/>
  <c r="I9" i="12"/>
  <c r="I17" i="12"/>
  <c r="I3" i="12"/>
  <c r="H4" i="12"/>
  <c r="H5" i="12"/>
  <c r="H9" i="12"/>
  <c r="H10" i="12"/>
  <c r="H11" i="12"/>
  <c r="H12" i="12"/>
  <c r="H13" i="12"/>
  <c r="H17" i="12"/>
  <c r="H18" i="12"/>
  <c r="H19" i="12"/>
  <c r="H20" i="12"/>
  <c r="H21" i="12"/>
  <c r="G3" i="12"/>
  <c r="H3" i="12" s="1"/>
  <c r="G4" i="12"/>
  <c r="I4" i="12" s="1"/>
  <c r="G5" i="12"/>
  <c r="I5" i="12" s="1"/>
  <c r="G6" i="12"/>
  <c r="H6" i="12" s="1"/>
  <c r="G7" i="12"/>
  <c r="H7" i="12" s="1"/>
  <c r="G8" i="12"/>
  <c r="H8" i="12" s="1"/>
  <c r="G9" i="12"/>
  <c r="G10" i="12"/>
  <c r="I10" i="12" s="1"/>
  <c r="G11" i="12"/>
  <c r="I11" i="12" s="1"/>
  <c r="G12" i="12"/>
  <c r="I12" i="12" s="1"/>
  <c r="G13" i="12"/>
  <c r="I13" i="12" s="1"/>
  <c r="G14" i="12"/>
  <c r="H14" i="12" s="1"/>
  <c r="G15" i="12"/>
  <c r="H15" i="12" s="1"/>
  <c r="G16" i="12"/>
  <c r="H16" i="12" s="1"/>
  <c r="G17" i="12"/>
  <c r="G18" i="12"/>
  <c r="I18" i="12" s="1"/>
  <c r="G19" i="12"/>
  <c r="I19" i="12" s="1"/>
  <c r="G20" i="12"/>
  <c r="I20" i="12" s="1"/>
  <c r="G21" i="12"/>
  <c r="I21" i="12" s="1"/>
  <c r="G22" i="12"/>
  <c r="H22" i="12" s="1"/>
  <c r="B4" i="12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E2" i="11"/>
  <c r="E32" i="11"/>
  <c r="R56" i="11"/>
  <c r="R57" i="11"/>
  <c r="E62" i="11"/>
  <c r="E92" i="11"/>
  <c r="E122" i="11"/>
  <c r="E152" i="11"/>
  <c r="E182" i="11"/>
  <c r="E212" i="11"/>
  <c r="E242" i="11"/>
  <c r="E272" i="11"/>
  <c r="A17" i="15" l="1"/>
  <c r="D13" i="15"/>
  <c r="N13" i="15"/>
  <c r="I13" i="15"/>
  <c r="S13" i="15"/>
  <c r="E16" i="15"/>
  <c r="T16" i="15"/>
  <c r="J23" i="15"/>
  <c r="T23" i="15"/>
  <c r="J16" i="15"/>
  <c r="E23" i="15"/>
  <c r="A9" i="14"/>
  <c r="I15" i="12"/>
  <c r="I7" i="12"/>
  <c r="B27" i="12"/>
  <c r="B28" i="12" s="1"/>
  <c r="B29" i="12" s="1"/>
  <c r="I16" i="12"/>
  <c r="I8" i="12"/>
  <c r="I22" i="12"/>
  <c r="I14" i="12"/>
  <c r="I6" i="12"/>
  <c r="O19" i="12"/>
  <c r="O6" i="12"/>
  <c r="P14" i="12"/>
  <c r="P11" i="12"/>
  <c r="O20" i="12"/>
  <c r="P3" i="12"/>
  <c r="O12" i="12"/>
  <c r="P9" i="12"/>
  <c r="O22" i="12"/>
  <c r="P16" i="12"/>
  <c r="P8" i="12"/>
  <c r="P17" i="12"/>
  <c r="O7" i="12"/>
  <c r="O15" i="12"/>
  <c r="O10" i="12"/>
  <c r="O5" i="12"/>
  <c r="O13" i="12"/>
  <c r="P18" i="12"/>
  <c r="O21" i="12"/>
  <c r="O4" i="12"/>
  <c r="A4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3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2" i="9"/>
  <c r="A17" i="9"/>
  <c r="A18" i="9" s="1"/>
  <c r="A4" i="9"/>
  <c r="A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3" i="9"/>
  <c r="B45" i="8"/>
  <c r="C39" i="8"/>
  <c r="B41" i="8"/>
  <c r="B40" i="8"/>
  <c r="B39" i="8"/>
  <c r="C36" i="8"/>
  <c r="C35" i="8"/>
  <c r="B36" i="8"/>
  <c r="B35" i="8"/>
  <c r="C32" i="8"/>
  <c r="C33" i="8"/>
  <c r="C38" i="8"/>
  <c r="C37" i="8" s="1"/>
  <c r="B38" i="8"/>
  <c r="B37" i="8" s="1"/>
  <c r="B33" i="8"/>
  <c r="B34" i="8" s="1"/>
  <c r="B32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18" i="15" l="1"/>
  <c r="J17" i="15"/>
  <c r="E17" i="15"/>
  <c r="N17" i="15"/>
  <c r="D17" i="15"/>
  <c r="I17" i="15"/>
  <c r="S17" i="15"/>
  <c r="T17" i="15"/>
  <c r="A10" i="14"/>
  <c r="B32" i="12"/>
  <c r="B30" i="12"/>
  <c r="B31" i="12" s="1"/>
  <c r="C41" i="8"/>
  <c r="C40" i="8"/>
  <c r="C34" i="8"/>
  <c r="I3" i="7"/>
  <c r="H27" i="7" s="1"/>
  <c r="H28" i="7" s="1"/>
  <c r="I4" i="7"/>
  <c r="H25" i="7" s="1"/>
  <c r="H26" i="7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" i="7"/>
  <c r="H23" i="7"/>
  <c r="H24" i="7" s="1"/>
  <c r="O14" i="3"/>
  <c r="O15" i="3"/>
  <c r="K25" i="7"/>
  <c r="L27" i="7" s="1"/>
  <c r="H3" i="7"/>
  <c r="F27" i="7"/>
  <c r="E25" i="7"/>
  <c r="B27" i="7"/>
  <c r="B28" i="7" s="1"/>
  <c r="B25" i="7"/>
  <c r="B26" i="7" s="1"/>
  <c r="B23" i="7"/>
  <c r="B24" i="7" s="1"/>
  <c r="C22" i="7"/>
  <c r="C2" i="7"/>
  <c r="B3" i="7"/>
  <c r="C3" i="7" s="1"/>
  <c r="H14" i="3"/>
  <c r="A19" i="15" l="1"/>
  <c r="E18" i="15"/>
  <c r="D18" i="15"/>
  <c r="N18" i="15"/>
  <c r="J18" i="15"/>
  <c r="I18" i="15"/>
  <c r="T18" i="15"/>
  <c r="S18" i="15"/>
  <c r="A11" i="14"/>
  <c r="B33" i="12"/>
  <c r="H4" i="7"/>
  <c r="H5" i="7"/>
  <c r="B4" i="7"/>
  <c r="C5" i="6"/>
  <c r="D5" i="6" s="1"/>
  <c r="E5" i="6" s="1"/>
  <c r="C6" i="6"/>
  <c r="D6" i="6" s="1"/>
  <c r="E6" i="6" s="1"/>
  <c r="C7" i="6"/>
  <c r="D7" i="6" s="1"/>
  <c r="E7" i="6" s="1"/>
  <c r="C8" i="6"/>
  <c r="D8" i="6" s="1"/>
  <c r="E8" i="6" s="1"/>
  <c r="C9" i="6"/>
  <c r="D9" i="6" s="1"/>
  <c r="E9" i="6" s="1"/>
  <c r="C10" i="6"/>
  <c r="D10" i="6" s="1"/>
  <c r="E10" i="6" s="1"/>
  <c r="C2" i="6"/>
  <c r="D2" i="6" s="1"/>
  <c r="A5" i="6"/>
  <c r="A4" i="6"/>
  <c r="C4" i="6" s="1"/>
  <c r="D4" i="6" s="1"/>
  <c r="E4" i="6" s="1"/>
  <c r="A3" i="6"/>
  <c r="C3" i="6" s="1"/>
  <c r="D3" i="6" s="1"/>
  <c r="E3" i="6" s="1"/>
  <c r="A20" i="15" l="1"/>
  <c r="E19" i="15"/>
  <c r="T19" i="15"/>
  <c r="D19" i="15"/>
  <c r="N19" i="15"/>
  <c r="J19" i="15"/>
  <c r="I19" i="15"/>
  <c r="S19" i="15"/>
  <c r="K23" i="15"/>
  <c r="F23" i="15"/>
  <c r="A12" i="14"/>
  <c r="B34" i="12"/>
  <c r="I33" i="12"/>
  <c r="H6" i="7"/>
  <c r="B5" i="7"/>
  <c r="C4" i="7"/>
  <c r="E13" i="6"/>
  <c r="E2" i="6"/>
  <c r="C2" i="4"/>
  <c r="A3" i="4"/>
  <c r="C3" i="4" s="1"/>
  <c r="A24" i="15" l="1"/>
  <c r="N20" i="15"/>
  <c r="E20" i="15"/>
  <c r="D20" i="15"/>
  <c r="S20" i="15"/>
  <c r="I20" i="15"/>
  <c r="J20" i="15"/>
  <c r="T20" i="15"/>
  <c r="A15" i="14"/>
  <c r="A13" i="14"/>
  <c r="A14" i="14" s="1"/>
  <c r="B35" i="12"/>
  <c r="I34" i="12"/>
  <c r="H7" i="7"/>
  <c r="B6" i="7"/>
  <c r="C5" i="7"/>
  <c r="E14" i="6"/>
  <c r="E15" i="6"/>
  <c r="E11" i="6"/>
  <c r="E12" i="6" s="1"/>
  <c r="A4" i="4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Q26" i="3"/>
  <c r="R26" i="3"/>
  <c r="Q27" i="3"/>
  <c r="R27" i="3"/>
  <c r="Q28" i="3"/>
  <c r="R28" i="3"/>
  <c r="Q29" i="3"/>
  <c r="R29" i="3"/>
  <c r="Q30" i="3"/>
  <c r="R30" i="3"/>
  <c r="Q31" i="3"/>
  <c r="R31" i="3"/>
  <c r="Q32" i="3"/>
  <c r="R32" i="3"/>
  <c r="Q33" i="3"/>
  <c r="R33" i="3"/>
  <c r="R14" i="3"/>
  <c r="Q14" i="3"/>
  <c r="Q35" i="3" s="1"/>
  <c r="E29" i="1"/>
  <c r="F29" i="1"/>
  <c r="E30" i="1"/>
  <c r="F30" i="1"/>
  <c r="E31" i="1"/>
  <c r="F31" i="1"/>
  <c r="E32" i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F32" i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D30" i="1"/>
  <c r="D29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S14" i="3"/>
  <c r="S35" i="3" s="1"/>
  <c r="R35" i="3"/>
  <c r="S34" i="3"/>
  <c r="R34" i="3"/>
  <c r="Q34" i="3"/>
  <c r="O35" i="3"/>
  <c r="P14" i="3"/>
  <c r="P35" i="3" s="1"/>
  <c r="P34" i="3"/>
  <c r="O34" i="3"/>
  <c r="N34" i="3"/>
  <c r="N14" i="3"/>
  <c r="N35" i="3" s="1"/>
  <c r="M14" i="3"/>
  <c r="M35" i="3" s="1"/>
  <c r="L14" i="3"/>
  <c r="L35" i="3" s="1"/>
  <c r="D34" i="3"/>
  <c r="C34" i="3"/>
  <c r="B34" i="3"/>
  <c r="G34" i="3"/>
  <c r="F34" i="3"/>
  <c r="E34" i="3"/>
  <c r="J34" i="3"/>
  <c r="I34" i="3"/>
  <c r="H34" i="3"/>
  <c r="K34" i="3"/>
  <c r="L34" i="3"/>
  <c r="M34" i="3"/>
  <c r="K14" i="3"/>
  <c r="K35" i="3" s="1"/>
  <c r="I14" i="3"/>
  <c r="I35" i="3" s="1"/>
  <c r="H35" i="3"/>
  <c r="J14" i="3"/>
  <c r="J35" i="3" s="1"/>
  <c r="G14" i="3"/>
  <c r="G35" i="3" s="1"/>
  <c r="F14" i="3"/>
  <c r="F35" i="3" s="1"/>
  <c r="E14" i="3"/>
  <c r="E35" i="3" s="1"/>
  <c r="D14" i="3"/>
  <c r="D35" i="3" s="1"/>
  <c r="C14" i="3"/>
  <c r="C35" i="3" s="1"/>
  <c r="B14" i="3"/>
  <c r="B35" i="3" s="1"/>
  <c r="A36" i="3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25" i="15" l="1"/>
  <c r="T24" i="15"/>
  <c r="F24" i="15"/>
  <c r="E24" i="15"/>
  <c r="J24" i="15"/>
  <c r="K24" i="15"/>
  <c r="A16" i="14"/>
  <c r="B36" i="12"/>
  <c r="I35" i="12"/>
  <c r="H8" i="7"/>
  <c r="B7" i="7"/>
  <c r="C6" i="7"/>
  <c r="A5" i="4"/>
  <c r="C4" i="4"/>
  <c r="A15" i="3"/>
  <c r="E6" i="1"/>
  <c r="B6" i="1"/>
  <c r="B5" i="1"/>
  <c r="B9" i="1" s="1"/>
  <c r="I2" i="1"/>
  <c r="I3" i="1" s="1"/>
  <c r="A26" i="15" l="1"/>
  <c r="F25" i="15"/>
  <c r="E25" i="15"/>
  <c r="J25" i="15"/>
  <c r="T25" i="15"/>
  <c r="K25" i="15"/>
  <c r="A17" i="14"/>
  <c r="B39" i="12"/>
  <c r="B37" i="12"/>
  <c r="B38" i="12" s="1"/>
  <c r="I36" i="12"/>
  <c r="H9" i="7"/>
  <c r="B8" i="7"/>
  <c r="C7" i="7"/>
  <c r="A6" i="4"/>
  <c r="C5" i="4"/>
  <c r="H15" i="3"/>
  <c r="H36" i="3" s="1"/>
  <c r="J15" i="3"/>
  <c r="J36" i="3" s="1"/>
  <c r="E15" i="3"/>
  <c r="E36" i="3" s="1"/>
  <c r="L15" i="3"/>
  <c r="L36" i="3" s="1"/>
  <c r="M15" i="3"/>
  <c r="M36" i="3" s="1"/>
  <c r="S15" i="3"/>
  <c r="S36" i="3" s="1"/>
  <c r="Q36" i="3"/>
  <c r="I15" i="3"/>
  <c r="I36" i="3" s="1"/>
  <c r="G15" i="3"/>
  <c r="G36" i="3" s="1"/>
  <c r="N15" i="3"/>
  <c r="N36" i="3" s="1"/>
  <c r="D15" i="3"/>
  <c r="D36" i="3" s="1"/>
  <c r="K15" i="3"/>
  <c r="K36" i="3" s="1"/>
  <c r="P15" i="3"/>
  <c r="P36" i="3" s="1"/>
  <c r="B15" i="3"/>
  <c r="B36" i="3" s="1"/>
  <c r="R36" i="3"/>
  <c r="F15" i="3"/>
  <c r="F36" i="3" s="1"/>
  <c r="O36" i="3"/>
  <c r="C15" i="3"/>
  <c r="C36" i="3" s="1"/>
  <c r="A16" i="3"/>
  <c r="H6" i="1"/>
  <c r="B15" i="1"/>
  <c r="B14" i="1"/>
  <c r="B13" i="1"/>
  <c r="C15" i="1"/>
  <c r="C8" i="1"/>
  <c r="B11" i="1"/>
  <c r="C17" i="1"/>
  <c r="B17" i="1"/>
  <c r="C11" i="1"/>
  <c r="C13" i="1"/>
  <c r="C14" i="1"/>
  <c r="B12" i="1"/>
  <c r="C16" i="1"/>
  <c r="C9" i="1"/>
  <c r="B10" i="1"/>
  <c r="C10" i="1"/>
  <c r="B16" i="1"/>
  <c r="C12" i="1"/>
  <c r="A27" i="15" l="1"/>
  <c r="F26" i="15"/>
  <c r="E26" i="15"/>
  <c r="K26" i="15"/>
  <c r="J26" i="15"/>
  <c r="T26" i="15"/>
  <c r="A18" i="14"/>
  <c r="B40" i="12"/>
  <c r="H10" i="7"/>
  <c r="B9" i="7"/>
  <c r="C8" i="7"/>
  <c r="A7" i="4"/>
  <c r="C6" i="4"/>
  <c r="O16" i="3"/>
  <c r="O37" i="3" s="1"/>
  <c r="L16" i="3"/>
  <c r="L37" i="3" s="1"/>
  <c r="K16" i="3"/>
  <c r="K37" i="3" s="1"/>
  <c r="C16" i="3"/>
  <c r="C37" i="3" s="1"/>
  <c r="H16" i="3"/>
  <c r="H37" i="3" s="1"/>
  <c r="G16" i="3"/>
  <c r="G37" i="3" s="1"/>
  <c r="B16" i="3"/>
  <c r="B37" i="3" s="1"/>
  <c r="M16" i="3"/>
  <c r="M37" i="3" s="1"/>
  <c r="J16" i="3"/>
  <c r="J37" i="3" s="1"/>
  <c r="E16" i="3"/>
  <c r="S16" i="3"/>
  <c r="S37" i="3" s="1"/>
  <c r="Q37" i="3"/>
  <c r="N16" i="3"/>
  <c r="I16" i="3"/>
  <c r="I37" i="3" s="1"/>
  <c r="F16" i="3"/>
  <c r="F37" i="3" s="1"/>
  <c r="P16" i="3"/>
  <c r="P37" i="3" s="1"/>
  <c r="D16" i="3"/>
  <c r="R37" i="3"/>
  <c r="D37" i="3"/>
  <c r="E37" i="3"/>
  <c r="N37" i="3"/>
  <c r="A17" i="3"/>
  <c r="G9" i="1"/>
  <c r="F27" i="15" l="1"/>
  <c r="E27" i="15"/>
  <c r="T27" i="15"/>
  <c r="K27" i="15"/>
  <c r="J27" i="15"/>
  <c r="A19" i="14"/>
  <c r="B41" i="12"/>
  <c r="I40" i="12"/>
  <c r="H11" i="7"/>
  <c r="B10" i="7"/>
  <c r="C9" i="7"/>
  <c r="A8" i="4"/>
  <c r="C7" i="4"/>
  <c r="J17" i="3"/>
  <c r="J38" i="3" s="1"/>
  <c r="B17" i="3"/>
  <c r="B38" i="3" s="1"/>
  <c r="O17" i="3"/>
  <c r="O38" i="3" s="1"/>
  <c r="K17" i="3"/>
  <c r="K38" i="3" s="1"/>
  <c r="E17" i="3"/>
  <c r="E38" i="3" s="1"/>
  <c r="C17" i="3"/>
  <c r="C38" i="3" s="1"/>
  <c r="L17" i="3"/>
  <c r="L38" i="3" s="1"/>
  <c r="G17" i="3"/>
  <c r="G38" i="3" s="1"/>
  <c r="S17" i="3"/>
  <c r="S38" i="3" s="1"/>
  <c r="Q38" i="3"/>
  <c r="M17" i="3"/>
  <c r="M38" i="3" s="1"/>
  <c r="R38" i="3"/>
  <c r="N17" i="3"/>
  <c r="N38" i="3" s="1"/>
  <c r="H17" i="3"/>
  <c r="H38" i="3" s="1"/>
  <c r="P17" i="3"/>
  <c r="P38" i="3" s="1"/>
  <c r="I17" i="3"/>
  <c r="I38" i="3" s="1"/>
  <c r="D17" i="3"/>
  <c r="D38" i="3" s="1"/>
  <c r="F17" i="3"/>
  <c r="F38" i="3" s="1"/>
  <c r="A18" i="3"/>
  <c r="G10" i="1"/>
  <c r="A20" i="14" l="1"/>
  <c r="B42" i="12"/>
  <c r="I41" i="12"/>
  <c r="H12" i="7"/>
  <c r="B11" i="7"/>
  <c r="C10" i="7"/>
  <c r="A9" i="4"/>
  <c r="C8" i="4"/>
  <c r="R39" i="3"/>
  <c r="F18" i="3"/>
  <c r="F39" i="3" s="1"/>
  <c r="E18" i="3"/>
  <c r="E39" i="3" s="1"/>
  <c r="K18" i="3"/>
  <c r="K39" i="3" s="1"/>
  <c r="C18" i="3"/>
  <c r="C39" i="3" s="1"/>
  <c r="G18" i="3"/>
  <c r="G39" i="3" s="1"/>
  <c r="P18" i="3"/>
  <c r="P39" i="3" s="1"/>
  <c r="H18" i="3"/>
  <c r="H39" i="3" s="1"/>
  <c r="D18" i="3"/>
  <c r="D39" i="3" s="1"/>
  <c r="O18" i="3"/>
  <c r="O39" i="3" s="1"/>
  <c r="J18" i="3"/>
  <c r="J39" i="3" s="1"/>
  <c r="B18" i="3"/>
  <c r="B39" i="3" s="1"/>
  <c r="S18" i="3"/>
  <c r="S39" i="3" s="1"/>
  <c r="Q39" i="3"/>
  <c r="L18" i="3"/>
  <c r="L39" i="3" s="1"/>
  <c r="N18" i="3"/>
  <c r="N39" i="3" s="1"/>
  <c r="M18" i="3"/>
  <c r="M39" i="3" s="1"/>
  <c r="I18" i="3"/>
  <c r="I39" i="3" s="1"/>
  <c r="A19" i="3"/>
  <c r="G11" i="1"/>
  <c r="A21" i="14" l="1"/>
  <c r="B43" i="12"/>
  <c r="I42" i="12"/>
  <c r="H13" i="7"/>
  <c r="B12" i="7"/>
  <c r="C11" i="7"/>
  <c r="A10" i="4"/>
  <c r="C9" i="4"/>
  <c r="H19" i="3"/>
  <c r="H40" i="3" s="1"/>
  <c r="R40" i="3"/>
  <c r="I19" i="3"/>
  <c r="F19" i="3"/>
  <c r="F40" i="3" s="1"/>
  <c r="C19" i="3"/>
  <c r="C40" i="3" s="1"/>
  <c r="L19" i="3"/>
  <c r="L40" i="3" s="1"/>
  <c r="O19" i="3"/>
  <c r="O40" i="3" s="1"/>
  <c r="K19" i="3"/>
  <c r="K40" i="3" s="1"/>
  <c r="N19" i="3"/>
  <c r="N40" i="3" s="1"/>
  <c r="J19" i="3"/>
  <c r="J40" i="3" s="1"/>
  <c r="P19" i="3"/>
  <c r="P40" i="3" s="1"/>
  <c r="M19" i="3"/>
  <c r="M40" i="3" s="1"/>
  <c r="S19" i="3"/>
  <c r="S40" i="3" s="1"/>
  <c r="Q40" i="3"/>
  <c r="G19" i="3"/>
  <c r="G40" i="3" s="1"/>
  <c r="D19" i="3"/>
  <c r="D40" i="3" s="1"/>
  <c r="E19" i="3"/>
  <c r="E40" i="3" s="1"/>
  <c r="B19" i="3"/>
  <c r="B40" i="3" s="1"/>
  <c r="I40" i="3"/>
  <c r="A20" i="3"/>
  <c r="G12" i="1"/>
  <c r="A22" i="14" l="1"/>
  <c r="B46" i="12"/>
  <c r="B47" i="12" s="1"/>
  <c r="B44" i="12"/>
  <c r="B45" i="12" s="1"/>
  <c r="I43" i="12"/>
  <c r="H14" i="7"/>
  <c r="B13" i="7"/>
  <c r="C12" i="7"/>
  <c r="A11" i="4"/>
  <c r="C10" i="4"/>
  <c r="P20" i="3"/>
  <c r="P41" i="3" s="1"/>
  <c r="L20" i="3"/>
  <c r="L41" i="3" s="1"/>
  <c r="D20" i="3"/>
  <c r="D41" i="3" s="1"/>
  <c r="B20" i="3"/>
  <c r="B41" i="3" s="1"/>
  <c r="C20" i="3"/>
  <c r="C41" i="3" s="1"/>
  <c r="N20" i="3"/>
  <c r="N41" i="3" s="1"/>
  <c r="M20" i="3"/>
  <c r="M41" i="3" s="1"/>
  <c r="F20" i="3"/>
  <c r="F41" i="3" s="1"/>
  <c r="R41" i="3"/>
  <c r="H20" i="3"/>
  <c r="H41" i="3" s="1"/>
  <c r="Q41" i="3"/>
  <c r="I20" i="3"/>
  <c r="I41" i="3" s="1"/>
  <c r="G20" i="3"/>
  <c r="G41" i="3" s="1"/>
  <c r="E20" i="3"/>
  <c r="E41" i="3" s="1"/>
  <c r="O20" i="3"/>
  <c r="O41" i="3" s="1"/>
  <c r="K20" i="3"/>
  <c r="K41" i="3" s="1"/>
  <c r="S20" i="3"/>
  <c r="S41" i="3" s="1"/>
  <c r="J20" i="3"/>
  <c r="J41" i="3" s="1"/>
  <c r="A21" i="3"/>
  <c r="G13" i="1"/>
  <c r="A23" i="14" l="1"/>
  <c r="B48" i="12"/>
  <c r="I47" i="12"/>
  <c r="H15" i="7"/>
  <c r="B14" i="7"/>
  <c r="C13" i="7"/>
  <c r="A12" i="4"/>
  <c r="C11" i="4"/>
  <c r="N21" i="3"/>
  <c r="N42" i="3" s="1"/>
  <c r="F21" i="3"/>
  <c r="F42" i="3" s="1"/>
  <c r="Q42" i="3"/>
  <c r="P21" i="3"/>
  <c r="P42" i="3" s="1"/>
  <c r="D21" i="3"/>
  <c r="D42" i="3" s="1"/>
  <c r="B21" i="3"/>
  <c r="B42" i="3" s="1"/>
  <c r="S21" i="3"/>
  <c r="S42" i="3" s="1"/>
  <c r="L21" i="3"/>
  <c r="L42" i="3" s="1"/>
  <c r="J21" i="3"/>
  <c r="J42" i="3" s="1"/>
  <c r="R42" i="3"/>
  <c r="M21" i="3"/>
  <c r="M42" i="3" s="1"/>
  <c r="H21" i="3"/>
  <c r="H42" i="3" s="1"/>
  <c r="C21" i="3"/>
  <c r="C42" i="3" s="1"/>
  <c r="O21" i="3"/>
  <c r="O42" i="3" s="1"/>
  <c r="K21" i="3"/>
  <c r="K42" i="3" s="1"/>
  <c r="I21" i="3"/>
  <c r="I42" i="3" s="1"/>
  <c r="E21" i="3"/>
  <c r="E42" i="3" s="1"/>
  <c r="G21" i="3"/>
  <c r="G42" i="3" s="1"/>
  <c r="A22" i="3"/>
  <c r="G14" i="1"/>
  <c r="A24" i="14" l="1"/>
  <c r="B49" i="12"/>
  <c r="I48" i="12"/>
  <c r="H16" i="7"/>
  <c r="B15" i="7"/>
  <c r="C14" i="7"/>
  <c r="A13" i="4"/>
  <c r="C12" i="4"/>
  <c r="S22" i="3"/>
  <c r="S43" i="3" s="1"/>
  <c r="Q43" i="3"/>
  <c r="G22" i="3"/>
  <c r="G43" i="3" s="1"/>
  <c r="E22" i="3"/>
  <c r="E43" i="3" s="1"/>
  <c r="N22" i="3"/>
  <c r="N43" i="3" s="1"/>
  <c r="P22" i="3"/>
  <c r="P43" i="3" s="1"/>
  <c r="B22" i="3"/>
  <c r="B43" i="3" s="1"/>
  <c r="D22" i="3"/>
  <c r="D43" i="3" s="1"/>
  <c r="K22" i="3"/>
  <c r="K43" i="3" s="1"/>
  <c r="R43" i="3"/>
  <c r="L22" i="3"/>
  <c r="L43" i="3" s="1"/>
  <c r="F22" i="3"/>
  <c r="F43" i="3" s="1"/>
  <c r="C22" i="3"/>
  <c r="C43" i="3" s="1"/>
  <c r="M22" i="3"/>
  <c r="M43" i="3" s="1"/>
  <c r="O22" i="3"/>
  <c r="O43" i="3" s="1"/>
  <c r="H22" i="3"/>
  <c r="H43" i="3" s="1"/>
  <c r="J22" i="3"/>
  <c r="J43" i="3" s="1"/>
  <c r="I22" i="3"/>
  <c r="I43" i="3" s="1"/>
  <c r="A23" i="3"/>
  <c r="G15" i="1"/>
  <c r="B50" i="12" l="1"/>
  <c r="I49" i="12"/>
  <c r="H17" i="7"/>
  <c r="B16" i="7"/>
  <c r="C15" i="7"/>
  <c r="A14" i="4"/>
  <c r="C13" i="4"/>
  <c r="H23" i="3"/>
  <c r="H44" i="3" s="1"/>
  <c r="J23" i="3"/>
  <c r="J44" i="3" s="1"/>
  <c r="B23" i="3"/>
  <c r="L23" i="3"/>
  <c r="O23" i="3"/>
  <c r="O44" i="3" s="1"/>
  <c r="S23" i="3"/>
  <c r="S44" i="3" s="1"/>
  <c r="Q44" i="3"/>
  <c r="I23" i="3"/>
  <c r="I44" i="3" s="1"/>
  <c r="G23" i="3"/>
  <c r="G44" i="3" s="1"/>
  <c r="N23" i="3"/>
  <c r="N44" i="3" s="1"/>
  <c r="D23" i="3"/>
  <c r="D44" i="3" s="1"/>
  <c r="M23" i="3"/>
  <c r="M44" i="3" s="1"/>
  <c r="P23" i="3"/>
  <c r="P44" i="3" s="1"/>
  <c r="E23" i="3"/>
  <c r="E44" i="3" s="1"/>
  <c r="K23" i="3"/>
  <c r="K44" i="3" s="1"/>
  <c r="R44" i="3"/>
  <c r="F23" i="3"/>
  <c r="F44" i="3" s="1"/>
  <c r="C23" i="3"/>
  <c r="C44" i="3" s="1"/>
  <c r="B44" i="3"/>
  <c r="L44" i="3"/>
  <c r="A24" i="3"/>
  <c r="G16" i="1"/>
  <c r="I50" i="12" l="1"/>
  <c r="H18" i="7"/>
  <c r="B17" i="7"/>
  <c r="C16" i="7"/>
  <c r="A15" i="4"/>
  <c r="C14" i="4"/>
  <c r="O24" i="3"/>
  <c r="O45" i="3" s="1"/>
  <c r="L24" i="3"/>
  <c r="L45" i="3" s="1"/>
  <c r="K24" i="3"/>
  <c r="K45" i="3" s="1"/>
  <c r="C24" i="3"/>
  <c r="C45" i="3" s="1"/>
  <c r="H24" i="3"/>
  <c r="H45" i="3" s="1"/>
  <c r="E24" i="3"/>
  <c r="E45" i="3" s="1"/>
  <c r="D24" i="3"/>
  <c r="D45" i="3" s="1"/>
  <c r="M24" i="3"/>
  <c r="M45" i="3" s="1"/>
  <c r="J24" i="3"/>
  <c r="J45" i="3" s="1"/>
  <c r="G24" i="3"/>
  <c r="G45" i="3" s="1"/>
  <c r="S24" i="3"/>
  <c r="S45" i="3" s="1"/>
  <c r="Q45" i="3"/>
  <c r="R45" i="3"/>
  <c r="N24" i="3"/>
  <c r="N45" i="3" s="1"/>
  <c r="I24" i="3"/>
  <c r="I45" i="3" s="1"/>
  <c r="B24" i="3"/>
  <c r="B45" i="3" s="1"/>
  <c r="P24" i="3"/>
  <c r="P45" i="3" s="1"/>
  <c r="F24" i="3"/>
  <c r="F45" i="3" s="1"/>
  <c r="A25" i="3"/>
  <c r="G17" i="1"/>
  <c r="D31" i="12" l="1"/>
  <c r="D45" i="12"/>
  <c r="D38" i="12"/>
  <c r="H19" i="7"/>
  <c r="B18" i="7"/>
  <c r="C17" i="7"/>
  <c r="A16" i="4"/>
  <c r="C15" i="4"/>
  <c r="L46" i="3"/>
  <c r="D25" i="3"/>
  <c r="D46" i="3" s="1"/>
  <c r="O25" i="3"/>
  <c r="O46" i="3" s="1"/>
  <c r="K25" i="3"/>
  <c r="E25" i="3"/>
  <c r="E46" i="3" s="1"/>
  <c r="C25" i="3"/>
  <c r="C46" i="3" s="1"/>
  <c r="L25" i="3"/>
  <c r="J25" i="3"/>
  <c r="G25" i="3"/>
  <c r="G46" i="3" s="1"/>
  <c r="S25" i="3"/>
  <c r="S46" i="3" s="1"/>
  <c r="Q46" i="3"/>
  <c r="M25" i="3"/>
  <c r="M46" i="3" s="1"/>
  <c r="N25" i="3"/>
  <c r="N46" i="3" s="1"/>
  <c r="H25" i="3"/>
  <c r="H46" i="3" s="1"/>
  <c r="R46" i="3"/>
  <c r="P25" i="3"/>
  <c r="P46" i="3" s="1"/>
  <c r="I25" i="3"/>
  <c r="I46" i="3" s="1"/>
  <c r="B25" i="3"/>
  <c r="B46" i="3" s="1"/>
  <c r="F25" i="3"/>
  <c r="F46" i="3" s="1"/>
  <c r="K46" i="3"/>
  <c r="J46" i="3"/>
  <c r="A26" i="3"/>
  <c r="G18" i="1"/>
  <c r="H20" i="7" l="1"/>
  <c r="B19" i="7"/>
  <c r="C18" i="7"/>
  <c r="A17" i="4"/>
  <c r="C16" i="4"/>
  <c r="R47" i="3"/>
  <c r="F26" i="3"/>
  <c r="F47" i="3" s="1"/>
  <c r="E26" i="3"/>
  <c r="E47" i="3" s="1"/>
  <c r="K26" i="3"/>
  <c r="K47" i="3" s="1"/>
  <c r="C26" i="3"/>
  <c r="C47" i="3" s="1"/>
  <c r="G26" i="3"/>
  <c r="G47" i="3" s="1"/>
  <c r="O26" i="3"/>
  <c r="O47" i="3" s="1"/>
  <c r="P26" i="3"/>
  <c r="P47" i="3" s="1"/>
  <c r="J26" i="3"/>
  <c r="J47" i="3" s="1"/>
  <c r="H26" i="3"/>
  <c r="S26" i="3"/>
  <c r="S47" i="3" s="1"/>
  <c r="Q47" i="3"/>
  <c r="L26" i="3"/>
  <c r="L47" i="3" s="1"/>
  <c r="N26" i="3"/>
  <c r="N47" i="3" s="1"/>
  <c r="M26" i="3"/>
  <c r="M47" i="3" s="1"/>
  <c r="D26" i="3"/>
  <c r="B26" i="3"/>
  <c r="B47" i="3" s="1"/>
  <c r="I26" i="3"/>
  <c r="I47" i="3" s="1"/>
  <c r="H47" i="3"/>
  <c r="D47" i="3"/>
  <c r="A27" i="3"/>
  <c r="G19" i="1"/>
  <c r="H21" i="7" l="1"/>
  <c r="B20" i="7"/>
  <c r="C19" i="7"/>
  <c r="A18" i="4"/>
  <c r="C17" i="4"/>
  <c r="H27" i="3"/>
  <c r="R48" i="3"/>
  <c r="I27" i="3"/>
  <c r="I48" i="3" s="1"/>
  <c r="F27" i="3"/>
  <c r="F48" i="3" s="1"/>
  <c r="C27" i="3"/>
  <c r="C48" i="3" s="1"/>
  <c r="P27" i="3"/>
  <c r="P48" i="3" s="1"/>
  <c r="O27" i="3"/>
  <c r="O48" i="3" s="1"/>
  <c r="K27" i="3"/>
  <c r="K48" i="3" s="1"/>
  <c r="L27" i="3"/>
  <c r="L48" i="3" s="1"/>
  <c r="M27" i="3"/>
  <c r="M48" i="3" s="1"/>
  <c r="J27" i="3"/>
  <c r="J48" i="3" s="1"/>
  <c r="S27" i="3"/>
  <c r="S48" i="3" s="1"/>
  <c r="Q48" i="3"/>
  <c r="G27" i="3"/>
  <c r="G48" i="3" s="1"/>
  <c r="N27" i="3"/>
  <c r="N48" i="3" s="1"/>
  <c r="B27" i="3"/>
  <c r="D27" i="3"/>
  <c r="E27" i="3"/>
  <c r="E48" i="3" s="1"/>
  <c r="H48" i="3"/>
  <c r="B48" i="3"/>
  <c r="D48" i="3"/>
  <c r="A28" i="3"/>
  <c r="G20" i="1"/>
  <c r="J24" i="7" l="1"/>
  <c r="K26" i="7" s="1"/>
  <c r="L28" i="7" s="1"/>
  <c r="B21" i="7"/>
  <c r="C21" i="7" s="1"/>
  <c r="D24" i="7" s="1"/>
  <c r="E26" i="7" s="1"/>
  <c r="F28" i="7" s="1"/>
  <c r="C20" i="7"/>
  <c r="A19" i="4"/>
  <c r="C18" i="4"/>
  <c r="P28" i="3"/>
  <c r="P49" i="3" s="1"/>
  <c r="L28" i="3"/>
  <c r="L49" i="3" s="1"/>
  <c r="D28" i="3"/>
  <c r="B28" i="3"/>
  <c r="B49" i="3" s="1"/>
  <c r="M28" i="3"/>
  <c r="M49" i="3" s="1"/>
  <c r="H28" i="3"/>
  <c r="H49" i="3" s="1"/>
  <c r="G28" i="3"/>
  <c r="G49" i="3" s="1"/>
  <c r="N28" i="3"/>
  <c r="N49" i="3" s="1"/>
  <c r="R49" i="3"/>
  <c r="F28" i="3"/>
  <c r="F49" i="3" s="1"/>
  <c r="S28" i="3"/>
  <c r="S49" i="3" s="1"/>
  <c r="I28" i="3"/>
  <c r="I49" i="3" s="1"/>
  <c r="O28" i="3"/>
  <c r="O49" i="3" s="1"/>
  <c r="K28" i="3"/>
  <c r="K49" i="3" s="1"/>
  <c r="C28" i="3"/>
  <c r="C49" i="3" s="1"/>
  <c r="Q49" i="3"/>
  <c r="E28" i="3"/>
  <c r="E49" i="3" s="1"/>
  <c r="J28" i="3"/>
  <c r="J49" i="3" s="1"/>
  <c r="D49" i="3"/>
  <c r="A29" i="3"/>
  <c r="G21" i="1"/>
  <c r="A20" i="4" l="1"/>
  <c r="C19" i="4"/>
  <c r="N29" i="3"/>
  <c r="N50" i="3" s="1"/>
  <c r="P29" i="3"/>
  <c r="D29" i="3"/>
  <c r="D50" i="3" s="1"/>
  <c r="B29" i="3"/>
  <c r="B50" i="3" s="1"/>
  <c r="L29" i="3"/>
  <c r="L50" i="3" s="1"/>
  <c r="F29" i="3"/>
  <c r="F50" i="3" s="1"/>
  <c r="Q50" i="3"/>
  <c r="R50" i="3"/>
  <c r="M29" i="3"/>
  <c r="M50" i="3" s="1"/>
  <c r="C29" i="3"/>
  <c r="C50" i="3" s="1"/>
  <c r="H29" i="3"/>
  <c r="H50" i="3" s="1"/>
  <c r="J29" i="3"/>
  <c r="J50" i="3" s="1"/>
  <c r="O29" i="3"/>
  <c r="O50" i="3" s="1"/>
  <c r="K29" i="3"/>
  <c r="K50" i="3" s="1"/>
  <c r="I29" i="3"/>
  <c r="I50" i="3" s="1"/>
  <c r="E29" i="3"/>
  <c r="E50" i="3" s="1"/>
  <c r="S29" i="3"/>
  <c r="S50" i="3" s="1"/>
  <c r="G29" i="3"/>
  <c r="P50" i="3"/>
  <c r="G50" i="3"/>
  <c r="A30" i="3"/>
  <c r="G22" i="1"/>
  <c r="A21" i="4" l="1"/>
  <c r="C21" i="4"/>
  <c r="C20" i="4"/>
  <c r="S30" i="3"/>
  <c r="S51" i="3" s="1"/>
  <c r="Q51" i="3"/>
  <c r="G30" i="3"/>
  <c r="G51" i="3" s="1"/>
  <c r="N30" i="3"/>
  <c r="N51" i="3" s="1"/>
  <c r="D30" i="3"/>
  <c r="D51" i="3" s="1"/>
  <c r="F30" i="3"/>
  <c r="F51" i="3" s="1"/>
  <c r="H30" i="3"/>
  <c r="H51" i="3" s="1"/>
  <c r="C30" i="3"/>
  <c r="C51" i="3" s="1"/>
  <c r="P30" i="3"/>
  <c r="P51" i="3" s="1"/>
  <c r="B30" i="3"/>
  <c r="B51" i="3" s="1"/>
  <c r="E30" i="3"/>
  <c r="E51" i="3" s="1"/>
  <c r="R51" i="3"/>
  <c r="L30" i="3"/>
  <c r="L51" i="3" s="1"/>
  <c r="O30" i="3"/>
  <c r="O51" i="3" s="1"/>
  <c r="M30" i="3"/>
  <c r="M51" i="3" s="1"/>
  <c r="K30" i="3"/>
  <c r="K51" i="3" s="1"/>
  <c r="J30" i="3"/>
  <c r="J51" i="3" s="1"/>
  <c r="I30" i="3"/>
  <c r="I51" i="3" s="1"/>
  <c r="A31" i="3"/>
  <c r="G23" i="1"/>
  <c r="A22" i="4" l="1"/>
  <c r="B21" i="4" s="1"/>
  <c r="H31" i="3"/>
  <c r="H52" i="3" s="1"/>
  <c r="J31" i="3"/>
  <c r="J52" i="3" s="1"/>
  <c r="D31" i="3"/>
  <c r="D52" i="3" s="1"/>
  <c r="S31" i="3"/>
  <c r="S52" i="3" s="1"/>
  <c r="Q52" i="3"/>
  <c r="I31" i="3"/>
  <c r="I52" i="3" s="1"/>
  <c r="G31" i="3"/>
  <c r="G52" i="3" s="1"/>
  <c r="N31" i="3"/>
  <c r="N52" i="3" s="1"/>
  <c r="E31" i="3"/>
  <c r="E52" i="3" s="1"/>
  <c r="B31" i="3"/>
  <c r="O31" i="3"/>
  <c r="O52" i="3" s="1"/>
  <c r="M31" i="3"/>
  <c r="M52" i="3" s="1"/>
  <c r="K31" i="3"/>
  <c r="K52" i="3" s="1"/>
  <c r="P31" i="3"/>
  <c r="P52" i="3" s="1"/>
  <c r="R52" i="3"/>
  <c r="F31" i="3"/>
  <c r="F52" i="3" s="1"/>
  <c r="L31" i="3"/>
  <c r="L52" i="3" s="1"/>
  <c r="C31" i="3"/>
  <c r="C52" i="3" s="1"/>
  <c r="B52" i="3"/>
  <c r="A32" i="3"/>
  <c r="G24" i="1"/>
  <c r="B22" i="4" l="1"/>
  <c r="C22" i="4"/>
  <c r="B3" i="4"/>
  <c r="B2" i="4"/>
  <c r="B4" i="4"/>
  <c r="B5" i="4"/>
  <c r="B6" i="4"/>
  <c r="B7" i="4"/>
  <c r="B8" i="4"/>
  <c r="B9" i="4"/>
  <c r="B11" i="4"/>
  <c r="B10" i="4"/>
  <c r="B12" i="4"/>
  <c r="B13" i="4"/>
  <c r="B14" i="4"/>
  <c r="B15" i="4"/>
  <c r="B20" i="4"/>
  <c r="B17" i="4"/>
  <c r="B18" i="4"/>
  <c r="B16" i="4"/>
  <c r="B19" i="4"/>
  <c r="O32" i="3"/>
  <c r="O53" i="3" s="1"/>
  <c r="L32" i="3"/>
  <c r="L53" i="3" s="1"/>
  <c r="K32" i="3"/>
  <c r="K53" i="3" s="1"/>
  <c r="C32" i="3"/>
  <c r="C53" i="3" s="1"/>
  <c r="H32" i="3"/>
  <c r="H53" i="3" s="1"/>
  <c r="G32" i="3"/>
  <c r="G53" i="3" s="1"/>
  <c r="B32" i="3"/>
  <c r="B53" i="3" s="1"/>
  <c r="M32" i="3"/>
  <c r="M53" i="3" s="1"/>
  <c r="J32" i="3"/>
  <c r="J53" i="3" s="1"/>
  <c r="E32" i="3"/>
  <c r="E53" i="3" s="1"/>
  <c r="S32" i="3"/>
  <c r="S53" i="3" s="1"/>
  <c r="Q53" i="3"/>
  <c r="F32" i="3"/>
  <c r="F53" i="3" s="1"/>
  <c r="N32" i="3"/>
  <c r="N53" i="3" s="1"/>
  <c r="I32" i="3"/>
  <c r="I53" i="3" s="1"/>
  <c r="D32" i="3"/>
  <c r="D53" i="3" s="1"/>
  <c r="P32" i="3"/>
  <c r="P53" i="3" s="1"/>
  <c r="R53" i="3"/>
  <c r="A33" i="3"/>
  <c r="G25" i="1"/>
  <c r="E2" i="4" l="1" a="1"/>
  <c r="E2" i="4" s="1"/>
  <c r="O33" i="3"/>
  <c r="O54" i="3" s="1"/>
  <c r="K33" i="3"/>
  <c r="K54" i="3" s="1"/>
  <c r="E33" i="3"/>
  <c r="E54" i="3" s="1"/>
  <c r="C33" i="3"/>
  <c r="C54" i="3" s="1"/>
  <c r="L33" i="3"/>
  <c r="L54" i="3" s="1"/>
  <c r="J33" i="3"/>
  <c r="J54" i="3" s="1"/>
  <c r="G33" i="3"/>
  <c r="G54" i="3" s="1"/>
  <c r="R54" i="3"/>
  <c r="S33" i="3"/>
  <c r="S54" i="3" s="1"/>
  <c r="Q54" i="3"/>
  <c r="M33" i="3"/>
  <c r="M54" i="3" s="1"/>
  <c r="N33" i="3"/>
  <c r="N54" i="3" s="1"/>
  <c r="H33" i="3"/>
  <c r="H54" i="3" s="1"/>
  <c r="B33" i="3"/>
  <c r="B54" i="3" s="1"/>
  <c r="P33" i="3"/>
  <c r="P54" i="3" s="1"/>
  <c r="I33" i="3"/>
  <c r="I54" i="3" s="1"/>
  <c r="D33" i="3"/>
  <c r="D54" i="3" s="1"/>
  <c r="F33" i="3"/>
  <c r="F54" i="3" s="1"/>
  <c r="G26" i="1"/>
  <c r="D3" i="4" l="1"/>
  <c r="D11" i="4"/>
  <c r="D19" i="4"/>
  <c r="D14" i="4"/>
  <c r="D15" i="4"/>
  <c r="D16" i="4"/>
  <c r="D10" i="4"/>
  <c r="D4" i="4"/>
  <c r="D12" i="4"/>
  <c r="D20" i="4"/>
  <c r="D6" i="4"/>
  <c r="D2" i="4"/>
  <c r="D8" i="4"/>
  <c r="D5" i="4"/>
  <c r="D13" i="4"/>
  <c r="D21" i="4"/>
  <c r="D22" i="4"/>
  <c r="D17" i="4"/>
  <c r="D7" i="4"/>
  <c r="D9" i="4"/>
  <c r="D18" i="4"/>
  <c r="G27" i="1"/>
  <c r="G28" i="1" l="1"/>
  <c r="G29" i="1" l="1"/>
  <c r="G30" i="1" l="1"/>
  <c r="G31" i="1" l="1"/>
  <c r="G32" i="1" l="1"/>
  <c r="G33" i="1" l="1"/>
  <c r="G34" i="1" l="1"/>
  <c r="G35" i="1" l="1"/>
  <c r="G36" i="1" l="1"/>
  <c r="G37" i="1" l="1"/>
  <c r="G38" i="1" l="1"/>
  <c r="G39" i="1" l="1"/>
  <c r="G40" i="1" l="1"/>
  <c r="G41" i="1" l="1"/>
  <c r="G42" i="1" l="1"/>
  <c r="G43" i="1" l="1"/>
  <c r="G44" i="1" l="1"/>
  <c r="G45" i="1" l="1"/>
  <c r="G46" i="1" l="1"/>
  <c r="G47" i="1" l="1"/>
  <c r="H5" i="1" s="1"/>
  <c r="H46" i="1" s="1"/>
  <c r="I46" i="1" l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I15" i="1"/>
  <c r="H15" i="1"/>
  <c r="H16" i="1"/>
  <c r="I16" i="1"/>
  <c r="H17" i="1"/>
  <c r="I17" i="1"/>
  <c r="H18" i="1"/>
  <c r="I18" i="1"/>
  <c r="H19" i="1"/>
  <c r="I19" i="1"/>
  <c r="H20" i="1"/>
  <c r="I20" i="1"/>
  <c r="H21" i="1"/>
  <c r="I21" i="1"/>
  <c r="I22" i="1"/>
  <c r="H22" i="1"/>
  <c r="I23" i="1"/>
  <c r="H23" i="1"/>
  <c r="H24" i="1"/>
  <c r="I24" i="1"/>
  <c r="H25" i="1"/>
  <c r="I25" i="1"/>
  <c r="H26" i="1"/>
  <c r="I26" i="1"/>
  <c r="I27" i="1"/>
  <c r="H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I36" i="1"/>
  <c r="H36" i="1"/>
  <c r="H37" i="1"/>
  <c r="I37" i="1"/>
  <c r="H38" i="1"/>
  <c r="I38" i="1"/>
  <c r="H39" i="1"/>
  <c r="I39" i="1"/>
  <c r="H40" i="1"/>
  <c r="I40" i="1"/>
  <c r="I41" i="1"/>
  <c r="H41" i="1"/>
  <c r="H42" i="1"/>
  <c r="I42" i="1"/>
  <c r="H43" i="1"/>
  <c r="I43" i="1"/>
  <c r="I44" i="1"/>
  <c r="H44" i="1"/>
  <c r="H45" i="1"/>
  <c r="I45" i="1"/>
  <c r="H47" i="1"/>
  <c r="I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<sst xmlns="http://schemas.openxmlformats.org/spreadsheetml/2006/main" count="655" uniqueCount="216">
  <si>
    <t>Aggression</t>
  </si>
  <si>
    <t>Yes</t>
  </si>
  <si>
    <t>No</t>
  </si>
  <si>
    <t>Trials Observed</t>
  </si>
  <si>
    <t>n</t>
  </si>
  <si>
    <t>p</t>
  </si>
  <si>
    <t>Trial Number</t>
  </si>
  <si>
    <t>Binomial Probability Distribution</t>
  </si>
  <si>
    <t>Cumulative Binomial Probability Distribution</t>
  </si>
  <si>
    <t>Distribution</t>
  </si>
  <si>
    <t>Question Designed to Answer</t>
  </si>
  <si>
    <t>Binomial</t>
  </si>
  <si>
    <t>Data Type</t>
  </si>
  <si>
    <t>Discrete, Two Possible Values</t>
  </si>
  <si>
    <t>Geometric</t>
  </si>
  <si>
    <t>Discrete, Two or More Possible Values</t>
  </si>
  <si>
    <t>Normal (Gaussian)</t>
  </si>
  <si>
    <t>Exponential</t>
  </si>
  <si>
    <t>Continuous, Symmetric</t>
  </si>
  <si>
    <t>Visual of Cumulative 
Probability Distribution</t>
  </si>
  <si>
    <t>Visual of 
Probability Distribution</t>
  </si>
  <si>
    <t>Negative Binomial</t>
  </si>
  <si>
    <t>Trials</t>
  </si>
  <si>
    <t>Continuous, Asymmetric</t>
  </si>
  <si>
    <r>
      <t xml:space="preserve">What is the probability we will observe the target behavior on </t>
    </r>
    <r>
      <rPr>
        <i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of the trials?</t>
    </r>
  </si>
  <si>
    <r>
      <t xml:space="preserve">What is the probabiltiy we will go </t>
    </r>
    <r>
      <rPr>
        <i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trials before we observe the first instance of a target behavior?</t>
    </r>
  </si>
  <si>
    <r>
      <t xml:space="preserve">What is the probability we will go </t>
    </r>
    <r>
      <rPr>
        <i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trials before we observed </t>
    </r>
    <r>
      <rPr>
        <i/>
        <sz val="14"/>
        <color theme="1"/>
        <rFont val="Calibri"/>
        <family val="2"/>
        <scheme val="minor"/>
      </rPr>
      <t>y</t>
    </r>
    <r>
      <rPr>
        <sz val="14"/>
        <color theme="1"/>
        <rFont val="Calibri"/>
        <family val="2"/>
        <scheme val="minor"/>
      </rPr>
      <t xml:space="preserve"> instances of the target behavior?</t>
    </r>
  </si>
  <si>
    <r>
      <t xml:space="preserve">What is the probability of observing </t>
    </r>
    <r>
      <rPr>
        <i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time between events?</t>
    </r>
  </si>
  <si>
    <t>Poisson</t>
  </si>
  <si>
    <r>
      <t xml:space="preserve">p </t>
    </r>
    <r>
      <rPr>
        <b/>
        <sz val="12"/>
        <color theme="1"/>
        <rFont val="Calibri"/>
        <family val="2"/>
        <scheme val="minor"/>
      </rPr>
      <t>= 0.15</t>
    </r>
  </si>
  <si>
    <r>
      <t xml:space="preserve">p </t>
    </r>
    <r>
      <rPr>
        <b/>
        <sz val="12"/>
        <color theme="1"/>
        <rFont val="Calibri"/>
        <family val="2"/>
        <scheme val="minor"/>
      </rPr>
      <t>= 0.05</t>
    </r>
  </si>
  <si>
    <t>GEOMETRIC</t>
  </si>
  <si>
    <r>
      <t xml:space="preserve">p </t>
    </r>
    <r>
      <rPr>
        <b/>
        <sz val="12"/>
        <color theme="1"/>
        <rFont val="Calibri"/>
        <family val="2"/>
        <scheme val="minor"/>
      </rPr>
      <t>= 0.3</t>
    </r>
    <r>
      <rPr>
        <b/>
        <i/>
        <sz val="12"/>
        <color theme="1"/>
        <rFont val="Calibri"/>
        <family val="2"/>
        <scheme val="minor"/>
      </rPr>
      <t>0</t>
    </r>
  </si>
  <si>
    <t>NEGATIVE BINOMIAL</t>
  </si>
  <si>
    <t>5 Resp.; p = 0.30</t>
  </si>
  <si>
    <t>10 Resp.; p = 0.30</t>
  </si>
  <si>
    <t>5 Resp.; p = 0.70</t>
  </si>
  <si>
    <t>AVG = 10; SD = 2.5</t>
  </si>
  <si>
    <t>NORMAL / GAUSSIAN</t>
  </si>
  <si>
    <t>AVG = 15; SD = 5</t>
  </si>
  <si>
    <t>AVG = 5; SD = 1.5</t>
  </si>
  <si>
    <t>EXPONENTIAL</t>
  </si>
  <si>
    <r>
      <t>p</t>
    </r>
    <r>
      <rPr>
        <b/>
        <sz val="12"/>
        <color theme="1"/>
        <rFont val="Calibri"/>
        <family val="2"/>
        <scheme val="minor"/>
      </rPr>
      <t xml:space="preserve"> = 0.2</t>
    </r>
  </si>
  <si>
    <r>
      <t>p</t>
    </r>
    <r>
      <rPr>
        <b/>
        <sz val="12"/>
        <color theme="1"/>
        <rFont val="Calibri"/>
        <family val="2"/>
        <scheme val="minor"/>
      </rPr>
      <t xml:space="preserve"> = 0.4</t>
    </r>
  </si>
  <si>
    <r>
      <t>p</t>
    </r>
    <r>
      <rPr>
        <b/>
        <sz val="12"/>
        <color theme="1"/>
        <rFont val="Calibri"/>
        <family val="2"/>
        <scheme val="minor"/>
      </rPr>
      <t xml:space="preserve"> = 0.8</t>
    </r>
  </si>
  <si>
    <t>LOGNORMAL</t>
  </si>
  <si>
    <t>AVG = 2; SD = 0.5</t>
  </si>
  <si>
    <t>AVG = 1; SD = 0.65</t>
  </si>
  <si>
    <t>AVG = 0.75; SD = 1.25</t>
  </si>
  <si>
    <t>POISSON</t>
  </si>
  <si>
    <t>AVG = 10</t>
  </si>
  <si>
    <t>AVG = 5</t>
  </si>
  <si>
    <r>
      <t>p</t>
    </r>
    <r>
      <rPr>
        <b/>
        <sz val="12"/>
        <color theme="1"/>
        <rFont val="Calibri"/>
        <family val="2"/>
        <scheme val="minor"/>
      </rPr>
      <t xml:space="preserve"> = 0.9</t>
    </r>
  </si>
  <si>
    <r>
      <t>p</t>
    </r>
    <r>
      <rPr>
        <b/>
        <sz val="12"/>
        <color theme="1"/>
        <rFont val="Calibri"/>
        <family val="2"/>
        <scheme val="minor"/>
      </rPr>
      <t xml:space="preserve"> = 0.7</t>
    </r>
  </si>
  <si>
    <r>
      <t>p</t>
    </r>
    <r>
      <rPr>
        <b/>
        <sz val="12"/>
        <color theme="1"/>
        <rFont val="Calibri"/>
        <family val="2"/>
        <scheme val="minor"/>
      </rPr>
      <t xml:space="preserve"> = 0.5</t>
    </r>
  </si>
  <si>
    <t>Lognormal</t>
  </si>
  <si>
    <r>
      <t xml:space="preserve">What is the probability of observing </t>
    </r>
    <r>
      <rPr>
        <i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target behaviors within an interval?</t>
    </r>
  </si>
  <si>
    <t>AVG = 15</t>
  </si>
  <si>
    <r>
      <t xml:space="preserve">What is the probability we'll observe behavior at time </t>
    </r>
    <r>
      <rPr>
        <i/>
        <sz val="14"/>
        <color theme="1"/>
        <rFont val="Calibri"/>
        <family val="2"/>
        <scheme val="minor"/>
      </rPr>
      <t xml:space="preserve">n </t>
    </r>
    <r>
      <rPr>
        <sz val="14"/>
        <color theme="1"/>
        <rFont val="Calibri"/>
        <family val="2"/>
        <scheme val="minor"/>
      </rPr>
      <t>(or based on some other continuous variable)?</t>
    </r>
  </si>
  <si>
    <t>x</t>
  </si>
  <si>
    <t>x_plot</t>
  </si>
  <si>
    <t>Logistic</t>
  </si>
  <si>
    <t>Linear</t>
  </si>
  <si>
    <t>Independent Variable 1</t>
  </si>
  <si>
    <t>A</t>
  </si>
  <si>
    <t>B</t>
  </si>
  <si>
    <t>C</t>
  </si>
  <si>
    <t>BC</t>
  </si>
  <si>
    <t>AB</t>
  </si>
  <si>
    <t>AC</t>
  </si>
  <si>
    <t>Years to Larger Later</t>
  </si>
  <si>
    <t>k</t>
  </si>
  <si>
    <t>s</t>
  </si>
  <si>
    <t>Parameter</t>
  </si>
  <si>
    <t>Residual</t>
  </si>
  <si>
    <t>Squared Residual</t>
  </si>
  <si>
    <t>SoS</t>
  </si>
  <si>
    <r>
      <t>r</t>
    </r>
    <r>
      <rPr>
        <b/>
        <sz val="12"/>
        <color theme="1"/>
        <rFont val="Calibri"/>
        <family val="2"/>
        <scheme val="minor"/>
      </rPr>
      <t>2</t>
    </r>
  </si>
  <si>
    <t>MAE</t>
  </si>
  <si>
    <t>RMSE</t>
  </si>
  <si>
    <t>MSE</t>
  </si>
  <si>
    <t>Raw Data</t>
  </si>
  <si>
    <t>Predicted by Model</t>
  </si>
  <si>
    <r>
      <t xml:space="preserve">What is the probability we'll observe behavior at the value </t>
    </r>
    <r>
      <rPr>
        <i/>
        <sz val="14"/>
        <color theme="1"/>
        <rFont val="Calibri"/>
        <family val="2"/>
        <scheme val="minor"/>
      </rPr>
      <t xml:space="preserve">x </t>
    </r>
    <r>
      <rPr>
        <sz val="14"/>
        <color theme="1"/>
        <rFont val="Calibri"/>
        <family val="2"/>
        <scheme val="minor"/>
      </rPr>
      <t xml:space="preserve">(where </t>
    </r>
    <r>
      <rPr>
        <i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 xml:space="preserve"> is a continuous independent variable)?</t>
    </r>
  </si>
  <si>
    <t>Arithmetic Mean</t>
  </si>
  <si>
    <t>Symmetric Data</t>
  </si>
  <si>
    <t>Geo Mean</t>
  </si>
  <si>
    <t>Harmonic Mean</t>
  </si>
  <si>
    <t>Raw Symmetric Data</t>
  </si>
  <si>
    <t>Skewed Data</t>
  </si>
  <si>
    <t>Raw Skewed Data</t>
  </si>
  <si>
    <t>Range</t>
  </si>
  <si>
    <t>Raw Data 1</t>
  </si>
  <si>
    <t>Raw Data 2</t>
  </si>
  <si>
    <t>Min</t>
  </si>
  <si>
    <t>Max</t>
  </si>
  <si>
    <t>CI</t>
  </si>
  <si>
    <t>St.Dev.</t>
  </si>
  <si>
    <t>25th</t>
  </si>
  <si>
    <t>75th</t>
  </si>
  <si>
    <t>AVG</t>
  </si>
  <si>
    <t>STD Min</t>
  </si>
  <si>
    <t>STD Max</t>
  </si>
  <si>
    <t>Z-Scores</t>
  </si>
  <si>
    <t>Standard Deviations</t>
  </si>
  <si>
    <t>Cumulative Percentages</t>
  </si>
  <si>
    <t>Independent Variables</t>
  </si>
  <si>
    <t>Demand</t>
  </si>
  <si>
    <t>Session Number</t>
  </si>
  <si>
    <t>10:1</t>
  </si>
  <si>
    <t>5:1</t>
  </si>
  <si>
    <t>1:1</t>
  </si>
  <si>
    <t>1:5</t>
  </si>
  <si>
    <t>1:10</t>
  </si>
  <si>
    <t>Intervention</t>
  </si>
  <si>
    <t>Baseline</t>
  </si>
  <si>
    <t>session_aggregate</t>
  </si>
  <si>
    <t>response</t>
  </si>
  <si>
    <t>tot_mins</t>
  </si>
  <si>
    <t>session</t>
  </si>
  <si>
    <t>session_minute</t>
  </si>
  <si>
    <t>Session</t>
  </si>
  <si>
    <t>FA Session</t>
  </si>
  <si>
    <t>Tangible</t>
  </si>
  <si>
    <t>Attention</t>
  </si>
  <si>
    <t>Escape</t>
  </si>
  <si>
    <t>Control</t>
  </si>
  <si>
    <t>Appropriate</t>
  </si>
  <si>
    <t>Inppropriate</t>
  </si>
  <si>
    <t>Mean</t>
  </si>
  <si>
    <t>SD Above</t>
  </si>
  <si>
    <t>SD Below</t>
  </si>
  <si>
    <t>Responses per Min</t>
  </si>
  <si>
    <t>Ph. Change</t>
  </si>
  <si>
    <t>CDC Trend</t>
  </si>
  <si>
    <t>Multielement AVG  ±SD</t>
  </si>
  <si>
    <t>CDC AVG</t>
  </si>
  <si>
    <t>Inappropriate</t>
  </si>
  <si>
    <t>Conservative Dual Criteria</t>
  </si>
  <si>
    <t>Trending Level</t>
  </si>
  <si>
    <t>Trending Variability</t>
  </si>
  <si>
    <t>PND</t>
  </si>
  <si>
    <t>NAP</t>
  </si>
  <si>
    <t>PAND</t>
  </si>
  <si>
    <t>PEM</t>
  </si>
  <si>
    <t>Linear Variability</t>
  </si>
  <si>
    <t>Nonlinear Trend</t>
  </si>
  <si>
    <t>Nonlinear Variability</t>
  </si>
  <si>
    <t>B1 Trend</t>
  </si>
  <si>
    <t>I1 Trend</t>
  </si>
  <si>
    <t>B2 Trend</t>
  </si>
  <si>
    <t>Responses</t>
  </si>
  <si>
    <t xml:space="preserve">B1 Variability </t>
  </si>
  <si>
    <t>I1 Variability</t>
  </si>
  <si>
    <t>B2 Variability</t>
  </si>
  <si>
    <t>95% CI</t>
  </si>
  <si>
    <t>Height</t>
  </si>
  <si>
    <t>Weight</t>
  </si>
  <si>
    <t>Altitude</t>
  </si>
  <si>
    <t>Temperature</t>
  </si>
  <si>
    <t>Drug Dose</t>
  </si>
  <si>
    <t>Intervention Effect</t>
  </si>
  <si>
    <t>SR+ Amount</t>
  </si>
  <si>
    <t>Rate of Responding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</si>
  <si>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</si>
  <si>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</si>
  <si>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</si>
  <si>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</si>
  <si>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</si>
  <si>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</si>
  <si>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</si>
  <si>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</si>
  <si>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</si>
  <si>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</si>
  <si>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I</t>
  </si>
  <si>
    <t>Percent Correct</t>
  </si>
  <si>
    <t>Min 1</t>
  </si>
  <si>
    <t>Min 2</t>
  </si>
  <si>
    <t>Min 3</t>
  </si>
  <si>
    <t>Min 4</t>
  </si>
  <si>
    <t>Min 5</t>
  </si>
  <si>
    <t>Min 6</t>
  </si>
  <si>
    <t>Min 7</t>
  </si>
  <si>
    <t>Min 8</t>
  </si>
  <si>
    <t>Min 9</t>
  </si>
  <si>
    <t>Min 10</t>
  </si>
  <si>
    <t>Trial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</si>
  <si>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</si>
  <si>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</si>
  <si>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</si>
  <si>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</si>
  <si>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</si>
  <si>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</si>
  <si>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</si>
  <si>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</si>
  <si>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</si>
  <si>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</si>
  <si>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Min 11</t>
  </si>
  <si>
    <t>Min 12</t>
  </si>
  <si>
    <t>Min 13</t>
  </si>
  <si>
    <t>Min 14</t>
  </si>
  <si>
    <t>Min 15</t>
  </si>
  <si>
    <t>Min 16</t>
  </si>
  <si>
    <t>Min 17</t>
  </si>
  <si>
    <t>Min 18</t>
  </si>
  <si>
    <t>Min 19</t>
  </si>
  <si>
    <t>Min 20</t>
  </si>
  <si>
    <t>Session 1</t>
  </si>
  <si>
    <t>Session 2</t>
  </si>
  <si>
    <t>Session 3</t>
  </si>
  <si>
    <t>Session 4</t>
  </si>
  <si>
    <t>Session 5</t>
  </si>
  <si>
    <t>Client</t>
  </si>
  <si>
    <t>D</t>
  </si>
  <si>
    <t>Rate of Resp</t>
  </si>
  <si>
    <t>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</si>
</sst>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60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0" xfId="0" applyFont="1"/>
    <xf numFmtId="165" fontId="7" fillId="0" borderId="0" xfId="0" applyNumberFormat="1" applyFont="1"/>
    <xf numFmtId="0" fontId="0" fillId="2" borderId="0" xfId="0" applyFill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8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9" fontId="9" fillId="2" borderId="0" xfId="0" applyNumberFormat="1" applyFont="1" applyFill="1" applyAlignment="1">
      <alignment horizontal="center"/>
    </xf>
    <xf numFmtId="20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7" fillId="2" borderId="0" xfId="0" applyFont="1" applyFill="1"/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9" fontId="0" fillId="2" borderId="0" xfId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9" fontId="0" fillId="0" borderId="0" xfId="1" applyFont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textRotation="90"/>
    </xf>
    <xf numFmtId="2" fontId="10" fillId="0" borderId="5" xfId="0" applyNumberFormat="1" applyFont="1" applyBorder="1" applyAlignment="1">
      <alignment horizontal="center" vertical="center" textRotation="90"/>
    </xf>
    <xf numFmtId="2" fontId="10" fillId="0" borderId="14" xfId="0" applyNumberFormat="1" applyFont="1" applyBorder="1" applyAlignment="1">
      <alignment horizontal="center" vertical="center" textRotation="90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32161565578362"/>
          <c:y val="5.6516112569262172E-2"/>
          <c:w val="0.87367838434421641"/>
          <c:h val="0.76472586759988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Binomial'!$C$1</c:f>
              <c:strCache>
                <c:ptCount val="1"/>
                <c:pt idx="0">
                  <c:v>Trials Observed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'CH. 2 - Binomial'!$B$2:$B$3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'CH. 2 - Binomial'!$C$2:$C$3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C-1D4A-A7F8-7ABA1B937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7"/>
        <c:axId val="53549951"/>
        <c:axId val="53556383"/>
      </c:barChart>
      <c:catAx>
        <c:axId val="5354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6383"/>
        <c:crosses val="autoZero"/>
        <c:auto val="1"/>
        <c:lblAlgn val="ctr"/>
        <c:lblOffset val="100"/>
        <c:noMultiLvlLbl val="0"/>
      </c:catAx>
      <c:valAx>
        <c:axId val="53556383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32161565578362"/>
          <c:y val="5.6516112569262172E-2"/>
          <c:w val="0.87367838434421641"/>
          <c:h val="0.76472586759988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Binomial'!$C$1</c:f>
              <c:strCache>
                <c:ptCount val="1"/>
                <c:pt idx="0">
                  <c:v>Trials Observed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'CH. 2 - Binomial'!$E$2:$E$3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'CH. 2 - Binomial'!$F$2:$F$3</c:f>
              <c:numCache>
                <c:formatCode>General</c:formatCode>
                <c:ptCount val="2"/>
                <c:pt idx="0">
                  <c:v>14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0-DB44-A22E-60A809001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7"/>
        <c:axId val="53549951"/>
        <c:axId val="53556383"/>
      </c:barChart>
      <c:catAx>
        <c:axId val="5354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6383"/>
        <c:crosses val="autoZero"/>
        <c:auto val="1"/>
        <c:lblAlgn val="ctr"/>
        <c:lblOffset val="100"/>
        <c:noMultiLvlLbl val="0"/>
      </c:catAx>
      <c:valAx>
        <c:axId val="53556383"/>
        <c:scaling>
          <c:orientation val="minMax"/>
          <c:max val="2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32161565578362"/>
          <c:y val="5.6516112569262172E-2"/>
          <c:w val="0.87367838434421641"/>
          <c:h val="0.76472586759988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Binomial'!$C$1</c:f>
              <c:strCache>
                <c:ptCount val="1"/>
                <c:pt idx="0">
                  <c:v>Trials Observed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'CH. 2 - Binomial'!$H$2:$H$3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'CH. 2 - Binomial'!$I$2:$I$3</c:f>
              <c:numCache>
                <c:formatCode>General</c:formatCode>
                <c:ptCount val="2"/>
                <c:pt idx="0">
                  <c:v>16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8-5E48-825D-444DCCAEA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7"/>
        <c:axId val="53549951"/>
        <c:axId val="53556383"/>
      </c:barChart>
      <c:catAx>
        <c:axId val="5354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6383"/>
        <c:crosses val="autoZero"/>
        <c:auto val="1"/>
        <c:lblAlgn val="ctr"/>
        <c:lblOffset val="100"/>
        <c:noMultiLvlLbl val="0"/>
      </c:catAx>
      <c:valAx>
        <c:axId val="53556383"/>
        <c:scaling>
          <c:orientation val="minMax"/>
          <c:max val="4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2 - Binomial'!$A$8:$A$17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'CH. 2 - Binomial'!$B$8:$B$17</c:f>
              <c:numCache>
                <c:formatCode>0.00000</c:formatCode>
                <c:ptCount val="10"/>
                <c:pt idx="0">
                  <c:v>1.3778100000000015E-4</c:v>
                </c:pt>
                <c:pt idx="1">
                  <c:v>1.4467005000000047E-3</c:v>
                </c:pt>
                <c:pt idx="2">
                  <c:v>9.0016920000000108E-3</c:v>
                </c:pt>
                <c:pt idx="3">
                  <c:v>3.6756909000000053E-2</c:v>
                </c:pt>
                <c:pt idx="4">
                  <c:v>0.10291934520000004</c:v>
                </c:pt>
                <c:pt idx="5">
                  <c:v>0.20012094900000008</c:v>
                </c:pt>
                <c:pt idx="6">
                  <c:v>0.26682793200000005</c:v>
                </c:pt>
                <c:pt idx="7">
                  <c:v>0.23347444050000005</c:v>
                </c:pt>
                <c:pt idx="8">
                  <c:v>0.121060821</c:v>
                </c:pt>
                <c:pt idx="9">
                  <c:v>2.824752489999998E-2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44-A04F-8C54-F7E6DDCB2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91633858267716"/>
          <c:y val="5.6516112569262172E-2"/>
          <c:w val="0.75169838145231849"/>
          <c:h val="0.7647258675998833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2 - Binomial'!$D$8:$D$27</c:f>
              <c:numCache>
                <c:formatCode>0.00000</c:formatCode>
                <c:ptCount val="20"/>
                <c:pt idx="0">
                  <c:v>1.7999999999999935E-18</c:v>
                </c:pt>
                <c:pt idx="1">
                  <c:v>1.5390000000000012E-16</c:v>
                </c:pt>
                <c:pt idx="2">
                  <c:v>8.3105999999999958E-15</c:v>
                </c:pt>
                <c:pt idx="3">
                  <c:v>3.1788044999999865E-13</c:v>
                </c:pt>
                <c:pt idx="4">
                  <c:v>9.154956959999926E-12</c:v>
                </c:pt>
                <c:pt idx="5">
                  <c:v>2.0598653159999975E-10</c:v>
                </c:pt>
                <c:pt idx="6">
                  <c:v>3.7077575687999811E-9</c:v>
                </c:pt>
                <c:pt idx="7">
                  <c:v>5.4225954443699671E-8</c:v>
                </c:pt>
                <c:pt idx="8">
                  <c:v>6.5071145332439711E-7</c:v>
                </c:pt>
                <c:pt idx="9">
                  <c:v>6.442043387911556E-6</c:v>
                </c:pt>
                <c:pt idx="10">
                  <c:v>5.2707627719276334E-5</c:v>
                </c:pt>
                <c:pt idx="11">
                  <c:v>3.5577648710511479E-4</c:v>
                </c:pt>
                <c:pt idx="12">
                  <c:v>1.9704543901206363E-3</c:v>
                </c:pt>
                <c:pt idx="13">
                  <c:v>8.8670447555428602E-3</c:v>
                </c:pt>
                <c:pt idx="14">
                  <c:v>3.1921361119954361E-2</c:v>
                </c:pt>
                <c:pt idx="15">
                  <c:v>8.9778828149871676E-2</c:v>
                </c:pt>
                <c:pt idx="16">
                  <c:v>0.19011987137619876</c:v>
                </c:pt>
                <c:pt idx="17">
                  <c:v>0.28517980706429835</c:v>
                </c:pt>
                <c:pt idx="18">
                  <c:v>0.27017034353459851</c:v>
                </c:pt>
                <c:pt idx="19">
                  <c:v>0.12157665459056931</c:v>
                </c:pt>
              </c:numCache>
            </c:numRef>
          </c:xVal>
          <c:yVal>
            <c:numRef>
              <c:f>'CH. 2 - Binomial'!$E$8:$E$27</c:f>
              <c:numCache>
                <c:formatCode>0.00000</c:formatCode>
                <c:ptCount val="20"/>
                <c:pt idx="0">
                  <c:v>1.627166053800001E-9</c:v>
                </c:pt>
                <c:pt idx="1">
                  <c:v>3.606884752590013E-8</c:v>
                </c:pt>
                <c:pt idx="2">
                  <c:v>5.0496386536260129E-7</c:v>
                </c:pt>
                <c:pt idx="3">
                  <c:v>5.0075583315124709E-6</c:v>
                </c:pt>
                <c:pt idx="4">
                  <c:v>3.7389768875293041E-5</c:v>
                </c:pt>
                <c:pt idx="5">
                  <c:v>2.1810698510587605E-4</c:v>
                </c:pt>
                <c:pt idx="6">
                  <c:v>1.0178325971607529E-3</c:v>
                </c:pt>
                <c:pt idx="7">
                  <c:v>3.8592819309011951E-3</c:v>
                </c:pt>
                <c:pt idx="8">
                  <c:v>1.2006654896137036E-2</c:v>
                </c:pt>
                <c:pt idx="9">
                  <c:v>3.0817080900085028E-2</c:v>
                </c:pt>
                <c:pt idx="10">
                  <c:v>6.5369565545634972E-2</c:v>
                </c:pt>
                <c:pt idx="11">
                  <c:v>0.11439673970486115</c:v>
                </c:pt>
                <c:pt idx="12">
                  <c:v>0.16426198521723651</c:v>
                </c:pt>
                <c:pt idx="13">
                  <c:v>0.1916389827534426</c:v>
                </c:pt>
                <c:pt idx="14">
                  <c:v>0.17886305056987969</c:v>
                </c:pt>
                <c:pt idx="15">
                  <c:v>0.13042097437387062</c:v>
                </c:pt>
                <c:pt idx="16">
                  <c:v>7.1603672205262273E-2</c:v>
                </c:pt>
                <c:pt idx="17">
                  <c:v>2.7845872524268681E-2</c:v>
                </c:pt>
                <c:pt idx="18">
                  <c:v>6.8393371112238774E-3</c:v>
                </c:pt>
                <c:pt idx="19">
                  <c:v>7.9792266297611894E-4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4B-0946-8F77-D1489BA87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0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91633858267716"/>
          <c:y val="5.6516112569262172E-2"/>
          <c:w val="0.75169838145231849"/>
          <c:h val="0.7647258675998833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2 - Binomial'!$G$8:$G$47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'CH. 2 - Binomial'!$H$8:$H$47</c:f>
              <c:numCache>
                <c:formatCode>0.00000</c:formatCode>
                <c:ptCount val="40"/>
                <c:pt idx="0">
                  <c:v>3.5646652103583345E-8</c:v>
                </c:pt>
                <c:pt idx="1">
                  <c:v>4.6340647734658267E-7</c:v>
                </c:pt>
                <c:pt idx="2">
                  <c:v>3.9132102531489252E-6</c:v>
                </c:pt>
                <c:pt idx="3">
                  <c:v>2.4131463227751628E-5</c:v>
                </c:pt>
                <c:pt idx="4">
                  <c:v>1.1583102349320834E-4</c:v>
                </c:pt>
                <c:pt idx="5">
                  <c:v>4.504539802513648E-4</c:v>
                </c:pt>
                <c:pt idx="6">
                  <c:v>1.4586128884329899E-3</c:v>
                </c:pt>
                <c:pt idx="7">
                  <c:v>4.0111854431907241E-3</c:v>
                </c:pt>
                <c:pt idx="8">
                  <c:v>9.5079951246002346E-3</c:v>
                </c:pt>
                <c:pt idx="9">
                  <c:v>1.9649856590840481E-2</c:v>
                </c:pt>
                <c:pt idx="10">
                  <c:v>3.5727011983346338E-2</c:v>
                </c:pt>
                <c:pt idx="11">
                  <c:v>5.7560185973169121E-2</c:v>
                </c:pt>
                <c:pt idx="12">
                  <c:v>8.2650523448653007E-2</c:v>
                </c:pt>
                <c:pt idx="13">
                  <c:v>0.10626495871969681</c:v>
                </c:pt>
                <c:pt idx="14">
                  <c:v>0.12279506340942742</c:v>
                </c:pt>
                <c:pt idx="15">
                  <c:v>0.1279115243848202</c:v>
                </c:pt>
                <c:pt idx="16">
                  <c:v>0.12038731706806606</c:v>
                </c:pt>
                <c:pt idx="17">
                  <c:v>0.10255215898390814</c:v>
                </c:pt>
                <c:pt idx="18">
                  <c:v>7.9163070092841389E-2</c:v>
                </c:pt>
                <c:pt idx="19">
                  <c:v>5.5414149064988968E-2</c:v>
                </c:pt>
                <c:pt idx="20">
                  <c:v>3.518358670792953E-2</c:v>
                </c:pt>
                <c:pt idx="21">
                  <c:v>2.0257216589413943E-2</c:v>
                </c:pt>
                <c:pt idx="22">
                  <c:v>1.0568982568389894E-2</c:v>
                </c:pt>
                <c:pt idx="23">
                  <c:v>4.9909084350730068E-3</c:v>
                </c:pt>
                <c:pt idx="24">
                  <c:v>2.1294542656311454E-3</c:v>
                </c:pt>
                <c:pt idx="25">
                  <c:v>8.1902087139659296E-4</c:v>
                </c:pt>
                <c:pt idx="26">
                  <c:v>2.8311832591487214E-4</c:v>
                </c:pt>
                <c:pt idx="27">
                  <c:v>8.7631862783174862E-5</c:v>
                </c:pt>
                <c:pt idx="28">
                  <c:v>2.417430697466895E-5</c:v>
                </c:pt>
                <c:pt idx="29">
                  <c:v>5.9092750382524139E-6</c:v>
                </c:pt>
                <c:pt idx="30">
                  <c:v>1.2708118361833103E-6</c:v>
                </c:pt>
                <c:pt idx="31">
                  <c:v>2.3827721928437168E-7</c:v>
                </c:pt>
                <c:pt idx="32">
                  <c:v>3.8509449581312596E-8</c:v>
                </c:pt>
                <c:pt idx="33">
                  <c:v>5.2856107268467847E-9</c:v>
                </c:pt>
                <c:pt idx="34">
                  <c:v>6.0406979735392088E-10</c:v>
                </c:pt>
                <c:pt idx="35">
                  <c:v>5.5932388643881482E-11</c:v>
                </c:pt>
                <c:pt idx="36">
                  <c:v>4.0311631455049759E-12</c:v>
                </c:pt>
                <c:pt idx="37">
                  <c:v>2.1216648134236827E-13</c:v>
                </c:pt>
                <c:pt idx="38">
                  <c:v>7.2535549176877868E-15</c:v>
                </c:pt>
                <c:pt idx="39">
                  <c:v>1.2089258196146357E-16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9C-B640-9AED-61F3E818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4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2 - Binomial'!$A$8:$A$17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'CH. 2 - Binomial'!$C$8:$C$17</c:f>
              <c:numCache>
                <c:formatCode>0.00000</c:formatCode>
                <c:ptCount val="10"/>
                <c:pt idx="0">
                  <c:v>1.4368590000000012E-4</c:v>
                </c:pt>
                <c:pt idx="1">
                  <c:v>1.5903864000000008E-3</c:v>
                </c:pt>
                <c:pt idx="2">
                  <c:v>1.0592078400000007E-2</c:v>
                </c:pt>
                <c:pt idx="3">
                  <c:v>4.7348987400000014E-2</c:v>
                </c:pt>
                <c:pt idx="4">
                  <c:v>0.15026833260000003</c:v>
                </c:pt>
                <c:pt idx="5">
                  <c:v>0.3503892816000001</c:v>
                </c:pt>
                <c:pt idx="6">
                  <c:v>0.61721721360000026</c:v>
                </c:pt>
                <c:pt idx="7">
                  <c:v>0.85069165410000003</c:v>
                </c:pt>
                <c:pt idx="8">
                  <c:v>0.97175247509999996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33-5A47-954B-C7EC6892F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</c:valAx>
      <c:valAx>
        <c:axId val="56486975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91633858267716"/>
          <c:y val="5.6516112569262172E-2"/>
          <c:w val="0.75169838145231849"/>
          <c:h val="0.7647258675998833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2 - Binomial'!$D$8:$D$27</c:f>
              <c:numCache>
                <c:formatCode>0.00000</c:formatCode>
                <c:ptCount val="20"/>
                <c:pt idx="0">
                  <c:v>1.7999999999999935E-18</c:v>
                </c:pt>
                <c:pt idx="1">
                  <c:v>1.5390000000000012E-16</c:v>
                </c:pt>
                <c:pt idx="2">
                  <c:v>8.3105999999999958E-15</c:v>
                </c:pt>
                <c:pt idx="3">
                  <c:v>3.1788044999999865E-13</c:v>
                </c:pt>
                <c:pt idx="4">
                  <c:v>9.154956959999926E-12</c:v>
                </c:pt>
                <c:pt idx="5">
                  <c:v>2.0598653159999975E-10</c:v>
                </c:pt>
                <c:pt idx="6">
                  <c:v>3.7077575687999811E-9</c:v>
                </c:pt>
                <c:pt idx="7">
                  <c:v>5.4225954443699671E-8</c:v>
                </c:pt>
                <c:pt idx="8">
                  <c:v>6.5071145332439711E-7</c:v>
                </c:pt>
                <c:pt idx="9">
                  <c:v>6.442043387911556E-6</c:v>
                </c:pt>
                <c:pt idx="10">
                  <c:v>5.2707627719276334E-5</c:v>
                </c:pt>
                <c:pt idx="11">
                  <c:v>3.5577648710511479E-4</c:v>
                </c:pt>
                <c:pt idx="12">
                  <c:v>1.9704543901206363E-3</c:v>
                </c:pt>
                <c:pt idx="13">
                  <c:v>8.8670447555428602E-3</c:v>
                </c:pt>
                <c:pt idx="14">
                  <c:v>3.1921361119954361E-2</c:v>
                </c:pt>
                <c:pt idx="15">
                  <c:v>8.9778828149871676E-2</c:v>
                </c:pt>
                <c:pt idx="16">
                  <c:v>0.19011987137619876</c:v>
                </c:pt>
                <c:pt idx="17">
                  <c:v>0.28517980706429835</c:v>
                </c:pt>
                <c:pt idx="18">
                  <c:v>0.27017034353459851</c:v>
                </c:pt>
                <c:pt idx="19">
                  <c:v>0.12157665459056931</c:v>
                </c:pt>
              </c:numCache>
            </c:numRef>
          </c:xVal>
          <c:yVal>
            <c:numRef>
              <c:f>'CH. 2 - Binomial'!$F$8:$F$27</c:f>
              <c:numCache>
                <c:formatCode>0.00000</c:formatCode>
                <c:ptCount val="20"/>
                <c:pt idx="0">
                  <c:v>1.9073486328125034E-5</c:v>
                </c:pt>
                <c:pt idx="1">
                  <c:v>1.8119812011718755E-4</c:v>
                </c:pt>
                <c:pt idx="2">
                  <c:v>1.0871887207031263E-3</c:v>
                </c:pt>
                <c:pt idx="3">
                  <c:v>4.6205520629882752E-3</c:v>
                </c:pt>
                <c:pt idx="4">
                  <c:v>1.4785766601562502E-2</c:v>
                </c:pt>
                <c:pt idx="5">
                  <c:v>3.6964416503906257E-2</c:v>
                </c:pt>
                <c:pt idx="6">
                  <c:v>7.3928833007812458E-2</c:v>
                </c:pt>
                <c:pt idx="7">
                  <c:v>0.12013435363769531</c:v>
                </c:pt>
                <c:pt idx="8">
                  <c:v>0.16017913818359369</c:v>
                </c:pt>
                <c:pt idx="9">
                  <c:v>0.17619705200195307</c:v>
                </c:pt>
                <c:pt idx="10">
                  <c:v>0.16017913818359369</c:v>
                </c:pt>
                <c:pt idx="11">
                  <c:v>0.12013435363769531</c:v>
                </c:pt>
                <c:pt idx="12">
                  <c:v>7.3928833007812472E-2</c:v>
                </c:pt>
                <c:pt idx="13">
                  <c:v>3.6964416503906257E-2</c:v>
                </c:pt>
                <c:pt idx="14">
                  <c:v>1.4785766601562502E-2</c:v>
                </c:pt>
                <c:pt idx="15">
                  <c:v>4.6205520629882752E-3</c:v>
                </c:pt>
                <c:pt idx="16">
                  <c:v>1.0871887207031261E-3</c:v>
                </c:pt>
                <c:pt idx="17">
                  <c:v>1.8119812011718753E-4</c:v>
                </c:pt>
                <c:pt idx="18">
                  <c:v>1.9073486328125E-5</c:v>
                </c:pt>
                <c:pt idx="19">
                  <c:v>9.5367431640625E-7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B04D-A577-60A63158D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0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</c:valAx>
      <c:valAx>
        <c:axId val="56486975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91633858267716"/>
          <c:y val="5.6516112569262172E-2"/>
          <c:w val="0.75169838145231849"/>
          <c:h val="0.7647258675998833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2 - Binomial'!$G$8:$G$47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'CH. 2 - Binomial'!$I$8:$I$47</c:f>
              <c:numCache>
                <c:formatCode>0.00000</c:formatCode>
                <c:ptCount val="40"/>
                <c:pt idx="0">
                  <c:v>3.6983401557467647E-8</c:v>
                </c:pt>
                <c:pt idx="1">
                  <c:v>5.0038987890404931E-7</c:v>
                </c:pt>
                <c:pt idx="2">
                  <c:v>4.4136001320529697E-6</c:v>
                </c:pt>
                <c:pt idx="3">
                  <c:v>2.8545063359804588E-5</c:v>
                </c:pt>
                <c:pt idx="4">
                  <c:v>1.4437608685301264E-4</c:v>
                </c:pt>
                <c:pt idx="5">
                  <c:v>5.9483006710437617E-4</c:v>
                </c:pt>
                <c:pt idx="6">
                  <c:v>2.0534429555373658E-3</c:v>
                </c:pt>
                <c:pt idx="7">
                  <c:v>6.0646283987280851E-3</c:v>
                </c:pt>
                <c:pt idx="8">
                  <c:v>1.5572623523328308E-2</c:v>
                </c:pt>
                <c:pt idx="9">
                  <c:v>3.5222480114168758E-2</c:v>
                </c:pt>
                <c:pt idx="10">
                  <c:v>7.0949492097515082E-2</c:v>
                </c:pt>
                <c:pt idx="11">
                  <c:v>0.12850967807068422</c:v>
                </c:pt>
                <c:pt idx="12">
                  <c:v>0.21116020151933731</c:v>
                </c:pt>
                <c:pt idx="13">
                  <c:v>0.31742516023903417</c:v>
                </c:pt>
                <c:pt idx="14">
                  <c:v>0.44022022364846114</c:v>
                </c:pt>
                <c:pt idx="15">
                  <c:v>0.56813174803328159</c:v>
                </c:pt>
                <c:pt idx="16">
                  <c:v>0.68851906510134742</c:v>
                </c:pt>
                <c:pt idx="17">
                  <c:v>0.79107122408525599</c:v>
                </c:pt>
                <c:pt idx="18">
                  <c:v>0.87023429417809739</c:v>
                </c:pt>
                <c:pt idx="19">
                  <c:v>0.92564844324308604</c:v>
                </c:pt>
                <c:pt idx="20">
                  <c:v>0.96083202995101569</c:v>
                </c:pt>
                <c:pt idx="21">
                  <c:v>0.98108924654042973</c:v>
                </c:pt>
                <c:pt idx="22">
                  <c:v>0.99165822910881962</c:v>
                </c:pt>
                <c:pt idx="23">
                  <c:v>0.99664913754389262</c:v>
                </c:pt>
                <c:pt idx="24">
                  <c:v>0.99877859180952377</c:v>
                </c:pt>
                <c:pt idx="25">
                  <c:v>0.99959761268092029</c:v>
                </c:pt>
                <c:pt idx="26">
                  <c:v>0.99988073100683517</c:v>
                </c:pt>
                <c:pt idx="27">
                  <c:v>0.99996836286961843</c:v>
                </c:pt>
                <c:pt idx="28">
                  <c:v>0.99999253717659309</c:v>
                </c:pt>
                <c:pt idx="29">
                  <c:v>0.99999844645163138</c:v>
                </c:pt>
                <c:pt idx="30">
                  <c:v>0.99999971726346759</c:v>
                </c:pt>
                <c:pt idx="31">
                  <c:v>0.99999995554068688</c:v>
                </c:pt>
                <c:pt idx="32">
                  <c:v>0.9999999940501364</c:v>
                </c:pt>
                <c:pt idx="33">
                  <c:v>0.99999999933574713</c:v>
                </c:pt>
                <c:pt idx="34">
                  <c:v>0.99999999993981692</c:v>
                </c:pt>
                <c:pt idx="35">
                  <c:v>0.99999999999574929</c:v>
                </c:pt>
                <c:pt idx="36">
                  <c:v>0.9999999999997804</c:v>
                </c:pt>
                <c:pt idx="37">
                  <c:v>0.99999999999999267</c:v>
                </c:pt>
                <c:pt idx="38">
                  <c:v>0.99999999999999989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35-2442-9BA6-0DA584418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4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</c:valAx>
      <c:valAx>
        <c:axId val="56486975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3890796437330584"/>
          <c:h val="0.77138374247336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Distribution Summary'!$B$13</c:f>
              <c:strCache>
                <c:ptCount val="1"/>
                <c:pt idx="0">
                  <c:v>p = 0.30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Summary'!$B$14:$B$33</c:f>
              <c:numCache>
                <c:formatCode>0.00000</c:formatCode>
                <c:ptCount val="20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  <c:pt idx="11">
                  <c:v>5.9319802289999951E-3</c:v>
                </c:pt>
                <c:pt idx="12">
                  <c:v>4.1523861602999956E-3</c:v>
                </c:pt>
                <c:pt idx="13">
                  <c:v>2.9066703122099971E-3</c:v>
                </c:pt>
                <c:pt idx="14">
                  <c:v>2.0346692185469976E-3</c:v>
                </c:pt>
                <c:pt idx="15">
                  <c:v>1.4242684529828982E-3</c:v>
                </c:pt>
                <c:pt idx="16">
                  <c:v>9.9698791708802874E-4</c:v>
                </c:pt>
                <c:pt idx="17">
                  <c:v>6.9789154196162008E-4</c:v>
                </c:pt>
                <c:pt idx="18">
                  <c:v>4.8852407937313399E-4</c:v>
                </c:pt>
                <c:pt idx="19">
                  <c:v>3.419668555611938E-4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E-4E48-9EA7-29A0B84E542E}"/>
            </c:ext>
          </c:extLst>
        </c:ser>
        <c:ser>
          <c:idx val="1"/>
          <c:order val="1"/>
          <c:tx>
            <c:strRef>
              <c:f>'Ch. 2 - Distribution Summary'!$C$13</c:f>
              <c:strCache>
                <c:ptCount val="1"/>
                <c:pt idx="0">
                  <c:v>p = 0.15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Summary'!$C$14:$C$33</c:f>
              <c:numCache>
                <c:formatCode>0.00000</c:formatCode>
                <c:ptCount val="20"/>
                <c:pt idx="0">
                  <c:v>0.15</c:v>
                </c:pt>
                <c:pt idx="1">
                  <c:v>0.1275</c:v>
                </c:pt>
                <c:pt idx="2">
                  <c:v>0.10837499999999999</c:v>
                </c:pt>
                <c:pt idx="3">
                  <c:v>9.2118749999999985E-2</c:v>
                </c:pt>
                <c:pt idx="4">
                  <c:v>7.8300937499999987E-2</c:v>
                </c:pt>
                <c:pt idx="5">
                  <c:v>6.6555796874999976E-2</c:v>
                </c:pt>
                <c:pt idx="6">
                  <c:v>5.6572427343749981E-2</c:v>
                </c:pt>
                <c:pt idx="7">
                  <c:v>4.8086563242187477E-2</c:v>
                </c:pt>
                <c:pt idx="8">
                  <c:v>4.0873578755859362E-2</c:v>
                </c:pt>
                <c:pt idx="9">
                  <c:v>3.4742541942480457E-2</c:v>
                </c:pt>
                <c:pt idx="10">
                  <c:v>2.9531160651108383E-2</c:v>
                </c:pt>
                <c:pt idx="11">
                  <c:v>2.5101486553442125E-2</c:v>
                </c:pt>
                <c:pt idx="12">
                  <c:v>2.1336263570425805E-2</c:v>
                </c:pt>
                <c:pt idx="13">
                  <c:v>1.8135824034861935E-2</c:v>
                </c:pt>
                <c:pt idx="14">
                  <c:v>1.5415450429632643E-2</c:v>
                </c:pt>
                <c:pt idx="15">
                  <c:v>1.3103132865187744E-2</c:v>
                </c:pt>
                <c:pt idx="16">
                  <c:v>1.1137662935409584E-2</c:v>
                </c:pt>
                <c:pt idx="17">
                  <c:v>9.4670134950981463E-3</c:v>
                </c:pt>
                <c:pt idx="18">
                  <c:v>8.0469614708334244E-3</c:v>
                </c:pt>
                <c:pt idx="19">
                  <c:v>6.8399172502084105E-3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E-4E48-9EA7-29A0B84E542E}"/>
            </c:ext>
          </c:extLst>
        </c:ser>
        <c:ser>
          <c:idx val="2"/>
          <c:order val="2"/>
          <c:tx>
            <c:v>p = 0.05</c:v>
          </c:tx>
          <c:spPr>
            <a:solidFill>
              <a:schemeClr val="accent3"/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Summary'!$D$14:$D$33</c:f>
              <c:numCache>
                <c:formatCode>0.00000</c:formatCode>
                <c:ptCount val="20"/>
                <c:pt idx="0">
                  <c:v>0.05</c:v>
                </c:pt>
                <c:pt idx="1">
                  <c:v>4.7500000000000001E-2</c:v>
                </c:pt>
                <c:pt idx="2">
                  <c:v>4.5124999999999998E-2</c:v>
                </c:pt>
                <c:pt idx="3">
                  <c:v>4.2868749999999997E-2</c:v>
                </c:pt>
                <c:pt idx="4">
                  <c:v>4.0725312499999999E-2</c:v>
                </c:pt>
                <c:pt idx="5">
                  <c:v>3.8689046875000001E-2</c:v>
                </c:pt>
                <c:pt idx="6">
                  <c:v>3.6754594531249997E-2</c:v>
                </c:pt>
                <c:pt idx="7">
                  <c:v>3.4916864804687496E-2</c:v>
                </c:pt>
                <c:pt idx="8">
                  <c:v>3.3171021564453125E-2</c:v>
                </c:pt>
                <c:pt idx="9">
                  <c:v>3.1512470486230466E-2</c:v>
                </c:pt>
                <c:pt idx="10">
                  <c:v>2.9936846961918947E-2</c:v>
                </c:pt>
                <c:pt idx="11">
                  <c:v>2.8440004613822997E-2</c:v>
                </c:pt>
                <c:pt idx="12">
                  <c:v>2.7018004383131844E-2</c:v>
                </c:pt>
                <c:pt idx="13">
                  <c:v>2.5667104163975253E-2</c:v>
                </c:pt>
                <c:pt idx="14">
                  <c:v>2.4383748955776489E-2</c:v>
                </c:pt>
                <c:pt idx="15">
                  <c:v>2.3164561507987666E-2</c:v>
                </c:pt>
                <c:pt idx="16">
                  <c:v>2.2006333432588284E-2</c:v>
                </c:pt>
                <c:pt idx="17">
                  <c:v>2.0906016760958868E-2</c:v>
                </c:pt>
                <c:pt idx="18">
                  <c:v>1.9860715922910926E-2</c:v>
                </c:pt>
                <c:pt idx="19">
                  <c:v>1.8867680126765377E-2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E-4E48-9EA7-29A0B84E5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7881503"/>
        <c:axId val="564869759"/>
      </c:barChart>
      <c:catAx>
        <c:axId val="477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auto val="1"/>
        <c:lblAlgn val="ctr"/>
        <c:lblOffset val="100"/>
        <c:tickLblSkip val="4"/>
        <c:tickMarkSkip val="2"/>
        <c:noMultiLvlLbl val="0"/>
      </c:cat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862441375155974"/>
          <c:y val="3.6729967577582155E-3"/>
          <c:w val="0.37591110537412331"/>
          <c:h val="0.382359888837424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Distribution Summary'!$E$13</c:f>
              <c:strCache>
                <c:ptCount val="1"/>
                <c:pt idx="0">
                  <c:v>5 Resp.; p = 0.30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Summary'!$E$14:$E$33</c:f>
              <c:numCache>
                <c:formatCode>General</c:formatCode>
                <c:ptCount val="20"/>
                <c:pt idx="0">
                  <c:v>8.5050000000000004E-3</c:v>
                </c:pt>
                <c:pt idx="1">
                  <c:v>1.7860500000000005E-2</c:v>
                </c:pt>
                <c:pt idx="2">
                  <c:v>2.9172150000000015E-2</c:v>
                </c:pt>
                <c:pt idx="3">
                  <c:v>4.0841010000000004E-2</c:v>
                </c:pt>
                <c:pt idx="4">
                  <c:v>5.1459672600000006E-2</c:v>
                </c:pt>
                <c:pt idx="5">
                  <c:v>6.0036284700000019E-2</c:v>
                </c:pt>
                <c:pt idx="6">
                  <c:v>6.6039913170000006E-2</c:v>
                </c:pt>
                <c:pt idx="7">
                  <c:v>6.9341908828500012E-2</c:v>
                </c:pt>
                <c:pt idx="8">
                  <c:v>7.0112374482149992E-2</c:v>
                </c:pt>
                <c:pt idx="9">
                  <c:v>6.871012699250699E-2</c:v>
                </c:pt>
                <c:pt idx="10">
                  <c:v>6.5586939401938493E-2</c:v>
                </c:pt>
                <c:pt idx="11">
                  <c:v>6.1214476775142593E-2</c:v>
                </c:pt>
                <c:pt idx="12">
                  <c:v>5.6034790278784372E-2</c:v>
                </c:pt>
                <c:pt idx="13">
                  <c:v>5.0431311250905941E-2</c:v>
                </c:pt>
                <c:pt idx="14">
                  <c:v>4.4715762642469903E-2</c:v>
                </c:pt>
                <c:pt idx="15">
                  <c:v>3.9126292312161186E-2</c:v>
                </c:pt>
                <c:pt idx="16">
                  <c:v>3.3832735116986444E-2</c:v>
                </c:pt>
                <c:pt idx="17">
                  <c:v>2.8945784488977298E-2</c:v>
                </c:pt>
                <c:pt idx="18">
                  <c:v>2.4527743698554445E-2</c:v>
                </c:pt>
                <c:pt idx="19">
                  <c:v>2.060330470678573E-2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2-8D4E-B5D7-374D6029D209}"/>
            </c:ext>
          </c:extLst>
        </c:ser>
        <c:ser>
          <c:idx val="1"/>
          <c:order val="1"/>
          <c:tx>
            <c:strRef>
              <c:f>'Ch. 2 - Distribution Summary'!$F$13</c:f>
              <c:strCache>
                <c:ptCount val="1"/>
                <c:pt idx="0">
                  <c:v>10 Resp.; p = 0.30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Summary'!$F$14:$F$33</c:f>
              <c:numCache>
                <c:formatCode>General</c:formatCode>
                <c:ptCount val="20"/>
                <c:pt idx="0">
                  <c:v>4.1334299999999975E-5</c:v>
                </c:pt>
                <c:pt idx="1">
                  <c:v>1.5913705499999984E-4</c:v>
                </c:pt>
                <c:pt idx="2">
                  <c:v>4.455837539999998E-4</c:v>
                </c:pt>
                <c:pt idx="3">
                  <c:v>1.0137030403499984E-3</c:v>
                </c:pt>
                <c:pt idx="4">
                  <c:v>1.986857959086001E-3</c:v>
                </c:pt>
                <c:pt idx="5">
                  <c:v>3.4770014284005008E-3</c:v>
                </c:pt>
                <c:pt idx="6">
                  <c:v>5.5632022854408053E-3</c:v>
                </c:pt>
                <c:pt idx="7">
                  <c:v>8.2752633995931846E-3</c:v>
                </c:pt>
                <c:pt idx="8">
                  <c:v>1.158536875943047E-2</c:v>
                </c:pt>
                <c:pt idx="9">
                  <c:v>1.5408540450042507E-2</c:v>
                </c:pt>
                <c:pt idx="10">
                  <c:v>1.9610869663690474E-2</c:v>
                </c:pt>
                <c:pt idx="11">
                  <c:v>2.402331533802084E-2</c:v>
                </c:pt>
                <c:pt idx="12">
                  <c:v>2.8458388938886206E-2</c:v>
                </c:pt>
                <c:pt idx="13">
                  <c:v>3.2727147279719142E-2</c:v>
                </c:pt>
                <c:pt idx="14">
                  <c:v>3.6654404953285438E-2</c:v>
                </c:pt>
                <c:pt idx="15">
                  <c:v>4.0090755417655957E-2</c:v>
                </c:pt>
                <c:pt idx="16">
                  <c:v>4.2920691094196384E-2</c:v>
                </c:pt>
                <c:pt idx="17">
                  <c:v>4.5066725648906202E-2</c:v>
                </c:pt>
                <c:pt idx="18">
                  <c:v>4.6489885406240092E-2</c:v>
                </c:pt>
                <c:pt idx="19">
                  <c:v>4.7187233687333699E-2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2-8D4E-B5D7-374D6029D209}"/>
            </c:ext>
          </c:extLst>
        </c:ser>
        <c:ser>
          <c:idx val="2"/>
          <c:order val="2"/>
          <c:tx>
            <c:strRef>
              <c:f>'Ch. 2 - Distribution Summary'!$G$13</c:f>
              <c:strCache>
                <c:ptCount val="1"/>
                <c:pt idx="0">
                  <c:v>5 Resp.; p = 0.70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Summary'!$G$14:$G$33</c:f>
              <c:numCache>
                <c:formatCode>General</c:formatCode>
                <c:ptCount val="20"/>
                <c:pt idx="0">
                  <c:v>0.25210499999999997</c:v>
                </c:pt>
                <c:pt idx="1">
                  <c:v>0.22689449999999997</c:v>
                </c:pt>
                <c:pt idx="2">
                  <c:v>0.15882615</c:v>
                </c:pt>
                <c:pt idx="3">
                  <c:v>9.5295690000000016E-2</c:v>
                </c:pt>
                <c:pt idx="4">
                  <c:v>5.1459672600000061E-2</c:v>
                </c:pt>
                <c:pt idx="5">
                  <c:v>2.5729836300000034E-2</c:v>
                </c:pt>
                <c:pt idx="6">
                  <c:v>1.2129779970000022E-2</c:v>
                </c:pt>
                <c:pt idx="7">
                  <c:v>5.4584009865000114E-3</c:v>
                </c:pt>
                <c:pt idx="8">
                  <c:v>2.3653070941500004E-3</c:v>
                </c:pt>
                <c:pt idx="9">
                  <c:v>9.9342897954300181E-4</c:v>
                </c:pt>
                <c:pt idx="10">
                  <c:v>4.0640276435850112E-4</c:v>
                </c:pt>
                <c:pt idx="11">
                  <c:v>1.6256110574340042E-4</c:v>
                </c:pt>
                <c:pt idx="12">
                  <c:v>6.3773972253180011E-5</c:v>
                </c:pt>
                <c:pt idx="13">
                  <c:v>2.4598532154798028E-5</c:v>
                </c:pt>
                <c:pt idx="14">
                  <c:v>9.3474422188232602E-6</c:v>
                </c:pt>
                <c:pt idx="15">
                  <c:v>3.5052908320587298E-6</c:v>
                </c:pt>
                <c:pt idx="16">
                  <c:v>1.2990195436452892E-6</c:v>
                </c:pt>
                <c:pt idx="17">
                  <c:v>4.7630716600327367E-7</c:v>
                </c:pt>
                <c:pt idx="18">
                  <c:v>1.729747076538215E-7</c:v>
                </c:pt>
                <c:pt idx="19">
                  <c:v>6.2270894755375566E-8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62-8D4E-B5D7-374D6029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7881503"/>
        <c:axId val="564869759"/>
      </c:barChart>
      <c:catAx>
        <c:axId val="477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62617172853395"/>
          <c:y val="3.9298496778811748E-3"/>
          <c:w val="0.57408282298046076"/>
          <c:h val="0.341790650294587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'Ch. 2 - Distribution Summary'!$I$13</c:f>
              <c:strCache>
                <c:ptCount val="1"/>
                <c:pt idx="0">
                  <c:v>AVG = 5; SD = 1.5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Summary'!$I$14:$I$33</c:f>
              <c:numCache>
                <c:formatCode>General</c:formatCode>
                <c:ptCount val="20"/>
                <c:pt idx="0">
                  <c:v>7.597324015864962E-3</c:v>
                </c:pt>
                <c:pt idx="1">
                  <c:v>3.5993977675458706E-2</c:v>
                </c:pt>
                <c:pt idx="2">
                  <c:v>0.10934004978399575</c:v>
                </c:pt>
                <c:pt idx="3">
                  <c:v>0.21296533701490147</c:v>
                </c:pt>
                <c:pt idx="4">
                  <c:v>0.26596152026762176</c:v>
                </c:pt>
                <c:pt idx="5">
                  <c:v>0.21296533701490147</c:v>
                </c:pt>
                <c:pt idx="6">
                  <c:v>0.10934004978399575</c:v>
                </c:pt>
                <c:pt idx="7">
                  <c:v>3.5993977675458706E-2</c:v>
                </c:pt>
                <c:pt idx="8">
                  <c:v>7.597324015864962E-3</c:v>
                </c:pt>
                <c:pt idx="9">
                  <c:v>1.0281859975274036E-3</c:v>
                </c:pt>
                <c:pt idx="10">
                  <c:v>8.9220150509923578E-5</c:v>
                </c:pt>
                <c:pt idx="11">
                  <c:v>4.9640305804199935E-6</c:v>
                </c:pt>
                <c:pt idx="12">
                  <c:v>1.7708679390146084E-7</c:v>
                </c:pt>
                <c:pt idx="13">
                  <c:v>4.0505885665488571E-9</c:v>
                </c:pt>
                <c:pt idx="14">
                  <c:v>5.9406001249014352E-11</c:v>
                </c:pt>
                <c:pt idx="15">
                  <c:v>5.5862804867931224E-13</c:v>
                </c:pt>
                <c:pt idx="16">
                  <c:v>3.3681807223579286E-15</c:v>
                </c:pt>
                <c:pt idx="17">
                  <c:v>1.3021117687947652E-17</c:v>
                </c:pt>
                <c:pt idx="18">
                  <c:v>3.2276123811628609E-20</c:v>
                </c:pt>
                <c:pt idx="19">
                  <c:v>5.1297324178042805E-23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4B-7243-B6C3-330DB5F75A83}"/>
            </c:ext>
          </c:extLst>
        </c:ser>
        <c:ser>
          <c:idx val="0"/>
          <c:order val="1"/>
          <c:tx>
            <c:strRef>
              <c:f>'Ch. 2 - Distribution Summary'!$H$13</c:f>
              <c:strCache>
                <c:ptCount val="1"/>
                <c:pt idx="0">
                  <c:v>AVG = 10; SD = 2.5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Summary'!$H$14:$H$33</c:f>
              <c:numCache>
                <c:formatCode>General</c:formatCode>
                <c:ptCount val="20"/>
                <c:pt idx="0">
                  <c:v>2.4476077204550875E-4</c:v>
                </c:pt>
                <c:pt idx="1">
                  <c:v>9.536352805859362E-4</c:v>
                </c:pt>
                <c:pt idx="2">
                  <c:v>3.1661806331919878E-3</c:v>
                </c:pt>
                <c:pt idx="3">
                  <c:v>8.9578121179371608E-3</c:v>
                </c:pt>
                <c:pt idx="4">
                  <c:v>2.1596386605275224E-2</c:v>
                </c:pt>
                <c:pt idx="5">
                  <c:v>4.4368333871782219E-2</c:v>
                </c:pt>
                <c:pt idx="6">
                  <c:v>7.7674421993285184E-2</c:v>
                </c:pt>
                <c:pt idx="7">
                  <c:v>0.1158766211045931</c:v>
                </c:pt>
                <c:pt idx="8">
                  <c:v>0.14730805612132933</c:v>
                </c:pt>
                <c:pt idx="9">
                  <c:v>0.1595769121605731</c:v>
                </c:pt>
                <c:pt idx="10">
                  <c:v>0.14730805612132933</c:v>
                </c:pt>
                <c:pt idx="11">
                  <c:v>0.1158766211045931</c:v>
                </c:pt>
                <c:pt idx="12">
                  <c:v>7.7674421993285184E-2</c:v>
                </c:pt>
                <c:pt idx="13">
                  <c:v>4.4368333871782219E-2</c:v>
                </c:pt>
                <c:pt idx="14">
                  <c:v>2.1596386605275224E-2</c:v>
                </c:pt>
                <c:pt idx="15">
                  <c:v>8.9578121179371608E-3</c:v>
                </c:pt>
                <c:pt idx="16">
                  <c:v>3.1661806331919878E-3</c:v>
                </c:pt>
                <c:pt idx="17">
                  <c:v>9.536352805859362E-4</c:v>
                </c:pt>
                <c:pt idx="18">
                  <c:v>2.4476077204550875E-4</c:v>
                </c:pt>
                <c:pt idx="19">
                  <c:v>5.3532090305954143E-5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4B-7243-B6C3-330DB5F75A83}"/>
            </c:ext>
          </c:extLst>
        </c:ser>
        <c:ser>
          <c:idx val="2"/>
          <c:order val="2"/>
          <c:tx>
            <c:strRef>
              <c:f>'Ch. 2 - Distribution Summary'!$J$13</c:f>
              <c:strCache>
                <c:ptCount val="1"/>
                <c:pt idx="0">
                  <c:v>AVG = 15; SD = 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Summary'!$J$14:$J$33</c:f>
              <c:numCache>
                <c:formatCode>General</c:formatCode>
                <c:ptCount val="20"/>
                <c:pt idx="0">
                  <c:v>1.5830903165959939E-3</c:v>
                </c:pt>
                <c:pt idx="1">
                  <c:v>2.7165938467371225E-3</c:v>
                </c:pt>
                <c:pt idx="2">
                  <c:v>4.4789060589685804E-3</c:v>
                </c:pt>
                <c:pt idx="3">
                  <c:v>7.0949185692462842E-3</c:v>
                </c:pt>
                <c:pt idx="4">
                  <c:v>1.0798193302637612E-2</c:v>
                </c:pt>
                <c:pt idx="5">
                  <c:v>1.5790031660178828E-2</c:v>
                </c:pt>
                <c:pt idx="6">
                  <c:v>2.2184166935891109E-2</c:v>
                </c:pt>
                <c:pt idx="7">
                  <c:v>2.9945493127148972E-2</c:v>
                </c:pt>
                <c:pt idx="8">
                  <c:v>3.8837210996642592E-2</c:v>
                </c:pt>
                <c:pt idx="9">
                  <c:v>4.8394144903828672E-2</c:v>
                </c:pt>
                <c:pt idx="10">
                  <c:v>5.7938310552296549E-2</c:v>
                </c:pt>
                <c:pt idx="11">
                  <c:v>6.6644920578359926E-2</c:v>
                </c:pt>
                <c:pt idx="12">
                  <c:v>7.3654028060664664E-2</c:v>
                </c:pt>
                <c:pt idx="13">
                  <c:v>7.8208538795091181E-2</c:v>
                </c:pt>
                <c:pt idx="14">
                  <c:v>7.9788456080286549E-2</c:v>
                </c:pt>
                <c:pt idx="15">
                  <c:v>7.8208538795091181E-2</c:v>
                </c:pt>
                <c:pt idx="16">
                  <c:v>7.3654028060664664E-2</c:v>
                </c:pt>
                <c:pt idx="17">
                  <c:v>6.6644920578359926E-2</c:v>
                </c:pt>
                <c:pt idx="18">
                  <c:v>5.7938310552296549E-2</c:v>
                </c:pt>
                <c:pt idx="19">
                  <c:v>4.8394144903828672E-2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4B-7243-B6C3-330DB5F75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978835978835977"/>
          <c:y val="4.2866582236661017E-3"/>
          <c:w val="0.63492063492063489"/>
          <c:h val="0.3620560541820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3890796437330584"/>
          <c:h val="0.7713837424733672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Summary'!$B$35:$B$54</c:f>
              <c:numCache>
                <c:formatCode>0.00000</c:formatCode>
                <c:ptCount val="20"/>
                <c:pt idx="0">
                  <c:v>0.3</c:v>
                </c:pt>
                <c:pt idx="1">
                  <c:v>0.51</c:v>
                </c:pt>
                <c:pt idx="2">
                  <c:v>0.65700000000000003</c:v>
                </c:pt>
                <c:pt idx="3">
                  <c:v>0.75990000000000002</c:v>
                </c:pt>
                <c:pt idx="4">
                  <c:v>0.83192999999999995</c:v>
                </c:pt>
                <c:pt idx="5">
                  <c:v>0.88235099999999989</c:v>
                </c:pt>
                <c:pt idx="6">
                  <c:v>0.9176456999999999</c:v>
                </c:pt>
                <c:pt idx="7">
                  <c:v>0.94235198999999992</c:v>
                </c:pt>
                <c:pt idx="8">
                  <c:v>0.95964639299999988</c:v>
                </c:pt>
                <c:pt idx="9">
                  <c:v>0.97175247509999985</c:v>
                </c:pt>
                <c:pt idx="10">
                  <c:v>0.98022673256999981</c:v>
                </c:pt>
                <c:pt idx="11">
                  <c:v>0.9861587127989998</c:v>
                </c:pt>
                <c:pt idx="12">
                  <c:v>0.99031109895929981</c:v>
                </c:pt>
                <c:pt idx="13">
                  <c:v>0.99321776927150984</c:v>
                </c:pt>
                <c:pt idx="14">
                  <c:v>0.99525243849005685</c:v>
                </c:pt>
                <c:pt idx="15">
                  <c:v>0.99667670694303978</c:v>
                </c:pt>
                <c:pt idx="16">
                  <c:v>0.9976736948601278</c:v>
                </c:pt>
                <c:pt idx="17">
                  <c:v>0.99837158640208945</c:v>
                </c:pt>
                <c:pt idx="18">
                  <c:v>0.99886011048146262</c:v>
                </c:pt>
                <c:pt idx="19">
                  <c:v>0.99920207733702382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'Distribution Summary'!#REF!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E91-0244-BAE8-B7062A003A55}"/>
            </c:ext>
          </c:extLst>
        </c:ser>
        <c:ser>
          <c:idx val="0"/>
          <c:order val="1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Summary'!$C$35:$C$54</c:f>
              <c:numCache>
                <c:formatCode>0.00000</c:formatCode>
                <c:ptCount val="20"/>
                <c:pt idx="0">
                  <c:v>0.15</c:v>
                </c:pt>
                <c:pt idx="1">
                  <c:v>0.27749999999999997</c:v>
                </c:pt>
                <c:pt idx="2">
                  <c:v>0.38587499999999997</c:v>
                </c:pt>
                <c:pt idx="3">
                  <c:v>0.47799374999999994</c:v>
                </c:pt>
                <c:pt idx="4">
                  <c:v>0.55629468749999988</c:v>
                </c:pt>
                <c:pt idx="5">
                  <c:v>0.6228504843749999</c:v>
                </c:pt>
                <c:pt idx="6">
                  <c:v>0.67942291171874991</c:v>
                </c:pt>
                <c:pt idx="7">
                  <c:v>0.72750947496093743</c:v>
                </c:pt>
                <c:pt idx="8">
                  <c:v>0.76838305371679683</c:v>
                </c:pt>
                <c:pt idx="9">
                  <c:v>0.80312559565927732</c:v>
                </c:pt>
                <c:pt idx="10">
                  <c:v>0.83265675631038572</c:v>
                </c:pt>
                <c:pt idx="11">
                  <c:v>0.85775824286382785</c:v>
                </c:pt>
                <c:pt idx="12">
                  <c:v>0.87909450643425369</c:v>
                </c:pt>
                <c:pt idx="13">
                  <c:v>0.8972303304691156</c:v>
                </c:pt>
                <c:pt idx="14">
                  <c:v>0.91264578089874826</c:v>
                </c:pt>
                <c:pt idx="15">
                  <c:v>0.92574891376393598</c:v>
                </c:pt>
                <c:pt idx="16">
                  <c:v>0.93688657669934561</c:v>
                </c:pt>
                <c:pt idx="17">
                  <c:v>0.94635359019444376</c:v>
                </c:pt>
                <c:pt idx="18">
                  <c:v>0.95440055166527715</c:v>
                </c:pt>
                <c:pt idx="19">
                  <c:v>0.96124046891548554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'Distribution Summary'!#REF!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CE91-0244-BAE8-B7062A003A5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Summary'!$D$35:$D$54</c:f>
              <c:numCache>
                <c:formatCode>0.00000</c:formatCode>
                <c:ptCount val="20"/>
                <c:pt idx="0">
                  <c:v>0.05</c:v>
                </c:pt>
                <c:pt idx="1">
                  <c:v>9.7500000000000003E-2</c:v>
                </c:pt>
                <c:pt idx="2">
                  <c:v>0.142625</c:v>
                </c:pt>
                <c:pt idx="3">
                  <c:v>0.18549375000000001</c:v>
                </c:pt>
                <c:pt idx="4">
                  <c:v>0.22621906250000001</c:v>
                </c:pt>
                <c:pt idx="5">
                  <c:v>0.26490810937500003</c:v>
                </c:pt>
                <c:pt idx="6">
                  <c:v>0.30166270390625005</c:v>
                </c:pt>
                <c:pt idx="7">
                  <c:v>0.33657956871093753</c:v>
                </c:pt>
                <c:pt idx="8">
                  <c:v>0.36975059027539064</c:v>
                </c:pt>
                <c:pt idx="9">
                  <c:v>0.4012630607616211</c:v>
                </c:pt>
                <c:pt idx="10">
                  <c:v>0.43119990772354005</c:v>
                </c:pt>
                <c:pt idx="11">
                  <c:v>0.45963991233736307</c:v>
                </c:pt>
                <c:pt idx="12">
                  <c:v>0.48665791672049491</c:v>
                </c:pt>
                <c:pt idx="13">
                  <c:v>0.51232502088447018</c:v>
                </c:pt>
                <c:pt idx="14">
                  <c:v>0.53670876984024662</c:v>
                </c:pt>
                <c:pt idx="15">
                  <c:v>0.55987333134823425</c:v>
                </c:pt>
                <c:pt idx="16">
                  <c:v>0.58187966478082254</c:v>
                </c:pt>
                <c:pt idx="17">
                  <c:v>0.60278568154178136</c:v>
                </c:pt>
                <c:pt idx="18">
                  <c:v>0.6226463974646923</c:v>
                </c:pt>
                <c:pt idx="19">
                  <c:v>0.64151407759145773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'Distribution Summary'!#REF!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E91-0244-BAE8-B7062A003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7881503"/>
        <c:axId val="564869759"/>
      </c:barChart>
      <c:catAx>
        <c:axId val="477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auto val="1"/>
        <c:lblAlgn val="ctr"/>
        <c:lblOffset val="100"/>
        <c:tickLblSkip val="4"/>
        <c:tickMarkSkip val="2"/>
        <c:noMultiLvlLbl val="0"/>
      </c:catAx>
      <c:valAx>
        <c:axId val="564869759"/>
        <c:scaling>
          <c:orientation val="minMax"/>
          <c:max val="1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1172228471441066"/>
          <c:h val="0.77138374247336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Distribution Summary'!$E$13</c:f>
              <c:strCache>
                <c:ptCount val="1"/>
                <c:pt idx="0">
                  <c:v>5 Resp.; p = 0.30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Summary'!$E$35:$E$54</c:f>
              <c:numCache>
                <c:formatCode>0.00000</c:formatCode>
                <c:ptCount val="20"/>
                <c:pt idx="0">
                  <c:v>8.5050000000000004E-3</c:v>
                </c:pt>
                <c:pt idx="1">
                  <c:v>2.6365500000000007E-2</c:v>
                </c:pt>
                <c:pt idx="2">
                  <c:v>5.5537650000000022E-2</c:v>
                </c:pt>
                <c:pt idx="3">
                  <c:v>9.6378660000000033E-2</c:v>
                </c:pt>
                <c:pt idx="4">
                  <c:v>0.14783833260000004</c:v>
                </c:pt>
                <c:pt idx="5">
                  <c:v>0.20787461730000006</c:v>
                </c:pt>
                <c:pt idx="6">
                  <c:v>0.27391453047000008</c:v>
                </c:pt>
                <c:pt idx="7">
                  <c:v>0.34325643929850008</c:v>
                </c:pt>
                <c:pt idx="8">
                  <c:v>0.41336881378065005</c:v>
                </c:pt>
                <c:pt idx="9">
                  <c:v>0.48207894077315705</c:v>
                </c:pt>
                <c:pt idx="10">
                  <c:v>0.54766588017509554</c:v>
                </c:pt>
                <c:pt idx="11">
                  <c:v>0.60888035695023812</c:v>
                </c:pt>
                <c:pt idx="12">
                  <c:v>0.66491514722902245</c:v>
                </c:pt>
                <c:pt idx="13">
                  <c:v>0.71534645847992839</c:v>
                </c:pt>
                <c:pt idx="14">
                  <c:v>0.7600622211223983</c:v>
                </c:pt>
                <c:pt idx="15">
                  <c:v>0.79918851343455943</c:v>
                </c:pt>
                <c:pt idx="16">
                  <c:v>0.83302124855154591</c:v>
                </c:pt>
                <c:pt idx="17">
                  <c:v>0.86196703304052325</c:v>
                </c:pt>
                <c:pt idx="18">
                  <c:v>0.88649477673907773</c:v>
                </c:pt>
                <c:pt idx="19">
                  <c:v>0.90709808144586346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A-EB4C-9D93-C11EAE508BD9}"/>
            </c:ext>
          </c:extLst>
        </c:ser>
        <c:ser>
          <c:idx val="1"/>
          <c:order val="1"/>
          <c:tx>
            <c:strRef>
              <c:f>'Ch. 2 - Distribution Summary'!$F$13</c:f>
              <c:strCache>
                <c:ptCount val="1"/>
                <c:pt idx="0">
                  <c:v>10 Resp.; p = 0.30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Summary'!$F$35:$F$54</c:f>
              <c:numCache>
                <c:formatCode>0.00000</c:formatCode>
                <c:ptCount val="20"/>
                <c:pt idx="0">
                  <c:v>4.1334299999999975E-5</c:v>
                </c:pt>
                <c:pt idx="1">
                  <c:v>2.004713549999998E-4</c:v>
                </c:pt>
                <c:pt idx="2">
                  <c:v>6.4605510899999954E-4</c:v>
                </c:pt>
                <c:pt idx="3">
                  <c:v>1.659758149349998E-3</c:v>
                </c:pt>
                <c:pt idx="4">
                  <c:v>3.646616108435999E-3</c:v>
                </c:pt>
                <c:pt idx="5">
                  <c:v>7.1236175368364994E-3</c:v>
                </c:pt>
                <c:pt idx="6">
                  <c:v>1.2686819822277304E-2</c:v>
                </c:pt>
                <c:pt idx="7">
                  <c:v>2.0962083221870487E-2</c:v>
                </c:pt>
                <c:pt idx="8">
                  <c:v>3.2547451981300955E-2</c:v>
                </c:pt>
                <c:pt idx="9">
                  <c:v>4.7955992431343464E-2</c:v>
                </c:pt>
                <c:pt idx="10">
                  <c:v>6.756686209503393E-2</c:v>
                </c:pt>
                <c:pt idx="11">
                  <c:v>9.1590177433054767E-2</c:v>
                </c:pt>
                <c:pt idx="12">
                  <c:v>0.12004856637194097</c:v>
                </c:pt>
                <c:pt idx="13">
                  <c:v>0.15277571365166012</c:v>
                </c:pt>
                <c:pt idx="14">
                  <c:v>0.18943011860494557</c:v>
                </c:pt>
                <c:pt idx="15">
                  <c:v>0.22952087402260152</c:v>
                </c:pt>
                <c:pt idx="16">
                  <c:v>0.2724415651167979</c:v>
                </c:pt>
                <c:pt idx="17">
                  <c:v>0.31750829076570408</c:v>
                </c:pt>
                <c:pt idx="18">
                  <c:v>0.36399817617194419</c:v>
                </c:pt>
                <c:pt idx="19">
                  <c:v>0.41118540985927787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A-EB4C-9D93-C11EAE508BD9}"/>
            </c:ext>
          </c:extLst>
        </c:ser>
        <c:ser>
          <c:idx val="2"/>
          <c:order val="2"/>
          <c:tx>
            <c:strRef>
              <c:f>'Ch. 2 - Distribution Summary'!$G$13</c:f>
              <c:strCache>
                <c:ptCount val="1"/>
                <c:pt idx="0">
                  <c:v>5 Resp.; p = 0.70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Distribution Summary'!$G$35:$G$54</c:f>
              <c:numCache>
                <c:formatCode>0.00000</c:formatCode>
                <c:ptCount val="20"/>
                <c:pt idx="0">
                  <c:v>0.25210499999999997</c:v>
                </c:pt>
                <c:pt idx="1">
                  <c:v>0.47899949999999991</c:v>
                </c:pt>
                <c:pt idx="2">
                  <c:v>0.63782564999999991</c:v>
                </c:pt>
                <c:pt idx="3">
                  <c:v>0.73312133999999995</c:v>
                </c:pt>
                <c:pt idx="4">
                  <c:v>0.78458101260000002</c:v>
                </c:pt>
                <c:pt idx="5">
                  <c:v>0.81031084890000005</c:v>
                </c:pt>
                <c:pt idx="6">
                  <c:v>0.82244062887000002</c:v>
                </c:pt>
                <c:pt idx="7">
                  <c:v>0.82789902985649999</c:v>
                </c:pt>
                <c:pt idx="8">
                  <c:v>0.83026433695064994</c:v>
                </c:pt>
                <c:pt idx="9">
                  <c:v>0.83125776593019296</c:v>
                </c:pt>
                <c:pt idx="10">
                  <c:v>0.83166416869455151</c:v>
                </c:pt>
                <c:pt idx="11">
                  <c:v>0.83182672980029493</c:v>
                </c:pt>
                <c:pt idx="12">
                  <c:v>0.83189050377254814</c:v>
                </c:pt>
                <c:pt idx="13">
                  <c:v>0.83191510230470289</c:v>
                </c:pt>
                <c:pt idx="14">
                  <c:v>0.8319244497469217</c:v>
                </c:pt>
                <c:pt idx="15">
                  <c:v>0.83192795503775374</c:v>
                </c:pt>
                <c:pt idx="16">
                  <c:v>0.83192925405729734</c:v>
                </c:pt>
                <c:pt idx="17">
                  <c:v>0.83192973036446338</c:v>
                </c:pt>
                <c:pt idx="18">
                  <c:v>0.83192990333917105</c:v>
                </c:pt>
                <c:pt idx="19">
                  <c:v>0.83192996561006582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EA-EB4C-9D93-C11EAE508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7881503"/>
        <c:axId val="564869759"/>
      </c:barChart>
      <c:catAx>
        <c:axId val="477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564869759"/>
        <c:scaling>
          <c:orientation val="minMax"/>
          <c:max val="1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1172228471441066"/>
          <c:h val="0.771383742473367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'Ch. 2 - Distribution Summary'!$H$13</c:f>
              <c:strCache>
                <c:ptCount val="1"/>
                <c:pt idx="0">
                  <c:v>AVG = 10; SD = 2.5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Summary'!$H$35:$H$54</c:f>
              <c:numCache>
                <c:formatCode>0.00000</c:formatCode>
                <c:ptCount val="20"/>
                <c:pt idx="0">
                  <c:v>2.4476077204550875E-4</c:v>
                </c:pt>
                <c:pt idx="1">
                  <c:v>1.198396052631445E-3</c:v>
                </c:pt>
                <c:pt idx="2">
                  <c:v>4.364576685823433E-3</c:v>
                </c:pt>
                <c:pt idx="3">
                  <c:v>1.3322388803760594E-2</c:v>
                </c:pt>
                <c:pt idx="4">
                  <c:v>3.4918775409035818E-2</c:v>
                </c:pt>
                <c:pt idx="5">
                  <c:v>7.928710928081803E-2</c:v>
                </c:pt>
                <c:pt idx="6">
                  <c:v>0.15696153127410323</c:v>
                </c:pt>
                <c:pt idx="7">
                  <c:v>0.27283815237869635</c:v>
                </c:pt>
                <c:pt idx="8">
                  <c:v>0.42014620850002571</c:v>
                </c:pt>
                <c:pt idx="9">
                  <c:v>0.57972312066059883</c:v>
                </c:pt>
                <c:pt idx="10">
                  <c:v>0.72703117678192819</c:v>
                </c:pt>
                <c:pt idx="11">
                  <c:v>0.84290779788652126</c:v>
                </c:pt>
                <c:pt idx="12">
                  <c:v>0.92058221987980648</c:v>
                </c:pt>
                <c:pt idx="13">
                  <c:v>0.96495055375158867</c:v>
                </c:pt>
                <c:pt idx="14">
                  <c:v>0.98654694035686386</c:v>
                </c:pt>
                <c:pt idx="15">
                  <c:v>0.99550475247480097</c:v>
                </c:pt>
                <c:pt idx="16">
                  <c:v>0.99867093310799293</c:v>
                </c:pt>
                <c:pt idx="17">
                  <c:v>0.99962456838857883</c:v>
                </c:pt>
                <c:pt idx="18">
                  <c:v>0.99986932916062432</c:v>
                </c:pt>
                <c:pt idx="19">
                  <c:v>0.99992286125093033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BC-8F4C-B90C-7792F5B8893B}"/>
            </c:ext>
          </c:extLst>
        </c:ser>
        <c:ser>
          <c:idx val="1"/>
          <c:order val="1"/>
          <c:tx>
            <c:strRef>
              <c:f>'Ch. 2 - Distribution Summary'!$I$13</c:f>
              <c:strCache>
                <c:ptCount val="1"/>
                <c:pt idx="0">
                  <c:v>AVG = 5; SD = 1.5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Summary'!$I$35:$I$54</c:f>
              <c:numCache>
                <c:formatCode>0.00000</c:formatCode>
                <c:ptCount val="20"/>
                <c:pt idx="0">
                  <c:v>7.597324015864962E-3</c:v>
                </c:pt>
                <c:pt idx="1">
                  <c:v>4.3591301691323671E-2</c:v>
                </c:pt>
                <c:pt idx="2">
                  <c:v>0.15293135147531942</c:v>
                </c:pt>
                <c:pt idx="3">
                  <c:v>0.36589668849022089</c:v>
                </c:pt>
                <c:pt idx="4">
                  <c:v>0.6318582087578426</c:v>
                </c:pt>
                <c:pt idx="5">
                  <c:v>0.8448235457727441</c:v>
                </c:pt>
                <c:pt idx="6">
                  <c:v>0.9541635955567398</c:v>
                </c:pt>
                <c:pt idx="7">
                  <c:v>0.99015757323219855</c:v>
                </c:pt>
                <c:pt idx="8">
                  <c:v>0.99775489724806354</c:v>
                </c:pt>
                <c:pt idx="9">
                  <c:v>0.99878308324559095</c:v>
                </c:pt>
                <c:pt idx="10">
                  <c:v>0.99887230339610089</c:v>
                </c:pt>
                <c:pt idx="11">
                  <c:v>0.99887726742668126</c:v>
                </c:pt>
                <c:pt idx="12">
                  <c:v>0.99887744451347515</c:v>
                </c:pt>
                <c:pt idx="13">
                  <c:v>0.99887744856406369</c:v>
                </c:pt>
                <c:pt idx="14">
                  <c:v>0.99887744862346972</c:v>
                </c:pt>
                <c:pt idx="15">
                  <c:v>0.99887744862402839</c:v>
                </c:pt>
                <c:pt idx="16">
                  <c:v>0.99887744862403172</c:v>
                </c:pt>
                <c:pt idx="17">
                  <c:v>0.99887744862403172</c:v>
                </c:pt>
                <c:pt idx="18">
                  <c:v>0.99887744862403172</c:v>
                </c:pt>
                <c:pt idx="19">
                  <c:v>0.99887744862403172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BC-8F4C-B90C-7792F5B8893B}"/>
            </c:ext>
          </c:extLst>
        </c:ser>
        <c:ser>
          <c:idx val="2"/>
          <c:order val="2"/>
          <c:tx>
            <c:strRef>
              <c:f>'Ch. 2 - Distribution Summary'!$J$13</c:f>
              <c:strCache>
                <c:ptCount val="1"/>
                <c:pt idx="0">
                  <c:v>AVG = 15; SD = 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Summary'!$J$35:$J$54</c:f>
              <c:numCache>
                <c:formatCode>0.00000</c:formatCode>
                <c:ptCount val="20"/>
                <c:pt idx="0">
                  <c:v>1.5830903165959939E-3</c:v>
                </c:pt>
                <c:pt idx="1">
                  <c:v>4.2996841633331159E-3</c:v>
                </c:pt>
                <c:pt idx="2">
                  <c:v>8.7785902223016972E-3</c:v>
                </c:pt>
                <c:pt idx="3">
                  <c:v>1.5873508791547981E-2</c:v>
                </c:pt>
                <c:pt idx="4">
                  <c:v>2.6671702094185595E-2</c:v>
                </c:pt>
                <c:pt idx="5">
                  <c:v>4.246173375436442E-2</c:v>
                </c:pt>
                <c:pt idx="6">
                  <c:v>6.4645900690255526E-2</c:v>
                </c:pt>
                <c:pt idx="7">
                  <c:v>9.4591393817404501E-2</c:v>
                </c:pt>
                <c:pt idx="8">
                  <c:v>0.13342860481404709</c:v>
                </c:pt>
                <c:pt idx="9">
                  <c:v>0.18182274971787576</c:v>
                </c:pt>
                <c:pt idx="10">
                  <c:v>0.2397610602701723</c:v>
                </c:pt>
                <c:pt idx="11">
                  <c:v>0.30640598084853221</c:v>
                </c:pt>
                <c:pt idx="12">
                  <c:v>0.38006000890919689</c:v>
                </c:pt>
                <c:pt idx="13">
                  <c:v>0.45826854770428804</c:v>
                </c:pt>
                <c:pt idx="14">
                  <c:v>0.53805700378457455</c:v>
                </c:pt>
                <c:pt idx="15">
                  <c:v>0.6162655425796657</c:v>
                </c:pt>
                <c:pt idx="16">
                  <c:v>0.68991957064033038</c:v>
                </c:pt>
                <c:pt idx="17">
                  <c:v>0.75656449121869029</c:v>
                </c:pt>
                <c:pt idx="18">
                  <c:v>0.81450280177098688</c:v>
                </c:pt>
                <c:pt idx="19">
                  <c:v>0.86289694667481553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BC-8F4C-B90C-7792F5B88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1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'Ch. 2 - Distribution Summary'!$K$13</c:f>
              <c:strCache>
                <c:ptCount val="1"/>
                <c:pt idx="0">
                  <c:v>p = 0.2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Summary'!$K$14:$K$33</c:f>
              <c:numCache>
                <c:formatCode>General</c:formatCode>
                <c:ptCount val="20"/>
                <c:pt idx="0">
                  <c:v>0.16374615061559639</c:v>
                </c:pt>
                <c:pt idx="1">
                  <c:v>0.13406400920712788</c:v>
                </c:pt>
                <c:pt idx="2">
                  <c:v>0.10976232721880529</c:v>
                </c:pt>
                <c:pt idx="3">
                  <c:v>8.9865792823444313E-2</c:v>
                </c:pt>
                <c:pt idx="4">
                  <c:v>7.357588823428847E-2</c:v>
                </c:pt>
                <c:pt idx="5">
                  <c:v>6.0238842382440407E-2</c:v>
                </c:pt>
                <c:pt idx="6">
                  <c:v>4.9319392788321287E-2</c:v>
                </c:pt>
                <c:pt idx="7">
                  <c:v>4.0379303598931077E-2</c:v>
                </c:pt>
                <c:pt idx="8">
                  <c:v>3.3059777644317306E-2</c:v>
                </c:pt>
                <c:pt idx="9">
                  <c:v>2.7067056647322542E-2</c:v>
                </c:pt>
                <c:pt idx="10">
                  <c:v>2.2160631672466777E-2</c:v>
                </c:pt>
                <c:pt idx="11">
                  <c:v>1.8143590657882496E-2</c:v>
                </c:pt>
                <c:pt idx="12">
                  <c:v>1.4854715642866776E-2</c:v>
                </c:pt>
                <c:pt idx="13">
                  <c:v>1.2162012525043592E-2</c:v>
                </c:pt>
                <c:pt idx="14">
                  <c:v>9.9574136735727896E-3</c:v>
                </c:pt>
                <c:pt idx="15">
                  <c:v>8.152440795673243E-3</c:v>
                </c:pt>
                <c:pt idx="16">
                  <c:v>6.6746539920652138E-3</c:v>
                </c:pt>
                <c:pt idx="17">
                  <c:v>5.4647444894585125E-3</c:v>
                </c:pt>
                <c:pt idx="18">
                  <c:v>4.4741543712331182E-3</c:v>
                </c:pt>
                <c:pt idx="19">
                  <c:v>3.6631277777468361E-3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94-BA42-8591-58AC1CF7A669}"/>
            </c:ext>
          </c:extLst>
        </c:ser>
        <c:ser>
          <c:idx val="0"/>
          <c:order val="1"/>
          <c:tx>
            <c:strRef>
              <c:f>'Ch. 2 - Distribution Summary'!$L$13</c:f>
              <c:strCache>
                <c:ptCount val="1"/>
                <c:pt idx="0">
                  <c:v>p = 0.4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Summary'!$L$14:$L$33</c:f>
              <c:numCache>
                <c:formatCode>General</c:formatCode>
                <c:ptCount val="20"/>
                <c:pt idx="0">
                  <c:v>0.26812801841425576</c:v>
                </c:pt>
                <c:pt idx="1">
                  <c:v>0.17973158564688863</c:v>
                </c:pt>
                <c:pt idx="2">
                  <c:v>0.12047768476488081</c:v>
                </c:pt>
                <c:pt idx="3">
                  <c:v>8.0758607197862153E-2</c:v>
                </c:pt>
                <c:pt idx="4">
                  <c:v>5.4134113294645084E-2</c:v>
                </c:pt>
                <c:pt idx="5">
                  <c:v>3.6287181315764992E-2</c:v>
                </c:pt>
                <c:pt idx="6">
                  <c:v>2.4324025050087184E-2</c:v>
                </c:pt>
                <c:pt idx="7">
                  <c:v>1.6304881591346486E-2</c:v>
                </c:pt>
                <c:pt idx="8">
                  <c:v>1.0929488978917025E-2</c:v>
                </c:pt>
                <c:pt idx="9">
                  <c:v>7.3262555554936722E-3</c:v>
                </c:pt>
                <c:pt idx="10">
                  <c:v>4.9109359612273746E-3</c:v>
                </c:pt>
                <c:pt idx="11">
                  <c:v>3.2918988196080096E-3</c:v>
                </c:pt>
                <c:pt idx="12">
                  <c:v>2.2066257683043089E-3</c:v>
                </c:pt>
                <c:pt idx="13">
                  <c:v>1.4791454865931716E-3</c:v>
                </c:pt>
                <c:pt idx="14">
                  <c:v>9.915008706665434E-4</c:v>
                </c:pt>
                <c:pt idx="15">
                  <c:v>6.6462290926957361E-4</c:v>
                </c:pt>
                <c:pt idx="16">
                  <c:v>4.45510059137921E-4</c:v>
                </c:pt>
                <c:pt idx="17">
                  <c:v>2.9863432335067169E-4</c:v>
                </c:pt>
                <c:pt idx="18">
                  <c:v>2.0018057337624416E-4</c:v>
                </c:pt>
                <c:pt idx="19">
                  <c:v>1.3418505116100476E-4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94-BA42-8591-58AC1CF7A669}"/>
            </c:ext>
          </c:extLst>
        </c:ser>
        <c:ser>
          <c:idx val="2"/>
          <c:order val="2"/>
          <c:tx>
            <c:strRef>
              <c:f>'Ch. 2 - Distribution Summary'!$M$13</c:f>
              <c:strCache>
                <c:ptCount val="1"/>
                <c:pt idx="0">
                  <c:v>p = 0.8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Summary'!$M$14:$M$33</c:f>
              <c:numCache>
                <c:formatCode>General</c:formatCode>
                <c:ptCount val="20"/>
                <c:pt idx="0">
                  <c:v>0.35946317129377725</c:v>
                </c:pt>
                <c:pt idx="1">
                  <c:v>0.16151721439572431</c:v>
                </c:pt>
                <c:pt idx="2">
                  <c:v>7.2574362631529984E-2</c:v>
                </c:pt>
                <c:pt idx="3">
                  <c:v>3.2609763182692972E-2</c:v>
                </c:pt>
                <c:pt idx="4">
                  <c:v>1.4652511110987344E-2</c:v>
                </c:pt>
                <c:pt idx="5">
                  <c:v>6.5837976392160193E-3</c:v>
                </c:pt>
                <c:pt idx="6">
                  <c:v>2.9582909731863433E-3</c:v>
                </c:pt>
                <c:pt idx="7">
                  <c:v>1.3292458185391472E-3</c:v>
                </c:pt>
                <c:pt idx="8">
                  <c:v>5.9726864670134338E-4</c:v>
                </c:pt>
                <c:pt idx="9">
                  <c:v>2.6837010232200952E-4</c:v>
                </c:pt>
                <c:pt idx="10">
                  <c:v>1.2058646007638121E-4</c:v>
                </c:pt>
                <c:pt idx="11">
                  <c:v>5.4182989192683024E-5</c:v>
                </c:pt>
                <c:pt idx="12">
                  <c:v>2.4345986406722902E-5</c:v>
                </c:pt>
                <c:pt idx="13">
                  <c:v>1.0939356852544752E-5</c:v>
                </c:pt>
                <c:pt idx="14">
                  <c:v>4.915369882662568E-6</c:v>
                </c:pt>
                <c:pt idx="15">
                  <c:v>2.2086180576297589E-6</c:v>
                </c:pt>
                <c:pt idx="16">
                  <c:v>9.9239606396536899E-7</c:v>
                </c:pt>
                <c:pt idx="17">
                  <c:v>4.4591229541556767E-7</c:v>
                </c:pt>
                <c:pt idx="18">
                  <c:v>2.0036130978620938E-7</c:v>
                </c:pt>
                <c:pt idx="19">
                  <c:v>9.0028139775407304E-8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94-BA42-8591-58AC1CF7A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380952380952384"/>
          <c:y val="4.2866582236661017E-3"/>
          <c:w val="0.47089947089947087"/>
          <c:h val="0.3620560541820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1172228471441066"/>
          <c:h val="0.771383742473367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'Ch. 2 - Distribution Summary'!$K$13</c:f>
              <c:strCache>
                <c:ptCount val="1"/>
                <c:pt idx="0">
                  <c:v>p = 0.2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Summary'!$K$35:$K$54</c:f>
              <c:numCache>
                <c:formatCode>0.00000</c:formatCode>
                <c:ptCount val="20"/>
                <c:pt idx="0">
                  <c:v>0.16374615061559639</c:v>
                </c:pt>
                <c:pt idx="1">
                  <c:v>0.2978101598227243</c:v>
                </c:pt>
                <c:pt idx="2">
                  <c:v>0.4075724870415296</c:v>
                </c:pt>
                <c:pt idx="3">
                  <c:v>0.49743827986497391</c:v>
                </c:pt>
                <c:pt idx="4">
                  <c:v>0.57101416809926242</c:v>
                </c:pt>
                <c:pt idx="5">
                  <c:v>0.63125301048170279</c:v>
                </c:pt>
                <c:pt idx="6">
                  <c:v>0.68057240327002411</c:v>
                </c:pt>
                <c:pt idx="7">
                  <c:v>0.72095170686895516</c:v>
                </c:pt>
                <c:pt idx="8">
                  <c:v>0.75401148451327249</c:v>
                </c:pt>
                <c:pt idx="9">
                  <c:v>0.78107854116059505</c:v>
                </c:pt>
                <c:pt idx="10">
                  <c:v>0.80323917283306179</c:v>
                </c:pt>
                <c:pt idx="11">
                  <c:v>0.8213827634909443</c:v>
                </c:pt>
                <c:pt idx="12">
                  <c:v>0.83623747913381108</c:v>
                </c:pt>
                <c:pt idx="13">
                  <c:v>0.84839949165885464</c:v>
                </c:pt>
                <c:pt idx="14">
                  <c:v>0.85835690533242748</c:v>
                </c:pt>
                <c:pt idx="15">
                  <c:v>0.86650934612810071</c:v>
                </c:pt>
                <c:pt idx="16">
                  <c:v>0.87318400012016595</c:v>
                </c:pt>
                <c:pt idx="17">
                  <c:v>0.8786487446096245</c:v>
                </c:pt>
                <c:pt idx="18">
                  <c:v>0.88312289898085761</c:v>
                </c:pt>
                <c:pt idx="19">
                  <c:v>0.88678602675860441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0D-AC4B-B5D0-1408A719BB8F}"/>
            </c:ext>
          </c:extLst>
        </c:ser>
        <c:ser>
          <c:idx val="1"/>
          <c:order val="1"/>
          <c:tx>
            <c:strRef>
              <c:f>'Ch. 2 - Distribution Summary'!$L$13</c:f>
              <c:strCache>
                <c:ptCount val="1"/>
                <c:pt idx="0">
                  <c:v>p = 0.4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Summary'!$L$35:$L$54</c:f>
              <c:numCache>
                <c:formatCode>0.00000</c:formatCode>
                <c:ptCount val="20"/>
                <c:pt idx="0">
                  <c:v>0.26812801841425576</c:v>
                </c:pt>
                <c:pt idx="1">
                  <c:v>0.44785960406114439</c:v>
                </c:pt>
                <c:pt idx="2">
                  <c:v>0.56833728882602519</c:v>
                </c:pt>
                <c:pt idx="3">
                  <c:v>0.64909589602388729</c:v>
                </c:pt>
                <c:pt idx="4">
                  <c:v>0.70323000931853241</c:v>
                </c:pt>
                <c:pt idx="5">
                  <c:v>0.73951719063429744</c:v>
                </c:pt>
                <c:pt idx="6">
                  <c:v>0.76384121568438457</c:v>
                </c:pt>
                <c:pt idx="7">
                  <c:v>0.78014609727573103</c:v>
                </c:pt>
                <c:pt idx="8">
                  <c:v>0.79107558625464802</c:v>
                </c:pt>
                <c:pt idx="9">
                  <c:v>0.79840184181014173</c:v>
                </c:pt>
                <c:pt idx="10">
                  <c:v>0.80331277777136911</c:v>
                </c:pt>
                <c:pt idx="11">
                  <c:v>0.80660467659097712</c:v>
                </c:pt>
                <c:pt idx="12">
                  <c:v>0.80881130235928145</c:v>
                </c:pt>
                <c:pt idx="13">
                  <c:v>0.81029044784587467</c:v>
                </c:pt>
                <c:pt idx="14">
                  <c:v>0.81128194871654125</c:v>
                </c:pt>
                <c:pt idx="15">
                  <c:v>0.81194657162581085</c:v>
                </c:pt>
                <c:pt idx="16">
                  <c:v>0.81239208168494881</c:v>
                </c:pt>
                <c:pt idx="17">
                  <c:v>0.81269071600829945</c:v>
                </c:pt>
                <c:pt idx="18">
                  <c:v>0.81289089658167568</c:v>
                </c:pt>
                <c:pt idx="19">
                  <c:v>0.81302508163283671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0D-AC4B-B5D0-1408A719BB8F}"/>
            </c:ext>
          </c:extLst>
        </c:ser>
        <c:ser>
          <c:idx val="2"/>
          <c:order val="2"/>
          <c:tx>
            <c:strRef>
              <c:f>'Ch. 2 - Distribution Summary'!$M$13</c:f>
              <c:strCache>
                <c:ptCount val="1"/>
                <c:pt idx="0">
                  <c:v>p = 0.8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Summary'!$M$35:$M$54</c:f>
              <c:numCache>
                <c:formatCode>0.00000</c:formatCode>
                <c:ptCount val="20"/>
                <c:pt idx="0">
                  <c:v>0.35946317129377725</c:v>
                </c:pt>
                <c:pt idx="1">
                  <c:v>0.52098038568950156</c:v>
                </c:pt>
                <c:pt idx="2">
                  <c:v>0.5935547483210315</c:v>
                </c:pt>
                <c:pt idx="3">
                  <c:v>0.62616451150372443</c:v>
                </c:pt>
                <c:pt idx="4">
                  <c:v>0.64081702261471174</c:v>
                </c:pt>
                <c:pt idx="5">
                  <c:v>0.64740082025392776</c:v>
                </c:pt>
                <c:pt idx="6">
                  <c:v>0.6503591112271141</c:v>
                </c:pt>
                <c:pt idx="7">
                  <c:v>0.6516883570456532</c:v>
                </c:pt>
                <c:pt idx="8">
                  <c:v>0.6522856256923546</c:v>
                </c:pt>
                <c:pt idx="9">
                  <c:v>0.65255399579467666</c:v>
                </c:pt>
                <c:pt idx="10">
                  <c:v>0.65267458225475306</c:v>
                </c:pt>
                <c:pt idx="11">
                  <c:v>0.65272876524394574</c:v>
                </c:pt>
                <c:pt idx="12">
                  <c:v>0.65275311123035251</c:v>
                </c:pt>
                <c:pt idx="13">
                  <c:v>0.6527640505872051</c:v>
                </c:pt>
                <c:pt idx="14">
                  <c:v>0.65276896595708778</c:v>
                </c:pt>
                <c:pt idx="15">
                  <c:v>0.65277117457514544</c:v>
                </c:pt>
                <c:pt idx="16">
                  <c:v>0.65277216697120943</c:v>
                </c:pt>
                <c:pt idx="17">
                  <c:v>0.65277261288350485</c:v>
                </c:pt>
                <c:pt idx="18">
                  <c:v>0.65277281324481462</c:v>
                </c:pt>
                <c:pt idx="19">
                  <c:v>0.65277290327295434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0D-AC4B-B5D0-1408A719B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1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'Ch. 2 - Distribution Summary'!$N$13</c:f>
              <c:strCache>
                <c:ptCount val="1"/>
                <c:pt idx="0">
                  <c:v>AVG = 2; SD = 0.5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Summary'!$N$14:$N$33</c:f>
              <c:numCache>
                <c:formatCode>General</c:formatCode>
                <c:ptCount val="20"/>
                <c:pt idx="0">
                  <c:v>2.6766045152977101E-4</c:v>
                </c:pt>
                <c:pt idx="1">
                  <c:v>1.3106236195882647E-2</c:v>
                </c:pt>
                <c:pt idx="2">
                  <c:v>5.2370948800996929E-2</c:v>
                </c:pt>
                <c:pt idx="3">
                  <c:v>9.3915960282558344E-2</c:v>
                </c:pt>
                <c:pt idx="4">
                  <c:v>0.11761875751402895</c:v>
                </c:pt>
                <c:pt idx="5">
                  <c:v>0.12193354946137466</c:v>
                </c:pt>
                <c:pt idx="6">
                  <c:v>0.1133184904028692</c:v>
                </c:pt>
                <c:pt idx="7">
                  <c:v>9.8484627259697907E-2</c:v>
                </c:pt>
                <c:pt idx="8">
                  <c:v>8.2018454858341708E-2</c:v>
                </c:pt>
                <c:pt idx="9">
                  <c:v>6.6437612959576189E-2</c:v>
                </c:pt>
                <c:pt idx="10">
                  <c:v>5.2848395762186889E-2</c:v>
                </c:pt>
                <c:pt idx="11">
                  <c:v>4.1545464534492357E-2</c:v>
                </c:pt>
                <c:pt idx="12">
                  <c:v>3.2416871607199901E-2</c:v>
                </c:pt>
                <c:pt idx="13">
                  <c:v>2.5181712979029772E-2</c:v>
                </c:pt>
                <c:pt idx="14">
                  <c:v>1.9516173863351003E-2</c:v>
                </c:pt>
                <c:pt idx="15">
                  <c:v>1.5113502304702153E-2</c:v>
                </c:pt>
                <c:pt idx="16">
                  <c:v>1.1707874257046402E-2</c:v>
                </c:pt>
                <c:pt idx="17">
                  <c:v>9.0799477112438274E-3</c:v>
                </c:pt>
                <c:pt idx="18">
                  <c:v>7.0540010201440096E-3</c:v>
                </c:pt>
                <c:pt idx="19">
                  <c:v>5.4918552530183636E-3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09-C742-A81A-3110616D7F4C}"/>
            </c:ext>
          </c:extLst>
        </c:ser>
        <c:ser>
          <c:idx val="0"/>
          <c:order val="1"/>
          <c:tx>
            <c:strRef>
              <c:f>'Ch. 2 - Distribution Summary'!$O$13</c:f>
              <c:strCache>
                <c:ptCount val="1"/>
                <c:pt idx="0">
                  <c:v>AVG = 1; SD = 0.65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Summary'!$O$14:$O$33</c:f>
              <c:numCache>
                <c:formatCode>General</c:formatCode>
                <c:ptCount val="20"/>
                <c:pt idx="0">
                  <c:v>0.1879484473884909</c:v>
                </c:pt>
                <c:pt idx="1">
                  <c:v>0.27451945231347502</c:v>
                </c:pt>
                <c:pt idx="2">
                  <c:v>0.20224487730240223</c:v>
                </c:pt>
                <c:pt idx="3">
                  <c:v>0.12860036369147676</c:v>
                </c:pt>
                <c:pt idx="4">
                  <c:v>7.9092486322827435E-2</c:v>
                </c:pt>
                <c:pt idx="5">
                  <c:v>4.8714014086333413E-2</c:v>
                </c:pt>
                <c:pt idx="6">
                  <c:v>3.0411429098988221E-2</c:v>
                </c:pt>
                <c:pt idx="7">
                  <c:v>1.9321727887353219E-2</c:v>
                </c:pt>
                <c:pt idx="8">
                  <c:v>1.2504728015428105E-2</c:v>
                </c:pt>
                <c:pt idx="9">
                  <c:v>8.2404300085132144E-3</c:v>
                </c:pt>
                <c:pt idx="10">
                  <c:v>5.5242459772081353E-3</c:v>
                </c:pt>
                <c:pt idx="11">
                  <c:v>3.7632666895327407E-3</c:v>
                </c:pt>
                <c:pt idx="12">
                  <c:v>2.6021727373617782E-3</c:v>
                </c:pt>
                <c:pt idx="13">
                  <c:v>1.8243829561718054E-3</c:v>
                </c:pt>
                <c:pt idx="14">
                  <c:v>1.2955859743813455E-3</c:v>
                </c:pt>
                <c:pt idx="15">
                  <c:v>9.3107446889370896E-4</c:v>
                </c:pt>
                <c:pt idx="16">
                  <c:v>6.7655649710261973E-4</c:v>
                </c:pt>
                <c:pt idx="17">
                  <c:v>4.9669826529182785E-4</c:v>
                </c:pt>
                <c:pt idx="18">
                  <c:v>3.6817030414090053E-4</c:v>
                </c:pt>
                <c:pt idx="19">
                  <c:v>2.7535896055232595E-4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09-C742-A81A-3110616D7F4C}"/>
            </c:ext>
          </c:extLst>
        </c:ser>
        <c:ser>
          <c:idx val="2"/>
          <c:order val="2"/>
          <c:tx>
            <c:strRef>
              <c:f>'Ch. 2 - Distribution Summary'!$P$13</c:f>
              <c:strCache>
                <c:ptCount val="1"/>
                <c:pt idx="0">
                  <c:v>AVG = 0.75; SD = 1.25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Summary'!$P$14:$P$33</c:f>
              <c:numCache>
                <c:formatCode>General</c:formatCode>
                <c:ptCount val="20"/>
                <c:pt idx="0">
                  <c:v>0.2665796823134397</c:v>
                </c:pt>
                <c:pt idx="1">
                  <c:v>0.15941194425157004</c:v>
                </c:pt>
                <c:pt idx="2">
                  <c:v>0.10232675125797325</c:v>
                </c:pt>
                <c:pt idx="3">
                  <c:v>7.0092813353649683E-2</c:v>
                </c:pt>
                <c:pt idx="4">
                  <c:v>5.0394021848439455E-2</c:v>
                </c:pt>
                <c:pt idx="5">
                  <c:v>3.7585924499137023E-2</c:v>
                </c:pt>
                <c:pt idx="6">
                  <c:v>2.8849674151981395E-2</c:v>
                </c:pt>
                <c:pt idx="7">
                  <c:v>2.2661306547675241E-2</c:v>
                </c:pt>
                <c:pt idx="8">
                  <c:v>1.8141855811867728E-2</c:v>
                </c:pt>
                <c:pt idx="9">
                  <c:v>1.4757059091159484E-2</c:v>
                </c:pt>
                <c:pt idx="10">
                  <c:v>1.2167872736433312E-2</c:v>
                </c:pt>
                <c:pt idx="11">
                  <c:v>1.0151263677271661E-2</c:v>
                </c:pt>
                <c:pt idx="12">
                  <c:v>8.5559817871491799E-3</c:v>
                </c:pt>
                <c:pt idx="13">
                  <c:v>7.2767463661835554E-3</c:v>
                </c:pt>
                <c:pt idx="14">
                  <c:v>6.2385987916747376E-3</c:v>
                </c:pt>
                <c:pt idx="15">
                  <c:v>5.3871022674500052E-3</c:v>
                </c:pt>
                <c:pt idx="16">
                  <c:v>4.6820260954107676E-3</c:v>
                </c:pt>
                <c:pt idx="17">
                  <c:v>4.0931720537592305E-3</c:v>
                </c:pt>
                <c:pt idx="18">
                  <c:v>3.59755423943508E-3</c:v>
                </c:pt>
                <c:pt idx="19">
                  <c:v>3.1774551803871319E-3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09-C742-A81A-3110616D7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57142857142857"/>
          <c:y val="4.2866582236661017E-3"/>
          <c:w val="0.70899470899470896"/>
          <c:h val="0.3620560541820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1172228471441066"/>
          <c:h val="0.771383742473367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'Ch. 2 - Distribution Summary'!$N$13</c:f>
              <c:strCache>
                <c:ptCount val="1"/>
                <c:pt idx="0">
                  <c:v>AVG = 2; SD = 0.5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Summary'!$N$35:$N$54</c:f>
              <c:numCache>
                <c:formatCode>0.00000</c:formatCode>
                <c:ptCount val="20"/>
                <c:pt idx="0">
                  <c:v>2.6766045152977101E-4</c:v>
                </c:pt>
                <c:pt idx="1">
                  <c:v>1.3373896647412419E-2</c:v>
                </c:pt>
                <c:pt idx="2">
                  <c:v>6.5744845448409348E-2</c:v>
                </c:pt>
                <c:pt idx="3">
                  <c:v>0.15966080573096769</c:v>
                </c:pt>
                <c:pt idx="4">
                  <c:v>0.27727956324499664</c:v>
                </c:pt>
                <c:pt idx="5">
                  <c:v>0.39921311270637128</c:v>
                </c:pt>
                <c:pt idx="6">
                  <c:v>0.51253160310924051</c:v>
                </c:pt>
                <c:pt idx="7">
                  <c:v>0.61101623036893837</c:v>
                </c:pt>
                <c:pt idx="8">
                  <c:v>0.69303468522728007</c:v>
                </c:pt>
                <c:pt idx="9">
                  <c:v>0.75947229818685624</c:v>
                </c:pt>
                <c:pt idx="10">
                  <c:v>0.81232069394904316</c:v>
                </c:pt>
                <c:pt idx="11">
                  <c:v>0.85386615848353553</c:v>
                </c:pt>
                <c:pt idx="12">
                  <c:v>0.88628303009073539</c:v>
                </c:pt>
                <c:pt idx="13">
                  <c:v>0.91146474306976522</c:v>
                </c:pt>
                <c:pt idx="14">
                  <c:v>0.93098091693311624</c:v>
                </c:pt>
                <c:pt idx="15">
                  <c:v>0.94609441923781845</c:v>
                </c:pt>
                <c:pt idx="16">
                  <c:v>0.9578022934948649</c:v>
                </c:pt>
                <c:pt idx="17">
                  <c:v>0.96688224120610877</c:v>
                </c:pt>
                <c:pt idx="18">
                  <c:v>0.97393624222625275</c:v>
                </c:pt>
                <c:pt idx="19">
                  <c:v>0.97942809747927106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83-E44B-987F-FF034F5EF5C8}"/>
            </c:ext>
          </c:extLst>
        </c:ser>
        <c:ser>
          <c:idx val="1"/>
          <c:order val="1"/>
          <c:tx>
            <c:strRef>
              <c:f>'Ch. 2 - Distribution Summary'!$O$13</c:f>
              <c:strCache>
                <c:ptCount val="1"/>
                <c:pt idx="0">
                  <c:v>AVG = 1; SD = 0.65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Summary'!$O$35:$O$54</c:f>
              <c:numCache>
                <c:formatCode>0.00000</c:formatCode>
                <c:ptCount val="20"/>
                <c:pt idx="0">
                  <c:v>0.1879484473884909</c:v>
                </c:pt>
                <c:pt idx="1">
                  <c:v>0.46246789970196589</c:v>
                </c:pt>
                <c:pt idx="2">
                  <c:v>0.66471277700436815</c:v>
                </c:pt>
                <c:pt idx="3">
                  <c:v>0.79331314069584491</c:v>
                </c:pt>
                <c:pt idx="4">
                  <c:v>0.8724056270186723</c:v>
                </c:pt>
                <c:pt idx="5">
                  <c:v>0.92111964110500577</c:v>
                </c:pt>
                <c:pt idx="6">
                  <c:v>0.95153107020399397</c:v>
                </c:pt>
                <c:pt idx="7">
                  <c:v>0.97085279809134717</c:v>
                </c:pt>
                <c:pt idx="8">
                  <c:v>0.98335752610677529</c:v>
                </c:pt>
                <c:pt idx="9">
                  <c:v>0.99159795611528856</c:v>
                </c:pt>
                <c:pt idx="10">
                  <c:v>0.99712220209249669</c:v>
                </c:pt>
                <c:pt idx="11">
                  <c:v>1.0008854687820294</c:v>
                </c:pt>
                <c:pt idx="12">
                  <c:v>1.0034876415193912</c:v>
                </c:pt>
                <c:pt idx="13">
                  <c:v>1.0053120244755629</c:v>
                </c:pt>
                <c:pt idx="14">
                  <c:v>1.0066076104499442</c:v>
                </c:pt>
                <c:pt idx="15">
                  <c:v>1.0075386849188379</c:v>
                </c:pt>
                <c:pt idx="16">
                  <c:v>1.0082152414159404</c:v>
                </c:pt>
                <c:pt idx="17">
                  <c:v>1.0087119396812323</c:v>
                </c:pt>
                <c:pt idx="18">
                  <c:v>1.0090801099853732</c:v>
                </c:pt>
                <c:pt idx="19">
                  <c:v>1.0093554689459256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83-E44B-987F-FF034F5EF5C8}"/>
            </c:ext>
          </c:extLst>
        </c:ser>
        <c:ser>
          <c:idx val="2"/>
          <c:order val="2"/>
          <c:tx>
            <c:strRef>
              <c:f>'Ch. 2 - Distribution Summary'!$P$13</c:f>
              <c:strCache>
                <c:ptCount val="1"/>
                <c:pt idx="0">
                  <c:v>AVG = 0.75; SD = 1.25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Summary'!$P$35:$P$54</c:f>
              <c:numCache>
                <c:formatCode>0.00000</c:formatCode>
                <c:ptCount val="20"/>
                <c:pt idx="0">
                  <c:v>0.2665796823134397</c:v>
                </c:pt>
                <c:pt idx="1">
                  <c:v>0.42599162656500977</c:v>
                </c:pt>
                <c:pt idx="2">
                  <c:v>0.52831837782298297</c:v>
                </c:pt>
                <c:pt idx="3">
                  <c:v>0.59841119117663266</c:v>
                </c:pt>
                <c:pt idx="4">
                  <c:v>0.6488052130250721</c:v>
                </c:pt>
                <c:pt idx="5">
                  <c:v>0.68639113752420911</c:v>
                </c:pt>
                <c:pt idx="6">
                  <c:v>0.71524081167619047</c:v>
                </c:pt>
                <c:pt idx="7">
                  <c:v>0.73790211822386576</c:v>
                </c:pt>
                <c:pt idx="8">
                  <c:v>0.75604397403573353</c:v>
                </c:pt>
                <c:pt idx="9">
                  <c:v>0.77080103312689296</c:v>
                </c:pt>
                <c:pt idx="10">
                  <c:v>0.78296890586332624</c:v>
                </c:pt>
                <c:pt idx="11">
                  <c:v>0.79312016954059794</c:v>
                </c:pt>
                <c:pt idx="12">
                  <c:v>0.80167615132774717</c:v>
                </c:pt>
                <c:pt idx="13">
                  <c:v>0.80895289769393075</c:v>
                </c:pt>
                <c:pt idx="14">
                  <c:v>0.81519149648560552</c:v>
                </c:pt>
                <c:pt idx="15">
                  <c:v>0.8205785987530555</c:v>
                </c:pt>
                <c:pt idx="16">
                  <c:v>0.8252606248484663</c:v>
                </c:pt>
                <c:pt idx="17">
                  <c:v>0.82935379690222555</c:v>
                </c:pt>
                <c:pt idx="18">
                  <c:v>0.83295135114166063</c:v>
                </c:pt>
                <c:pt idx="19">
                  <c:v>0.83612880632204778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83-E44B-987F-FF034F5E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1.05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'Ch. 2 - Distribution Summary'!$Q$13</c:f>
              <c:strCache>
                <c:ptCount val="1"/>
                <c:pt idx="0">
                  <c:v>AVG = 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Summary'!$Q$14:$Q$33</c:f>
              <c:numCache>
                <c:formatCode>General</c:formatCode>
                <c:ptCount val="20"/>
                <c:pt idx="0">
                  <c:v>3.368973499542733E-2</c:v>
                </c:pt>
                <c:pt idx="1">
                  <c:v>8.4224337488568335E-2</c:v>
                </c:pt>
                <c:pt idx="2">
                  <c:v>0.14037389581428059</c:v>
                </c:pt>
                <c:pt idx="3">
                  <c:v>0.17546736976785074</c:v>
                </c:pt>
                <c:pt idx="4">
                  <c:v>0.17546736976785071</c:v>
                </c:pt>
                <c:pt idx="5">
                  <c:v>0.14622280813987559</c:v>
                </c:pt>
                <c:pt idx="6">
                  <c:v>0.104444862957054</c:v>
                </c:pt>
                <c:pt idx="7">
                  <c:v>6.5278039348158706E-2</c:v>
                </c:pt>
                <c:pt idx="8">
                  <c:v>3.6265577415643749E-2</c:v>
                </c:pt>
                <c:pt idx="9">
                  <c:v>1.8132788707821874E-2</c:v>
                </c:pt>
                <c:pt idx="10">
                  <c:v>8.2421766853735742E-3</c:v>
                </c:pt>
                <c:pt idx="11">
                  <c:v>3.4342402855723282E-3</c:v>
                </c:pt>
                <c:pt idx="12">
                  <c:v>1.3208616482970471E-3</c:v>
                </c:pt>
                <c:pt idx="13">
                  <c:v>4.7173630296323246E-4</c:v>
                </c:pt>
                <c:pt idx="14">
                  <c:v>1.5724543432107704E-4</c:v>
                </c:pt>
                <c:pt idx="15">
                  <c:v>4.9139198225336609E-5</c:v>
                </c:pt>
                <c:pt idx="16">
                  <c:v>1.4452705360393124E-5</c:v>
                </c:pt>
                <c:pt idx="17">
                  <c:v>4.0146403778869831E-6</c:v>
                </c:pt>
                <c:pt idx="18">
                  <c:v>1.0564843099702586E-6</c:v>
                </c:pt>
                <c:pt idx="19">
                  <c:v>2.6412107749256427E-7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F5-A04C-A43A-33987130B3DC}"/>
            </c:ext>
          </c:extLst>
        </c:ser>
        <c:ser>
          <c:idx val="0"/>
          <c:order val="1"/>
          <c:tx>
            <c:strRef>
              <c:f>'Ch. 2 - Distribution Summary'!$R$13</c:f>
              <c:strCache>
                <c:ptCount val="1"/>
                <c:pt idx="0">
                  <c:v>AVG = 10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Summary'!$R$14:$R$33</c:f>
              <c:numCache>
                <c:formatCode>General</c:formatCode>
                <c:ptCount val="20"/>
                <c:pt idx="0">
                  <c:v>4.5399929762484861E-4</c:v>
                </c:pt>
                <c:pt idx="1">
                  <c:v>2.2699964881242444E-3</c:v>
                </c:pt>
                <c:pt idx="2">
                  <c:v>7.5666549604141483E-3</c:v>
                </c:pt>
                <c:pt idx="3">
                  <c:v>1.8916637401035354E-2</c:v>
                </c:pt>
                <c:pt idx="4">
                  <c:v>3.7833274802070715E-2</c:v>
                </c:pt>
                <c:pt idx="5">
                  <c:v>6.3055458003451192E-2</c:v>
                </c:pt>
                <c:pt idx="6">
                  <c:v>9.0079225719215977E-2</c:v>
                </c:pt>
                <c:pt idx="7">
                  <c:v>0.11259903214901996</c:v>
                </c:pt>
                <c:pt idx="8">
                  <c:v>0.1251100357211333</c:v>
                </c:pt>
                <c:pt idx="9">
                  <c:v>0.1251100357211333</c:v>
                </c:pt>
                <c:pt idx="10">
                  <c:v>0.11373639611012118</c:v>
                </c:pt>
                <c:pt idx="11">
                  <c:v>9.4780330091767673E-2</c:v>
                </c:pt>
                <c:pt idx="12">
                  <c:v>7.2907946224436637E-2</c:v>
                </c:pt>
                <c:pt idx="13">
                  <c:v>5.2077104446026187E-2</c:v>
                </c:pt>
                <c:pt idx="14">
                  <c:v>3.4718069630684127E-2</c:v>
                </c:pt>
                <c:pt idx="15">
                  <c:v>2.1698793519177549E-2</c:v>
                </c:pt>
                <c:pt idx="16">
                  <c:v>1.2763996187751522E-2</c:v>
                </c:pt>
                <c:pt idx="17">
                  <c:v>7.0911089931952852E-3</c:v>
                </c:pt>
                <c:pt idx="18">
                  <c:v>3.7321626279975249E-3</c:v>
                </c:pt>
                <c:pt idx="19">
                  <c:v>1.8660813139987594E-3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F5-A04C-A43A-33987130B3DC}"/>
            </c:ext>
          </c:extLst>
        </c:ser>
        <c:ser>
          <c:idx val="2"/>
          <c:order val="2"/>
          <c:tx>
            <c:strRef>
              <c:f>'Ch. 2 - Distribution Summary'!$S$13</c:f>
              <c:strCache>
                <c:ptCount val="1"/>
                <c:pt idx="0">
                  <c:v>AVG = 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Summary'!$A$14:$A$33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Summary'!$S$14:$S$33</c:f>
              <c:numCache>
                <c:formatCode>General</c:formatCode>
                <c:ptCount val="20"/>
                <c:pt idx="0">
                  <c:v>4.5885348075273872E-6</c:v>
                </c:pt>
                <c:pt idx="1">
                  <c:v>3.4414011056455447E-5</c:v>
                </c:pt>
                <c:pt idx="2">
                  <c:v>1.7207005528227688E-4</c:v>
                </c:pt>
                <c:pt idx="3">
                  <c:v>6.4526270730853874E-4</c:v>
                </c:pt>
                <c:pt idx="4">
                  <c:v>1.9357881219256175E-3</c:v>
                </c:pt>
                <c:pt idx="5">
                  <c:v>4.839470304814038E-3</c:v>
                </c:pt>
                <c:pt idx="6">
                  <c:v>1.0370293510315797E-2</c:v>
                </c:pt>
                <c:pt idx="7">
                  <c:v>1.9444300331842138E-2</c:v>
                </c:pt>
                <c:pt idx="8">
                  <c:v>3.2407167219736882E-2</c:v>
                </c:pt>
                <c:pt idx="9">
                  <c:v>4.8610750829605344E-2</c:v>
                </c:pt>
                <c:pt idx="10">
                  <c:v>6.6287387494916333E-2</c:v>
                </c:pt>
                <c:pt idx="11">
                  <c:v>8.2859234368645451E-2</c:v>
                </c:pt>
                <c:pt idx="12">
                  <c:v>9.5606808886898584E-2</c:v>
                </c:pt>
                <c:pt idx="13">
                  <c:v>0.10243586666453419</c:v>
                </c:pt>
                <c:pt idx="14">
                  <c:v>0.10243586666453419</c:v>
                </c:pt>
                <c:pt idx="15">
                  <c:v>9.6033624998000819E-2</c:v>
                </c:pt>
                <c:pt idx="16">
                  <c:v>8.4735551468824222E-2</c:v>
                </c:pt>
                <c:pt idx="17">
                  <c:v>7.0612959557353555E-2</c:v>
                </c:pt>
                <c:pt idx="18">
                  <c:v>5.5747073334752775E-2</c:v>
                </c:pt>
                <c:pt idx="19">
                  <c:v>4.1810305001064599E-2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F5-A04C-A43A-33987130B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804232804232802"/>
          <c:y val="4.2866582236661017E-3"/>
          <c:w val="0.66666666666666663"/>
          <c:h val="0.3620560541820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1172228471441066"/>
          <c:h val="0.771383742473367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'Ch. 2 - Distribution Summary'!$Q$13</c:f>
              <c:strCache>
                <c:ptCount val="1"/>
                <c:pt idx="0">
                  <c:v>AVG = 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Summary'!$Q$35:$Q$54</c:f>
              <c:numCache>
                <c:formatCode>0.00000</c:formatCode>
                <c:ptCount val="20"/>
                <c:pt idx="0">
                  <c:v>3.368973499542733E-2</c:v>
                </c:pt>
                <c:pt idx="1">
                  <c:v>0.11791407248399566</c:v>
                </c:pt>
                <c:pt idx="2">
                  <c:v>0.25828796829827627</c:v>
                </c:pt>
                <c:pt idx="3">
                  <c:v>0.43375533806612698</c:v>
                </c:pt>
                <c:pt idx="4">
                  <c:v>0.60922270783397769</c:v>
                </c:pt>
                <c:pt idx="5">
                  <c:v>0.75544551597385334</c:v>
                </c:pt>
                <c:pt idx="6">
                  <c:v>0.85989037893090736</c:v>
                </c:pt>
                <c:pt idx="7">
                  <c:v>0.92516841827906604</c:v>
                </c:pt>
                <c:pt idx="8">
                  <c:v>0.96143399569470978</c:v>
                </c:pt>
                <c:pt idx="9">
                  <c:v>0.97956678440253164</c:v>
                </c:pt>
                <c:pt idx="10">
                  <c:v>0.98780896108790517</c:v>
                </c:pt>
                <c:pt idx="11">
                  <c:v>0.99124320137347754</c:v>
                </c:pt>
                <c:pt idx="12">
                  <c:v>0.99256406302177458</c:v>
                </c:pt>
                <c:pt idx="13">
                  <c:v>0.99303579932473784</c:v>
                </c:pt>
                <c:pt idx="14">
                  <c:v>0.9931930447590589</c:v>
                </c:pt>
                <c:pt idx="15">
                  <c:v>0.99324218395728425</c:v>
                </c:pt>
                <c:pt idx="16">
                  <c:v>0.99325663666264463</c:v>
                </c:pt>
                <c:pt idx="17">
                  <c:v>0.99326065130302255</c:v>
                </c:pt>
                <c:pt idx="18">
                  <c:v>0.99326170778733247</c:v>
                </c:pt>
                <c:pt idx="19">
                  <c:v>0.99326197190840992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2-9949-976A-427A7C1E6653}"/>
            </c:ext>
          </c:extLst>
        </c:ser>
        <c:ser>
          <c:idx val="1"/>
          <c:order val="1"/>
          <c:tx>
            <c:strRef>
              <c:f>'Ch. 2 - Distribution Summary'!$R$13</c:f>
              <c:strCache>
                <c:ptCount val="1"/>
                <c:pt idx="0">
                  <c:v>AVG = 10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Summary'!$R$35:$R$54</c:f>
              <c:numCache>
                <c:formatCode>0.00000</c:formatCode>
                <c:ptCount val="20"/>
                <c:pt idx="0">
                  <c:v>4.5399929762484861E-4</c:v>
                </c:pt>
                <c:pt idx="1">
                  <c:v>2.7239957857490928E-3</c:v>
                </c:pt>
                <c:pt idx="2">
                  <c:v>1.0290650746163241E-2</c:v>
                </c:pt>
                <c:pt idx="3">
                  <c:v>2.9207288147198595E-2</c:v>
                </c:pt>
                <c:pt idx="4">
                  <c:v>6.7040562949269314E-2</c:v>
                </c:pt>
                <c:pt idx="5">
                  <c:v>0.13009602095272049</c:v>
                </c:pt>
                <c:pt idx="6">
                  <c:v>0.22017524667193647</c:v>
                </c:pt>
                <c:pt idx="7">
                  <c:v>0.33277427882095645</c:v>
                </c:pt>
                <c:pt idx="8">
                  <c:v>0.45788431454208978</c:v>
                </c:pt>
                <c:pt idx="9">
                  <c:v>0.5829943502632231</c:v>
                </c:pt>
                <c:pt idx="10">
                  <c:v>0.69673074637334431</c:v>
                </c:pt>
                <c:pt idx="11">
                  <c:v>0.79151107646511198</c:v>
                </c:pt>
                <c:pt idx="12">
                  <c:v>0.86441902268954862</c:v>
                </c:pt>
                <c:pt idx="13">
                  <c:v>0.91649612713557482</c:v>
                </c:pt>
                <c:pt idx="14">
                  <c:v>0.95121419676625896</c:v>
                </c:pt>
                <c:pt idx="15">
                  <c:v>0.97291299028543654</c:v>
                </c:pt>
                <c:pt idx="16">
                  <c:v>0.98567698647318802</c:v>
                </c:pt>
                <c:pt idx="17">
                  <c:v>0.99276809546638334</c:v>
                </c:pt>
                <c:pt idx="18">
                  <c:v>0.99650025809438081</c:v>
                </c:pt>
                <c:pt idx="19">
                  <c:v>0.9983663394083796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12-9949-976A-427A7C1E6653}"/>
            </c:ext>
          </c:extLst>
        </c:ser>
        <c:ser>
          <c:idx val="2"/>
          <c:order val="2"/>
          <c:tx>
            <c:strRef>
              <c:f>'Ch. 2 - Distribution Summary'!$S$13</c:f>
              <c:strCache>
                <c:ptCount val="1"/>
                <c:pt idx="0">
                  <c:v>AVG = 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2 - Distribution Summary'!$A$35:$A$54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'Ch. 2 - Distribution Summary'!$S$35:$S$54</c:f>
              <c:numCache>
                <c:formatCode>0.00000</c:formatCode>
                <c:ptCount val="20"/>
                <c:pt idx="0">
                  <c:v>4.5885348075273872E-6</c:v>
                </c:pt>
                <c:pt idx="1">
                  <c:v>3.9002545863982837E-5</c:v>
                </c:pt>
                <c:pt idx="2">
                  <c:v>2.1107260114625973E-4</c:v>
                </c:pt>
                <c:pt idx="3">
                  <c:v>8.5633530845479844E-4</c:v>
                </c:pt>
                <c:pt idx="4">
                  <c:v>2.7921234303804159E-3</c:v>
                </c:pt>
                <c:pt idx="5">
                  <c:v>7.6315937351944538E-3</c:v>
                </c:pt>
                <c:pt idx="6">
                  <c:v>1.8001887245510252E-2</c:v>
                </c:pt>
                <c:pt idx="7">
                  <c:v>3.7446187577352394E-2</c:v>
                </c:pt>
                <c:pt idx="8">
                  <c:v>6.9853354797089276E-2</c:v>
                </c:pt>
                <c:pt idx="9">
                  <c:v>0.11846410562669463</c:v>
                </c:pt>
                <c:pt idx="10">
                  <c:v>0.18475149312161096</c:v>
                </c:pt>
                <c:pt idx="11">
                  <c:v>0.26761072749025638</c:v>
                </c:pt>
                <c:pt idx="12">
                  <c:v>0.36321753637715498</c:v>
                </c:pt>
                <c:pt idx="13">
                  <c:v>0.46565340304168917</c:v>
                </c:pt>
                <c:pt idx="14">
                  <c:v>0.56808926970622342</c:v>
                </c:pt>
                <c:pt idx="15">
                  <c:v>0.66412289470422425</c:v>
                </c:pt>
                <c:pt idx="16">
                  <c:v>0.74885844617304853</c:v>
                </c:pt>
                <c:pt idx="17">
                  <c:v>0.81947140573040211</c:v>
                </c:pt>
                <c:pt idx="18">
                  <c:v>0.87521847906515493</c:v>
                </c:pt>
                <c:pt idx="19">
                  <c:v>0.91702878406621957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12-9949-976A-427A7C1E6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81503"/>
        <c:axId val="564869759"/>
      </c:scatterChart>
      <c:valAx>
        <c:axId val="477881503"/>
        <c:scaling>
          <c:orientation val="minMax"/>
          <c:max val="20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crossBetween val="midCat"/>
        <c:majorUnit val="4"/>
        <c:minorUnit val="4"/>
      </c:valAx>
      <c:valAx>
        <c:axId val="564869759"/>
        <c:scaling>
          <c:orientation val="minMax"/>
          <c:max val="1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Binomial'!$D$7</c:f>
              <c:strCache>
                <c:ptCount val="1"/>
                <c:pt idx="0">
                  <c:v>p = 0.9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Binomial'!$A$8:$A$27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Binomial'!$D$8:$D$27</c:f>
              <c:numCache>
                <c:formatCode>0.00000</c:formatCode>
                <c:ptCount val="20"/>
                <c:pt idx="0">
                  <c:v>1.7999999999999935E-18</c:v>
                </c:pt>
                <c:pt idx="1">
                  <c:v>1.5390000000000012E-16</c:v>
                </c:pt>
                <c:pt idx="2">
                  <c:v>8.3105999999999958E-15</c:v>
                </c:pt>
                <c:pt idx="3">
                  <c:v>3.1788044999999865E-13</c:v>
                </c:pt>
                <c:pt idx="4">
                  <c:v>9.154956959999926E-12</c:v>
                </c:pt>
                <c:pt idx="5">
                  <c:v>2.0598653159999975E-10</c:v>
                </c:pt>
                <c:pt idx="6">
                  <c:v>3.7077575687999811E-9</c:v>
                </c:pt>
                <c:pt idx="7">
                  <c:v>5.4225954443699671E-8</c:v>
                </c:pt>
                <c:pt idx="8">
                  <c:v>6.5071145332439711E-7</c:v>
                </c:pt>
                <c:pt idx="9">
                  <c:v>6.442043387911556E-6</c:v>
                </c:pt>
                <c:pt idx="10">
                  <c:v>5.2707627719276334E-5</c:v>
                </c:pt>
                <c:pt idx="11">
                  <c:v>3.5577648710511479E-4</c:v>
                </c:pt>
                <c:pt idx="12">
                  <c:v>1.9704543901206363E-3</c:v>
                </c:pt>
                <c:pt idx="13">
                  <c:v>8.8670447555428602E-3</c:v>
                </c:pt>
                <c:pt idx="14">
                  <c:v>3.1921361119954361E-2</c:v>
                </c:pt>
                <c:pt idx="15">
                  <c:v>8.9778828149871676E-2</c:v>
                </c:pt>
                <c:pt idx="16">
                  <c:v>0.19011987137619876</c:v>
                </c:pt>
                <c:pt idx="17">
                  <c:v>0.28517980706429835</c:v>
                </c:pt>
                <c:pt idx="18">
                  <c:v>0.27017034353459851</c:v>
                </c:pt>
                <c:pt idx="19">
                  <c:v>0.12157665459056931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3-E343-9132-99D9EAB49182}"/>
            </c:ext>
          </c:extLst>
        </c:ser>
        <c:ser>
          <c:idx val="1"/>
          <c:order val="1"/>
          <c:tx>
            <c:strRef>
              <c:f>'CH. 2 - Binomial'!$E$7</c:f>
              <c:strCache>
                <c:ptCount val="1"/>
                <c:pt idx="0">
                  <c:v>p = 0.7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Binomial'!$A$8:$A$27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Binomial'!$E$8:$E$27</c:f>
              <c:numCache>
                <c:formatCode>0.00000</c:formatCode>
                <c:ptCount val="20"/>
                <c:pt idx="0">
                  <c:v>1.627166053800001E-9</c:v>
                </c:pt>
                <c:pt idx="1">
                  <c:v>3.606884752590013E-8</c:v>
                </c:pt>
                <c:pt idx="2">
                  <c:v>5.0496386536260129E-7</c:v>
                </c:pt>
                <c:pt idx="3">
                  <c:v>5.0075583315124709E-6</c:v>
                </c:pt>
                <c:pt idx="4">
                  <c:v>3.7389768875293041E-5</c:v>
                </c:pt>
                <c:pt idx="5">
                  <c:v>2.1810698510587605E-4</c:v>
                </c:pt>
                <c:pt idx="6">
                  <c:v>1.0178325971607529E-3</c:v>
                </c:pt>
                <c:pt idx="7">
                  <c:v>3.8592819309011951E-3</c:v>
                </c:pt>
                <c:pt idx="8">
                  <c:v>1.2006654896137036E-2</c:v>
                </c:pt>
                <c:pt idx="9">
                  <c:v>3.0817080900085028E-2</c:v>
                </c:pt>
                <c:pt idx="10">
                  <c:v>6.5369565545634972E-2</c:v>
                </c:pt>
                <c:pt idx="11">
                  <c:v>0.11439673970486115</c:v>
                </c:pt>
                <c:pt idx="12">
                  <c:v>0.16426198521723651</c:v>
                </c:pt>
                <c:pt idx="13">
                  <c:v>0.1916389827534426</c:v>
                </c:pt>
                <c:pt idx="14">
                  <c:v>0.17886305056987969</c:v>
                </c:pt>
                <c:pt idx="15">
                  <c:v>0.13042097437387062</c:v>
                </c:pt>
                <c:pt idx="16">
                  <c:v>7.1603672205262273E-2</c:v>
                </c:pt>
                <c:pt idx="17">
                  <c:v>2.7845872524268681E-2</c:v>
                </c:pt>
                <c:pt idx="18">
                  <c:v>6.8393371112238774E-3</c:v>
                </c:pt>
                <c:pt idx="19">
                  <c:v>7.9792266297611894E-4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3-E343-9132-99D9EAB49182}"/>
            </c:ext>
          </c:extLst>
        </c:ser>
        <c:ser>
          <c:idx val="2"/>
          <c:order val="2"/>
          <c:tx>
            <c:strRef>
              <c:f>'CH. 2 - Binomial'!$F$7</c:f>
              <c:strCache>
                <c:ptCount val="1"/>
                <c:pt idx="0">
                  <c:v>p = 0.5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numRef>
              <c:f>'CH. 2 - Binomial'!$A$8:$A$27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Binomial'!$F$8:$F$27</c:f>
              <c:numCache>
                <c:formatCode>0.00000</c:formatCode>
                <c:ptCount val="20"/>
                <c:pt idx="0">
                  <c:v>1.9073486328125034E-5</c:v>
                </c:pt>
                <c:pt idx="1">
                  <c:v>1.8119812011718755E-4</c:v>
                </c:pt>
                <c:pt idx="2">
                  <c:v>1.0871887207031263E-3</c:v>
                </c:pt>
                <c:pt idx="3">
                  <c:v>4.6205520629882752E-3</c:v>
                </c:pt>
                <c:pt idx="4">
                  <c:v>1.4785766601562502E-2</c:v>
                </c:pt>
                <c:pt idx="5">
                  <c:v>3.6964416503906257E-2</c:v>
                </c:pt>
                <c:pt idx="6">
                  <c:v>7.3928833007812458E-2</c:v>
                </c:pt>
                <c:pt idx="7">
                  <c:v>0.12013435363769531</c:v>
                </c:pt>
                <c:pt idx="8">
                  <c:v>0.16017913818359369</c:v>
                </c:pt>
                <c:pt idx="9">
                  <c:v>0.17619705200195307</c:v>
                </c:pt>
                <c:pt idx="10">
                  <c:v>0.16017913818359369</c:v>
                </c:pt>
                <c:pt idx="11">
                  <c:v>0.12013435363769531</c:v>
                </c:pt>
                <c:pt idx="12">
                  <c:v>7.3928833007812472E-2</c:v>
                </c:pt>
                <c:pt idx="13">
                  <c:v>3.6964416503906257E-2</c:v>
                </c:pt>
                <c:pt idx="14">
                  <c:v>1.4785766601562502E-2</c:v>
                </c:pt>
                <c:pt idx="15">
                  <c:v>4.6205520629882752E-3</c:v>
                </c:pt>
                <c:pt idx="16">
                  <c:v>1.0871887207031261E-3</c:v>
                </c:pt>
                <c:pt idx="17">
                  <c:v>1.8119812011718753E-4</c:v>
                </c:pt>
                <c:pt idx="18">
                  <c:v>1.9073486328125E-5</c:v>
                </c:pt>
                <c:pt idx="19">
                  <c:v>9.5367431640625E-7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3-E343-9132-99D9EAB49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7881503"/>
        <c:axId val="564869759"/>
      </c:barChart>
      <c:catAx>
        <c:axId val="477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564869759"/>
        <c:scaling>
          <c:orientation val="minMax"/>
          <c:max val="0.3000000000000000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427122940430925"/>
          <c:y val="2.2844977292411396E-3"/>
          <c:w val="0.31451528397353373"/>
          <c:h val="0.31145557182236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4035970913471"/>
          <c:y val="5.3860583603520147E-2"/>
          <c:w val="0.80694849619207432"/>
          <c:h val="0.77138374247336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2 - Binomial'!$D$7</c:f>
              <c:strCache>
                <c:ptCount val="1"/>
                <c:pt idx="0">
                  <c:v>p = 0.9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Binomial'!$A$29:$A$48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Binomial'!$D$29:$D$48</c:f>
              <c:numCache>
                <c:formatCode>0.00000</c:formatCode>
                <c:ptCount val="20"/>
                <c:pt idx="0">
                  <c:v>1.7999999999999935E-18</c:v>
                </c:pt>
                <c:pt idx="1">
                  <c:v>1.5570000000000012E-16</c:v>
                </c:pt>
                <c:pt idx="2">
                  <c:v>8.4662999999999964E-15</c:v>
                </c:pt>
                <c:pt idx="3">
                  <c:v>3.2634674999999865E-13</c:v>
                </c:pt>
                <c:pt idx="4">
                  <c:v>9.4813037099999243E-12</c:v>
                </c:pt>
                <c:pt idx="5">
                  <c:v>2.1546783530999966E-10</c:v>
                </c:pt>
                <c:pt idx="6">
                  <c:v>3.9232254041099806E-9</c:v>
                </c:pt>
                <c:pt idx="7">
                  <c:v>5.8149179847809651E-8</c:v>
                </c:pt>
                <c:pt idx="8">
                  <c:v>7.088606331722068E-7</c:v>
                </c:pt>
                <c:pt idx="9">
                  <c:v>7.1509040210837628E-6</c:v>
                </c:pt>
                <c:pt idx="10">
                  <c:v>5.9858531740360099E-5</c:v>
                </c:pt>
                <c:pt idx="11">
                  <c:v>4.156350188454749E-4</c:v>
                </c:pt>
                <c:pt idx="12">
                  <c:v>2.3860894089661111E-3</c:v>
                </c:pt>
                <c:pt idx="13">
                  <c:v>1.125313416450897E-2</c:v>
                </c:pt>
                <c:pt idx="14">
                  <c:v>4.3174495284463335E-2</c:v>
                </c:pt>
                <c:pt idx="15">
                  <c:v>0.13295332343433502</c:v>
                </c:pt>
                <c:pt idx="16">
                  <c:v>0.32307319481053376</c:v>
                </c:pt>
                <c:pt idx="17">
                  <c:v>0.60825300187483211</c:v>
                </c:pt>
                <c:pt idx="18">
                  <c:v>0.87842334540943057</c:v>
                </c:pt>
                <c:pt idx="19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1-EC48-B81A-F3755F65D9C0}"/>
            </c:ext>
          </c:extLst>
        </c:ser>
        <c:ser>
          <c:idx val="1"/>
          <c:order val="1"/>
          <c:tx>
            <c:strRef>
              <c:f>'CH. 2 - Binomial'!$E$7</c:f>
              <c:strCache>
                <c:ptCount val="1"/>
                <c:pt idx="0">
                  <c:v>p = 0.7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'CH. 2 - Binomial'!$A$29:$A$48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Binomial'!$E$29:$E$48</c:f>
              <c:numCache>
                <c:formatCode>0.00000</c:formatCode>
                <c:ptCount val="20"/>
                <c:pt idx="0">
                  <c:v>1.627166053800001E-9</c:v>
                </c:pt>
                <c:pt idx="1">
                  <c:v>3.7696013579700127E-8</c:v>
                </c:pt>
                <c:pt idx="2">
                  <c:v>5.4265987894230144E-7</c:v>
                </c:pt>
                <c:pt idx="3">
                  <c:v>5.5502182104547724E-6</c:v>
                </c:pt>
                <c:pt idx="4">
                  <c:v>4.2939987085747812E-5</c:v>
                </c:pt>
                <c:pt idx="5">
                  <c:v>2.6104697219162388E-4</c:v>
                </c:pt>
                <c:pt idx="6">
                  <c:v>1.2788795693523768E-3</c:v>
                </c:pt>
                <c:pt idx="7">
                  <c:v>5.1381615002535717E-3</c:v>
                </c:pt>
                <c:pt idx="8">
                  <c:v>1.7144816396390608E-2</c:v>
                </c:pt>
                <c:pt idx="9">
                  <c:v>4.7961897296475639E-2</c:v>
                </c:pt>
                <c:pt idx="10">
                  <c:v>0.11333146284211061</c:v>
                </c:pt>
                <c:pt idx="11">
                  <c:v>0.22772820254697176</c:v>
                </c:pt>
                <c:pt idx="12">
                  <c:v>0.39199018776420824</c:v>
                </c:pt>
                <c:pt idx="13">
                  <c:v>0.58362917051765084</c:v>
                </c:pt>
                <c:pt idx="14">
                  <c:v>0.76249222108753056</c:v>
                </c:pt>
                <c:pt idx="15">
                  <c:v>0.89291319546140113</c:v>
                </c:pt>
                <c:pt idx="16">
                  <c:v>0.96451686766666345</c:v>
                </c:pt>
                <c:pt idx="17">
                  <c:v>0.99236274019093218</c:v>
                </c:pt>
                <c:pt idx="18">
                  <c:v>0.99920207730215604</c:v>
                </c:pt>
                <c:pt idx="19">
                  <c:v>0.99999999996513211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11-EC48-B81A-F3755F65D9C0}"/>
            </c:ext>
          </c:extLst>
        </c:ser>
        <c:ser>
          <c:idx val="2"/>
          <c:order val="2"/>
          <c:tx>
            <c:strRef>
              <c:f>'CH. 2 - Binomial'!$F$7</c:f>
              <c:strCache>
                <c:ptCount val="1"/>
                <c:pt idx="0">
                  <c:v>p = 0.5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numRef>
              <c:f>'CH. 2 - Binomial'!$A$29:$A$48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'CH. 2 - Binomial'!$F$29:$F$48</c:f>
              <c:numCache>
                <c:formatCode>0.00000</c:formatCode>
                <c:ptCount val="20"/>
                <c:pt idx="0">
                  <c:v>1.9073486328125034E-5</c:v>
                </c:pt>
                <c:pt idx="1">
                  <c:v>2.0027160644531258E-4</c:v>
                </c:pt>
                <c:pt idx="2">
                  <c:v>1.2874603271484388E-3</c:v>
                </c:pt>
                <c:pt idx="3">
                  <c:v>5.9080123901367135E-3</c:v>
                </c:pt>
                <c:pt idx="4">
                  <c:v>2.0693778991699215E-2</c:v>
                </c:pt>
                <c:pt idx="5">
                  <c:v>5.7658195495605469E-2</c:v>
                </c:pt>
                <c:pt idx="6">
                  <c:v>0.13158702850341791</c:v>
                </c:pt>
                <c:pt idx="7">
                  <c:v>0.25172138214111323</c:v>
                </c:pt>
                <c:pt idx="8">
                  <c:v>0.41190052032470692</c:v>
                </c:pt>
                <c:pt idx="9">
                  <c:v>0.58809757232665993</c:v>
                </c:pt>
                <c:pt idx="10">
                  <c:v>0.74827671051025368</c:v>
                </c:pt>
                <c:pt idx="11">
                  <c:v>0.868411064147949</c:v>
                </c:pt>
                <c:pt idx="12">
                  <c:v>0.9423398971557615</c:v>
                </c:pt>
                <c:pt idx="13">
                  <c:v>0.97930431365966775</c:v>
                </c:pt>
                <c:pt idx="14">
                  <c:v>0.99409008026123025</c:v>
                </c:pt>
                <c:pt idx="15">
                  <c:v>0.99871063232421853</c:v>
                </c:pt>
                <c:pt idx="16">
                  <c:v>0.99979782104492165</c:v>
                </c:pt>
                <c:pt idx="17">
                  <c:v>0.99997901916503884</c:v>
                </c:pt>
                <c:pt idx="18">
                  <c:v>0.99999809265136697</c:v>
                </c:pt>
                <c:pt idx="19">
                  <c:v>0.99999904632568337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11-EC48-B81A-F3755F65D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7881503"/>
        <c:axId val="564869759"/>
      </c:barChart>
      <c:catAx>
        <c:axId val="4778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69759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564869759"/>
        <c:scaling>
          <c:orientation val="minMax"/>
          <c:max val="1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8150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53052743407077"/>
          <c:y val="9.3791776027996501E-2"/>
          <c:w val="0.75442788401449823"/>
          <c:h val="0.75013385826771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'Ch. 3 - Levels of Aggregating'!$D$1</c:f>
              <c:strCache>
                <c:ptCount val="1"/>
                <c:pt idx="0">
                  <c:v>response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'Ch. 3 - Levels of Aggregating'!$C$2:$C$1000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'Ch. 3 - Levels of Aggregating'!$D$2:$D$1000</c:f>
              <c:numCache>
                <c:formatCode>General</c:formatCode>
                <c:ptCount val="99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A-7041-B249-5347034C0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57471"/>
        <c:axId val="569483167"/>
      </c:scatterChart>
      <c:valAx>
        <c:axId val="569757471"/>
        <c:scaling>
          <c:orientation val="minMax"/>
          <c:max val="3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Total Therapy Minutes</a:t>
                </a:r>
              </a:p>
            </c:rich>
          </c:tx>
          <c:layout>
            <c:manualLayout>
              <c:xMode val="edge"/>
              <c:yMode val="edge"/>
              <c:x val="0.39083177102862132"/>
              <c:y val="0.92222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83167"/>
        <c:crosses val="autoZero"/>
        <c:crossBetween val="midCat"/>
        <c:majorUnit val="30"/>
      </c:valAx>
      <c:valAx>
        <c:axId val="569483167"/>
        <c:scaling>
          <c:orientation val="minMax"/>
          <c:max val="1.190000000000000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Response Occurred </a:t>
                </a:r>
              </a:p>
              <a:p>
                <a:pPr>
                  <a:defRPr sz="2400">
                    <a:solidFill>
                      <a:schemeClr val="tx1"/>
                    </a:solidFill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(1 = Yes, 0 = No)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5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52611096026789"/>
          <c:y val="5.2125109361329837E-2"/>
          <c:w val="0.72582903430174672"/>
          <c:h val="0.79180052493438324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'Ch. 3 - Levels of Aggregating'!$E$1</c:f>
              <c:strCache>
                <c:ptCount val="1"/>
                <c:pt idx="0">
                  <c:v>session_aggregate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20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A3-6441-BB61-FF2DB4DC3926}"/>
              </c:ext>
            </c:extLst>
          </c:dPt>
          <c:xVal>
            <c:numRef>
              <c:f>'Ch. 3 - Levels of Aggregating'!$B$2:$B$1000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</c:numCache>
            </c:numRef>
          </c:xVal>
          <c:yVal>
            <c:numRef>
              <c:f>'Ch. 3 - Levels of Aggregating'!$E$2:$E$1000</c:f>
              <c:numCache>
                <c:formatCode>General</c:formatCode>
                <c:ptCount val="999"/>
                <c:pt idx="0">
                  <c:v>18</c:v>
                </c:pt>
                <c:pt idx="30">
                  <c:v>18</c:v>
                </c:pt>
                <c:pt idx="60">
                  <c:v>20</c:v>
                </c:pt>
                <c:pt idx="90">
                  <c:v>19</c:v>
                </c:pt>
                <c:pt idx="120">
                  <c:v>17</c:v>
                </c:pt>
                <c:pt idx="150">
                  <c:v>15</c:v>
                </c:pt>
                <c:pt idx="180">
                  <c:v>18</c:v>
                </c:pt>
                <c:pt idx="210">
                  <c:v>11</c:v>
                </c:pt>
                <c:pt idx="240">
                  <c:v>14</c:v>
                </c:pt>
                <c:pt idx="27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A3-6441-BB61-FF2DB4DC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57471"/>
        <c:axId val="569483167"/>
      </c:scatterChart>
      <c:valAx>
        <c:axId val="569757471"/>
        <c:scaling>
          <c:orientation val="minMax"/>
          <c:max val="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Session Number</a:t>
                </a:r>
              </a:p>
            </c:rich>
          </c:tx>
          <c:layout>
            <c:manualLayout>
              <c:xMode val="edge"/>
              <c:yMode val="edge"/>
              <c:x val="0.40472065991751033"/>
              <c:y val="0.92222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83167"/>
        <c:crosses val="autoZero"/>
        <c:crossBetween val="midCat"/>
      </c:valAx>
      <c:valAx>
        <c:axId val="569483167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Responses per Session</a:t>
                </a:r>
              </a:p>
            </c:rich>
          </c:tx>
          <c:layout>
            <c:manualLayout>
              <c:xMode val="edge"/>
              <c:yMode val="edge"/>
              <c:x val="1.4220781530084666E-3"/>
              <c:y val="0.13868060070182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5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67039497760728"/>
          <c:y val="4.656955380577428E-2"/>
          <c:w val="0.68139856075334759"/>
          <c:h val="0.825448818897637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'Ch. 3 - Levels of Aggregating'!$Q$56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'Ch. 3 - Levels of Aggregating'!$R$56:$S$56</c:f>
              <c:numCache>
                <c:formatCode>General</c:formatCode>
                <c:ptCount val="2"/>
                <c:pt idx="0">
                  <c:v>18.75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3-E04A-BE9C-D2A13B43030F}"/>
            </c:ext>
          </c:extLst>
        </c:ser>
        <c:ser>
          <c:idx val="1"/>
          <c:order val="1"/>
          <c:tx>
            <c:strRef>
              <c:f>'Ch. 3 - Levels of Aggregating'!$Q$57</c:f>
              <c:strCache>
                <c:ptCount val="1"/>
                <c:pt idx="0">
                  <c:v>Intervention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'Ch. 3 - Levels of Aggregating'!$R$57:$S$57</c:f>
              <c:numCache>
                <c:formatCode>General</c:formatCode>
                <c:ptCount val="2"/>
                <c:pt idx="0">
                  <c:v>15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3-E04A-BE9C-D2A13B430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172549023"/>
        <c:axId val="172734767"/>
      </c:barChart>
      <c:catAx>
        <c:axId val="172549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767"/>
        <c:crosses val="autoZero"/>
        <c:auto val="1"/>
        <c:lblAlgn val="ctr"/>
        <c:lblOffset val="100"/>
        <c:noMultiLvlLbl val="0"/>
      </c:catAx>
      <c:valAx>
        <c:axId val="172734767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Responses</a:t>
                </a:r>
              </a:p>
            </c:rich>
          </c:tx>
          <c:layout>
            <c:manualLayout>
              <c:xMode val="edge"/>
              <c:yMode val="edge"/>
              <c:x val="1.4417157325384598E-2"/>
              <c:y val="0.27792725240456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902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58005249343835"/>
          <c:y val="2.3033683289588819E-3"/>
          <c:w val="0.27854104443841066"/>
          <c:h val="0.1754744094488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8092738407698"/>
          <c:y val="3.8209470391543522E-2"/>
          <c:w val="0.82272462817147851"/>
          <c:h val="0.923581059216912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'Ch. 3- Means'!$C$1</c:f>
              <c:strCache>
                <c:ptCount val="1"/>
                <c:pt idx="0">
                  <c:v>Symmetric Data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Means'!$B$2:$B$28</c:f>
              <c:numCache>
                <c:formatCode>0.00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10.211680958273064</c:v>
                </c:pt>
                <c:pt idx="22">
                  <c:v>10.211680958273064</c:v>
                </c:pt>
                <c:pt idx="23">
                  <c:v>10.038702312944356</c:v>
                </c:pt>
                <c:pt idx="24">
                  <c:v>10.038702312944356</c:v>
                </c:pt>
                <c:pt idx="25">
                  <c:v>9.8607708528719566</c:v>
                </c:pt>
                <c:pt idx="26">
                  <c:v>9.8607708528719566</c:v>
                </c:pt>
              </c:numCache>
            </c:numRef>
          </c:xVal>
          <c:yVal>
            <c:numRef>
              <c:f>'Ch. 3- Means'!$C$2:$C$28</c:f>
              <c:numCache>
                <c:formatCode>General</c:formatCode>
                <c:ptCount val="27"/>
                <c:pt idx="0">
                  <c:v>6.6094050130385825E-8</c:v>
                </c:pt>
                <c:pt idx="1">
                  <c:v>1.0783409458240812E-6</c:v>
                </c:pt>
                <c:pt idx="2">
                  <c:v>1.3197465101934181E-5</c:v>
                </c:pt>
                <c:pt idx="3">
                  <c:v>1.211617796710498E-4</c:v>
                </c:pt>
                <c:pt idx="4">
                  <c:v>8.3441376669141283E-4</c:v>
                </c:pt>
                <c:pt idx="5">
                  <c:v>4.3106024669446958E-3</c:v>
                </c:pt>
                <c:pt idx="6">
                  <c:v>1.670456539177622E-2</c:v>
                </c:pt>
                <c:pt idx="7">
                  <c:v>4.8559374531393439E-2</c:v>
                </c:pt>
                <c:pt idx="8">
                  <c:v>0.10588920381621167</c:v>
                </c:pt>
                <c:pt idx="9">
                  <c:v>0.1732092084209097</c:v>
                </c:pt>
                <c:pt idx="10">
                  <c:v>0.21253524817308928</c:v>
                </c:pt>
                <c:pt idx="11">
                  <c:v>0.19562828670181903</c:v>
                </c:pt>
                <c:pt idx="12">
                  <c:v>0.13507439525008388</c:v>
                </c:pt>
                <c:pt idx="13">
                  <c:v>6.996085487407061E-2</c:v>
                </c:pt>
                <c:pt idx="14">
                  <c:v>2.7181779107778557E-2</c:v>
                </c:pt>
                <c:pt idx="15">
                  <c:v>7.9221187041217753E-3</c:v>
                </c:pt>
                <c:pt idx="16">
                  <c:v>1.7319905082219887E-3</c:v>
                </c:pt>
                <c:pt idx="17">
                  <c:v>2.8404710359161879E-4</c:v>
                </c:pt>
                <c:pt idx="18">
                  <c:v>3.4944265639543012E-5</c:v>
                </c:pt>
                <c:pt idx="19">
                  <c:v>3.2247954064129037E-6</c:v>
                </c:pt>
                <c:pt idx="20">
                  <c:v>2.2323850751255204E-7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72-DD4E-B685-410DF334D422}"/>
            </c:ext>
          </c:extLst>
        </c:ser>
        <c:ser>
          <c:idx val="1"/>
          <c:order val="1"/>
          <c:tx>
            <c:strRef>
              <c:f>'Ch. 3- Means'!$D$1</c:f>
              <c:strCache>
                <c:ptCount val="1"/>
                <c:pt idx="0">
                  <c:v>Arithmetic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Means'!$B$2:$B$28</c:f>
              <c:numCache>
                <c:formatCode>0.00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10.211680958273064</c:v>
                </c:pt>
                <c:pt idx="22">
                  <c:v>10.211680958273064</c:v>
                </c:pt>
                <c:pt idx="23">
                  <c:v>10.038702312944356</c:v>
                </c:pt>
                <c:pt idx="24">
                  <c:v>10.038702312944356</c:v>
                </c:pt>
                <c:pt idx="25">
                  <c:v>9.8607708528719566</c:v>
                </c:pt>
                <c:pt idx="26">
                  <c:v>9.8607708528719566</c:v>
                </c:pt>
              </c:numCache>
            </c:numRef>
          </c:xVal>
          <c:yVal>
            <c:numRef>
              <c:f>'Ch. 3- Means'!$D$2:$D$28</c:f>
              <c:numCache>
                <c:formatCode>General</c:formatCode>
                <c:ptCount val="27"/>
                <c:pt idx="21">
                  <c:v>0</c:v>
                </c:pt>
                <c:pt idx="22">
                  <c:v>0.21253524817308928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72-DD4E-B685-410DF334D422}"/>
            </c:ext>
          </c:extLst>
        </c:ser>
        <c:ser>
          <c:idx val="2"/>
          <c:order val="2"/>
          <c:tx>
            <c:strRef>
              <c:f>'Ch. 3- Means'!$E$1</c:f>
              <c:strCache>
                <c:ptCount val="1"/>
                <c:pt idx="0">
                  <c:v>Geo 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Means'!$B$2:$B$28</c:f>
              <c:numCache>
                <c:formatCode>0.00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10.211680958273064</c:v>
                </c:pt>
                <c:pt idx="22">
                  <c:v>10.211680958273064</c:v>
                </c:pt>
                <c:pt idx="23">
                  <c:v>10.038702312944356</c:v>
                </c:pt>
                <c:pt idx="24">
                  <c:v>10.038702312944356</c:v>
                </c:pt>
                <c:pt idx="25">
                  <c:v>9.8607708528719566</c:v>
                </c:pt>
                <c:pt idx="26">
                  <c:v>9.8607708528719566</c:v>
                </c:pt>
              </c:numCache>
            </c:numRef>
          </c:xVal>
          <c:yVal>
            <c:numRef>
              <c:f>'Ch. 3- Means'!$E$2:$E$28</c:f>
              <c:numCache>
                <c:formatCode>General</c:formatCode>
                <c:ptCount val="27"/>
                <c:pt idx="23">
                  <c:v>0</c:v>
                </c:pt>
                <c:pt idx="24">
                  <c:v>0.21253524817308928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72-DD4E-B685-410DF334D422}"/>
            </c:ext>
          </c:extLst>
        </c:ser>
        <c:ser>
          <c:idx val="3"/>
          <c:order val="3"/>
          <c:tx>
            <c:strRef>
              <c:f>'Ch. 3- Means'!$F$1</c:f>
              <c:strCache>
                <c:ptCount val="1"/>
                <c:pt idx="0">
                  <c:v>Harmonic Mean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Means'!$B$2:$B$28</c:f>
              <c:numCache>
                <c:formatCode>0.00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10.211680958273064</c:v>
                </c:pt>
                <c:pt idx="22">
                  <c:v>10.211680958273064</c:v>
                </c:pt>
                <c:pt idx="23">
                  <c:v>10.038702312944356</c:v>
                </c:pt>
                <c:pt idx="24">
                  <c:v>10.038702312944356</c:v>
                </c:pt>
                <c:pt idx="25">
                  <c:v>9.8607708528719566</c:v>
                </c:pt>
                <c:pt idx="26">
                  <c:v>9.8607708528719566</c:v>
                </c:pt>
              </c:numCache>
            </c:numRef>
          </c:xVal>
          <c:yVal>
            <c:numRef>
              <c:f>'Ch. 3- Means'!$F$2:$F$28</c:f>
              <c:numCache>
                <c:formatCode>General</c:formatCode>
                <c:ptCount val="27"/>
                <c:pt idx="25">
                  <c:v>0</c:v>
                </c:pt>
                <c:pt idx="26">
                  <c:v>0.21253524817308928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72-DD4E-B685-410DF334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657151"/>
        <c:axId val="1640990143"/>
      </c:scatterChart>
      <c:valAx>
        <c:axId val="1623657151"/>
        <c:scaling>
          <c:orientation val="minMax"/>
          <c:max val="17"/>
          <c:min val="3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990143"/>
        <c:crosses val="autoZero"/>
        <c:crossBetween val="midCat"/>
      </c:valAx>
      <c:valAx>
        <c:axId val="1640990143"/>
        <c:scaling>
          <c:orientation val="minMax"/>
          <c:min val="0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657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361242344706906"/>
          <c:y val="3.2407407407407406E-2"/>
          <c:w val="0.31666382327209103"/>
          <c:h val="0.219900481189851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8092738407698"/>
          <c:y val="3.8209470391543522E-2"/>
          <c:w val="0.82272462817147851"/>
          <c:h val="0.923581059216912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'Ch. 3- Means'!$I$1</c:f>
              <c:strCache>
                <c:ptCount val="1"/>
                <c:pt idx="0">
                  <c:v>Skewed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Means'!$B$2:$B$28</c:f>
              <c:numCache>
                <c:formatCode>0.00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10.211680958273064</c:v>
                </c:pt>
                <c:pt idx="22">
                  <c:v>10.211680958273064</c:v>
                </c:pt>
                <c:pt idx="23">
                  <c:v>10.038702312944356</c:v>
                </c:pt>
                <c:pt idx="24">
                  <c:v>10.038702312944356</c:v>
                </c:pt>
                <c:pt idx="25">
                  <c:v>9.8607708528719566</c:v>
                </c:pt>
                <c:pt idx="26">
                  <c:v>9.8607708528719566</c:v>
                </c:pt>
              </c:numCache>
            </c:numRef>
          </c:xVal>
          <c:yVal>
            <c:numRef>
              <c:f>'Ch. 3- Means'!$I$2:$I$28</c:f>
              <c:numCache>
                <c:formatCode>General</c:formatCode>
                <c:ptCount val="27"/>
                <c:pt idx="0">
                  <c:v>0.1879484473884909</c:v>
                </c:pt>
                <c:pt idx="1">
                  <c:v>0.27451945231347502</c:v>
                </c:pt>
                <c:pt idx="2">
                  <c:v>0.20224487730240223</c:v>
                </c:pt>
                <c:pt idx="3">
                  <c:v>0.12860036369147676</c:v>
                </c:pt>
                <c:pt idx="4">
                  <c:v>7.9092486322827435E-2</c:v>
                </c:pt>
                <c:pt idx="5">
                  <c:v>4.8714014086333413E-2</c:v>
                </c:pt>
                <c:pt idx="6">
                  <c:v>3.0411429098988221E-2</c:v>
                </c:pt>
                <c:pt idx="7">
                  <c:v>1.9321727887353219E-2</c:v>
                </c:pt>
                <c:pt idx="8">
                  <c:v>1.2504728015428105E-2</c:v>
                </c:pt>
                <c:pt idx="9">
                  <c:v>8.2404300085132144E-3</c:v>
                </c:pt>
                <c:pt idx="10">
                  <c:v>5.5242459772081353E-3</c:v>
                </c:pt>
                <c:pt idx="11">
                  <c:v>3.7632666895327407E-3</c:v>
                </c:pt>
                <c:pt idx="12">
                  <c:v>2.6021727373617782E-3</c:v>
                </c:pt>
                <c:pt idx="13">
                  <c:v>1.8243829561718054E-3</c:v>
                </c:pt>
                <c:pt idx="14">
                  <c:v>1.2955859743813455E-3</c:v>
                </c:pt>
                <c:pt idx="15">
                  <c:v>9.3107446889370896E-4</c:v>
                </c:pt>
                <c:pt idx="16">
                  <c:v>6.7655649710261973E-4</c:v>
                </c:pt>
                <c:pt idx="17">
                  <c:v>4.9669826529182785E-4</c:v>
                </c:pt>
                <c:pt idx="18">
                  <c:v>3.6817030414090053E-4</c:v>
                </c:pt>
                <c:pt idx="19">
                  <c:v>2.7535896055232595E-4</c:v>
                </c:pt>
                <c:pt idx="20">
                  <c:v>2.7535896055232595E-4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3C-5747-A646-0BAE91B2A262}"/>
            </c:ext>
          </c:extLst>
        </c:ser>
        <c:ser>
          <c:idx val="1"/>
          <c:order val="1"/>
          <c:tx>
            <c:strRef>
              <c:f>'Ch. 3- Means'!$J$1</c:f>
              <c:strCache>
                <c:ptCount val="1"/>
                <c:pt idx="0">
                  <c:v>Arithmetic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Means'!$H$2:$H$28</c:f>
              <c:numCache>
                <c:formatCode>0.00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4.8077658471737048E-2</c:v>
                </c:pt>
                <c:pt idx="22">
                  <c:v>4.8077658471737048E-2</c:v>
                </c:pt>
                <c:pt idx="23">
                  <c:v>6.8455778125473335E-3</c:v>
                </c:pt>
                <c:pt idx="24">
                  <c:v>6.8455778125473335E-3</c:v>
                </c:pt>
                <c:pt idx="25">
                  <c:v>1.2326392172372037E-3</c:v>
                </c:pt>
                <c:pt idx="26">
                  <c:v>1.2326392172372037E-3</c:v>
                </c:pt>
              </c:numCache>
            </c:numRef>
          </c:xVal>
          <c:yVal>
            <c:numRef>
              <c:f>'Ch. 3- Means'!$J$2:$J$28</c:f>
              <c:numCache>
                <c:formatCode>General</c:formatCode>
                <c:ptCount val="27"/>
                <c:pt idx="21">
                  <c:v>0</c:v>
                </c:pt>
                <c:pt idx="22">
                  <c:v>0.27451945231347502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3C-5747-A646-0BAE91B2A262}"/>
            </c:ext>
          </c:extLst>
        </c:ser>
        <c:ser>
          <c:idx val="2"/>
          <c:order val="2"/>
          <c:tx>
            <c:strRef>
              <c:f>'Ch. 3- Means'!$K$1</c:f>
              <c:strCache>
                <c:ptCount val="1"/>
                <c:pt idx="0">
                  <c:v>Geo Mean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Means'!$H$2:$H$28</c:f>
              <c:numCache>
                <c:formatCode>0.00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4.8077658471737048E-2</c:v>
                </c:pt>
                <c:pt idx="22">
                  <c:v>4.8077658471737048E-2</c:v>
                </c:pt>
                <c:pt idx="23">
                  <c:v>6.8455778125473335E-3</c:v>
                </c:pt>
                <c:pt idx="24">
                  <c:v>6.8455778125473335E-3</c:v>
                </c:pt>
                <c:pt idx="25">
                  <c:v>1.2326392172372037E-3</c:v>
                </c:pt>
                <c:pt idx="26">
                  <c:v>1.2326392172372037E-3</c:v>
                </c:pt>
              </c:numCache>
            </c:numRef>
          </c:xVal>
          <c:yVal>
            <c:numRef>
              <c:f>'Ch. 3- Means'!$K$2:$K$28</c:f>
              <c:numCache>
                <c:formatCode>General</c:formatCode>
                <c:ptCount val="27"/>
                <c:pt idx="23">
                  <c:v>0</c:v>
                </c:pt>
                <c:pt idx="24">
                  <c:v>0.27451945231347502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3C-5747-A646-0BAE91B2A262}"/>
            </c:ext>
          </c:extLst>
        </c:ser>
        <c:ser>
          <c:idx val="3"/>
          <c:order val="3"/>
          <c:tx>
            <c:strRef>
              <c:f>'Ch. 3- Means'!$L$1</c:f>
              <c:strCache>
                <c:ptCount val="1"/>
                <c:pt idx="0">
                  <c:v>Harmonic Mean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'Ch. 3- Means'!$H$2:$H$28</c:f>
              <c:numCache>
                <c:formatCode>0.00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4.8077658471737048E-2</c:v>
                </c:pt>
                <c:pt idx="22">
                  <c:v>4.8077658471737048E-2</c:v>
                </c:pt>
                <c:pt idx="23">
                  <c:v>6.8455778125473335E-3</c:v>
                </c:pt>
                <c:pt idx="24">
                  <c:v>6.8455778125473335E-3</c:v>
                </c:pt>
                <c:pt idx="25">
                  <c:v>1.2326392172372037E-3</c:v>
                </c:pt>
                <c:pt idx="26">
                  <c:v>1.2326392172372037E-3</c:v>
                </c:pt>
              </c:numCache>
            </c:numRef>
          </c:xVal>
          <c:yVal>
            <c:numRef>
              <c:f>'Ch. 3- Means'!$L$2:$L$28</c:f>
              <c:numCache>
                <c:formatCode>General</c:formatCode>
                <c:ptCount val="27"/>
                <c:pt idx="25">
                  <c:v>0</c:v>
                </c:pt>
                <c:pt idx="26">
                  <c:v>0.27451945231347502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3C-5747-A646-0BAE91B2A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657151"/>
        <c:axId val="1640990143"/>
      </c:scatterChart>
      <c:valAx>
        <c:axId val="1623657151"/>
        <c:scaling>
          <c:orientation val="minMax"/>
          <c:min val="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990143"/>
        <c:crosses val="autoZero"/>
        <c:crossBetween val="midCat"/>
      </c:valAx>
      <c:valAx>
        <c:axId val="1640990143"/>
        <c:scaling>
          <c:orientation val="minMax"/>
          <c:min val="0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657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361242344706906"/>
          <c:y val="3.2407407407407406E-2"/>
          <c:w val="0.31666382327209103"/>
          <c:h val="0.219900481189851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4.1'!$B$1</c:f>
              <c:strCache>
                <c:ptCount val="1"/>
                <c:pt idx="0">
                  <c:v>Raw Data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4.1'!$B$2:$B$31</c:f>
              <c:numCache>
                <c:formatCode>General</c:formatCode>
                <c:ptCount val="30"/>
                <c:pt idx="0">
                  <c:v>5.1542735184945565E-2</c:v>
                </c:pt>
                <c:pt idx="1">
                  <c:v>1.0725661776091511</c:v>
                </c:pt>
                <c:pt idx="2">
                  <c:v>1</c:v>
                </c:pt>
                <c:pt idx="3">
                  <c:v>0</c:v>
                </c:pt>
                <c:pt idx="4">
                  <c:v>0.83032815443203101</c:v>
                </c:pt>
                <c:pt idx="5">
                  <c:v>0.26866428743138115</c:v>
                </c:pt>
                <c:pt idx="6">
                  <c:v>5.4327864852431986</c:v>
                </c:pt>
                <c:pt idx="7">
                  <c:v>4.8042848384290266</c:v>
                </c:pt>
                <c:pt idx="8">
                  <c:v>3.0310422806501025</c:v>
                </c:pt>
                <c:pt idx="9">
                  <c:v>0</c:v>
                </c:pt>
                <c:pt idx="10">
                  <c:v>1.1951145137102646</c:v>
                </c:pt>
                <c:pt idx="11">
                  <c:v>3.7557696132403158</c:v>
                </c:pt>
                <c:pt idx="12">
                  <c:v>2.6335601027744926</c:v>
                </c:pt>
                <c:pt idx="13">
                  <c:v>6.4401744431299814</c:v>
                </c:pt>
                <c:pt idx="14">
                  <c:v>3.8335963407804798</c:v>
                </c:pt>
                <c:pt idx="15">
                  <c:v>6.2871949305560522</c:v>
                </c:pt>
                <c:pt idx="16">
                  <c:v>5.1146916268440901</c:v>
                </c:pt>
                <c:pt idx="17">
                  <c:v>8.6532711108987623</c:v>
                </c:pt>
                <c:pt idx="18">
                  <c:v>11.222199511115349</c:v>
                </c:pt>
                <c:pt idx="19">
                  <c:v>14.475620152167791</c:v>
                </c:pt>
                <c:pt idx="20">
                  <c:v>16.197976879494178</c:v>
                </c:pt>
                <c:pt idx="21">
                  <c:v>13.921760819168995</c:v>
                </c:pt>
                <c:pt idx="22">
                  <c:v>8.8930895334961644</c:v>
                </c:pt>
                <c:pt idx="23">
                  <c:v>11</c:v>
                </c:pt>
                <c:pt idx="24">
                  <c:v>13</c:v>
                </c:pt>
                <c:pt idx="25">
                  <c:v>17.186780127177137</c:v>
                </c:pt>
                <c:pt idx="26">
                  <c:v>20</c:v>
                </c:pt>
                <c:pt idx="27">
                  <c:v>19.382848849166038</c:v>
                </c:pt>
                <c:pt idx="28">
                  <c:v>20.113185556508856</c:v>
                </c:pt>
                <c:pt idx="29">
                  <c:v>18.144601978919503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0-C84C-B64B-7B2FB979C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4.1'!$C$1</c:f>
              <c:strCache>
                <c:ptCount val="1"/>
                <c:pt idx="0">
                  <c:v>Raw Data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4.1'!$C$2:$C$31</c:f>
              <c:numCache>
                <c:formatCode>General</c:formatCode>
                <c:ptCount val="30"/>
                <c:pt idx="0">
                  <c:v>11.071211954695173</c:v>
                </c:pt>
                <c:pt idx="1">
                  <c:v>8.2051622282597236</c:v>
                </c:pt>
                <c:pt idx="2">
                  <c:v>6.8338579492410645</c:v>
                </c:pt>
                <c:pt idx="3">
                  <c:v>12.0547685027122</c:v>
                </c:pt>
                <c:pt idx="4">
                  <c:v>9.8679186319350265</c:v>
                </c:pt>
                <c:pt idx="5">
                  <c:v>5.8414628054015338</c:v>
                </c:pt>
                <c:pt idx="6">
                  <c:v>12.681244950508699</c:v>
                </c:pt>
                <c:pt idx="7">
                  <c:v>5.3517544781789184</c:v>
                </c:pt>
                <c:pt idx="8">
                  <c:v>6.9849704939406365</c:v>
                </c:pt>
                <c:pt idx="9">
                  <c:v>10.298978193313815</c:v>
                </c:pt>
                <c:pt idx="10">
                  <c:v>7.5176706357160583</c:v>
                </c:pt>
                <c:pt idx="11">
                  <c:v>12.872307049983647</c:v>
                </c:pt>
                <c:pt idx="12">
                  <c:v>18.588135324302101</c:v>
                </c:pt>
                <c:pt idx="13">
                  <c:v>22.605806806357499</c:v>
                </c:pt>
                <c:pt idx="14">
                  <c:v>30.844158082851202</c:v>
                </c:pt>
                <c:pt idx="15">
                  <c:v>26.328523128700901</c:v>
                </c:pt>
                <c:pt idx="16">
                  <c:v>13.178574843332171</c:v>
                </c:pt>
                <c:pt idx="17">
                  <c:v>12.023402885242831</c:v>
                </c:pt>
                <c:pt idx="18">
                  <c:v>11.620473994989879</c:v>
                </c:pt>
                <c:pt idx="19">
                  <c:v>14.283283487893641</c:v>
                </c:pt>
                <c:pt idx="20">
                  <c:v>8.4691976351314224</c:v>
                </c:pt>
                <c:pt idx="21">
                  <c:v>9.6382803146843798</c:v>
                </c:pt>
                <c:pt idx="22">
                  <c:v>9.5461416801845189</c:v>
                </c:pt>
                <c:pt idx="23">
                  <c:v>12.485730874468572</c:v>
                </c:pt>
                <c:pt idx="24">
                  <c:v>9.1995127857080661</c:v>
                </c:pt>
                <c:pt idx="25">
                  <c:v>11.82305939233629</c:v>
                </c:pt>
                <c:pt idx="26">
                  <c:v>11.640955815673806</c:v>
                </c:pt>
                <c:pt idx="27">
                  <c:v>8.5128761181840673</c:v>
                </c:pt>
                <c:pt idx="28">
                  <c:v>10.425011421611998</c:v>
                </c:pt>
                <c:pt idx="29">
                  <c:v>11.052731022355147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1-DF4A-ADBC-1B7F83223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4.1'!$B$1</c:f>
              <c:strCache>
                <c:ptCount val="1"/>
                <c:pt idx="0">
                  <c:v>Raw Data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4.1'!$B$2:$B$31</c:f>
              <c:numCache>
                <c:formatCode>General</c:formatCode>
                <c:ptCount val="30"/>
                <c:pt idx="0">
                  <c:v>5.1542735184945565E-2</c:v>
                </c:pt>
                <c:pt idx="1">
                  <c:v>1.0725661776091511</c:v>
                </c:pt>
                <c:pt idx="2">
                  <c:v>1</c:v>
                </c:pt>
                <c:pt idx="3">
                  <c:v>0</c:v>
                </c:pt>
                <c:pt idx="4">
                  <c:v>0.83032815443203101</c:v>
                </c:pt>
                <c:pt idx="5">
                  <c:v>0.26866428743138115</c:v>
                </c:pt>
                <c:pt idx="6">
                  <c:v>5.4327864852431986</c:v>
                </c:pt>
                <c:pt idx="7">
                  <c:v>4.8042848384290266</c:v>
                </c:pt>
                <c:pt idx="8">
                  <c:v>3.0310422806501025</c:v>
                </c:pt>
                <c:pt idx="9">
                  <c:v>0</c:v>
                </c:pt>
                <c:pt idx="10">
                  <c:v>1.1951145137102646</c:v>
                </c:pt>
                <c:pt idx="11">
                  <c:v>3.7557696132403158</c:v>
                </c:pt>
                <c:pt idx="12">
                  <c:v>2.6335601027744926</c:v>
                </c:pt>
                <c:pt idx="13">
                  <c:v>6.4401744431299814</c:v>
                </c:pt>
                <c:pt idx="14">
                  <c:v>3.8335963407804798</c:v>
                </c:pt>
                <c:pt idx="15">
                  <c:v>6.2871949305560522</c:v>
                </c:pt>
                <c:pt idx="16">
                  <c:v>5.1146916268440901</c:v>
                </c:pt>
                <c:pt idx="17">
                  <c:v>8.6532711108987623</c:v>
                </c:pt>
                <c:pt idx="18">
                  <c:v>11.222199511115349</c:v>
                </c:pt>
                <c:pt idx="19">
                  <c:v>14.475620152167791</c:v>
                </c:pt>
                <c:pt idx="20">
                  <c:v>16.197976879494178</c:v>
                </c:pt>
                <c:pt idx="21">
                  <c:v>13.921760819168995</c:v>
                </c:pt>
                <c:pt idx="22">
                  <c:v>8.8930895334961644</c:v>
                </c:pt>
                <c:pt idx="23">
                  <c:v>11</c:v>
                </c:pt>
                <c:pt idx="24">
                  <c:v>13</c:v>
                </c:pt>
                <c:pt idx="25">
                  <c:v>17.186780127177137</c:v>
                </c:pt>
                <c:pt idx="26">
                  <c:v>20</c:v>
                </c:pt>
                <c:pt idx="27">
                  <c:v>19.382848849166038</c:v>
                </c:pt>
                <c:pt idx="28">
                  <c:v>20.113185556508856</c:v>
                </c:pt>
                <c:pt idx="29">
                  <c:v>18.144601978919503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86-E544-8AF7-2242F48ED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4.1'!$B$1</c:f>
              <c:strCache>
                <c:ptCount val="1"/>
                <c:pt idx="0">
                  <c:v>Raw Data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4.1'!$B$2:$B$31</c:f>
              <c:numCache>
                <c:formatCode>General</c:formatCode>
                <c:ptCount val="30"/>
                <c:pt idx="0">
                  <c:v>5.1542735184945565E-2</c:v>
                </c:pt>
                <c:pt idx="1">
                  <c:v>1.0725661776091511</c:v>
                </c:pt>
                <c:pt idx="2">
                  <c:v>1</c:v>
                </c:pt>
                <c:pt idx="3">
                  <c:v>0</c:v>
                </c:pt>
                <c:pt idx="4">
                  <c:v>0.83032815443203101</c:v>
                </c:pt>
                <c:pt idx="5">
                  <c:v>0.26866428743138115</c:v>
                </c:pt>
                <c:pt idx="6">
                  <c:v>5.4327864852431986</c:v>
                </c:pt>
                <c:pt idx="7">
                  <c:v>4.8042848384290266</c:v>
                </c:pt>
                <c:pt idx="8">
                  <c:v>3.0310422806501025</c:v>
                </c:pt>
                <c:pt idx="9">
                  <c:v>0</c:v>
                </c:pt>
                <c:pt idx="10">
                  <c:v>1.1951145137102646</c:v>
                </c:pt>
                <c:pt idx="11">
                  <c:v>3.7557696132403158</c:v>
                </c:pt>
                <c:pt idx="12">
                  <c:v>2.6335601027744926</c:v>
                </c:pt>
                <c:pt idx="13">
                  <c:v>6.4401744431299814</c:v>
                </c:pt>
                <c:pt idx="14">
                  <c:v>3.8335963407804798</c:v>
                </c:pt>
                <c:pt idx="15">
                  <c:v>6.2871949305560522</c:v>
                </c:pt>
                <c:pt idx="16">
                  <c:v>5.1146916268440901</c:v>
                </c:pt>
                <c:pt idx="17">
                  <c:v>8.6532711108987623</c:v>
                </c:pt>
                <c:pt idx="18">
                  <c:v>11.222199511115349</c:v>
                </c:pt>
                <c:pt idx="19">
                  <c:v>14.475620152167791</c:v>
                </c:pt>
                <c:pt idx="20">
                  <c:v>16.197976879494178</c:v>
                </c:pt>
                <c:pt idx="21">
                  <c:v>13.921760819168995</c:v>
                </c:pt>
                <c:pt idx="22">
                  <c:v>8.8930895334961644</c:v>
                </c:pt>
                <c:pt idx="23">
                  <c:v>11</c:v>
                </c:pt>
                <c:pt idx="24">
                  <c:v>13</c:v>
                </c:pt>
                <c:pt idx="25">
                  <c:v>17.186780127177137</c:v>
                </c:pt>
                <c:pt idx="26">
                  <c:v>20</c:v>
                </c:pt>
                <c:pt idx="27">
                  <c:v>19.382848849166038</c:v>
                </c:pt>
                <c:pt idx="28">
                  <c:v>20.113185556508856</c:v>
                </c:pt>
                <c:pt idx="29">
                  <c:v>18.144601978919503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F-044A-A74B-6F0A3C53B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4.1'!$C$1</c:f>
              <c:strCache>
                <c:ptCount val="1"/>
                <c:pt idx="0">
                  <c:v>Raw Data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4.1'!$C$2:$C$31</c:f>
              <c:numCache>
                <c:formatCode>General</c:formatCode>
                <c:ptCount val="30"/>
                <c:pt idx="0">
                  <c:v>11.071211954695173</c:v>
                </c:pt>
                <c:pt idx="1">
                  <c:v>8.2051622282597236</c:v>
                </c:pt>
                <c:pt idx="2">
                  <c:v>6.8338579492410645</c:v>
                </c:pt>
                <c:pt idx="3">
                  <c:v>12.0547685027122</c:v>
                </c:pt>
                <c:pt idx="4">
                  <c:v>9.8679186319350265</c:v>
                </c:pt>
                <c:pt idx="5">
                  <c:v>5.8414628054015338</c:v>
                </c:pt>
                <c:pt idx="6">
                  <c:v>12.681244950508699</c:v>
                </c:pt>
                <c:pt idx="7">
                  <c:v>5.3517544781789184</c:v>
                </c:pt>
                <c:pt idx="8">
                  <c:v>6.9849704939406365</c:v>
                </c:pt>
                <c:pt idx="9">
                  <c:v>10.298978193313815</c:v>
                </c:pt>
                <c:pt idx="10">
                  <c:v>7.5176706357160583</c:v>
                </c:pt>
                <c:pt idx="11">
                  <c:v>12.872307049983647</c:v>
                </c:pt>
                <c:pt idx="12">
                  <c:v>18.588135324302101</c:v>
                </c:pt>
                <c:pt idx="13">
                  <c:v>22.605806806357499</c:v>
                </c:pt>
                <c:pt idx="14">
                  <c:v>30.844158082851202</c:v>
                </c:pt>
                <c:pt idx="15">
                  <c:v>26.328523128700901</c:v>
                </c:pt>
                <c:pt idx="16">
                  <c:v>13.178574843332171</c:v>
                </c:pt>
                <c:pt idx="17">
                  <c:v>12.023402885242831</c:v>
                </c:pt>
                <c:pt idx="18">
                  <c:v>11.620473994989879</c:v>
                </c:pt>
                <c:pt idx="19">
                  <c:v>14.283283487893641</c:v>
                </c:pt>
                <c:pt idx="20">
                  <c:v>8.4691976351314224</c:v>
                </c:pt>
                <c:pt idx="21">
                  <c:v>9.6382803146843798</c:v>
                </c:pt>
                <c:pt idx="22">
                  <c:v>9.5461416801845189</c:v>
                </c:pt>
                <c:pt idx="23">
                  <c:v>12.485730874468572</c:v>
                </c:pt>
                <c:pt idx="24">
                  <c:v>9.1995127857080661</c:v>
                </c:pt>
                <c:pt idx="25">
                  <c:v>11.82305939233629</c:v>
                </c:pt>
                <c:pt idx="26">
                  <c:v>11.640955815673806</c:v>
                </c:pt>
                <c:pt idx="27">
                  <c:v>8.5128761181840673</c:v>
                </c:pt>
                <c:pt idx="28">
                  <c:v>10.425011421611998</c:v>
                </c:pt>
                <c:pt idx="29">
                  <c:v>11.052731022355147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6-7045-A3E5-E2187BFE0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4.1'!$C$1</c:f>
              <c:strCache>
                <c:ptCount val="1"/>
                <c:pt idx="0">
                  <c:v>Raw Data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4.1'!$C$2:$C$31</c:f>
              <c:numCache>
                <c:formatCode>General</c:formatCode>
                <c:ptCount val="30"/>
                <c:pt idx="0">
                  <c:v>11.071211954695173</c:v>
                </c:pt>
                <c:pt idx="1">
                  <c:v>8.2051622282597236</c:v>
                </c:pt>
                <c:pt idx="2">
                  <c:v>6.8338579492410645</c:v>
                </c:pt>
                <c:pt idx="3">
                  <c:v>12.0547685027122</c:v>
                </c:pt>
                <c:pt idx="4">
                  <c:v>9.8679186319350265</c:v>
                </c:pt>
                <c:pt idx="5">
                  <c:v>5.8414628054015338</c:v>
                </c:pt>
                <c:pt idx="6">
                  <c:v>12.681244950508699</c:v>
                </c:pt>
                <c:pt idx="7">
                  <c:v>5.3517544781789184</c:v>
                </c:pt>
                <c:pt idx="8">
                  <c:v>6.9849704939406365</c:v>
                </c:pt>
                <c:pt idx="9">
                  <c:v>10.298978193313815</c:v>
                </c:pt>
                <c:pt idx="10">
                  <c:v>7.5176706357160583</c:v>
                </c:pt>
                <c:pt idx="11">
                  <c:v>12.872307049983647</c:v>
                </c:pt>
                <c:pt idx="12">
                  <c:v>18.588135324302101</c:v>
                </c:pt>
                <c:pt idx="13">
                  <c:v>22.605806806357499</c:v>
                </c:pt>
                <c:pt idx="14">
                  <c:v>30.844158082851202</c:v>
                </c:pt>
                <c:pt idx="15">
                  <c:v>26.328523128700901</c:v>
                </c:pt>
                <c:pt idx="16">
                  <c:v>13.178574843332171</c:v>
                </c:pt>
                <c:pt idx="17">
                  <c:v>12.023402885242831</c:v>
                </c:pt>
                <c:pt idx="18">
                  <c:v>11.620473994989879</c:v>
                </c:pt>
                <c:pt idx="19">
                  <c:v>14.283283487893641</c:v>
                </c:pt>
                <c:pt idx="20">
                  <c:v>8.4691976351314224</c:v>
                </c:pt>
                <c:pt idx="21">
                  <c:v>9.6382803146843798</c:v>
                </c:pt>
                <c:pt idx="22">
                  <c:v>9.5461416801845189</c:v>
                </c:pt>
                <c:pt idx="23">
                  <c:v>12.485730874468572</c:v>
                </c:pt>
                <c:pt idx="24">
                  <c:v>9.1995127857080661</c:v>
                </c:pt>
                <c:pt idx="25">
                  <c:v>11.82305939233629</c:v>
                </c:pt>
                <c:pt idx="26">
                  <c:v>11.640955815673806</c:v>
                </c:pt>
                <c:pt idx="27">
                  <c:v>8.5128761181840673</c:v>
                </c:pt>
                <c:pt idx="28">
                  <c:v>10.425011421611998</c:v>
                </c:pt>
                <c:pt idx="29">
                  <c:v>11.052731022355147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C-DA46-A8F7-4BC96C4B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4.1'!$B$1</c:f>
              <c:strCache>
                <c:ptCount val="1"/>
                <c:pt idx="0">
                  <c:v>Raw Data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4.1'!$B$2:$B$31</c:f>
              <c:numCache>
                <c:formatCode>General</c:formatCode>
                <c:ptCount val="30"/>
                <c:pt idx="0">
                  <c:v>5.1542735184945565E-2</c:v>
                </c:pt>
                <c:pt idx="1">
                  <c:v>1.0725661776091511</c:v>
                </c:pt>
                <c:pt idx="2">
                  <c:v>1</c:v>
                </c:pt>
                <c:pt idx="3">
                  <c:v>0</c:v>
                </c:pt>
                <c:pt idx="4">
                  <c:v>0.83032815443203101</c:v>
                </c:pt>
                <c:pt idx="5">
                  <c:v>0.26866428743138115</c:v>
                </c:pt>
                <c:pt idx="6">
                  <c:v>5.4327864852431986</c:v>
                </c:pt>
                <c:pt idx="7">
                  <c:v>4.8042848384290266</c:v>
                </c:pt>
                <c:pt idx="8">
                  <c:v>3.0310422806501025</c:v>
                </c:pt>
                <c:pt idx="9">
                  <c:v>0</c:v>
                </c:pt>
                <c:pt idx="10">
                  <c:v>1.1951145137102646</c:v>
                </c:pt>
                <c:pt idx="11">
                  <c:v>3.7557696132403158</c:v>
                </c:pt>
                <c:pt idx="12">
                  <c:v>2.6335601027744926</c:v>
                </c:pt>
                <c:pt idx="13">
                  <c:v>6.4401744431299814</c:v>
                </c:pt>
                <c:pt idx="14">
                  <c:v>3.8335963407804798</c:v>
                </c:pt>
                <c:pt idx="15">
                  <c:v>6.2871949305560522</c:v>
                </c:pt>
                <c:pt idx="16">
                  <c:v>5.1146916268440901</c:v>
                </c:pt>
                <c:pt idx="17">
                  <c:v>8.6532711108987623</c:v>
                </c:pt>
                <c:pt idx="18">
                  <c:v>11.222199511115349</c:v>
                </c:pt>
                <c:pt idx="19">
                  <c:v>14.475620152167791</c:v>
                </c:pt>
                <c:pt idx="20">
                  <c:v>16.197976879494178</c:v>
                </c:pt>
                <c:pt idx="21">
                  <c:v>13.921760819168995</c:v>
                </c:pt>
                <c:pt idx="22">
                  <c:v>8.8930895334961644</c:v>
                </c:pt>
                <c:pt idx="23">
                  <c:v>11</c:v>
                </c:pt>
                <c:pt idx="24">
                  <c:v>13</c:v>
                </c:pt>
                <c:pt idx="25">
                  <c:v>17.186780127177137</c:v>
                </c:pt>
                <c:pt idx="26">
                  <c:v>20</c:v>
                </c:pt>
                <c:pt idx="27">
                  <c:v>19.382848849166038</c:v>
                </c:pt>
                <c:pt idx="28">
                  <c:v>20.113185556508856</c:v>
                </c:pt>
                <c:pt idx="29">
                  <c:v>18.144601978919503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8-1F46-B048-5EC32FEB7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189159494598E-2"/>
          <c:y val="5.4777438534468904E-2"/>
          <c:w val="0.72402527009705175"/>
          <c:h val="0.810980380699165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4.1'!$C$1</c:f>
              <c:strCache>
                <c:ptCount val="1"/>
                <c:pt idx="0">
                  <c:v>Raw Data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4.1'!$A$2:$A$31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'Figure 4.1'!$C$2:$C$31</c:f>
              <c:numCache>
                <c:formatCode>General</c:formatCode>
                <c:ptCount val="30"/>
                <c:pt idx="0">
                  <c:v>11.071211954695173</c:v>
                </c:pt>
                <c:pt idx="1">
                  <c:v>8.2051622282597236</c:v>
                </c:pt>
                <c:pt idx="2">
                  <c:v>6.8338579492410645</c:v>
                </c:pt>
                <c:pt idx="3">
                  <c:v>12.0547685027122</c:v>
                </c:pt>
                <c:pt idx="4">
                  <c:v>9.8679186319350265</c:v>
                </c:pt>
                <c:pt idx="5">
                  <c:v>5.8414628054015338</c:v>
                </c:pt>
                <c:pt idx="6">
                  <c:v>12.681244950508699</c:v>
                </c:pt>
                <c:pt idx="7">
                  <c:v>5.3517544781789184</c:v>
                </c:pt>
                <c:pt idx="8">
                  <c:v>6.9849704939406365</c:v>
                </c:pt>
                <c:pt idx="9">
                  <c:v>10.298978193313815</c:v>
                </c:pt>
                <c:pt idx="10">
                  <c:v>7.5176706357160583</c:v>
                </c:pt>
                <c:pt idx="11">
                  <c:v>12.872307049983647</c:v>
                </c:pt>
                <c:pt idx="12">
                  <c:v>18.588135324302101</c:v>
                </c:pt>
                <c:pt idx="13">
                  <c:v>22.605806806357499</c:v>
                </c:pt>
                <c:pt idx="14">
                  <c:v>30.844158082851202</c:v>
                </c:pt>
                <c:pt idx="15">
                  <c:v>26.328523128700901</c:v>
                </c:pt>
                <c:pt idx="16">
                  <c:v>13.178574843332171</c:v>
                </c:pt>
                <c:pt idx="17">
                  <c:v>12.023402885242831</c:v>
                </c:pt>
                <c:pt idx="18">
                  <c:v>11.620473994989879</c:v>
                </c:pt>
                <c:pt idx="19">
                  <c:v>14.283283487893641</c:v>
                </c:pt>
                <c:pt idx="20">
                  <c:v>8.4691976351314224</c:v>
                </c:pt>
                <c:pt idx="21">
                  <c:v>9.6382803146843798</c:v>
                </c:pt>
                <c:pt idx="22">
                  <c:v>9.5461416801845189</c:v>
                </c:pt>
                <c:pt idx="23">
                  <c:v>12.485730874468572</c:v>
                </c:pt>
                <c:pt idx="24">
                  <c:v>9.1995127857080661</c:v>
                </c:pt>
                <c:pt idx="25">
                  <c:v>11.82305939233629</c:v>
                </c:pt>
                <c:pt idx="26">
                  <c:v>11.640955815673806</c:v>
                </c:pt>
                <c:pt idx="27">
                  <c:v>8.5128761181840673</c:v>
                </c:pt>
                <c:pt idx="28">
                  <c:v>10.425011421611998</c:v>
                </c:pt>
                <c:pt idx="29">
                  <c:v>11.052731022355147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D-7345-9283-C3CE0DF69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912623"/>
        <c:axId val="1653357903"/>
      </c:scatterChart>
      <c:valAx>
        <c:axId val="1652912623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7903"/>
        <c:crosses val="autoZero"/>
        <c:crossBetween val="midCat"/>
      </c:valAx>
      <c:valAx>
        <c:axId val="165335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1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24890638670169E-2"/>
          <c:y val="5.0925925925925923E-2"/>
          <c:w val="0.90955577427821521"/>
          <c:h val="0.80473024205307675"/>
        </c:manualLayout>
      </c:layout>
      <c:scatterChart>
        <c:scatterStyle val="smoothMarker"/>
        <c:varyColors val="0"/>
        <c:ser>
          <c:idx val="1"/>
          <c:order val="0"/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4.4'!$A$2:$A$18</c:f>
              <c:numCache>
                <c:formatCode>General</c:formatCode>
                <c:ptCount val="17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</c:numCache>
            </c:numRef>
          </c:xVal>
          <c:yVal>
            <c:numRef>
              <c:f>'Figure 4.4'!$B$2:$B$18</c:f>
              <c:numCache>
                <c:formatCode>General</c:formatCode>
                <c:ptCount val="17"/>
                <c:pt idx="0">
                  <c:v>1.3383022576488537E-4</c:v>
                </c:pt>
                <c:pt idx="1">
                  <c:v>8.7268269504576015E-4</c:v>
                </c:pt>
                <c:pt idx="2">
                  <c:v>4.4318484119380075E-3</c:v>
                </c:pt>
                <c:pt idx="3">
                  <c:v>1.752830049356854E-2</c:v>
                </c:pt>
                <c:pt idx="4">
                  <c:v>5.3990966513188063E-2</c:v>
                </c:pt>
                <c:pt idx="5">
                  <c:v>0.12951759566589174</c:v>
                </c:pt>
                <c:pt idx="6">
                  <c:v>0.24197072451914337</c:v>
                </c:pt>
                <c:pt idx="7">
                  <c:v>0.35206532676429952</c:v>
                </c:pt>
                <c:pt idx="8">
                  <c:v>0.3989422804014327</c:v>
                </c:pt>
                <c:pt idx="9">
                  <c:v>0.35206532676429952</c:v>
                </c:pt>
                <c:pt idx="10">
                  <c:v>0.24197072451914337</c:v>
                </c:pt>
                <c:pt idx="11">
                  <c:v>0.12951759566589174</c:v>
                </c:pt>
                <c:pt idx="12">
                  <c:v>5.3990966513188063E-2</c:v>
                </c:pt>
                <c:pt idx="13">
                  <c:v>1.752830049356854E-2</c:v>
                </c:pt>
                <c:pt idx="14">
                  <c:v>4.4318484119380075E-3</c:v>
                </c:pt>
                <c:pt idx="15">
                  <c:v>8.7268269504576015E-4</c:v>
                </c:pt>
                <c:pt idx="16">
                  <c:v>1.3383022576488537E-4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88-A14F-9DAE-0BF59001F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76015"/>
        <c:axId val="1676486687"/>
      </c:scatterChart>
      <c:valAx>
        <c:axId val="1676176015"/>
        <c:scaling>
          <c:orientation val="minMax"/>
          <c:max val="4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486687"/>
        <c:crossesAt val="-4"/>
        <c:crossBetween val="midCat"/>
        <c:majorUnit val="1"/>
      </c:valAx>
      <c:valAx>
        <c:axId val="167648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76015"/>
        <c:crossesAt val="-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93234179060951"/>
          <c:y val="3.3912219305920095E-2"/>
          <c:w val="0.80114173228346452"/>
          <c:h val="0.856056430446194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5.2'!$B$1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'Figure 5.2'!$A$2:$A$52</c:f>
              <c:numCache>
                <c:formatCode>General</c:formatCode>
                <c:ptCount val="51"/>
                <c:pt idx="0">
                  <c:v>25.067057066162608</c:v>
                </c:pt>
                <c:pt idx="1">
                  <c:v>25.421603434449807</c:v>
                </c:pt>
                <c:pt idx="2">
                  <c:v>26.303923421680892</c:v>
                </c:pt>
                <c:pt idx="3">
                  <c:v>26.549621657724316</c:v>
                </c:pt>
                <c:pt idx="4">
                  <c:v>28.621468955940319</c:v>
                </c:pt>
                <c:pt idx="5">
                  <c:v>28.67637404272164</c:v>
                </c:pt>
                <c:pt idx="6">
                  <c:v>30.280392076019382</c:v>
                </c:pt>
                <c:pt idx="7">
                  <c:v>31.192213032018493</c:v>
                </c:pt>
                <c:pt idx="8">
                  <c:v>33.028742488952702</c:v>
                </c:pt>
                <c:pt idx="9">
                  <c:v>33.724583034275369</c:v>
                </c:pt>
                <c:pt idx="10">
                  <c:v>33.796002951355653</c:v>
                </c:pt>
                <c:pt idx="11">
                  <c:v>34.461492468817852</c:v>
                </c:pt>
                <c:pt idx="12">
                  <c:v>34.702253898001395</c:v>
                </c:pt>
                <c:pt idx="13">
                  <c:v>35.814499793487833</c:v>
                </c:pt>
                <c:pt idx="14">
                  <c:v>37.212586401595075</c:v>
                </c:pt>
                <c:pt idx="15">
                  <c:v>38.216241858068969</c:v>
                </c:pt>
                <c:pt idx="16">
                  <c:v>39.524429134803093</c:v>
                </c:pt>
                <c:pt idx="17">
                  <c:v>39.939651608439</c:v>
                </c:pt>
                <c:pt idx="18">
                  <c:v>42.075011828017892</c:v>
                </c:pt>
                <c:pt idx="19">
                  <c:v>42.134931729237984</c:v>
                </c:pt>
                <c:pt idx="20">
                  <c:v>43.81853602259352</c:v>
                </c:pt>
                <c:pt idx="21">
                  <c:v>44.038151519390823</c:v>
                </c:pt>
                <c:pt idx="22">
                  <c:v>44.394733170231213</c:v>
                </c:pt>
                <c:pt idx="23">
                  <c:v>44.687032329238505</c:v>
                </c:pt>
                <c:pt idx="24">
                  <c:v>44.755598040649481</c:v>
                </c:pt>
                <c:pt idx="25">
                  <c:v>46.952357511479576</c:v>
                </c:pt>
                <c:pt idx="26">
                  <c:v>47.336269195813813</c:v>
                </c:pt>
                <c:pt idx="27">
                  <c:v>48.12546480825425</c:v>
                </c:pt>
                <c:pt idx="28">
                  <c:v>50.797299285790558</c:v>
                </c:pt>
                <c:pt idx="29">
                  <c:v>54.028110994970476</c:v>
                </c:pt>
                <c:pt idx="30">
                  <c:v>55.209627709914756</c:v>
                </c:pt>
                <c:pt idx="31">
                  <c:v>56.272695437200689</c:v>
                </c:pt>
                <c:pt idx="32">
                  <c:v>58.040948190745404</c:v>
                </c:pt>
                <c:pt idx="33">
                  <c:v>59.491201372580228</c:v>
                </c:pt>
                <c:pt idx="34">
                  <c:v>60.376908565115606</c:v>
                </c:pt>
                <c:pt idx="35">
                  <c:v>60.871565105799384</c:v>
                </c:pt>
                <c:pt idx="36">
                  <c:v>60.888922797929922</c:v>
                </c:pt>
                <c:pt idx="37">
                  <c:v>62.298029150021279</c:v>
                </c:pt>
                <c:pt idx="38">
                  <c:v>63.080468635577922</c:v>
                </c:pt>
                <c:pt idx="39">
                  <c:v>64.361518304963369</c:v>
                </c:pt>
                <c:pt idx="40">
                  <c:v>65.436358158214176</c:v>
                </c:pt>
                <c:pt idx="41">
                  <c:v>65.797573302778218</c:v>
                </c:pt>
                <c:pt idx="42">
                  <c:v>66.290894706868983</c:v>
                </c:pt>
                <c:pt idx="43">
                  <c:v>66.723793496714805</c:v>
                </c:pt>
                <c:pt idx="44">
                  <c:v>66.975924407586419</c:v>
                </c:pt>
                <c:pt idx="45">
                  <c:v>68.212920537317601</c:v>
                </c:pt>
                <c:pt idx="46">
                  <c:v>68.281209668275523</c:v>
                </c:pt>
                <c:pt idx="47">
                  <c:v>70.209096281886616</c:v>
                </c:pt>
                <c:pt idx="48">
                  <c:v>70.555470696909111</c:v>
                </c:pt>
                <c:pt idx="49">
                  <c:v>71.067338347000685</c:v>
                </c:pt>
              </c:numCache>
            </c:numRef>
          </c:xVal>
          <c:yVal>
            <c:numRef>
              <c:f>'Figure 5.2'!$B$2:$B$52</c:f>
              <c:numCache>
                <c:formatCode>General</c:formatCode>
                <c:ptCount val="51"/>
                <c:pt idx="0">
                  <c:v>20.365622466134663</c:v>
                </c:pt>
                <c:pt idx="1">
                  <c:v>24.27094365808691</c:v>
                </c:pt>
                <c:pt idx="2">
                  <c:v>35.74410123040159</c:v>
                </c:pt>
                <c:pt idx="3">
                  <c:v>39.363850874995748</c:v>
                </c:pt>
                <c:pt idx="4">
                  <c:v>43.889565695025759</c:v>
                </c:pt>
                <c:pt idx="5">
                  <c:v>47.241656053458186</c:v>
                </c:pt>
                <c:pt idx="6">
                  <c:v>50.619757306119311</c:v>
                </c:pt>
                <c:pt idx="7">
                  <c:v>53.750061466707876</c:v>
                </c:pt>
                <c:pt idx="8">
                  <c:v>56.118998833521736</c:v>
                </c:pt>
                <c:pt idx="9">
                  <c:v>60.526449925511358</c:v>
                </c:pt>
                <c:pt idx="10">
                  <c:v>64.043898069320193</c:v>
                </c:pt>
                <c:pt idx="11">
                  <c:v>75.338896325015881</c:v>
                </c:pt>
                <c:pt idx="12">
                  <c:v>78.38866291166687</c:v>
                </c:pt>
                <c:pt idx="13">
                  <c:v>79.513290471636353</c:v>
                </c:pt>
                <c:pt idx="14">
                  <c:v>81.386980149609499</c:v>
                </c:pt>
                <c:pt idx="15">
                  <c:v>93.961723596771122</c:v>
                </c:pt>
                <c:pt idx="16">
                  <c:v>96.853359083576763</c:v>
                </c:pt>
                <c:pt idx="17">
                  <c:v>98.283070959282611</c:v>
                </c:pt>
                <c:pt idx="18">
                  <c:v>105.69208385548185</c:v>
                </c:pt>
                <c:pt idx="19">
                  <c:v>117.83053454190051</c:v>
                </c:pt>
                <c:pt idx="20">
                  <c:v>126.78480817181283</c:v>
                </c:pt>
                <c:pt idx="21">
                  <c:v>127.79404572201615</c:v>
                </c:pt>
                <c:pt idx="22">
                  <c:v>129.16138298630779</c:v>
                </c:pt>
                <c:pt idx="23">
                  <c:v>130.39510513348279</c:v>
                </c:pt>
                <c:pt idx="24">
                  <c:v>130.50647876854356</c:v>
                </c:pt>
                <c:pt idx="25">
                  <c:v>131.57361266276502</c:v>
                </c:pt>
                <c:pt idx="26">
                  <c:v>149.12976146588557</c:v>
                </c:pt>
                <c:pt idx="27">
                  <c:v>155.46709742837916</c:v>
                </c:pt>
                <c:pt idx="28">
                  <c:v>156.38663008268298</c:v>
                </c:pt>
                <c:pt idx="29">
                  <c:v>157.79485106458648</c:v>
                </c:pt>
                <c:pt idx="30">
                  <c:v>159.53197844490967</c:v>
                </c:pt>
                <c:pt idx="31">
                  <c:v>160.93063629787912</c:v>
                </c:pt>
                <c:pt idx="32">
                  <c:v>164.68998040244446</c:v>
                </c:pt>
                <c:pt idx="33">
                  <c:v>164.97183851849837</c:v>
                </c:pt>
                <c:pt idx="34">
                  <c:v>165.20425845412737</c:v>
                </c:pt>
                <c:pt idx="35">
                  <c:v>165.90095713869712</c:v>
                </c:pt>
                <c:pt idx="36">
                  <c:v>168.01678832528032</c:v>
                </c:pt>
                <c:pt idx="37">
                  <c:v>178.09179965317799</c:v>
                </c:pt>
                <c:pt idx="38">
                  <c:v>185.87295679229914</c:v>
                </c:pt>
                <c:pt idx="39">
                  <c:v>187.1093793595719</c:v>
                </c:pt>
                <c:pt idx="40">
                  <c:v>189.40611767461806</c:v>
                </c:pt>
                <c:pt idx="41">
                  <c:v>193.06184250491756</c:v>
                </c:pt>
                <c:pt idx="42">
                  <c:v>197.6884909321966</c:v>
                </c:pt>
                <c:pt idx="43">
                  <c:v>199.87677096243797</c:v>
                </c:pt>
                <c:pt idx="44">
                  <c:v>201.50062388437829</c:v>
                </c:pt>
                <c:pt idx="45">
                  <c:v>202.01339499978971</c:v>
                </c:pt>
                <c:pt idx="46">
                  <c:v>210.98562474594715</c:v>
                </c:pt>
                <c:pt idx="47">
                  <c:v>211.97537448675155</c:v>
                </c:pt>
                <c:pt idx="48">
                  <c:v>218.26104394731161</c:v>
                </c:pt>
                <c:pt idx="49">
                  <c:v>219.70802309164222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0-8442-938B-2BD2D5E6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564383"/>
        <c:axId val="1782799999"/>
      </c:scatterChart>
      <c:valAx>
        <c:axId val="1405564383"/>
        <c:scaling>
          <c:orientation val="minMax"/>
          <c:max val="7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99999"/>
        <c:crosses val="autoZero"/>
        <c:crossBetween val="midCat"/>
        <c:majorUnit val="15"/>
      </c:valAx>
      <c:valAx>
        <c:axId val="178279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5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93234179060951"/>
          <c:y val="4.5208515602216393E-2"/>
          <c:w val="0.80114173228346452"/>
          <c:h val="0.8447601341498979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5.2'!$D$1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'Figure 5.2'!$C$2:$C$51</c:f>
              <c:numCache>
                <c:formatCode>General</c:formatCode>
                <c:ptCount val="50"/>
                <c:pt idx="0">
                  <c:v>815.48914351290523</c:v>
                </c:pt>
                <c:pt idx="1">
                  <c:v>1717.4852647434386</c:v>
                </c:pt>
                <c:pt idx="2">
                  <c:v>5522.9974563806309</c:v>
                </c:pt>
                <c:pt idx="3">
                  <c:v>10405.516927319353</c:v>
                </c:pt>
                <c:pt idx="4">
                  <c:v>13235.982439124949</c:v>
                </c:pt>
                <c:pt idx="5">
                  <c:v>19757.574060818915</c:v>
                </c:pt>
                <c:pt idx="6">
                  <c:v>19803.28538445909</c:v>
                </c:pt>
                <c:pt idx="7">
                  <c:v>21211.385587794419</c:v>
                </c:pt>
                <c:pt idx="8">
                  <c:v>25018.24938925833</c:v>
                </c:pt>
                <c:pt idx="9">
                  <c:v>26987.070751836087</c:v>
                </c:pt>
                <c:pt idx="10">
                  <c:v>27473.393691458456</c:v>
                </c:pt>
                <c:pt idx="11">
                  <c:v>31072.815820143009</c:v>
                </c:pt>
                <c:pt idx="12">
                  <c:v>32090.716302437108</c:v>
                </c:pt>
                <c:pt idx="13">
                  <c:v>33817.456603896549</c:v>
                </c:pt>
                <c:pt idx="14">
                  <c:v>37812.23373385716</c:v>
                </c:pt>
                <c:pt idx="15">
                  <c:v>38153.21938980055</c:v>
                </c:pt>
                <c:pt idx="16">
                  <c:v>49993.141689334596</c:v>
                </c:pt>
                <c:pt idx="17">
                  <c:v>51714.878329874424</c:v>
                </c:pt>
                <c:pt idx="18">
                  <c:v>51960.090199466838</c:v>
                </c:pt>
                <c:pt idx="19">
                  <c:v>52465.763712518739</c:v>
                </c:pt>
                <c:pt idx="20">
                  <c:v>57156.854373010268</c:v>
                </c:pt>
                <c:pt idx="21">
                  <c:v>65547.240183477872</c:v>
                </c:pt>
                <c:pt idx="22">
                  <c:v>65774.844542972205</c:v>
                </c:pt>
                <c:pt idx="23">
                  <c:v>68044.878127074277</c:v>
                </c:pt>
                <c:pt idx="24">
                  <c:v>74732.372646561067</c:v>
                </c:pt>
                <c:pt idx="25">
                  <c:v>78251.923061093272</c:v>
                </c:pt>
                <c:pt idx="26">
                  <c:v>80139.215998416388</c:v>
                </c:pt>
                <c:pt idx="27">
                  <c:v>91411.166382679323</c:v>
                </c:pt>
                <c:pt idx="28">
                  <c:v>105926.0350213973</c:v>
                </c:pt>
                <c:pt idx="29">
                  <c:v>110069.68592762467</c:v>
                </c:pt>
                <c:pt idx="30">
                  <c:v>110266.68173739067</c:v>
                </c:pt>
                <c:pt idx="31">
                  <c:v>110771.8666413668</c:v>
                </c:pt>
                <c:pt idx="32">
                  <c:v>118119.28195791286</c:v>
                </c:pt>
                <c:pt idx="33">
                  <c:v>119002.80473707375</c:v>
                </c:pt>
                <c:pt idx="34">
                  <c:v>121158.28437784607</c:v>
                </c:pt>
                <c:pt idx="35">
                  <c:v>123869.75681589439</c:v>
                </c:pt>
                <c:pt idx="36">
                  <c:v>130976.26900811505</c:v>
                </c:pt>
                <c:pt idx="37">
                  <c:v>131698.12610917637</c:v>
                </c:pt>
                <c:pt idx="38">
                  <c:v>133753.64674895708</c:v>
                </c:pt>
                <c:pt idx="39">
                  <c:v>138870.60462444584</c:v>
                </c:pt>
                <c:pt idx="40">
                  <c:v>139217.50082597951</c:v>
                </c:pt>
                <c:pt idx="41">
                  <c:v>140070.88779475115</c:v>
                </c:pt>
                <c:pt idx="42">
                  <c:v>142762.64145167667</c:v>
                </c:pt>
                <c:pt idx="43">
                  <c:v>145327.77234228689</c:v>
                </c:pt>
                <c:pt idx="44">
                  <c:v>147285.538458864</c:v>
                </c:pt>
                <c:pt idx="45">
                  <c:v>148536.38223769906</c:v>
                </c:pt>
                <c:pt idx="46">
                  <c:v>148668.89506050799</c:v>
                </c:pt>
                <c:pt idx="47">
                  <c:v>150212.36493727769</c:v>
                </c:pt>
                <c:pt idx="48">
                  <c:v>155251.44718366276</c:v>
                </c:pt>
                <c:pt idx="49">
                  <c:v>157540.90972130228</c:v>
                </c:pt>
              </c:numCache>
            </c:numRef>
          </c:xVal>
          <c:yVal>
            <c:numRef>
              <c:f>'Figure 5.2'!$D$2:$D$52</c:f>
              <c:numCache>
                <c:formatCode>General</c:formatCode>
                <c:ptCount val="51"/>
                <c:pt idx="0">
                  <c:v>58.069802423971616</c:v>
                </c:pt>
                <c:pt idx="1">
                  <c:v>54.149935766193053</c:v>
                </c:pt>
                <c:pt idx="2">
                  <c:v>52.898701488458876</c:v>
                </c:pt>
                <c:pt idx="3">
                  <c:v>52.294626280802589</c:v>
                </c:pt>
                <c:pt idx="4">
                  <c:v>52.260816763276608</c:v>
                </c:pt>
                <c:pt idx="5">
                  <c:v>50.73105069842704</c:v>
                </c:pt>
                <c:pt idx="6">
                  <c:v>50.208824147567533</c:v>
                </c:pt>
                <c:pt idx="7">
                  <c:v>48.564375504182827</c:v>
                </c:pt>
                <c:pt idx="8">
                  <c:v>47.970422406667112</c:v>
                </c:pt>
                <c:pt idx="9">
                  <c:v>47.492732200535357</c:v>
                </c:pt>
                <c:pt idx="10">
                  <c:v>46.781886673896516</c:v>
                </c:pt>
                <c:pt idx="11">
                  <c:v>45.707448167590172</c:v>
                </c:pt>
                <c:pt idx="12">
                  <c:v>45.334105387951297</c:v>
                </c:pt>
                <c:pt idx="13">
                  <c:v>45.14886453614983</c:v>
                </c:pt>
                <c:pt idx="14">
                  <c:v>45.061675220290979</c:v>
                </c:pt>
                <c:pt idx="15">
                  <c:v>43.916192695459443</c:v>
                </c:pt>
                <c:pt idx="16">
                  <c:v>43.169328178823612</c:v>
                </c:pt>
                <c:pt idx="17">
                  <c:v>42.350094397715338</c:v>
                </c:pt>
                <c:pt idx="18">
                  <c:v>42.009682337757987</c:v>
                </c:pt>
                <c:pt idx="19">
                  <c:v>41.169339690901964</c:v>
                </c:pt>
                <c:pt idx="20">
                  <c:v>40.601568654459697</c:v>
                </c:pt>
                <c:pt idx="21">
                  <c:v>35.853007242946425</c:v>
                </c:pt>
                <c:pt idx="22">
                  <c:v>30.966259070190723</c:v>
                </c:pt>
                <c:pt idx="23">
                  <c:v>30.803867529520701</c:v>
                </c:pt>
                <c:pt idx="24">
                  <c:v>30.208496169284217</c:v>
                </c:pt>
                <c:pt idx="25">
                  <c:v>30.036542401666075</c:v>
                </c:pt>
                <c:pt idx="26">
                  <c:v>28.878935016169649</c:v>
                </c:pt>
                <c:pt idx="27">
                  <c:v>28.353115003720447</c:v>
                </c:pt>
                <c:pt idx="28">
                  <c:v>27.58196522276009</c:v>
                </c:pt>
                <c:pt idx="29">
                  <c:v>24.052047161409654</c:v>
                </c:pt>
                <c:pt idx="30">
                  <c:v>23.653784070002747</c:v>
                </c:pt>
                <c:pt idx="31">
                  <c:v>23.547340390061652</c:v>
                </c:pt>
                <c:pt idx="32">
                  <c:v>23.081352687944356</c:v>
                </c:pt>
                <c:pt idx="33">
                  <c:v>21.092184989290399</c:v>
                </c:pt>
                <c:pt idx="34">
                  <c:v>20.168144801709868</c:v>
                </c:pt>
                <c:pt idx="35">
                  <c:v>19.450632586819413</c:v>
                </c:pt>
                <c:pt idx="36">
                  <c:v>15.575427430484178</c:v>
                </c:pt>
                <c:pt idx="37">
                  <c:v>15.459098800764931</c:v>
                </c:pt>
                <c:pt idx="38">
                  <c:v>14.729092223909261</c:v>
                </c:pt>
                <c:pt idx="39">
                  <c:v>14.475916528364605</c:v>
                </c:pt>
                <c:pt idx="40">
                  <c:v>12.309255297439757</c:v>
                </c:pt>
                <c:pt idx="41">
                  <c:v>11.783901449192269</c:v>
                </c:pt>
                <c:pt idx="42">
                  <c:v>10.756641812043563</c:v>
                </c:pt>
                <c:pt idx="43">
                  <c:v>10.195117159837446</c:v>
                </c:pt>
                <c:pt idx="44">
                  <c:v>10.031656574472626</c:v>
                </c:pt>
                <c:pt idx="45">
                  <c:v>9.6718557298518046</c:v>
                </c:pt>
                <c:pt idx="46">
                  <c:v>9.0735444561920797</c:v>
                </c:pt>
                <c:pt idx="47">
                  <c:v>8.8792516192790352</c:v>
                </c:pt>
                <c:pt idx="48">
                  <c:v>6.7690884632845814</c:v>
                </c:pt>
                <c:pt idx="49">
                  <c:v>4.0894989287897472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5D-F04C-9A62-5E5EF1ACD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564383"/>
        <c:axId val="1782799999"/>
      </c:scatterChart>
      <c:valAx>
        <c:axId val="1405564383"/>
        <c:scaling>
          <c:orientation val="minMax"/>
          <c:max val="160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99999"/>
        <c:crosses val="autoZero"/>
        <c:crossBetween val="midCat"/>
      </c:valAx>
      <c:valAx>
        <c:axId val="178279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5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93234179060951"/>
          <c:y val="3.3912219305920095E-2"/>
          <c:w val="0.80114173228346452"/>
          <c:h val="0.856056430446194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5.2'!$F$1</c:f>
              <c:strCache>
                <c:ptCount val="1"/>
                <c:pt idx="0">
                  <c:v>Rate of Responding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'Figure 5.2'!$E$2:$E$21</c:f>
              <c:numCache>
                <c:formatCode>General</c:formatCode>
                <c:ptCount val="20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8.5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19</c:v>
                </c:pt>
                <c:pt idx="18">
                  <c:v>22</c:v>
                </c:pt>
                <c:pt idx="19">
                  <c:v>25</c:v>
                </c:pt>
              </c:numCache>
            </c:numRef>
          </c:xVal>
          <c:yVal>
            <c:numRef>
              <c:f>'Figure 5.2'!$F$2:$F$21</c:f>
              <c:numCache>
                <c:formatCode>General</c:formatCode>
                <c:ptCount val="20"/>
                <c:pt idx="0">
                  <c:v>0.1</c:v>
                </c:pt>
                <c:pt idx="1">
                  <c:v>0.13636363636363635</c:v>
                </c:pt>
                <c:pt idx="2">
                  <c:v>0.16666666666666666</c:v>
                </c:pt>
                <c:pt idx="3">
                  <c:v>0.21428571428571427</c:v>
                </c:pt>
                <c:pt idx="4">
                  <c:v>0.25</c:v>
                </c:pt>
                <c:pt idx="5">
                  <c:v>0.25</c:v>
                </c:pt>
                <c:pt idx="6">
                  <c:v>0.27777777777777779</c:v>
                </c:pt>
                <c:pt idx="7">
                  <c:v>0.3</c:v>
                </c:pt>
                <c:pt idx="8">
                  <c:v>0.33333333333333331</c:v>
                </c:pt>
                <c:pt idx="9">
                  <c:v>0.35714285714285715</c:v>
                </c:pt>
                <c:pt idx="10">
                  <c:v>0.375</c:v>
                </c:pt>
                <c:pt idx="11">
                  <c:v>0.3888888888888889</c:v>
                </c:pt>
                <c:pt idx="12">
                  <c:v>0.40476190476190477</c:v>
                </c:pt>
                <c:pt idx="13">
                  <c:v>0.41666666666666669</c:v>
                </c:pt>
                <c:pt idx="14">
                  <c:v>0.42857142857142855</c:v>
                </c:pt>
                <c:pt idx="15">
                  <c:v>0.4375</c:v>
                </c:pt>
                <c:pt idx="16">
                  <c:v>0.44444444444444442</c:v>
                </c:pt>
                <c:pt idx="17">
                  <c:v>0.45238095238095238</c:v>
                </c:pt>
                <c:pt idx="18">
                  <c:v>0.45833333333333331</c:v>
                </c:pt>
                <c:pt idx="19">
                  <c:v>0.46296296296296297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B6-CF42-9C27-2994EBB99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564383"/>
        <c:axId val="1782799999"/>
      </c:scatterChart>
      <c:valAx>
        <c:axId val="1405564383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99999"/>
        <c:crosses val="autoZero"/>
        <c:crossBetween val="midCat"/>
      </c:valAx>
      <c:valAx>
        <c:axId val="1782799999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56438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93234179060951"/>
          <c:y val="4.5208515602216393E-2"/>
          <c:w val="0.80114173228346452"/>
          <c:h val="0.8447601341498979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5.2'!$H$1</c:f>
              <c:strCache>
                <c:ptCount val="1"/>
                <c:pt idx="0">
                  <c:v>Intervention Effect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'Figure 5.2'!$G$2:$G$16</c:f>
              <c:numCache>
                <c:formatCode>General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</c:numCache>
            </c:numRef>
          </c:xVal>
          <c:yVal>
            <c:numRef>
              <c:f>'Figure 5.2'!$H$2:$H$16</c:f>
              <c:numCache>
                <c:formatCode>General</c:formatCode>
                <c:ptCount val="15"/>
                <c:pt idx="0">
                  <c:v>1</c:v>
                </c:pt>
                <c:pt idx="1">
                  <c:v>1.02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1.35</c:v>
                </c:pt>
                <c:pt idx="6">
                  <c:v>1.5</c:v>
                </c:pt>
                <c:pt idx="7">
                  <c:v>1.4</c:v>
                </c:pt>
                <c:pt idx="8">
                  <c:v>1.25</c:v>
                </c:pt>
                <c:pt idx="9">
                  <c:v>0.8</c:v>
                </c:pt>
                <c:pt idx="10">
                  <c:v>0.4</c:v>
                </c:pt>
                <c:pt idx="11">
                  <c:v>0.2</c:v>
                </c:pt>
                <c:pt idx="12">
                  <c:v>0.1</c:v>
                </c:pt>
                <c:pt idx="13">
                  <c:v>0.05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40-C949-8A5C-CBA35B844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564383"/>
        <c:axId val="1782799999"/>
      </c:scatterChart>
      <c:valAx>
        <c:axId val="1405564383"/>
        <c:scaling>
          <c:orientation val="minMax"/>
          <c:max val="6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99999"/>
        <c:crosses val="autoZero"/>
        <c:crossBetween val="midCat"/>
      </c:valAx>
      <c:valAx>
        <c:axId val="1782799999"/>
        <c:scaling>
          <c:orientation val="minMax"/>
          <c:max val="1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5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319335083114608E-2"/>
          <c:y val="2.5416666666666667E-2"/>
          <c:w val="0.88634733158355206"/>
          <c:h val="0.89037037037037037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6.1'!$A$2:$A$43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'Figure 6.1'!$B$2:$B$41</c:f>
              <c:numCache>
                <c:formatCode>General</c:formatCode>
                <c:ptCount val="40"/>
                <c:pt idx="0">
                  <c:v>5.4333408065140203</c:v>
                </c:pt>
                <c:pt idx="1">
                  <c:v>4.0132407624041999</c:v>
                </c:pt>
                <c:pt idx="2">
                  <c:v>4.9508388504619001</c:v>
                </c:pt>
                <c:pt idx="3">
                  <c:v>3.7758853826090002</c:v>
                </c:pt>
                <c:pt idx="4">
                  <c:v>1.8694973985257</c:v>
                </c:pt>
                <c:pt idx="5">
                  <c:v>1.2300581652671101</c:v>
                </c:pt>
                <c:pt idx="6">
                  <c:v>2.6933873919478999</c:v>
                </c:pt>
                <c:pt idx="7">
                  <c:v>1.099086037153</c:v>
                </c:pt>
                <c:pt idx="8">
                  <c:v>1.8075721780187</c:v>
                </c:pt>
                <c:pt idx="9">
                  <c:v>2.7634032549976801</c:v>
                </c:pt>
                <c:pt idx="10">
                  <c:v>0.94972006586613</c:v>
                </c:pt>
                <c:pt idx="11">
                  <c:v>0.67274529807039996</c:v>
                </c:pt>
                <c:pt idx="12">
                  <c:v>1.4856443663593399</c:v>
                </c:pt>
                <c:pt idx="13">
                  <c:v>0.69466147781349996</c:v>
                </c:pt>
                <c:pt idx="14">
                  <c:v>2.0206648564926999</c:v>
                </c:pt>
                <c:pt idx="15">
                  <c:v>1.3683574100723499</c:v>
                </c:pt>
                <c:pt idx="16">
                  <c:v>0.99212946022452997</c:v>
                </c:pt>
                <c:pt idx="17">
                  <c:v>2.6013874553901002</c:v>
                </c:pt>
                <c:pt idx="18">
                  <c:v>2.7336510659806699</c:v>
                </c:pt>
                <c:pt idx="19">
                  <c:v>4.0497584551339996</c:v>
                </c:pt>
                <c:pt idx="20">
                  <c:v>2.3658321879337998</c:v>
                </c:pt>
                <c:pt idx="21">
                  <c:v>4.9422615221411004</c:v>
                </c:pt>
                <c:pt idx="22">
                  <c:v>4.2487976164266001</c:v>
                </c:pt>
                <c:pt idx="23">
                  <c:v>3.3800391823461</c:v>
                </c:pt>
                <c:pt idx="24">
                  <c:v>4.3550803739927</c:v>
                </c:pt>
                <c:pt idx="25">
                  <c:v>2.2540915627614599</c:v>
                </c:pt>
                <c:pt idx="26">
                  <c:v>9.4345361048762992</c:v>
                </c:pt>
                <c:pt idx="27">
                  <c:v>18.4089914657234</c:v>
                </c:pt>
                <c:pt idx="28">
                  <c:v>10.1818162925483</c:v>
                </c:pt>
                <c:pt idx="29">
                  <c:v>12.7200276286312</c:v>
                </c:pt>
                <c:pt idx="30">
                  <c:v>7.4763603556057001</c:v>
                </c:pt>
                <c:pt idx="31">
                  <c:v>6.5592460183833996</c:v>
                </c:pt>
                <c:pt idx="32">
                  <c:v>10.341606209985899</c:v>
                </c:pt>
                <c:pt idx="33">
                  <c:v>9.1674098964722361</c:v>
                </c:pt>
                <c:pt idx="34">
                  <c:v>13.4183386914082</c:v>
                </c:pt>
                <c:pt idx="35">
                  <c:v>10.53158601076575</c:v>
                </c:pt>
                <c:pt idx="36">
                  <c:v>14.8877623258741</c:v>
                </c:pt>
                <c:pt idx="37">
                  <c:v>9.9285660123859998</c:v>
                </c:pt>
                <c:pt idx="38">
                  <c:v>11.521925696579274</c:v>
                </c:pt>
                <c:pt idx="39">
                  <c:v>8.8172612574999221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B-6447-8E2B-06943629D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43503"/>
        <c:axId val="1188806607"/>
      </c:scatterChart>
      <c:valAx>
        <c:axId val="117814350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06607"/>
        <c:crossesAt val="1.0000000000000002E-2"/>
        <c:crossBetween val="midCat"/>
      </c:valAx>
      <c:valAx>
        <c:axId val="1188806607"/>
        <c:scaling>
          <c:logBase val="10"/>
          <c:orientation val="minMax"/>
          <c:max val="2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4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319335083114608E-2"/>
          <c:y val="2.5416666666666667E-2"/>
          <c:w val="0.88634733158355206"/>
          <c:h val="0.89037037037037037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'Figure 6.1'!$C$2:$C$101</c:f>
              <c:numCache>
                <c:formatCode>General</c:formatCode>
                <c:ptCount val="100"/>
                <c:pt idx="0">
                  <c:v>6.5676145873731002</c:v>
                </c:pt>
                <c:pt idx="1">
                  <c:v>4.6590970618417487</c:v>
                </c:pt>
                <c:pt idx="2">
                  <c:v>3.9670054371235901</c:v>
                </c:pt>
                <c:pt idx="3">
                  <c:v>1.68638296914286</c:v>
                </c:pt>
                <c:pt idx="4">
                  <c:v>13.597383617190644</c:v>
                </c:pt>
                <c:pt idx="5">
                  <c:v>17.187571650836599</c:v>
                </c:pt>
                <c:pt idx="6">
                  <c:v>12.001913905289257</c:v>
                </c:pt>
                <c:pt idx="7">
                  <c:v>8.0310372999811079</c:v>
                </c:pt>
                <c:pt idx="8">
                  <c:v>9.2868221094540786</c:v>
                </c:pt>
                <c:pt idx="9">
                  <c:v>8.5066461855894886</c:v>
                </c:pt>
                <c:pt idx="10">
                  <c:v>19.689656614384148</c:v>
                </c:pt>
                <c:pt idx="11">
                  <c:v>18.502561392262578</c:v>
                </c:pt>
                <c:pt idx="12">
                  <c:v>15.467236511933152</c:v>
                </c:pt>
                <c:pt idx="13">
                  <c:v>8.5159002941800281</c:v>
                </c:pt>
                <c:pt idx="14">
                  <c:v>5.2357325684278999</c:v>
                </c:pt>
                <c:pt idx="15">
                  <c:v>0.61623395088827237</c:v>
                </c:pt>
                <c:pt idx="16">
                  <c:v>3.9266513694311</c:v>
                </c:pt>
                <c:pt idx="17">
                  <c:v>2.4354279907420278</c:v>
                </c:pt>
                <c:pt idx="18">
                  <c:v>17.859079086221801</c:v>
                </c:pt>
                <c:pt idx="19">
                  <c:v>2.0668208940769501</c:v>
                </c:pt>
                <c:pt idx="20">
                  <c:v>12.518813850358129</c:v>
                </c:pt>
                <c:pt idx="21">
                  <c:v>2.1848053569847252</c:v>
                </c:pt>
                <c:pt idx="22">
                  <c:v>5.5453086992492899</c:v>
                </c:pt>
                <c:pt idx="23">
                  <c:v>6.3555018085753545</c:v>
                </c:pt>
                <c:pt idx="24">
                  <c:v>5.764923697715858</c:v>
                </c:pt>
                <c:pt idx="25">
                  <c:v>6.2966756912646815</c:v>
                </c:pt>
                <c:pt idx="26">
                  <c:v>4.249655502353562</c:v>
                </c:pt>
                <c:pt idx="27">
                  <c:v>6.3446970115182921</c:v>
                </c:pt>
                <c:pt idx="28">
                  <c:v>6.6983585737762041</c:v>
                </c:pt>
                <c:pt idx="29">
                  <c:v>3.0204677285655634</c:v>
                </c:pt>
                <c:pt idx="30">
                  <c:v>3.8824333740922157</c:v>
                </c:pt>
                <c:pt idx="31">
                  <c:v>3.5805061442079023</c:v>
                </c:pt>
                <c:pt idx="32">
                  <c:v>4.4676863934728317</c:v>
                </c:pt>
                <c:pt idx="33">
                  <c:v>11.907430361025035</c:v>
                </c:pt>
                <c:pt idx="34">
                  <c:v>9.614234967448283</c:v>
                </c:pt>
                <c:pt idx="35">
                  <c:v>6.7613933778193314</c:v>
                </c:pt>
                <c:pt idx="36">
                  <c:v>3.2886947691440582</c:v>
                </c:pt>
                <c:pt idx="37">
                  <c:v>4.2789639691181947</c:v>
                </c:pt>
                <c:pt idx="38">
                  <c:v>3.9002401434845524</c:v>
                </c:pt>
                <c:pt idx="39">
                  <c:v>2.9440599418012425</c:v>
                </c:pt>
                <c:pt idx="40">
                  <c:v>4.2758262123970781</c:v>
                </c:pt>
                <c:pt idx="41">
                  <c:v>6.1919792086700909</c:v>
                </c:pt>
                <c:pt idx="42">
                  <c:v>2.8287360136164352</c:v>
                </c:pt>
                <c:pt idx="43">
                  <c:v>3.0491702444851398</c:v>
                </c:pt>
                <c:pt idx="44">
                  <c:v>6.2267946658539586</c:v>
                </c:pt>
                <c:pt idx="45">
                  <c:v>4.2673656379338354</c:v>
                </c:pt>
                <c:pt idx="46">
                  <c:v>3.1621749611804262</c:v>
                </c:pt>
                <c:pt idx="47">
                  <c:v>5.6991831469349563</c:v>
                </c:pt>
                <c:pt idx="48">
                  <c:v>5.6836148713773582</c:v>
                </c:pt>
                <c:pt idx="49">
                  <c:v>4.8416046764759813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1-774A-B203-3091E2B85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43503"/>
        <c:axId val="1188806607"/>
      </c:scatterChart>
      <c:valAx>
        <c:axId val="117814350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06607"/>
        <c:crossesAt val="1.0000000000000002E-2"/>
        <c:crossBetween val="midCat"/>
      </c:valAx>
      <c:valAx>
        <c:axId val="1188806607"/>
        <c:scaling>
          <c:logBase val="10"/>
          <c:orientation val="minMax"/>
          <c:max val="2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4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319335083114608E-2"/>
          <c:y val="2.5416666666666667E-2"/>
          <c:w val="0.88634733158355206"/>
          <c:h val="0.89037037037037037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6.1'!$A$2:$A$51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'Figure 6.1'!$D$2:$D$44</c:f>
              <c:numCache>
                <c:formatCode>General</c:formatCode>
                <c:ptCount val="43"/>
                <c:pt idx="0">
                  <c:v>0.70255885273218155</c:v>
                </c:pt>
                <c:pt idx="1">
                  <c:v>5.5097112888470292</c:v>
                </c:pt>
                <c:pt idx="2">
                  <c:v>1.3331176635110751</c:v>
                </c:pt>
                <c:pt idx="3">
                  <c:v>3.3652784419246018E-2</c:v>
                </c:pt>
                <c:pt idx="4">
                  <c:v>1.3706372808665037</c:v>
                </c:pt>
                <c:pt idx="5">
                  <c:v>5.3739055399782956</c:v>
                </c:pt>
                <c:pt idx="6">
                  <c:v>0.66677705742768012</c:v>
                </c:pt>
                <c:pt idx="7">
                  <c:v>1.0626346263743471</c:v>
                </c:pt>
                <c:pt idx="8">
                  <c:v>0.76111894284258597</c:v>
                </c:pt>
                <c:pt idx="9">
                  <c:v>1.2411888999631628</c:v>
                </c:pt>
                <c:pt idx="10">
                  <c:v>1.2325184545479715</c:v>
                </c:pt>
                <c:pt idx="11">
                  <c:v>1.2016001821612008</c:v>
                </c:pt>
                <c:pt idx="12">
                  <c:v>0.59576984515297227</c:v>
                </c:pt>
                <c:pt idx="13">
                  <c:v>4.4793083614204079</c:v>
                </c:pt>
                <c:pt idx="14">
                  <c:v>1.4451931090443395</c:v>
                </c:pt>
                <c:pt idx="15">
                  <c:v>2.5700084077252541</c:v>
                </c:pt>
                <c:pt idx="16">
                  <c:v>3.5390727387275547</c:v>
                </c:pt>
                <c:pt idx="17">
                  <c:v>7.4524554242379999</c:v>
                </c:pt>
                <c:pt idx="18">
                  <c:v>8.1083321876649297</c:v>
                </c:pt>
                <c:pt idx="19">
                  <c:v>6.0349314177583402</c:v>
                </c:pt>
                <c:pt idx="20">
                  <c:v>3.5129550117999302</c:v>
                </c:pt>
                <c:pt idx="21">
                  <c:v>2.0741124495107202</c:v>
                </c:pt>
                <c:pt idx="22">
                  <c:v>3.6303132472094148</c:v>
                </c:pt>
                <c:pt idx="23">
                  <c:v>0.283383267541648</c:v>
                </c:pt>
                <c:pt idx="24">
                  <c:v>1.0867635208123829</c:v>
                </c:pt>
                <c:pt idx="25">
                  <c:v>3.1224528861930501</c:v>
                </c:pt>
                <c:pt idx="26">
                  <c:v>3.4636544771492481</c:v>
                </c:pt>
                <c:pt idx="27">
                  <c:v>0.21954895398812369</c:v>
                </c:pt>
                <c:pt idx="28">
                  <c:v>4.2508978620171547</c:v>
                </c:pt>
                <c:pt idx="29">
                  <c:v>0.87975115800509229</c:v>
                </c:pt>
                <c:pt idx="30">
                  <c:v>1.004473804438021</c:v>
                </c:pt>
                <c:pt idx="31">
                  <c:v>0.98508133103314321</c:v>
                </c:pt>
                <c:pt idx="32">
                  <c:v>1.1776666067598853</c:v>
                </c:pt>
                <c:pt idx="33">
                  <c:v>0.66756877256557345</c:v>
                </c:pt>
                <c:pt idx="34">
                  <c:v>1.1542125573905651</c:v>
                </c:pt>
                <c:pt idx="35">
                  <c:v>1.1962048372661229</c:v>
                </c:pt>
                <c:pt idx="36">
                  <c:v>2.0376783191313699</c:v>
                </c:pt>
                <c:pt idx="37">
                  <c:v>0.85827389537007548</c:v>
                </c:pt>
                <c:pt idx="38">
                  <c:v>1.0121663106256165</c:v>
                </c:pt>
                <c:pt idx="39">
                  <c:v>0.76940125634428114</c:v>
                </c:pt>
                <c:pt idx="40">
                  <c:v>1.131963133753743</c:v>
                </c:pt>
                <c:pt idx="41">
                  <c:v>1.39848478182684</c:v>
                </c:pt>
                <c:pt idx="42">
                  <c:v>1.1040502866089801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85-6744-A52F-0CF952E6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43503"/>
        <c:axId val="1188806607"/>
      </c:scatterChart>
      <c:valAx>
        <c:axId val="117814350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06607"/>
        <c:crossesAt val="1.0000000000000002E-2"/>
        <c:crossBetween val="midCat"/>
      </c:valAx>
      <c:valAx>
        <c:axId val="1188806607"/>
        <c:scaling>
          <c:logBase val="10"/>
          <c:orientation val="minMax"/>
          <c:max val="2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4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319335083114608E-2"/>
          <c:y val="2.5416666666666667E-2"/>
          <c:w val="0.88634733158355206"/>
          <c:h val="0.89037037037037037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'Figure 6.1'!$E$2:$E$101</c:f>
              <c:numCache>
                <c:formatCode>General</c:formatCode>
                <c:ptCount val="100"/>
                <c:pt idx="0">
                  <c:v>0.41484342950279823</c:v>
                </c:pt>
                <c:pt idx="1">
                  <c:v>0.49493094189092518</c:v>
                </c:pt>
                <c:pt idx="2">
                  <c:v>0.78069304031960196</c:v>
                </c:pt>
                <c:pt idx="3">
                  <c:v>1.358746272267308</c:v>
                </c:pt>
                <c:pt idx="4">
                  <c:v>1.6599894247017801</c:v>
                </c:pt>
                <c:pt idx="5">
                  <c:v>0.1243664206005633</c:v>
                </c:pt>
                <c:pt idx="6">
                  <c:v>1.2745247891463805</c:v>
                </c:pt>
                <c:pt idx="7">
                  <c:v>0.3884248821530491</c:v>
                </c:pt>
                <c:pt idx="8">
                  <c:v>1.403107085498051E-2</c:v>
                </c:pt>
                <c:pt idx="9">
                  <c:v>0.78474029174249149</c:v>
                </c:pt>
                <c:pt idx="10">
                  <c:v>0.96774313129135403</c:v>
                </c:pt>
                <c:pt idx="11">
                  <c:v>0.40309048421913757</c:v>
                </c:pt>
                <c:pt idx="12">
                  <c:v>1.221672095602844</c:v>
                </c:pt>
                <c:pt idx="13">
                  <c:v>0.3488092493673321</c:v>
                </c:pt>
                <c:pt idx="14">
                  <c:v>0.4616502570162993</c:v>
                </c:pt>
                <c:pt idx="15">
                  <c:v>1.363375917612575</c:v>
                </c:pt>
                <c:pt idx="16">
                  <c:v>0.29272330215899273</c:v>
                </c:pt>
                <c:pt idx="17">
                  <c:v>0.81161586017988152</c:v>
                </c:pt>
                <c:pt idx="18">
                  <c:v>9.0951585257425915E-2</c:v>
                </c:pt>
                <c:pt idx="19">
                  <c:v>0.94698846219689581</c:v>
                </c:pt>
                <c:pt idx="20">
                  <c:v>1.0942856766225304</c:v>
                </c:pt>
                <c:pt idx="21">
                  <c:v>1.3673546396195888</c:v>
                </c:pt>
                <c:pt idx="22">
                  <c:v>8.2356040770537209E-2</c:v>
                </c:pt>
                <c:pt idx="23">
                  <c:v>0.80699708127649505</c:v>
                </c:pt>
                <c:pt idx="24">
                  <c:v>0.7947734724846669</c:v>
                </c:pt>
                <c:pt idx="25">
                  <c:v>1.136647666094359</c:v>
                </c:pt>
                <c:pt idx="26">
                  <c:v>0.68036781663540746</c:v>
                </c:pt>
                <c:pt idx="27">
                  <c:v>0.66212676352297417</c:v>
                </c:pt>
                <c:pt idx="28">
                  <c:v>0.54882336775772278</c:v>
                </c:pt>
                <c:pt idx="29">
                  <c:v>1.4129612514399923</c:v>
                </c:pt>
                <c:pt idx="30">
                  <c:v>2.7517510948702695</c:v>
                </c:pt>
                <c:pt idx="31">
                  <c:v>1.6765691958018578</c:v>
                </c:pt>
                <c:pt idx="32">
                  <c:v>0.44165078583755529</c:v>
                </c:pt>
                <c:pt idx="33">
                  <c:v>1.3561727195745334</c:v>
                </c:pt>
                <c:pt idx="34">
                  <c:v>0.50116780180833298</c:v>
                </c:pt>
                <c:pt idx="35">
                  <c:v>0.79466401580721135</c:v>
                </c:pt>
                <c:pt idx="36">
                  <c:v>0.72669179240183435</c:v>
                </c:pt>
                <c:pt idx="37">
                  <c:v>0.55107586882077153</c:v>
                </c:pt>
                <c:pt idx="38">
                  <c:v>0.19260171534842813</c:v>
                </c:pt>
                <c:pt idx="39">
                  <c:v>0.21225453161168845</c:v>
                </c:pt>
                <c:pt idx="40">
                  <c:v>0.18773229132639199</c:v>
                </c:pt>
                <c:pt idx="41">
                  <c:v>0.24862658897764051</c:v>
                </c:pt>
                <c:pt idx="42">
                  <c:v>0.36346575648640284</c:v>
                </c:pt>
                <c:pt idx="43">
                  <c:v>0.290595296269748</c:v>
                </c:pt>
                <c:pt idx="44">
                  <c:v>0.14952145243587439</c:v>
                </c:pt>
                <c:pt idx="45">
                  <c:v>0.2838685259223</c:v>
                </c:pt>
                <c:pt idx="46">
                  <c:v>0.228163106233114</c:v>
                </c:pt>
                <c:pt idx="47">
                  <c:v>0.243086867360398</c:v>
                </c:pt>
                <c:pt idx="48">
                  <c:v>0.19620878194691599</c:v>
                </c:pt>
                <c:pt idx="49">
                  <c:v>0.29340783435618506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8-7944-9DC7-0AC579DC1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43503"/>
        <c:axId val="1188806607"/>
      </c:scatterChart>
      <c:valAx>
        <c:axId val="117814350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06607"/>
        <c:crossesAt val="1.0000000000000002E-2"/>
        <c:crossBetween val="midCat"/>
      </c:valAx>
      <c:valAx>
        <c:axId val="1188806607"/>
        <c:scaling>
          <c:logBase val="10"/>
          <c:orientation val="minMax"/>
          <c:max val="2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4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319335083114608E-2"/>
          <c:y val="2.5416666666666667E-2"/>
          <c:w val="0.88634733158355206"/>
          <c:h val="0.89037037037037037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'Figure 6.1'!$F$2:$F$101</c:f>
              <c:numCache>
                <c:formatCode>General</c:formatCode>
                <c:ptCount val="100"/>
                <c:pt idx="0">
                  <c:v>0.45284926980239104</c:v>
                </c:pt>
                <c:pt idx="1">
                  <c:v>0.38913193495536691</c:v>
                </c:pt>
                <c:pt idx="2">
                  <c:v>0.67404690778639631</c:v>
                </c:pt>
                <c:pt idx="3">
                  <c:v>0.14543055587855633</c:v>
                </c:pt>
                <c:pt idx="4">
                  <c:v>0.50463987716066183</c:v>
                </c:pt>
                <c:pt idx="5">
                  <c:v>7.3780563272885041E-2</c:v>
                </c:pt>
                <c:pt idx="6">
                  <c:v>0.36600348468928134</c:v>
                </c:pt>
                <c:pt idx="7">
                  <c:v>1.1069608060643082E-2</c:v>
                </c:pt>
                <c:pt idx="8">
                  <c:v>0.32113811105082279</c:v>
                </c:pt>
                <c:pt idx="9">
                  <c:v>0.13556935957458335</c:v>
                </c:pt>
                <c:pt idx="10">
                  <c:v>0.20513133474887582</c:v>
                </c:pt>
                <c:pt idx="11">
                  <c:v>1.3452073860913516</c:v>
                </c:pt>
                <c:pt idx="12">
                  <c:v>0.48088614928710738</c:v>
                </c:pt>
                <c:pt idx="13">
                  <c:v>3.828071132593322E-2</c:v>
                </c:pt>
                <c:pt idx="14">
                  <c:v>0.12341721483389848</c:v>
                </c:pt>
                <c:pt idx="15">
                  <c:v>1.394263310648966E-2</c:v>
                </c:pt>
                <c:pt idx="16">
                  <c:v>0.28882246877183204</c:v>
                </c:pt>
                <c:pt idx="17">
                  <c:v>0.35061638098122783</c:v>
                </c:pt>
                <c:pt idx="18">
                  <c:v>0.36562418042885836</c:v>
                </c:pt>
                <c:pt idx="19">
                  <c:v>0.60907260629173832</c:v>
                </c:pt>
                <c:pt idx="20">
                  <c:v>0.23365252016228624</c:v>
                </c:pt>
                <c:pt idx="21">
                  <c:v>0.32380163500201886</c:v>
                </c:pt>
                <c:pt idx="22">
                  <c:v>1.6837205748888601E-2</c:v>
                </c:pt>
                <c:pt idx="23">
                  <c:v>0.27899083104566669</c:v>
                </c:pt>
                <c:pt idx="24">
                  <c:v>7.668510332005099E-2</c:v>
                </c:pt>
                <c:pt idx="25">
                  <c:v>0.98315346147282978</c:v>
                </c:pt>
                <c:pt idx="26">
                  <c:v>0.79700506578083152</c:v>
                </c:pt>
                <c:pt idx="27">
                  <c:v>0.66738144849077796</c:v>
                </c:pt>
                <c:pt idx="28">
                  <c:v>0.38850877242803106</c:v>
                </c:pt>
                <c:pt idx="29">
                  <c:v>0.24625538824475371</c:v>
                </c:pt>
                <c:pt idx="30">
                  <c:v>5.9229057822085457E-2</c:v>
                </c:pt>
                <c:pt idx="31">
                  <c:v>0.14829018962482224</c:v>
                </c:pt>
                <c:pt idx="32">
                  <c:v>0.18679603524797131</c:v>
                </c:pt>
                <c:pt idx="33">
                  <c:v>0.11215550126507901</c:v>
                </c:pt>
                <c:pt idx="34">
                  <c:v>6.9728378346189862E-2</c:v>
                </c:pt>
                <c:pt idx="35">
                  <c:v>6.4612015901366254E-2</c:v>
                </c:pt>
                <c:pt idx="36">
                  <c:v>5.7052523313905118E-2</c:v>
                </c:pt>
                <c:pt idx="37">
                  <c:v>0.31957930584903804</c:v>
                </c:pt>
                <c:pt idx="38">
                  <c:v>0.18676101970195305</c:v>
                </c:pt>
                <c:pt idx="39">
                  <c:v>9.7260999862191971E-2</c:v>
                </c:pt>
                <c:pt idx="40">
                  <c:v>0.10526493977304199</c:v>
                </c:pt>
                <c:pt idx="41">
                  <c:v>8.8624108482326852E-2</c:v>
                </c:pt>
                <c:pt idx="42">
                  <c:v>9.6133988133806275E-2</c:v>
                </c:pt>
                <c:pt idx="43">
                  <c:v>9.961819412419573E-2</c:v>
                </c:pt>
                <c:pt idx="44">
                  <c:v>0.10149011611938477</c:v>
                </c:pt>
                <c:pt idx="45">
                  <c:v>0.11539478944323492</c:v>
                </c:pt>
                <c:pt idx="46">
                  <c:v>0.102302294888068</c:v>
                </c:pt>
                <c:pt idx="47">
                  <c:v>0.10430313775723335</c:v>
                </c:pt>
                <c:pt idx="48">
                  <c:v>8.9253092280705465E-2</c:v>
                </c:pt>
                <c:pt idx="4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E3-4C41-A2E9-D5AF3D120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43503"/>
        <c:axId val="1188806607"/>
      </c:scatterChart>
      <c:valAx>
        <c:axId val="117814350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06607"/>
        <c:crossesAt val="1.0000000000000002E-2"/>
        <c:crossBetween val="midCat"/>
      </c:valAx>
      <c:valAx>
        <c:axId val="1188806607"/>
        <c:scaling>
          <c:logBase val="10"/>
          <c:orientation val="minMax"/>
          <c:max val="2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4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84798775153107"/>
          <c:y val="2.7125109361329832E-2"/>
          <c:w val="0.8021559805024373"/>
          <c:h val="0.877911636045494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'Figure 6.n'!$C$1</c:f>
              <c:strCache>
                <c:ptCount val="1"/>
                <c:pt idx="0">
                  <c:v>Logistic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6.n'!$B$2:$B$22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'Figure 6.n'!$C$2:$C$22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3.3535013046647811E-4</c:v>
                </c:pt>
                <c:pt idx="3">
                  <c:v>9.1105119440064539E-4</c:v>
                </c:pt>
                <c:pt idx="4">
                  <c:v>2.4726231566347743E-3</c:v>
                </c:pt>
                <c:pt idx="5">
                  <c:v>6.6928509242848554E-3</c:v>
                </c:pt>
                <c:pt idx="6">
                  <c:v>1.7986209962091559E-2</c:v>
                </c:pt>
                <c:pt idx="7">
                  <c:v>4.7425873177566781E-2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0.88079707797788231</c:v>
                </c:pt>
                <c:pt idx="13">
                  <c:v>0.95257412682243336</c:v>
                </c:pt>
                <c:pt idx="14">
                  <c:v>0.98201379003790845</c:v>
                </c:pt>
                <c:pt idx="15">
                  <c:v>0.99330714907571527</c:v>
                </c:pt>
                <c:pt idx="16">
                  <c:v>0.99752737684336534</c:v>
                </c:pt>
                <c:pt idx="17">
                  <c:v>0.9990889488055994</c:v>
                </c:pt>
                <c:pt idx="18">
                  <c:v>0.99966464986953363</c:v>
                </c:pt>
                <c:pt idx="19">
                  <c:v>0.99987660542401369</c:v>
                </c:pt>
                <c:pt idx="2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10-8943-B812-442AC8F3C1A8}"/>
            </c:ext>
          </c:extLst>
        </c:ser>
        <c:ser>
          <c:idx val="1"/>
          <c:order val="1"/>
          <c:tx>
            <c:strRef>
              <c:f>'Figure 6.n'!$D$1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6.n'!$B$2:$B$22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'Figure 6.n'!$D$2:$D$22</c:f>
              <c:numCache>
                <c:formatCode>General</c:formatCode>
                <c:ptCount val="21"/>
                <c:pt idx="0">
                  <c:v>-0.1940131322692995</c:v>
                </c:pt>
                <c:pt idx="1">
                  <c:v>-0.12461181904236955</c:v>
                </c:pt>
                <c:pt idx="2">
                  <c:v>-5.5210505815439598E-2</c:v>
                </c:pt>
                <c:pt idx="3">
                  <c:v>1.4190807411490369E-2</c:v>
                </c:pt>
                <c:pt idx="4">
                  <c:v>8.3592120638420309E-2</c:v>
                </c:pt>
                <c:pt idx="5">
                  <c:v>0.15299343386535025</c:v>
                </c:pt>
                <c:pt idx="6">
                  <c:v>0.22239474709228024</c:v>
                </c:pt>
                <c:pt idx="7">
                  <c:v>0.29179606031921018</c:v>
                </c:pt>
                <c:pt idx="8">
                  <c:v>0.36119737354614012</c:v>
                </c:pt>
                <c:pt idx="9">
                  <c:v>0.43059868677307012</c:v>
                </c:pt>
                <c:pt idx="10">
                  <c:v>0.5</c:v>
                </c:pt>
                <c:pt idx="11">
                  <c:v>0.56940131322692999</c:v>
                </c:pt>
                <c:pt idx="12">
                  <c:v>0.63880262645385999</c:v>
                </c:pt>
                <c:pt idx="13">
                  <c:v>0.70820393968078987</c:v>
                </c:pt>
                <c:pt idx="14">
                  <c:v>0.77760525290771987</c:v>
                </c:pt>
                <c:pt idx="15">
                  <c:v>0.84700656613464975</c:v>
                </c:pt>
                <c:pt idx="16">
                  <c:v>0.91640787936157975</c:v>
                </c:pt>
                <c:pt idx="17">
                  <c:v>0.98580919258850974</c:v>
                </c:pt>
                <c:pt idx="18">
                  <c:v>1.0552105058154397</c:v>
                </c:pt>
                <c:pt idx="19">
                  <c:v>1.1246118190423695</c:v>
                </c:pt>
                <c:pt idx="20">
                  <c:v>1.1940131322692995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10-8943-B812-442AC8F3C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13199"/>
        <c:axId val="1555594719"/>
      </c:scatterChart>
      <c:valAx>
        <c:axId val="1555513199"/>
        <c:scaling>
          <c:orientation val="minMax"/>
          <c:max val="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Range of Values our IV Can Take</a:t>
                </a:r>
              </a:p>
            </c:rich>
          </c:tx>
          <c:layout>
            <c:manualLayout>
              <c:xMode val="edge"/>
              <c:yMode val="edge"/>
              <c:x val="0.24800931133608298"/>
              <c:y val="0.89166666666666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94719"/>
        <c:crosses val="autoZero"/>
        <c:crossBetween val="midCat"/>
      </c:valAx>
      <c:valAx>
        <c:axId val="1555594719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Probablity Behavior Occurs</a:t>
                </a:r>
              </a:p>
            </c:rich>
          </c:tx>
          <c:layout>
            <c:manualLayout>
              <c:xMode val="edge"/>
              <c:yMode val="edge"/>
              <c:x val="3.3828583927009125E-3"/>
              <c:y val="1.0458442694663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3199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792838395200599"/>
          <c:y val="0.62222222222222223"/>
          <c:w val="0.24454005749281335"/>
          <c:h val="0.122696631671041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2587290225086"/>
          <c:y val="2.4659190328481666E-2"/>
          <c:w val="0.7654428139664361"/>
          <c:h val="0.80062673983933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6.n2'!$B$2:$B$16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A-5A44-BF5D-DDC4345BCEA6}"/>
            </c:ext>
          </c:extLst>
        </c:ser>
        <c:ser>
          <c:idx val="1"/>
          <c:order val="1"/>
          <c:tx>
            <c:strRef>
              <c:f>'Figure 6.n2'!$C$1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6.n2'!$C$2:$C$16</c:f>
              <c:numCache>
                <c:formatCode>General</c:formatCode>
                <c:ptCount val="15"/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6A-5A44-BF5D-DDC4345BCEA6}"/>
            </c:ext>
          </c:extLst>
        </c:ser>
        <c:ser>
          <c:idx val="2"/>
          <c:order val="2"/>
          <c:tx>
            <c:strRef>
              <c:f>'Figure 6.n2'!$D$1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6.n2'!$D$2:$D$16</c:f>
              <c:numCache>
                <c:formatCode>General</c:formatCode>
                <c:ptCount val="15"/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6A-5A44-BF5D-DDC4345BC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</a:rPr>
                  <a:t>Independent Variable B</a:t>
                </a:r>
              </a:p>
            </c:rich>
          </c:tx>
          <c:layout>
            <c:manualLayout>
              <c:xMode val="edge"/>
              <c:yMode val="edge"/>
              <c:x val="0.24441939075797345"/>
              <c:y val="0.90611111111111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</a:rPr>
                  <a:t>Independent Variable A</a:t>
                </a:r>
              </a:p>
            </c:rich>
          </c:tx>
          <c:layout>
            <c:manualLayout>
              <c:xMode val="edge"/>
              <c:yMode val="edge"/>
              <c:x val="1.0840690368249424E-3"/>
              <c:y val="0.12206851984411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88145231846019E-2"/>
          <c:y val="2.543416447944007E-2"/>
          <c:w val="0.8719674103237095"/>
          <c:h val="0.89204232283464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6.n2'!$B$2:$B$16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8-4944-843C-827B92F12052}"/>
            </c:ext>
          </c:extLst>
        </c:ser>
        <c:ser>
          <c:idx val="1"/>
          <c:order val="1"/>
          <c:tx>
            <c:strRef>
              <c:f>'Figure 6.n2'!$E$1</c:f>
              <c:strCache>
                <c:ptCount val="1"/>
                <c:pt idx="0">
                  <c:v>BC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6.n2'!$E$2:$E$16</c:f>
              <c:numCache>
                <c:formatCode>General</c:formatCode>
                <c:ptCount val="15"/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8-4944-843C-827B92F12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88145231846019E-2"/>
          <c:y val="2.543416447944007E-2"/>
          <c:w val="0.8719674103237095"/>
          <c:h val="0.89204232283464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6.n2'!$G$2:$G$16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8-C545-A514-A89AEDDFE9CF}"/>
            </c:ext>
          </c:extLst>
        </c:ser>
        <c:ser>
          <c:idx val="1"/>
          <c:order val="1"/>
          <c:tx>
            <c:strRef>
              <c:f>'Figure 6.n2'!$C$1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6.n2'!$C$2:$C$16</c:f>
              <c:numCache>
                <c:formatCode>General</c:formatCode>
                <c:ptCount val="15"/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8-C545-A514-A89AEDDFE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88145231846019E-2"/>
          <c:y val="2.543416447944007E-2"/>
          <c:w val="0.8719674103237095"/>
          <c:h val="0.89204232283464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6.n2'!$F$2:$F$16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F-014C-A3A2-1EE838E82031}"/>
            </c:ext>
          </c:extLst>
        </c:ser>
        <c:ser>
          <c:idx val="2"/>
          <c:order val="1"/>
          <c:tx>
            <c:strRef>
              <c:f>'Figure 6.n2'!$D$1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6.n2'!$D$2:$D$16</c:f>
              <c:numCache>
                <c:formatCode>General</c:formatCode>
                <c:ptCount val="15"/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CF-014C-A3A2-1EE838E82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2587290225086"/>
          <c:y val="2.4659190328481666E-2"/>
          <c:w val="0.7654428139664361"/>
          <c:h val="0.80062673983933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6.n2'!$B$2:$B$16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A-0D4F-83DF-D3386D967B12}"/>
            </c:ext>
          </c:extLst>
        </c:ser>
        <c:ser>
          <c:idx val="1"/>
          <c:order val="1"/>
          <c:tx>
            <c:strRef>
              <c:f>'Figure 6.n2'!$C$1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6.n2'!$C$2:$C$16</c:f>
              <c:numCache>
                <c:formatCode>General</c:formatCode>
                <c:ptCount val="15"/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A-0D4F-83DF-D3386D967B12}"/>
            </c:ext>
          </c:extLst>
        </c:ser>
        <c:ser>
          <c:idx val="2"/>
          <c:order val="2"/>
          <c:tx>
            <c:strRef>
              <c:f>'Figure 6.n2'!$D$1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6.n2'!$D$2:$D$16</c:f>
              <c:numCache>
                <c:formatCode>General</c:formatCode>
                <c:ptCount val="15"/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A-0D4F-83DF-D3386D967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</a:rPr>
                  <a:t>Independent Variable B</a:t>
                </a:r>
              </a:p>
            </c:rich>
          </c:tx>
          <c:layout>
            <c:manualLayout>
              <c:xMode val="edge"/>
              <c:yMode val="edge"/>
              <c:x val="0.24441939075797345"/>
              <c:y val="0.90611111111111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</a:rPr>
                  <a:t>Independent Variable A</a:t>
                </a:r>
              </a:p>
            </c:rich>
          </c:tx>
          <c:layout>
            <c:manualLayout>
              <c:xMode val="edge"/>
              <c:yMode val="edge"/>
              <c:x val="1.0840690368249424E-3"/>
              <c:y val="0.12206851984411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88145231846019E-2"/>
          <c:y val="2.543416447944007E-2"/>
          <c:w val="0.8719674103237095"/>
          <c:h val="0.89204232283464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6.n2'!$B$2:$B$16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7-DE4A-89B7-B0ADA52FB791}"/>
            </c:ext>
          </c:extLst>
        </c:ser>
        <c:ser>
          <c:idx val="1"/>
          <c:order val="1"/>
          <c:tx>
            <c:strRef>
              <c:f>'Figure 6.n2'!$E$1</c:f>
              <c:strCache>
                <c:ptCount val="1"/>
                <c:pt idx="0">
                  <c:v>BC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6.n2'!$C$2:$C$16</c:f>
              <c:numCache>
                <c:formatCode>General</c:formatCode>
                <c:ptCount val="15"/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7-DE4A-89B7-B0ADA52FB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88145231846019E-2"/>
          <c:y val="2.543416447944007E-2"/>
          <c:w val="0.8719674103237095"/>
          <c:h val="0.89204232283464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6.n2'!$D$2:$D$16</c:f>
              <c:numCache>
                <c:formatCode>General</c:formatCode>
                <c:ptCount val="15"/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9-5849-86D8-8BDE94A96D84}"/>
            </c:ext>
          </c:extLst>
        </c:ser>
        <c:ser>
          <c:idx val="1"/>
          <c:order val="1"/>
          <c:tx>
            <c:strRef>
              <c:f>'Figure 6.n2'!$C$1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6.n2'!$C$2:$C$16</c:f>
              <c:numCache>
                <c:formatCode>General</c:formatCode>
                <c:ptCount val="15"/>
                <c:pt idx="5">
                  <c:v>13.020360519352799</c:v>
                </c:pt>
                <c:pt idx="6">
                  <c:v>14.173816705588251</c:v>
                </c:pt>
                <c:pt idx="7">
                  <c:v>13.082077455474064</c:v>
                </c:pt>
                <c:pt idx="8">
                  <c:v>11.585035533935297</c:v>
                </c:pt>
                <c:pt idx="9">
                  <c:v>11.767757566994987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9-5849-86D8-8BDE94A9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88145231846019E-2"/>
          <c:y val="2.543416447944007E-2"/>
          <c:w val="0.8719674103237095"/>
          <c:h val="0.89204232283464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6.n2'!$B$1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6.n2'!$B$2:$B$16</c:f>
              <c:numCache>
                <c:formatCode>General</c:formatCode>
                <c:ptCount val="15"/>
                <c:pt idx="0">
                  <c:v>3.0841539581888355</c:v>
                </c:pt>
                <c:pt idx="1">
                  <c:v>3.5757949616527185</c:v>
                </c:pt>
                <c:pt idx="2">
                  <c:v>4.6628662302100565</c:v>
                </c:pt>
                <c:pt idx="3">
                  <c:v>5.4170692591287661</c:v>
                </c:pt>
                <c:pt idx="4">
                  <c:v>5.8353003977390472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A-0845-8126-F40B10EABC21}"/>
            </c:ext>
          </c:extLst>
        </c:ser>
        <c:ser>
          <c:idx val="2"/>
          <c:order val="1"/>
          <c:tx>
            <c:strRef>
              <c:f>'Figure 6.n2'!$D$1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6.n2'!$A$2:$A$16</c:f>
              <c:numCache>
                <c:formatCode>General</c:formatCode>
                <c:ptCount val="15"/>
                <c:pt idx="0">
                  <c:v>4.5915368344867602</c:v>
                </c:pt>
                <c:pt idx="1">
                  <c:v>5.4132471076445654</c:v>
                </c:pt>
                <c:pt idx="2">
                  <c:v>2.6526169120916165</c:v>
                </c:pt>
                <c:pt idx="3">
                  <c:v>3.2908593665342778</c:v>
                </c:pt>
                <c:pt idx="4">
                  <c:v>6.7291768017457798</c:v>
                </c:pt>
                <c:pt idx="5">
                  <c:v>2.9572976371855475</c:v>
                </c:pt>
                <c:pt idx="6">
                  <c:v>5.5715833140129689</c:v>
                </c:pt>
                <c:pt idx="7">
                  <c:v>4.76439857063815</c:v>
                </c:pt>
                <c:pt idx="8">
                  <c:v>4.4617451193335</c:v>
                </c:pt>
                <c:pt idx="9">
                  <c:v>5.219110916077625</c:v>
                </c:pt>
                <c:pt idx="10">
                  <c:v>11.1427785062114</c:v>
                </c:pt>
                <c:pt idx="11">
                  <c:v>13.791831785638299</c:v>
                </c:pt>
                <c:pt idx="12">
                  <c:v>12.1466196408728</c:v>
                </c:pt>
                <c:pt idx="13">
                  <c:v>10.5406127456808</c:v>
                </c:pt>
                <c:pt idx="14">
                  <c:v>12.1592069414327</c:v>
                </c:pt>
              </c:numCache>
            </c:numRef>
          </c:xVal>
          <c:yVal>
            <c:numRef>
              <c:f>'Figure 6.n2'!$D$2:$D$16</c:f>
              <c:numCache>
                <c:formatCode>General</c:formatCode>
                <c:ptCount val="15"/>
                <c:pt idx="10">
                  <c:v>7.9738543010607996</c:v>
                </c:pt>
                <c:pt idx="11">
                  <c:v>9.0425432012415996</c:v>
                </c:pt>
                <c:pt idx="12">
                  <c:v>9.9891177897806998</c:v>
                </c:pt>
                <c:pt idx="13">
                  <c:v>9.4022936183027994</c:v>
                </c:pt>
                <c:pt idx="14">
                  <c:v>8.5279790709900993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0845-8126-F40B10EAB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31327"/>
        <c:axId val="2143532975"/>
      </c:scatterChart>
      <c:valAx>
        <c:axId val="21435313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2975"/>
        <c:crosses val="autoZero"/>
        <c:crossBetween val="midCat"/>
        <c:majorUnit val="3"/>
      </c:valAx>
      <c:valAx>
        <c:axId val="2143532975"/>
        <c:scaling>
          <c:orientation val="minMax"/>
          <c:max val="1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3132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28413709290586"/>
          <c:y val="2.5428331875182269E-2"/>
          <c:w val="0.7562734837241234"/>
          <c:h val="0.73607657299718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6.n3'!$D$1</c:f>
              <c:strCache>
                <c:ptCount val="1"/>
                <c:pt idx="0">
                  <c:v>Residual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753-F148-A1E1-03396404F821}"/>
                </c:ext>
              </c:extLst>
            </c:dLbl>
            <c:dLbl>
              <c:idx val="1"/>
              <c:layout>
                <c:manualLayout>
                  <c:x val="-6.9416674737949324E-2"/>
                  <c:y val="-6.1241190728441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53-F148-A1E1-03396404F821}"/>
                </c:ext>
              </c:extLst>
            </c:dLbl>
            <c:dLbl>
              <c:idx val="2"/>
              <c:layout>
                <c:manualLayout>
                  <c:x val="-6.9416674737949324E-2"/>
                  <c:y val="-5.76387677444151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53-F148-A1E1-03396404F821}"/>
                </c:ext>
              </c:extLst>
            </c:dLbl>
            <c:dLbl>
              <c:idx val="3"/>
              <c:layout>
                <c:manualLayout>
                  <c:x val="-7.4970008716985267E-2"/>
                  <c:y val="5.76387677444151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753-F148-A1E1-03396404F821}"/>
                </c:ext>
              </c:extLst>
            </c:dLbl>
            <c:dLbl>
              <c:idx val="4"/>
              <c:layout>
                <c:manualLayout>
                  <c:x val="-6.3863340758913478E-2"/>
                  <c:y val="-6.4843613712467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753-F148-A1E1-03396404F821}"/>
                </c:ext>
              </c:extLst>
            </c:dLbl>
            <c:dLbl>
              <c:idx val="5"/>
              <c:layout>
                <c:manualLayout>
                  <c:x val="-6.6640007748431346E-2"/>
                  <c:y val="6.4843613712467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753-F148-A1E1-03396404F821}"/>
                </c:ext>
              </c:extLst>
            </c:dLbl>
            <c:dLbl>
              <c:idx val="6"/>
              <c:layout>
                <c:manualLayout>
                  <c:x val="-6.3863340758913381E-2"/>
                  <c:y val="-6.1241190728441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753-F148-A1E1-03396404F821}"/>
                </c:ext>
              </c:extLst>
            </c:dLbl>
            <c:dLbl>
              <c:idx val="7"/>
              <c:layout>
                <c:manualLayout>
                  <c:x val="-6.6640007748431554E-2"/>
                  <c:y val="5.4036344760389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753-F148-A1E1-03396404F821}"/>
                </c:ext>
              </c:extLst>
            </c:dLbl>
            <c:dLbl>
              <c:idx val="8"/>
              <c:layout>
                <c:manualLayout>
                  <c:x val="-1.6660001937107937E-2"/>
                  <c:y val="-6.1241190728441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753-F148-A1E1-03396404F82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6.n3'!$D$2:$D$10</c:f>
              <c:numCache>
                <c:formatCode>0.0000</c:formatCode>
                <c:ptCount val="9"/>
                <c:pt idx="0">
                  <c:v>2.1071776644532747E-2</c:v>
                </c:pt>
                <c:pt idx="1">
                  <c:v>0.40367573463693418</c:v>
                </c:pt>
                <c:pt idx="2">
                  <c:v>1.7260362188054899</c:v>
                </c:pt>
                <c:pt idx="3">
                  <c:v>-1.9946786619096173</c:v>
                </c:pt>
                <c:pt idx="4">
                  <c:v>1.5334622556404156</c:v>
                </c:pt>
                <c:pt idx="5">
                  <c:v>-1.5926031017074394</c:v>
                </c:pt>
                <c:pt idx="6">
                  <c:v>2.6529815976964528</c:v>
                </c:pt>
                <c:pt idx="7">
                  <c:v>-2.1899745932252799</c:v>
                </c:pt>
                <c:pt idx="8">
                  <c:v>2.8210518686191151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3-F148-A1E1-03396404F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428863"/>
        <c:axId val="1563562351"/>
      </c:scatterChart>
      <c:valAx>
        <c:axId val="1716428863"/>
        <c:scaling>
          <c:logBase val="10"/>
          <c:orientation val="minMax"/>
          <c:min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Delay to Larger Later</a:t>
                </a:r>
                <a:r>
                  <a:rPr lang="en-US" sz="2400" baseline="0">
                    <a:solidFill>
                      <a:schemeClr val="tx1"/>
                    </a:solidFill>
                  </a:rPr>
                  <a:t> </a:t>
                </a:r>
                <a:r>
                  <a:rPr lang="en-US" sz="2400">
                    <a:solidFill>
                      <a:schemeClr val="tx1"/>
                    </a:solidFill>
                  </a:rPr>
                  <a:t>(Years)</a:t>
                </a:r>
              </a:p>
            </c:rich>
          </c:tx>
          <c:layout>
            <c:manualLayout>
              <c:xMode val="edge"/>
              <c:yMode val="edge"/>
              <c:x val="0.17341159890323837"/>
              <c:y val="0.87927514711075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62351"/>
        <c:crossesAt val="0"/>
        <c:crossBetween val="midCat"/>
      </c:valAx>
      <c:valAx>
        <c:axId val="1563562351"/>
        <c:scaling>
          <c:orientation val="minMax"/>
          <c:max val="4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Residual</a:t>
                </a:r>
              </a:p>
            </c:rich>
          </c:tx>
          <c:layout>
            <c:manualLayout>
              <c:xMode val="edge"/>
              <c:yMode val="edge"/>
              <c:x val="1.1567988221684719E-3"/>
              <c:y val="0.25366135238362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28863"/>
        <c:crossesAt val="1.0000000000000004E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28413709290586"/>
          <c:y val="2.5428331875182269E-2"/>
          <c:w val="0.7562734837241234"/>
          <c:h val="0.73607657299718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6.n3'!$B$1</c:f>
              <c:strCache>
                <c:ptCount val="1"/>
                <c:pt idx="0">
                  <c:v>Raw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6.n3'!$B$2:$B$10</c:f>
              <c:numCache>
                <c:formatCode>0.0000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</c:v>
                </c:pt>
                <c:pt idx="4">
                  <c:v>92</c:v>
                </c:pt>
                <c:pt idx="5">
                  <c:v>81</c:v>
                </c:pt>
                <c:pt idx="6">
                  <c:v>73</c:v>
                </c:pt>
                <c:pt idx="7">
                  <c:v>46.5</c:v>
                </c:pt>
                <c:pt idx="8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C-5547-B910-700C7CDAB207}"/>
            </c:ext>
          </c:extLst>
        </c:ser>
        <c:ser>
          <c:idx val="1"/>
          <c:order val="1"/>
          <c:tx>
            <c:strRef>
              <c:f>'Figure 6.n3'!$C$1</c:f>
              <c:strCache>
                <c:ptCount val="1"/>
                <c:pt idx="0">
                  <c:v>Predicted by Model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6.n3'!$C$2:$C$10</c:f>
              <c:numCache>
                <c:formatCode>0.0000</c:formatCode>
                <c:ptCount val="9"/>
                <c:pt idx="0">
                  <c:v>99.978928223355467</c:v>
                </c:pt>
                <c:pt idx="1">
                  <c:v>99.596324265363066</c:v>
                </c:pt>
                <c:pt idx="2">
                  <c:v>98.27396378119451</c:v>
                </c:pt>
                <c:pt idx="3">
                  <c:v>94.994678661909617</c:v>
                </c:pt>
                <c:pt idx="4">
                  <c:v>90.466537744359584</c:v>
                </c:pt>
                <c:pt idx="5">
                  <c:v>82.592603101707439</c:v>
                </c:pt>
                <c:pt idx="6">
                  <c:v>70.347018402303547</c:v>
                </c:pt>
                <c:pt idx="7">
                  <c:v>48.68997459322528</c:v>
                </c:pt>
                <c:pt idx="8">
                  <c:v>32.178948131380885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7C-5547-B910-700C7CDA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428863"/>
        <c:axId val="1563562351"/>
      </c:scatterChart>
      <c:valAx>
        <c:axId val="1716428863"/>
        <c:scaling>
          <c:orientation val="minMax"/>
          <c:max val="0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Delay to Larger Later</a:t>
                </a:r>
                <a:r>
                  <a:rPr lang="en-US" sz="2400" baseline="0">
                    <a:solidFill>
                      <a:schemeClr val="tx1"/>
                    </a:solidFill>
                  </a:rPr>
                  <a:t> </a:t>
                </a:r>
                <a:r>
                  <a:rPr lang="en-US" sz="2400">
                    <a:solidFill>
                      <a:schemeClr val="tx1"/>
                    </a:solidFill>
                  </a:rPr>
                  <a:t>(Years)</a:t>
                </a:r>
              </a:p>
            </c:rich>
          </c:tx>
          <c:layout>
            <c:manualLayout>
              <c:xMode val="edge"/>
              <c:yMode val="edge"/>
              <c:x val="0.18725983289143025"/>
              <c:y val="0.87927514711075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62351"/>
        <c:crosses val="autoZero"/>
        <c:crossBetween val="midCat"/>
      </c:valAx>
      <c:valAx>
        <c:axId val="1563562351"/>
        <c:scaling>
          <c:orientation val="minMax"/>
          <c:max val="100"/>
          <c:min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Value of $100</a:t>
                </a:r>
              </a:p>
            </c:rich>
          </c:tx>
          <c:layout>
            <c:manualLayout>
              <c:xMode val="edge"/>
              <c:yMode val="edge"/>
              <c:x val="1.1567791884051245E-3"/>
              <c:y val="0.14558867297551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28863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28413709290586"/>
          <c:y val="2.5428331875182269E-2"/>
          <c:w val="0.7562734837241234"/>
          <c:h val="0.73607657299718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6.n3'!$B$1</c:f>
              <c:strCache>
                <c:ptCount val="1"/>
                <c:pt idx="0">
                  <c:v>Raw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6.n3'!$B$2:$B$10</c:f>
              <c:numCache>
                <c:formatCode>0.0000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</c:v>
                </c:pt>
                <c:pt idx="4">
                  <c:v>92</c:v>
                </c:pt>
                <c:pt idx="5">
                  <c:v>81</c:v>
                </c:pt>
                <c:pt idx="6">
                  <c:v>73</c:v>
                </c:pt>
                <c:pt idx="7">
                  <c:v>46.5</c:v>
                </c:pt>
                <c:pt idx="8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4-F145-8AD3-7E45F7E3E9F9}"/>
            </c:ext>
          </c:extLst>
        </c:ser>
        <c:ser>
          <c:idx val="1"/>
          <c:order val="1"/>
          <c:tx>
            <c:strRef>
              <c:f>'Figure 6.n3'!$C$1</c:f>
              <c:strCache>
                <c:ptCount val="1"/>
                <c:pt idx="0">
                  <c:v>Predicted by Model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6.n3'!$C$2:$C$10</c:f>
              <c:numCache>
                <c:formatCode>0.0000</c:formatCode>
                <c:ptCount val="9"/>
                <c:pt idx="0">
                  <c:v>99.978928223355467</c:v>
                </c:pt>
                <c:pt idx="1">
                  <c:v>99.596324265363066</c:v>
                </c:pt>
                <c:pt idx="2">
                  <c:v>98.27396378119451</c:v>
                </c:pt>
                <c:pt idx="3">
                  <c:v>94.994678661909617</c:v>
                </c:pt>
                <c:pt idx="4">
                  <c:v>90.466537744359584</c:v>
                </c:pt>
                <c:pt idx="5">
                  <c:v>82.592603101707439</c:v>
                </c:pt>
                <c:pt idx="6">
                  <c:v>70.347018402303547</c:v>
                </c:pt>
                <c:pt idx="7">
                  <c:v>48.68997459322528</c:v>
                </c:pt>
                <c:pt idx="8">
                  <c:v>32.178948131380885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84-F145-8AD3-7E45F7E3E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428863"/>
        <c:axId val="1563562351"/>
      </c:scatterChart>
      <c:valAx>
        <c:axId val="1716428863"/>
        <c:scaling>
          <c:orientation val="minMax"/>
          <c:max val="1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Delay to Larger Later</a:t>
                </a:r>
                <a:r>
                  <a:rPr lang="en-US" sz="2400" baseline="0">
                    <a:solidFill>
                      <a:schemeClr val="tx1"/>
                    </a:solidFill>
                  </a:rPr>
                  <a:t> </a:t>
                </a:r>
                <a:r>
                  <a:rPr lang="en-US" sz="2400">
                    <a:solidFill>
                      <a:schemeClr val="tx1"/>
                    </a:solidFill>
                  </a:rPr>
                  <a:t>(Years)</a:t>
                </a:r>
              </a:p>
            </c:rich>
          </c:tx>
          <c:layout>
            <c:manualLayout>
              <c:xMode val="edge"/>
              <c:yMode val="edge"/>
              <c:x val="0.18447877770215643"/>
              <c:y val="0.87927514711075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62351"/>
        <c:crosses val="autoZero"/>
        <c:crossBetween val="midCat"/>
        <c:majorUnit val="2"/>
      </c:valAx>
      <c:valAx>
        <c:axId val="15635623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Value of $100</a:t>
                </a:r>
              </a:p>
            </c:rich>
          </c:tx>
          <c:layout>
            <c:manualLayout>
              <c:xMode val="edge"/>
              <c:yMode val="edge"/>
              <c:x val="1.1567791884051245E-3"/>
              <c:y val="0.14558867297551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28863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842317236498305"/>
          <c:y val="0.6017674565049973"/>
          <c:w val="0.41003965302942313"/>
          <c:h val="0.14229740980114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28413709290586"/>
          <c:y val="6.3195576111113469E-2"/>
          <c:w val="0.7562734837241234"/>
          <c:h val="0.70365475739666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6.n3'!$B$20</c:f>
              <c:strCache>
                <c:ptCount val="1"/>
                <c:pt idx="0">
                  <c:v>Raw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6.n3'!$B$21:$B$29</c:f>
              <c:numCache>
                <c:formatCode>0.0000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</c:v>
                </c:pt>
                <c:pt idx="4">
                  <c:v>92</c:v>
                </c:pt>
                <c:pt idx="5">
                  <c:v>81</c:v>
                </c:pt>
                <c:pt idx="6">
                  <c:v>73</c:v>
                </c:pt>
                <c:pt idx="7">
                  <c:v>46.5</c:v>
                </c:pt>
                <c:pt idx="8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3-0142-B757-A01D3CFF629F}"/>
            </c:ext>
          </c:extLst>
        </c:ser>
        <c:ser>
          <c:idx val="1"/>
          <c:order val="1"/>
          <c:tx>
            <c:strRef>
              <c:f>'Figure 6.n3'!$C$1</c:f>
              <c:strCache>
                <c:ptCount val="1"/>
                <c:pt idx="0">
                  <c:v>Predicted by Model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6.n3'!$A$2:$A$10</c:f>
              <c:numCache>
                <c:formatCode>0.00</c:formatCode>
                <c:ptCount val="9"/>
                <c:pt idx="0">
                  <c:v>1E-3</c:v>
                </c:pt>
                <c:pt idx="1">
                  <c:v>1.9230769230769232E-2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'Figure 6.n3'!$C$2:$C$10</c:f>
              <c:numCache>
                <c:formatCode>0.0000</c:formatCode>
                <c:ptCount val="9"/>
                <c:pt idx="0">
                  <c:v>99.978928223355467</c:v>
                </c:pt>
                <c:pt idx="1">
                  <c:v>99.596324265363066</c:v>
                </c:pt>
                <c:pt idx="2">
                  <c:v>98.27396378119451</c:v>
                </c:pt>
                <c:pt idx="3">
                  <c:v>94.994678661909617</c:v>
                </c:pt>
                <c:pt idx="4">
                  <c:v>90.466537744359584</c:v>
                </c:pt>
                <c:pt idx="5">
                  <c:v>82.592603101707439</c:v>
                </c:pt>
                <c:pt idx="6">
                  <c:v>70.347018402303547</c:v>
                </c:pt>
                <c:pt idx="7">
                  <c:v>48.68997459322528</c:v>
                </c:pt>
                <c:pt idx="8">
                  <c:v>32.178948131380885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53-0142-B757-A01D3CFF6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428863"/>
        <c:axId val="1563562351"/>
      </c:scatterChart>
      <c:valAx>
        <c:axId val="1716428863"/>
        <c:scaling>
          <c:orientation val="minMax"/>
          <c:max val="1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Delay to SR+; Odds Against Receiving SR+; Social Distance; Effort</a:t>
                </a:r>
              </a:p>
            </c:rich>
          </c:tx>
          <c:layout>
            <c:manualLayout>
              <c:xMode val="edge"/>
              <c:yMode val="edge"/>
              <c:x val="0.18447877770215643"/>
              <c:y val="0.87927514711075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62351"/>
        <c:crosses val="autoZero"/>
        <c:crossBetween val="midCat"/>
        <c:majorUnit val="2"/>
      </c:valAx>
      <c:valAx>
        <c:axId val="15635623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chemeClr val="tx1"/>
                    </a:solidFill>
                  </a:rPr>
                  <a:t>Reinforcer Value</a:t>
                </a:r>
              </a:p>
            </c:rich>
          </c:tx>
          <c:layout>
            <c:manualLayout>
              <c:xMode val="edge"/>
              <c:yMode val="edge"/>
              <c:x val="1.1568751625931871E-3"/>
              <c:y val="0.1059620100385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28863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28413709290586"/>
          <c:y val="6.3195576111113469E-2"/>
          <c:w val="0.7562734837241234"/>
          <c:h val="0.70365475739666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6.n3'!$B$1</c:f>
              <c:strCache>
                <c:ptCount val="1"/>
                <c:pt idx="0">
                  <c:v>Raw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6.n3'!$A$21:$A$29</c:f>
              <c:numCache>
                <c:formatCode>0.00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'Figure 6.n3'!$C$21:$C$29</c:f>
              <c:numCache>
                <c:formatCode>0.0000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75</c:v>
                </c:pt>
                <c:pt idx="6">
                  <c:v>40</c:v>
                </c:pt>
                <c:pt idx="7">
                  <c:v>15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B-394D-9363-4CABC38E1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428863"/>
        <c:axId val="1563562351"/>
      </c:scatterChart>
      <c:valAx>
        <c:axId val="1716428863"/>
        <c:scaling>
          <c:orientation val="minMax"/>
          <c:max val="1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FR</a:t>
                </a:r>
                <a:r>
                  <a:rPr lang="en-US" sz="2000" baseline="0">
                    <a:solidFill>
                      <a:schemeClr val="tx1"/>
                    </a:solidFill>
                  </a:rPr>
                  <a:t> Requirement; Monetary Cost</a:t>
                </a:r>
                <a:endParaRPr lang="en-US" sz="2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20942944134513727"/>
              <c:y val="0.87249226854847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62351"/>
        <c:crosses val="autoZero"/>
        <c:crossBetween val="midCat"/>
        <c:majorUnit val="2"/>
      </c:valAx>
      <c:valAx>
        <c:axId val="15635623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300">
                    <a:solidFill>
                      <a:schemeClr val="tx1"/>
                    </a:solidFill>
                  </a:rPr>
                  <a:t>Reinforcers Consumed </a:t>
                </a:r>
              </a:p>
            </c:rich>
          </c:tx>
          <c:layout>
            <c:manualLayout>
              <c:xMode val="edge"/>
              <c:yMode val="edge"/>
              <c:x val="0"/>
              <c:y val="1.590143543791422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28863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56105486814148"/>
          <c:y val="4.0694663167104114E-2"/>
          <c:w val="0.80756592925884263"/>
          <c:h val="0.827267716535433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7.1'!$N$2</c:f>
              <c:strCache>
                <c:ptCount val="1"/>
                <c:pt idx="0">
                  <c:v>Percent Correct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7.1'!$C$8:$C$12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'Figure 7.1'!$N$8:$N$12</c:f>
              <c:numCache>
                <c:formatCode>0%</c:formatCode>
                <c:ptCount val="5"/>
                <c:pt idx="0">
                  <c:v>0.7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3-924D-A04E-28125606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088192"/>
        <c:axId val="962089840"/>
      </c:scatterChart>
      <c:valAx>
        <c:axId val="9620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9840"/>
        <c:crosses val="autoZero"/>
        <c:crossBetween val="midCat"/>
      </c:valAx>
      <c:valAx>
        <c:axId val="962089840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56105486814148"/>
          <c:y val="4.0694663167104114E-2"/>
          <c:w val="0.80756592925884263"/>
          <c:h val="0.827267716535433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7.1'!$N$2</c:f>
              <c:strCache>
                <c:ptCount val="1"/>
                <c:pt idx="0">
                  <c:v>Percent Correct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7.1'!$C$3:$C$7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'Figure 7.1'!$N$3:$N$7</c:f>
              <c:numCache>
                <c:formatCode>0%</c:formatCode>
                <c:ptCount val="5"/>
                <c:pt idx="0">
                  <c:v>0.7</c:v>
                </c:pt>
                <c:pt idx="1">
                  <c:v>0.6</c:v>
                </c:pt>
                <c:pt idx="2">
                  <c:v>0.8</c:v>
                </c:pt>
                <c:pt idx="3">
                  <c:v>0.6</c:v>
                </c:pt>
                <c:pt idx="4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C1-EE4A-9A3D-4501E32FC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088192"/>
        <c:axId val="962089840"/>
      </c:scatterChart>
      <c:valAx>
        <c:axId val="9620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9840"/>
        <c:crosses val="autoZero"/>
        <c:crossBetween val="midCat"/>
      </c:valAx>
      <c:valAx>
        <c:axId val="962089840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56105486814148"/>
          <c:y val="4.0694663167104114E-2"/>
          <c:w val="0.80756592925884263"/>
          <c:h val="0.827267716535433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7.1'!$N$2</c:f>
              <c:strCache>
                <c:ptCount val="1"/>
                <c:pt idx="0">
                  <c:v>Percent Correct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7.1'!$C$20:$C$24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'Figure 7.1'!$N$20:$N$24</c:f>
              <c:numCache>
                <c:formatCode>General</c:formatCode>
                <c:ptCount val="5"/>
                <c:pt idx="0">
                  <c:v>4.3</c:v>
                </c:pt>
                <c:pt idx="1">
                  <c:v>3.8</c:v>
                </c:pt>
                <c:pt idx="2">
                  <c:v>4.9000000000000004</c:v>
                </c:pt>
                <c:pt idx="3">
                  <c:v>6.2</c:v>
                </c:pt>
                <c:pt idx="4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F-324B-A949-A8DDC43CF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088192"/>
        <c:axId val="962089840"/>
      </c:scatterChart>
      <c:valAx>
        <c:axId val="9620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9840"/>
        <c:crosses val="autoZero"/>
        <c:crossBetween val="midCat"/>
      </c:valAx>
      <c:valAx>
        <c:axId val="962089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56105486814148"/>
          <c:y val="4.0694663167104114E-2"/>
          <c:w val="0.80756592925884263"/>
          <c:h val="0.827267716535433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7.1'!$N$2</c:f>
              <c:strCache>
                <c:ptCount val="1"/>
                <c:pt idx="0">
                  <c:v>Percent Correct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7.1'!$C$15:$C$19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'Figure 7.1'!$N$15:$N$19</c:f>
              <c:numCache>
                <c:formatCode>General</c:formatCode>
                <c:ptCount val="5"/>
                <c:pt idx="0">
                  <c:v>4.3</c:v>
                </c:pt>
                <c:pt idx="1">
                  <c:v>3.8</c:v>
                </c:pt>
                <c:pt idx="2">
                  <c:v>4.9000000000000004</c:v>
                </c:pt>
                <c:pt idx="3">
                  <c:v>6.2</c:v>
                </c:pt>
                <c:pt idx="4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F-E44A-B316-08DAF33FC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088192"/>
        <c:axId val="962089840"/>
      </c:scatterChart>
      <c:valAx>
        <c:axId val="9620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9840"/>
        <c:crosses val="autoZero"/>
        <c:crossBetween val="midCat"/>
      </c:valAx>
      <c:valAx>
        <c:axId val="962089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8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6801024871891"/>
          <c:y val="4.7472003499562557E-2"/>
          <c:w val="0.76635576802899641"/>
          <c:h val="0.799880139982502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7.2'!$L$1</c:f>
              <c:strCache>
                <c:ptCount val="1"/>
                <c:pt idx="0">
                  <c:v>Session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7.2'!$L$2:$L$21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0.77777777777777779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0.36842105263157893</c:v>
                </c:pt>
                <c:pt idx="19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F-D743-A7F9-7F29F65E73A9}"/>
            </c:ext>
          </c:extLst>
        </c:ser>
        <c:ser>
          <c:idx val="1"/>
          <c:order val="1"/>
          <c:tx>
            <c:strRef>
              <c:f>'Figure 7.2'!$M$1</c:f>
              <c:strCache>
                <c:ptCount val="1"/>
                <c:pt idx="0">
                  <c:v>Session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7.2'!$M$2:$M$21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0.8571428571428571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0.33333333333333331</c:v>
                </c:pt>
                <c:pt idx="18">
                  <c:v>0.31578947368421051</c:v>
                </c:pt>
                <c:pt idx="19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F-D743-A7F9-7F29F65E7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01008"/>
        <c:axId val="974758704"/>
      </c:scatterChart>
      <c:valAx>
        <c:axId val="959501008"/>
        <c:scaling>
          <c:orientation val="minMax"/>
          <c:max val="20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758704"/>
        <c:crosses val="autoZero"/>
        <c:crossBetween val="midCat"/>
        <c:majorUnit val="5"/>
      </c:valAx>
      <c:valAx>
        <c:axId val="974758704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10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12817147856519"/>
          <c:y val="0.65520778652668421"/>
          <c:w val="0.33945913010873641"/>
          <c:h val="0.14375065616797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6801024871891"/>
          <c:y val="4.7472003499562557E-2"/>
          <c:w val="0.76635576802899641"/>
          <c:h val="0.799880139982502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7.2'!$Q$1</c:f>
              <c:strCache>
                <c:ptCount val="1"/>
                <c:pt idx="0">
                  <c:v>Session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7.2'!$Q$2:$Q$21</c:f>
              <c:numCache>
                <c:formatCode>0%</c:formatCode>
                <c:ptCount val="2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0.66666666666666663</c:v>
                </c:pt>
                <c:pt idx="12">
                  <c:v>0.69230769230769229</c:v>
                </c:pt>
                <c:pt idx="13">
                  <c:v>0.7142857142857143</c:v>
                </c:pt>
                <c:pt idx="14">
                  <c:v>0.66666666666666663</c:v>
                </c:pt>
                <c:pt idx="15">
                  <c:v>0.6875</c:v>
                </c:pt>
                <c:pt idx="16">
                  <c:v>0.70588235294117652</c:v>
                </c:pt>
                <c:pt idx="17">
                  <c:v>0.72222222222222221</c:v>
                </c:pt>
                <c:pt idx="18">
                  <c:v>0.68421052631578949</c:v>
                </c:pt>
                <c:pt idx="19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2-5441-854A-B987BC1A55AA}"/>
            </c:ext>
          </c:extLst>
        </c:ser>
        <c:ser>
          <c:idx val="1"/>
          <c:order val="1"/>
          <c:tx>
            <c:strRef>
              <c:f>'Figure 7.2'!$R$1</c:f>
              <c:strCache>
                <c:ptCount val="1"/>
                <c:pt idx="0">
                  <c:v>Session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7.2'!$R$2:$R$21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0.55555555555555558</c:v>
                </c:pt>
                <c:pt idx="9">
                  <c:v>0.6</c:v>
                </c:pt>
                <c:pt idx="10">
                  <c:v>0.63636363636363635</c:v>
                </c:pt>
                <c:pt idx="11">
                  <c:v>0.66666666666666663</c:v>
                </c:pt>
                <c:pt idx="12">
                  <c:v>0.61538461538461542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0.5625</c:v>
                </c:pt>
                <c:pt idx="16">
                  <c:v>0.58823529411764708</c:v>
                </c:pt>
                <c:pt idx="17">
                  <c:v>0.55555555555555558</c:v>
                </c:pt>
                <c:pt idx="18">
                  <c:v>0.57894736842105265</c:v>
                </c:pt>
                <c:pt idx="1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2-5441-854A-B987BC1A5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01008"/>
        <c:axId val="974758704"/>
      </c:scatterChart>
      <c:valAx>
        <c:axId val="959501008"/>
        <c:scaling>
          <c:orientation val="minMax"/>
          <c:max val="20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758704"/>
        <c:crosses val="autoZero"/>
        <c:crossBetween val="midCat"/>
        <c:majorUnit val="5"/>
      </c:valAx>
      <c:valAx>
        <c:axId val="974758704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10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12817147856519"/>
          <c:y val="0.65520778652668421"/>
          <c:w val="0.33945913010873641"/>
          <c:h val="0.14375065616797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6801024871891"/>
          <c:y val="4.7472003499562557E-2"/>
          <c:w val="0.76635576802899641"/>
          <c:h val="0.799880139982502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7.2'!$AH$1</c:f>
              <c:strCache>
                <c:ptCount val="1"/>
                <c:pt idx="0">
                  <c:v>Session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7.2'!$AH$2:$AH$21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0.33333333333333331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0.33333333333333331</c:v>
                </c:pt>
                <c:pt idx="9">
                  <c:v>4.3</c:v>
                </c:pt>
                <c:pt idx="10">
                  <c:v>3.9090909090909092</c:v>
                </c:pt>
                <c:pt idx="11">
                  <c:v>3.5833333333333335</c:v>
                </c:pt>
                <c:pt idx="12">
                  <c:v>3.3076923076923075</c:v>
                </c:pt>
                <c:pt idx="13">
                  <c:v>3.0714285714285716</c:v>
                </c:pt>
                <c:pt idx="14">
                  <c:v>2.8666666666666667</c:v>
                </c:pt>
                <c:pt idx="15">
                  <c:v>2.75</c:v>
                </c:pt>
                <c:pt idx="16">
                  <c:v>2.5882352941176472</c:v>
                </c:pt>
                <c:pt idx="17">
                  <c:v>2.5</c:v>
                </c:pt>
                <c:pt idx="18">
                  <c:v>2.3684210526315788</c:v>
                </c:pt>
                <c:pt idx="19">
                  <c:v>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8-AB4F-91BA-12DB25906E6C}"/>
            </c:ext>
          </c:extLst>
        </c:ser>
        <c:ser>
          <c:idx val="1"/>
          <c:order val="1"/>
          <c:tx>
            <c:strRef>
              <c:f>'Figure 7.2'!$AI$1</c:f>
              <c:strCache>
                <c:ptCount val="1"/>
                <c:pt idx="0">
                  <c:v>Session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7.2'!$AI$2:$AI$21</c:f>
              <c:numCache>
                <c:formatCode>0.00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6.333333333333333</c:v>
                </c:pt>
                <c:pt idx="6">
                  <c:v>5.4285714285714288</c:v>
                </c:pt>
                <c:pt idx="7">
                  <c:v>4.75</c:v>
                </c:pt>
                <c:pt idx="8">
                  <c:v>4.2222222222222223</c:v>
                </c:pt>
                <c:pt idx="9">
                  <c:v>3.8</c:v>
                </c:pt>
                <c:pt idx="10">
                  <c:v>3.4545454545454546</c:v>
                </c:pt>
                <c:pt idx="11">
                  <c:v>3.1666666666666665</c:v>
                </c:pt>
                <c:pt idx="12">
                  <c:v>2.9230769230769229</c:v>
                </c:pt>
                <c:pt idx="13">
                  <c:v>2.7142857142857144</c:v>
                </c:pt>
                <c:pt idx="14">
                  <c:v>2.5333333333333332</c:v>
                </c:pt>
                <c:pt idx="15">
                  <c:v>2.375</c:v>
                </c:pt>
                <c:pt idx="16">
                  <c:v>2.2352941176470589</c:v>
                </c:pt>
                <c:pt idx="17">
                  <c:v>2.1111111111111112</c:v>
                </c:pt>
                <c:pt idx="18">
                  <c:v>2.0526315789473686</c:v>
                </c:pt>
                <c:pt idx="19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F8-AB4F-91BA-12DB2590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01008"/>
        <c:axId val="974758704"/>
      </c:scatterChart>
      <c:valAx>
        <c:axId val="959501008"/>
        <c:scaling>
          <c:orientation val="minMax"/>
          <c:max val="20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758704"/>
        <c:crosses val="autoZero"/>
        <c:crossBetween val="midCat"/>
        <c:majorUnit val="5"/>
      </c:valAx>
      <c:valAx>
        <c:axId val="9747587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085833020872383"/>
          <c:y val="4.4096675415573043E-2"/>
          <c:w val="0.33945913010873641"/>
          <c:h val="0.14375065616797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6801024871891"/>
          <c:y val="4.7472003499562557E-2"/>
          <c:w val="0.76635576802899641"/>
          <c:h val="0.799880139982502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7.2'!$AM$1</c:f>
              <c:strCache>
                <c:ptCount val="1"/>
                <c:pt idx="0">
                  <c:v>Session 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7.2'!$AM$2:$AM$21</c:f>
              <c:numCache>
                <c:formatCode>0.00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4.333333333333333</c:v>
                </c:pt>
                <c:pt idx="3">
                  <c:v>4.25</c:v>
                </c:pt>
                <c:pt idx="4">
                  <c:v>4.2</c:v>
                </c:pt>
                <c:pt idx="5">
                  <c:v>4.333333333333333</c:v>
                </c:pt>
                <c:pt idx="6">
                  <c:v>4.4285714285714288</c:v>
                </c:pt>
                <c:pt idx="7">
                  <c:v>4.375</c:v>
                </c:pt>
                <c:pt idx="8">
                  <c:v>4.333333333333333</c:v>
                </c:pt>
                <c:pt idx="9">
                  <c:v>4.3</c:v>
                </c:pt>
                <c:pt idx="10">
                  <c:v>4.2727272727272725</c:v>
                </c:pt>
                <c:pt idx="11">
                  <c:v>4.25</c:v>
                </c:pt>
                <c:pt idx="12">
                  <c:v>4.3076923076923075</c:v>
                </c:pt>
                <c:pt idx="13">
                  <c:v>4.2857142857142856</c:v>
                </c:pt>
                <c:pt idx="14">
                  <c:v>4.2666666666666666</c:v>
                </c:pt>
                <c:pt idx="15">
                  <c:v>4.3125</c:v>
                </c:pt>
                <c:pt idx="16">
                  <c:v>4.3529411764705879</c:v>
                </c:pt>
                <c:pt idx="17">
                  <c:v>4.333333333333333</c:v>
                </c:pt>
                <c:pt idx="18">
                  <c:v>4.3157894736842106</c:v>
                </c:pt>
                <c:pt idx="19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9-5A47-BAD7-5CE9DACF0211}"/>
            </c:ext>
          </c:extLst>
        </c:ser>
        <c:ser>
          <c:idx val="1"/>
          <c:order val="1"/>
          <c:tx>
            <c:strRef>
              <c:f>'Figure 7.2'!$AN$1</c:f>
              <c:strCache>
                <c:ptCount val="1"/>
                <c:pt idx="0">
                  <c:v>Session 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'Figure 7.2'!$A$2:$A$21</c:f>
              <c:strCache>
                <c:ptCount val="20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  <c:pt idx="5">
                  <c:v>Trial 6</c:v>
                </c:pt>
                <c:pt idx="6">
                  <c:v>Trial 7</c:v>
                </c:pt>
                <c:pt idx="7">
                  <c:v>Trial 8</c:v>
                </c:pt>
                <c:pt idx="8">
                  <c:v>Trial 9</c:v>
                </c:pt>
                <c:pt idx="9">
                  <c:v>Trial 10</c:v>
                </c:pt>
                <c:pt idx="10">
                  <c:v>Trial 11</c:v>
                </c:pt>
                <c:pt idx="11">
                  <c:v>Trial 12</c:v>
                </c:pt>
                <c:pt idx="12">
                  <c:v>Trial 13</c:v>
                </c:pt>
                <c:pt idx="13">
                  <c:v>Trial 14</c:v>
                </c:pt>
                <c:pt idx="14">
                  <c:v>Trial 15</c:v>
                </c:pt>
                <c:pt idx="15">
                  <c:v>Trial 16</c:v>
                </c:pt>
                <c:pt idx="16">
                  <c:v>Trial 17</c:v>
                </c:pt>
                <c:pt idx="17">
                  <c:v>Trial 18</c:v>
                </c:pt>
                <c:pt idx="18">
                  <c:v>Trial 19</c:v>
                </c:pt>
                <c:pt idx="19">
                  <c:v>Trial 20</c:v>
                </c:pt>
              </c:strCache>
            </c:strRef>
          </c:xVal>
          <c:yVal>
            <c:numRef>
              <c:f>'Figure 7.2'!$AN$2:$AN$21</c:f>
              <c:numCache>
                <c:formatCode>0.00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3.8</c:v>
                </c:pt>
                <c:pt idx="5">
                  <c:v>3.8333333333333335</c:v>
                </c:pt>
                <c:pt idx="6">
                  <c:v>3.7142857142857144</c:v>
                </c:pt>
                <c:pt idx="7">
                  <c:v>3.75</c:v>
                </c:pt>
                <c:pt idx="8">
                  <c:v>3.7777777777777777</c:v>
                </c:pt>
                <c:pt idx="9">
                  <c:v>3.8</c:v>
                </c:pt>
                <c:pt idx="10">
                  <c:v>3.8181818181818183</c:v>
                </c:pt>
                <c:pt idx="11">
                  <c:v>3.8333333333333335</c:v>
                </c:pt>
                <c:pt idx="12">
                  <c:v>3.8461538461538463</c:v>
                </c:pt>
                <c:pt idx="13">
                  <c:v>3.8571428571428572</c:v>
                </c:pt>
                <c:pt idx="14">
                  <c:v>3.8</c:v>
                </c:pt>
                <c:pt idx="15">
                  <c:v>3.8125</c:v>
                </c:pt>
                <c:pt idx="16">
                  <c:v>3.7647058823529411</c:v>
                </c:pt>
                <c:pt idx="17">
                  <c:v>3.7777777777777777</c:v>
                </c:pt>
                <c:pt idx="18">
                  <c:v>3.7894736842105261</c:v>
                </c:pt>
                <c:pt idx="19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B9-5A47-BAD7-5CE9DACF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01008"/>
        <c:axId val="974758704"/>
      </c:scatterChart>
      <c:valAx>
        <c:axId val="959501008"/>
        <c:scaling>
          <c:orientation val="minMax"/>
          <c:max val="20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758704"/>
        <c:crosses val="autoZero"/>
        <c:crossBetween val="midCat"/>
        <c:majorUnit val="5"/>
      </c:valAx>
      <c:valAx>
        <c:axId val="9747587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12817147856519"/>
          <c:y val="0.65520778652668421"/>
          <c:w val="0.33945913010873641"/>
          <c:h val="0.14375065616797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8.6517622797150334E-2"/>
          <c:w val="0.88396303587051617"/>
          <c:h val="0.78627577802774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8.1'!$G$24</c:f>
              <c:strCache>
                <c:ptCount val="1"/>
                <c:pt idx="0">
                  <c:v>Responses per Min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7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AC-344D-8D7E-81B2EE18FAA8}"/>
              </c:ext>
            </c:extLst>
          </c:dPt>
          <c:dPt>
            <c:idx val="14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AC-344D-8D7E-81B2EE18FAA8}"/>
              </c:ext>
            </c:extLst>
          </c:dPt>
          <c:dPt>
            <c:idx val="21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AC-344D-8D7E-81B2EE18FAA8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8.1'!$G$25:$G$50</c:f>
              <c:numCache>
                <c:formatCode>0.00</c:formatCode>
                <c:ptCount val="26"/>
                <c:pt idx="0">
                  <c:v>0.94500364866690001</c:v>
                </c:pt>
                <c:pt idx="1">
                  <c:v>4.3337488629331302</c:v>
                </c:pt>
                <c:pt idx="2">
                  <c:v>5.3206990287362697</c:v>
                </c:pt>
                <c:pt idx="3">
                  <c:v>4.3125403458834004</c:v>
                </c:pt>
                <c:pt idx="4">
                  <c:v>3.29405965101614</c:v>
                </c:pt>
                <c:pt idx="7">
                  <c:v>18.809012933837899</c:v>
                </c:pt>
                <c:pt idx="8">
                  <c:v>11.445655577001199</c:v>
                </c:pt>
                <c:pt idx="9">
                  <c:v>8.4927550283609001</c:v>
                </c:pt>
                <c:pt idx="10">
                  <c:v>12.708894117444199</c:v>
                </c:pt>
                <c:pt idx="11">
                  <c:v>9.9318441597279001</c:v>
                </c:pt>
                <c:pt idx="14">
                  <c:v>4.5690546938931202</c:v>
                </c:pt>
                <c:pt idx="15">
                  <c:v>2.4006645920308074</c:v>
                </c:pt>
                <c:pt idx="16">
                  <c:v>5.7534548634139302</c:v>
                </c:pt>
                <c:pt idx="17">
                  <c:v>4.5402019926114008</c:v>
                </c:pt>
                <c:pt idx="18">
                  <c:v>4.09845290757948</c:v>
                </c:pt>
                <c:pt idx="21">
                  <c:v>12.7857676236017</c:v>
                </c:pt>
                <c:pt idx="22">
                  <c:v>9.0741946476191</c:v>
                </c:pt>
                <c:pt idx="23">
                  <c:v>12.556317101858401</c:v>
                </c:pt>
                <c:pt idx="24">
                  <c:v>15.300216798787005</c:v>
                </c:pt>
                <c:pt idx="25">
                  <c:v>10.1089480267401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AC-344D-8D7E-81B2EE18FAA8}"/>
            </c:ext>
          </c:extLst>
        </c:ser>
        <c:ser>
          <c:idx val="1"/>
          <c:order val="1"/>
          <c:tx>
            <c:strRef>
              <c:f>'Figure 8.1'!$H$24</c:f>
              <c:strCache>
                <c:ptCount val="1"/>
                <c:pt idx="0">
                  <c:v>Ph. Change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AAC-344D-8D7E-81B2EE18FAA8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BAAC-344D-8D7E-81B2EE18FAA8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8.1'!$H$25:$H$50</c:f>
              <c:numCache>
                <c:formatCode>0.00</c:formatCode>
                <c:ptCount val="26"/>
                <c:pt idx="5">
                  <c:v>0</c:v>
                </c:pt>
                <c:pt idx="6">
                  <c:v>20.809012933837899</c:v>
                </c:pt>
                <c:pt idx="12">
                  <c:v>0</c:v>
                </c:pt>
                <c:pt idx="13">
                  <c:v>20.809012933837899</c:v>
                </c:pt>
                <c:pt idx="19">
                  <c:v>0</c:v>
                </c:pt>
                <c:pt idx="20">
                  <c:v>20.809012933837899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AAC-344D-8D7E-81B2EE18FAA8}"/>
            </c:ext>
          </c:extLst>
        </c:ser>
        <c:ser>
          <c:idx val="2"/>
          <c:order val="2"/>
          <c:tx>
            <c:strRef>
              <c:f>'Figure 8.1'!$I$24</c:f>
              <c:strCache>
                <c:ptCount val="1"/>
                <c:pt idx="0">
                  <c:v>CDC Trend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AAC-344D-8D7E-81B2EE18FAA8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C-344D-8D7E-81B2EE18FAA8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8.1'!$I$25:$I$50</c:f>
              <c:numCache>
                <c:formatCode>0.00</c:formatCode>
                <c:ptCount val="26"/>
                <c:pt idx="7">
                  <c:v>6.7131896766725516</c:v>
                </c:pt>
                <c:pt idx="8">
                  <c:v>7.1808800254374274</c:v>
                </c:pt>
                <c:pt idx="9">
                  <c:v>7.6485703742023015</c:v>
                </c:pt>
                <c:pt idx="10">
                  <c:v>8.1162607229671764</c:v>
                </c:pt>
                <c:pt idx="11">
                  <c:v>8.5839510717320504</c:v>
                </c:pt>
                <c:pt idx="14">
                  <c:v>3.3501920165219601</c:v>
                </c:pt>
                <c:pt idx="15">
                  <c:v>1.7010821157442613</c:v>
                </c:pt>
                <c:pt idx="16">
                  <c:v>5.1972214966562458E-2</c:v>
                </c:pt>
                <c:pt idx="17">
                  <c:v>-1.5971376858111399</c:v>
                </c:pt>
                <c:pt idx="18">
                  <c:v>-3.2462475865888387</c:v>
                </c:pt>
                <c:pt idx="21">
                  <c:v>5.8450123267959562</c:v>
                </c:pt>
                <c:pt idx="22">
                  <c:v>5.9648457095912875</c:v>
                </c:pt>
                <c:pt idx="23">
                  <c:v>6.0846790923866187</c:v>
                </c:pt>
                <c:pt idx="24">
                  <c:v>6.20451247518195</c:v>
                </c:pt>
                <c:pt idx="25">
                  <c:v>6.3243458579772813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AAC-344D-8D7E-81B2EE18FAA8}"/>
            </c:ext>
          </c:extLst>
        </c:ser>
        <c:ser>
          <c:idx val="3"/>
          <c:order val="3"/>
          <c:tx>
            <c:strRef>
              <c:f>'Figure 8.1'!$J$24</c:f>
              <c:strCache>
                <c:ptCount val="1"/>
                <c:pt idx="0">
                  <c:v>CDC AVG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BAAC-344D-8D7E-81B2EE18FAA8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BAAC-344D-8D7E-81B2EE18FAA8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8.1'!$J$25:$J$50</c:f>
              <c:numCache>
                <c:formatCode>0.00</c:formatCode>
                <c:ptCount val="26"/>
                <c:pt idx="7">
                  <c:v>5.3101186303779269</c:v>
                </c:pt>
                <c:pt idx="8">
                  <c:v>5.3101186303779269</c:v>
                </c:pt>
                <c:pt idx="9">
                  <c:v>5.3101186303779269</c:v>
                </c:pt>
                <c:pt idx="10">
                  <c:v>5.3101186303779269</c:v>
                </c:pt>
                <c:pt idx="11">
                  <c:v>5.3101186303779269</c:v>
                </c:pt>
                <c:pt idx="14">
                  <c:v>8.297521718855057</c:v>
                </c:pt>
                <c:pt idx="15">
                  <c:v>8.297521718855057</c:v>
                </c:pt>
                <c:pt idx="16">
                  <c:v>8.297521718855057</c:v>
                </c:pt>
                <c:pt idx="17">
                  <c:v>8.297521718855057</c:v>
                </c:pt>
                <c:pt idx="18">
                  <c:v>8.297521718855057</c:v>
                </c:pt>
                <c:pt idx="21">
                  <c:v>5.4855121784099623</c:v>
                </c:pt>
                <c:pt idx="22">
                  <c:v>5.4855121784099623</c:v>
                </c:pt>
                <c:pt idx="23">
                  <c:v>5.4855121784099623</c:v>
                </c:pt>
                <c:pt idx="24">
                  <c:v>5.4855121784099623</c:v>
                </c:pt>
                <c:pt idx="25">
                  <c:v>5.4855121784099623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AAC-344D-8D7E-81B2EE18F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22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6.2708151064450282E-2"/>
          <c:w val="0.88396303587051617"/>
          <c:h val="0.810085301837270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8.1'!$J$2</c:f>
              <c:strCache>
                <c:ptCount val="1"/>
                <c:pt idx="0">
                  <c:v>Tangible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8.1'!$J$3:$J$22</c:f>
              <c:numCache>
                <c:formatCode>0.00</c:formatCode>
                <c:ptCount val="20"/>
                <c:pt idx="0">
                  <c:v>8.3413940652971998</c:v>
                </c:pt>
                <c:pt idx="4">
                  <c:v>5.9674832906748598</c:v>
                </c:pt>
                <c:pt idx="8">
                  <c:v>8.8003591978631004</c:v>
                </c:pt>
                <c:pt idx="12">
                  <c:v>6.0753699320485</c:v>
                </c:pt>
                <c:pt idx="16">
                  <c:v>7.9992704740871003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0-AF4C-8395-1B695819A99B}"/>
            </c:ext>
          </c:extLst>
        </c:ser>
        <c:ser>
          <c:idx val="1"/>
          <c:order val="1"/>
          <c:tx>
            <c:strRef>
              <c:f>'Figure 8.1'!$K$2</c:f>
              <c:strCache>
                <c:ptCount val="1"/>
                <c:pt idx="0">
                  <c:v>Attention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8.1'!$K$3:$K$22</c:f>
              <c:numCache>
                <c:formatCode>0.00</c:formatCode>
                <c:ptCount val="20"/>
                <c:pt idx="1">
                  <c:v>1.4274878645228455</c:v>
                </c:pt>
                <c:pt idx="5">
                  <c:v>3.1761251294519801</c:v>
                </c:pt>
                <c:pt idx="9">
                  <c:v>4.0497732344228998</c:v>
                </c:pt>
                <c:pt idx="13">
                  <c:v>5.6845091370923901</c:v>
                </c:pt>
                <c:pt idx="17">
                  <c:v>6.7001835911069101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80-AF4C-8395-1B695819A99B}"/>
            </c:ext>
          </c:extLst>
        </c:ser>
        <c:ser>
          <c:idx val="2"/>
          <c:order val="2"/>
          <c:tx>
            <c:strRef>
              <c:f>'Figure 8.1'!$L$2</c:f>
              <c:strCache>
                <c:ptCount val="1"/>
                <c:pt idx="0">
                  <c:v>Escape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8.1'!$L$3:$L$22</c:f>
              <c:numCache>
                <c:formatCode>0.00</c:formatCode>
                <c:ptCount val="20"/>
                <c:pt idx="2">
                  <c:v>3.6021969056746457</c:v>
                </c:pt>
                <c:pt idx="6">
                  <c:v>3.9275549928133842</c:v>
                </c:pt>
                <c:pt idx="10">
                  <c:v>5.3734332899039146</c:v>
                </c:pt>
                <c:pt idx="14">
                  <c:v>2.9888933643887867</c:v>
                </c:pt>
                <c:pt idx="18">
                  <c:v>4.5713783341197995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80-AF4C-8395-1B695819A99B}"/>
            </c:ext>
          </c:extLst>
        </c:ser>
        <c:ser>
          <c:idx val="3"/>
          <c:order val="3"/>
          <c:tx>
            <c:strRef>
              <c:f>'Figure 8.1'!$M$2</c:f>
              <c:strCache>
                <c:ptCount val="1"/>
                <c:pt idx="0">
                  <c:v>Control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8.1'!$M$3:$M$22</c:f>
              <c:numCache>
                <c:formatCode>0.00</c:formatCode>
                <c:ptCount val="20"/>
                <c:pt idx="3">
                  <c:v>8.4094424588838006</c:v>
                </c:pt>
                <c:pt idx="7">
                  <c:v>6.6337279501167403</c:v>
                </c:pt>
                <c:pt idx="11">
                  <c:v>1.8113700055691879</c:v>
                </c:pt>
                <c:pt idx="15">
                  <c:v>3.6790821771573974</c:v>
                </c:pt>
                <c:pt idx="19">
                  <c:v>2.7420218278421089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80-AF4C-8395-1B695819A99B}"/>
            </c:ext>
          </c:extLst>
        </c:ser>
        <c:ser>
          <c:idx val="4"/>
          <c:order val="4"/>
          <c:tx>
            <c:strRef>
              <c:f>'Figure 8.1'!$N$2</c:f>
              <c:strCache>
                <c:ptCount val="1"/>
                <c:pt idx="0">
                  <c:v>Mean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8.1'!$N$3:$N$22</c:f>
              <c:numCache>
                <c:formatCode>0.00</c:formatCode>
                <c:ptCount val="20"/>
                <c:pt idx="0">
                  <c:v>4.6551288839138474</c:v>
                </c:pt>
                <c:pt idx="1">
                  <c:v>4.6551288839138474</c:v>
                </c:pt>
                <c:pt idx="2">
                  <c:v>4.6551288839138474</c:v>
                </c:pt>
                <c:pt idx="3">
                  <c:v>4.6551288839138474</c:v>
                </c:pt>
                <c:pt idx="4">
                  <c:v>4.6551288839138474</c:v>
                </c:pt>
                <c:pt idx="5">
                  <c:v>4.6551288839138474</c:v>
                </c:pt>
                <c:pt idx="6">
                  <c:v>4.6551288839138474</c:v>
                </c:pt>
                <c:pt idx="7">
                  <c:v>4.6551288839138474</c:v>
                </c:pt>
                <c:pt idx="8">
                  <c:v>4.6551288839138474</c:v>
                </c:pt>
                <c:pt idx="9">
                  <c:v>4.6551288839138474</c:v>
                </c:pt>
                <c:pt idx="10">
                  <c:v>4.6551288839138474</c:v>
                </c:pt>
                <c:pt idx="11">
                  <c:v>4.6551288839138474</c:v>
                </c:pt>
                <c:pt idx="12">
                  <c:v>4.6551288839138474</c:v>
                </c:pt>
                <c:pt idx="13">
                  <c:v>4.6551288839138474</c:v>
                </c:pt>
                <c:pt idx="14">
                  <c:v>4.6551288839138474</c:v>
                </c:pt>
                <c:pt idx="15">
                  <c:v>4.6551288839138474</c:v>
                </c:pt>
                <c:pt idx="16">
                  <c:v>4.6551288839138474</c:v>
                </c:pt>
                <c:pt idx="17">
                  <c:v>4.6551288839138474</c:v>
                </c:pt>
                <c:pt idx="18">
                  <c:v>4.6551288839138474</c:v>
                </c:pt>
                <c:pt idx="19">
                  <c:v>4.6551288839138474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80-AF4C-8395-1B695819A99B}"/>
            </c:ext>
          </c:extLst>
        </c:ser>
        <c:ser>
          <c:idx val="5"/>
          <c:order val="5"/>
          <c:tx>
            <c:strRef>
              <c:f>'Figure 8.1'!$O$2</c:f>
              <c:strCache>
                <c:ptCount val="1"/>
                <c:pt idx="0">
                  <c:v>SD Above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8.1'!$O$3:$O$22</c:f>
              <c:numCache>
                <c:formatCode>0.00</c:formatCode>
                <c:ptCount val="20"/>
                <c:pt idx="0">
                  <c:v>7.4259290852955848</c:v>
                </c:pt>
                <c:pt idx="1">
                  <c:v>7.4259290852955848</c:v>
                </c:pt>
                <c:pt idx="2">
                  <c:v>7.4259290852955848</c:v>
                </c:pt>
                <c:pt idx="3">
                  <c:v>7.4259290852955848</c:v>
                </c:pt>
                <c:pt idx="4">
                  <c:v>7.4259290852955848</c:v>
                </c:pt>
                <c:pt idx="5">
                  <c:v>7.4259290852955848</c:v>
                </c:pt>
                <c:pt idx="6">
                  <c:v>7.4259290852955848</c:v>
                </c:pt>
                <c:pt idx="7">
                  <c:v>7.4259290852955848</c:v>
                </c:pt>
                <c:pt idx="8">
                  <c:v>7.4259290852955848</c:v>
                </c:pt>
                <c:pt idx="9">
                  <c:v>7.4259290852955848</c:v>
                </c:pt>
                <c:pt idx="10">
                  <c:v>7.4259290852955848</c:v>
                </c:pt>
                <c:pt idx="11">
                  <c:v>7.4259290852955848</c:v>
                </c:pt>
                <c:pt idx="12">
                  <c:v>7.4259290852955848</c:v>
                </c:pt>
                <c:pt idx="13">
                  <c:v>7.4259290852955848</c:v>
                </c:pt>
                <c:pt idx="14">
                  <c:v>7.4259290852955848</c:v>
                </c:pt>
                <c:pt idx="15">
                  <c:v>7.4259290852955848</c:v>
                </c:pt>
                <c:pt idx="16">
                  <c:v>7.4259290852955848</c:v>
                </c:pt>
                <c:pt idx="17">
                  <c:v>7.4259290852955848</c:v>
                </c:pt>
                <c:pt idx="18">
                  <c:v>7.4259290852955848</c:v>
                </c:pt>
                <c:pt idx="19">
                  <c:v>7.4259290852955848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80-AF4C-8395-1B695819A99B}"/>
            </c:ext>
          </c:extLst>
        </c:ser>
        <c:ser>
          <c:idx val="6"/>
          <c:order val="6"/>
          <c:tx>
            <c:strRef>
              <c:f>'Figure 8.1'!$P$2</c:f>
              <c:strCache>
                <c:ptCount val="1"/>
                <c:pt idx="0">
                  <c:v>SD Below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8.1'!$P$3:$P$22</c:f>
              <c:numCache>
                <c:formatCode>0.00</c:formatCode>
                <c:ptCount val="20"/>
                <c:pt idx="0">
                  <c:v>1.8843286825321099</c:v>
                </c:pt>
                <c:pt idx="1">
                  <c:v>1.8843286825321099</c:v>
                </c:pt>
                <c:pt idx="2">
                  <c:v>1.8843286825321099</c:v>
                </c:pt>
                <c:pt idx="3">
                  <c:v>1.8843286825321099</c:v>
                </c:pt>
                <c:pt idx="4">
                  <c:v>1.8843286825321099</c:v>
                </c:pt>
                <c:pt idx="5">
                  <c:v>1.8843286825321099</c:v>
                </c:pt>
                <c:pt idx="6">
                  <c:v>1.8843286825321099</c:v>
                </c:pt>
                <c:pt idx="7">
                  <c:v>1.8843286825321099</c:v>
                </c:pt>
                <c:pt idx="8">
                  <c:v>1.8843286825321099</c:v>
                </c:pt>
                <c:pt idx="9">
                  <c:v>1.8843286825321099</c:v>
                </c:pt>
                <c:pt idx="10">
                  <c:v>1.8843286825321099</c:v>
                </c:pt>
                <c:pt idx="11">
                  <c:v>1.8843286825321099</c:v>
                </c:pt>
                <c:pt idx="12">
                  <c:v>1.8843286825321099</c:v>
                </c:pt>
                <c:pt idx="13">
                  <c:v>1.8843286825321099</c:v>
                </c:pt>
                <c:pt idx="14">
                  <c:v>1.8843286825321099</c:v>
                </c:pt>
                <c:pt idx="15">
                  <c:v>1.8843286825321099</c:v>
                </c:pt>
                <c:pt idx="16">
                  <c:v>1.8843286825321099</c:v>
                </c:pt>
                <c:pt idx="17">
                  <c:v>1.8843286825321099</c:v>
                </c:pt>
                <c:pt idx="18">
                  <c:v>1.8843286825321099</c:v>
                </c:pt>
                <c:pt idx="19">
                  <c:v>1.8843286825321099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80-AF4C-8395-1B695819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6.2708151064450282E-2"/>
          <c:w val="0.88396303587051617"/>
          <c:h val="0.810085301837270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8.1'!$C$2</c:f>
              <c:strCache>
                <c:ptCount val="1"/>
                <c:pt idx="0">
                  <c:v>Tangible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8.1'!$C$3:$C$22</c:f>
              <c:numCache>
                <c:formatCode>0.00</c:formatCode>
                <c:ptCount val="20"/>
                <c:pt idx="0">
                  <c:v>8.3413940652971998</c:v>
                </c:pt>
                <c:pt idx="4">
                  <c:v>5.9674832906748598</c:v>
                </c:pt>
                <c:pt idx="8">
                  <c:v>8.8003591978631004</c:v>
                </c:pt>
                <c:pt idx="12">
                  <c:v>6.0753699320485</c:v>
                </c:pt>
                <c:pt idx="16">
                  <c:v>7.9992704740871003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F-FF4F-8170-4C1825574056}"/>
            </c:ext>
          </c:extLst>
        </c:ser>
        <c:ser>
          <c:idx val="1"/>
          <c:order val="1"/>
          <c:tx>
            <c:strRef>
              <c:f>'Figure 8.1'!$D$2</c:f>
              <c:strCache>
                <c:ptCount val="1"/>
                <c:pt idx="0">
                  <c:v>Attention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8.1'!$D$3:$D$22</c:f>
              <c:numCache>
                <c:formatCode>0.00</c:formatCode>
                <c:ptCount val="20"/>
                <c:pt idx="1">
                  <c:v>1.4274878645228455</c:v>
                </c:pt>
                <c:pt idx="5">
                  <c:v>1.1761251294519752</c:v>
                </c:pt>
                <c:pt idx="9">
                  <c:v>2.0497732344229007</c:v>
                </c:pt>
                <c:pt idx="13">
                  <c:v>0.68450913709239103</c:v>
                </c:pt>
                <c:pt idx="17">
                  <c:v>2.7001835911069065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F-FF4F-8170-4C1825574056}"/>
            </c:ext>
          </c:extLst>
        </c:ser>
        <c:ser>
          <c:idx val="2"/>
          <c:order val="2"/>
          <c:tx>
            <c:strRef>
              <c:f>'Figure 8.1'!$E$2</c:f>
              <c:strCache>
                <c:ptCount val="1"/>
                <c:pt idx="0">
                  <c:v>Escape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8.1'!$E$3:$E$22</c:f>
              <c:numCache>
                <c:formatCode>0.00</c:formatCode>
                <c:ptCount val="20"/>
                <c:pt idx="2">
                  <c:v>3.6021969056746457</c:v>
                </c:pt>
                <c:pt idx="6">
                  <c:v>3.9275549928133842</c:v>
                </c:pt>
                <c:pt idx="10">
                  <c:v>5.3734332899039146</c:v>
                </c:pt>
                <c:pt idx="14">
                  <c:v>2.9888933643887867</c:v>
                </c:pt>
                <c:pt idx="18">
                  <c:v>4.5713783341197995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2F-FF4F-8170-4C1825574056}"/>
            </c:ext>
          </c:extLst>
        </c:ser>
        <c:ser>
          <c:idx val="3"/>
          <c:order val="3"/>
          <c:tx>
            <c:strRef>
              <c:f>'Figure 8.1'!$F$2</c:f>
              <c:strCache>
                <c:ptCount val="1"/>
                <c:pt idx="0">
                  <c:v>Control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8.1'!$F$3:$F$22</c:f>
              <c:numCache>
                <c:formatCode>0.00</c:formatCode>
                <c:ptCount val="20"/>
                <c:pt idx="3">
                  <c:v>5.4094424588838592</c:v>
                </c:pt>
                <c:pt idx="7">
                  <c:v>3.6337279501167359</c:v>
                </c:pt>
                <c:pt idx="11">
                  <c:v>1.8113700055691879</c:v>
                </c:pt>
                <c:pt idx="15">
                  <c:v>3.6790821771573974</c:v>
                </c:pt>
                <c:pt idx="19">
                  <c:v>2.7420218278421089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2F-FF4F-8170-4C1825574056}"/>
            </c:ext>
          </c:extLst>
        </c:ser>
        <c:ser>
          <c:idx val="4"/>
          <c:order val="4"/>
          <c:tx>
            <c:strRef>
              <c:f>'Figure 8.1'!$G$2</c:f>
              <c:strCache>
                <c:ptCount val="1"/>
                <c:pt idx="0">
                  <c:v>Mean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8.1'!$G$3:$G$22</c:f>
              <c:numCache>
                <c:formatCode>0.00</c:formatCode>
                <c:ptCount val="20"/>
                <c:pt idx="0">
                  <c:v>3.4551288839138579</c:v>
                </c:pt>
                <c:pt idx="1">
                  <c:v>3.4551288839138579</c:v>
                </c:pt>
                <c:pt idx="2">
                  <c:v>3.4551288839138579</c:v>
                </c:pt>
                <c:pt idx="3">
                  <c:v>3.4551288839138579</c:v>
                </c:pt>
                <c:pt idx="4">
                  <c:v>3.4551288839138579</c:v>
                </c:pt>
                <c:pt idx="5">
                  <c:v>3.4551288839138579</c:v>
                </c:pt>
                <c:pt idx="6">
                  <c:v>3.4551288839138579</c:v>
                </c:pt>
                <c:pt idx="7">
                  <c:v>3.4551288839138579</c:v>
                </c:pt>
                <c:pt idx="8">
                  <c:v>3.4551288839138579</c:v>
                </c:pt>
                <c:pt idx="9">
                  <c:v>3.4551288839138579</c:v>
                </c:pt>
                <c:pt idx="10">
                  <c:v>3.4551288839138579</c:v>
                </c:pt>
                <c:pt idx="11">
                  <c:v>3.4551288839138579</c:v>
                </c:pt>
                <c:pt idx="12">
                  <c:v>3.4551288839138579</c:v>
                </c:pt>
                <c:pt idx="13">
                  <c:v>3.4551288839138579</c:v>
                </c:pt>
                <c:pt idx="14">
                  <c:v>3.4551288839138579</c:v>
                </c:pt>
                <c:pt idx="15">
                  <c:v>3.4551288839138579</c:v>
                </c:pt>
                <c:pt idx="16">
                  <c:v>3.4551288839138579</c:v>
                </c:pt>
                <c:pt idx="17">
                  <c:v>3.4551288839138579</c:v>
                </c:pt>
                <c:pt idx="18">
                  <c:v>3.4551288839138579</c:v>
                </c:pt>
                <c:pt idx="19">
                  <c:v>3.4551288839138579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2F-FF4F-8170-4C1825574056}"/>
            </c:ext>
          </c:extLst>
        </c:ser>
        <c:ser>
          <c:idx val="5"/>
          <c:order val="5"/>
          <c:tx>
            <c:strRef>
              <c:f>'Figure 8.1'!$H$2</c:f>
              <c:strCache>
                <c:ptCount val="1"/>
                <c:pt idx="0">
                  <c:v>SD Above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8.1'!$H$3:$H$22</c:f>
              <c:numCache>
                <c:formatCode>0.00</c:formatCode>
                <c:ptCount val="20"/>
                <c:pt idx="0">
                  <c:v>4.7885323465679264</c:v>
                </c:pt>
                <c:pt idx="1">
                  <c:v>4.7885323465679264</c:v>
                </c:pt>
                <c:pt idx="2">
                  <c:v>4.7885323465679264</c:v>
                </c:pt>
                <c:pt idx="3">
                  <c:v>4.7885323465679264</c:v>
                </c:pt>
                <c:pt idx="4">
                  <c:v>4.7885323465679264</c:v>
                </c:pt>
                <c:pt idx="5">
                  <c:v>4.7885323465679264</c:v>
                </c:pt>
                <c:pt idx="6">
                  <c:v>4.7885323465679264</c:v>
                </c:pt>
                <c:pt idx="7">
                  <c:v>4.7885323465679264</c:v>
                </c:pt>
                <c:pt idx="8">
                  <c:v>4.7885323465679264</c:v>
                </c:pt>
                <c:pt idx="9">
                  <c:v>4.7885323465679264</c:v>
                </c:pt>
                <c:pt idx="10">
                  <c:v>4.7885323465679264</c:v>
                </c:pt>
                <c:pt idx="11">
                  <c:v>4.7885323465679264</c:v>
                </c:pt>
                <c:pt idx="12">
                  <c:v>4.7885323465679264</c:v>
                </c:pt>
                <c:pt idx="13">
                  <c:v>4.7885323465679264</c:v>
                </c:pt>
                <c:pt idx="14">
                  <c:v>4.7885323465679264</c:v>
                </c:pt>
                <c:pt idx="15">
                  <c:v>4.7885323465679264</c:v>
                </c:pt>
                <c:pt idx="16">
                  <c:v>4.7885323465679264</c:v>
                </c:pt>
                <c:pt idx="17">
                  <c:v>4.7885323465679264</c:v>
                </c:pt>
                <c:pt idx="18">
                  <c:v>4.7885323465679264</c:v>
                </c:pt>
                <c:pt idx="19">
                  <c:v>4.7885323465679264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2F-FF4F-8170-4C1825574056}"/>
            </c:ext>
          </c:extLst>
        </c:ser>
        <c:ser>
          <c:idx val="6"/>
          <c:order val="6"/>
          <c:tx>
            <c:strRef>
              <c:f>'Figure 8.1'!$I$2</c:f>
              <c:strCache>
                <c:ptCount val="1"/>
                <c:pt idx="0">
                  <c:v>SD Below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'Figure 8.1'!$B$3:$B$22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'Figure 8.1'!$I$3:$I$22</c:f>
              <c:numCache>
                <c:formatCode>0.00</c:formatCode>
                <c:ptCount val="20"/>
                <c:pt idx="0">
                  <c:v>2.1217254212597894</c:v>
                </c:pt>
                <c:pt idx="1">
                  <c:v>2.1217254212597894</c:v>
                </c:pt>
                <c:pt idx="2">
                  <c:v>2.1217254212597894</c:v>
                </c:pt>
                <c:pt idx="3">
                  <c:v>2.1217254212597894</c:v>
                </c:pt>
                <c:pt idx="4">
                  <c:v>2.1217254212597894</c:v>
                </c:pt>
                <c:pt idx="5">
                  <c:v>2.1217254212597894</c:v>
                </c:pt>
                <c:pt idx="6">
                  <c:v>2.1217254212597894</c:v>
                </c:pt>
                <c:pt idx="7">
                  <c:v>2.1217254212597894</c:v>
                </c:pt>
                <c:pt idx="8">
                  <c:v>2.1217254212597894</c:v>
                </c:pt>
                <c:pt idx="9">
                  <c:v>2.1217254212597894</c:v>
                </c:pt>
                <c:pt idx="10">
                  <c:v>2.1217254212597894</c:v>
                </c:pt>
                <c:pt idx="11">
                  <c:v>2.1217254212597894</c:v>
                </c:pt>
                <c:pt idx="12">
                  <c:v>2.1217254212597894</c:v>
                </c:pt>
                <c:pt idx="13">
                  <c:v>2.1217254212597894</c:v>
                </c:pt>
                <c:pt idx="14">
                  <c:v>2.1217254212597894</c:v>
                </c:pt>
                <c:pt idx="15">
                  <c:v>2.1217254212597894</c:v>
                </c:pt>
                <c:pt idx="16">
                  <c:v>2.1217254212597894</c:v>
                </c:pt>
                <c:pt idx="17">
                  <c:v>2.1217254212597894</c:v>
                </c:pt>
                <c:pt idx="18">
                  <c:v>2.1217254212597894</c:v>
                </c:pt>
                <c:pt idx="19">
                  <c:v>2.1217254212597894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2F-FF4F-8170-4C1825574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10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8.6517622797150334E-2"/>
          <c:w val="0.88396303587051617"/>
          <c:h val="0.78627577802774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8.1'!$C$24</c:f>
              <c:strCache>
                <c:ptCount val="1"/>
                <c:pt idx="0">
                  <c:v>Responses per Min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7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B62-4E43-9843-3A0671DAAFFA}"/>
              </c:ext>
            </c:extLst>
          </c:dPt>
          <c:dPt>
            <c:idx val="14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6B62-4E43-9843-3A0671DAAFFA}"/>
              </c:ext>
            </c:extLst>
          </c:dPt>
          <c:dPt>
            <c:idx val="21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B62-4E43-9843-3A0671DAAFFA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8.1'!$C$25:$C$50</c:f>
              <c:numCache>
                <c:formatCode>0.00</c:formatCode>
                <c:ptCount val="26"/>
                <c:pt idx="0">
                  <c:v>3.9450036486669</c:v>
                </c:pt>
                <c:pt idx="1">
                  <c:v>1.3337488629331347</c:v>
                </c:pt>
                <c:pt idx="2">
                  <c:v>3.8206990287362714</c:v>
                </c:pt>
                <c:pt idx="3">
                  <c:v>5.3125403458834626</c:v>
                </c:pt>
                <c:pt idx="4">
                  <c:v>1.2940596510161413</c:v>
                </c:pt>
                <c:pt idx="7">
                  <c:v>9.8090129338379484</c:v>
                </c:pt>
                <c:pt idx="8">
                  <c:v>12.445655577001199</c:v>
                </c:pt>
                <c:pt idx="9">
                  <c:v>16.4927550283609</c:v>
                </c:pt>
                <c:pt idx="10">
                  <c:v>15.208894117444199</c:v>
                </c:pt>
                <c:pt idx="11">
                  <c:v>17.931844159727898</c:v>
                </c:pt>
                <c:pt idx="14">
                  <c:v>4.5690546938931202</c:v>
                </c:pt>
                <c:pt idx="15">
                  <c:v>2.4006645920308074</c:v>
                </c:pt>
                <c:pt idx="16">
                  <c:v>3.7534548634139302</c:v>
                </c:pt>
                <c:pt idx="17">
                  <c:v>4.5402019926114008</c:v>
                </c:pt>
                <c:pt idx="18">
                  <c:v>1.09845290757948</c:v>
                </c:pt>
                <c:pt idx="21">
                  <c:v>12.7857676236017</c:v>
                </c:pt>
                <c:pt idx="22">
                  <c:v>14.0741946476191</c:v>
                </c:pt>
                <c:pt idx="23">
                  <c:v>16.556317101858401</c:v>
                </c:pt>
                <c:pt idx="24">
                  <c:v>15.300216798787005</c:v>
                </c:pt>
                <c:pt idx="25">
                  <c:v>19.108948026740102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2-4E43-9843-3A0671DAAFFA}"/>
            </c:ext>
          </c:extLst>
        </c:ser>
        <c:ser>
          <c:idx val="1"/>
          <c:order val="1"/>
          <c:tx>
            <c:strRef>
              <c:f>'Figure 8.1'!$D$24</c:f>
              <c:strCache>
                <c:ptCount val="1"/>
                <c:pt idx="0">
                  <c:v>Ph. Change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2"/>
            <c:marker>
              <c:symbol val="none"/>
            </c:marker>
            <c:bubble3D val="0"/>
            <c:spPr>
              <a:ln w="19050" cap="rnd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B62-4E43-9843-3A0671DAAFFA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19050" cap="rnd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B62-4E43-9843-3A0671DAAFFA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8.1'!$D$25:$D$50</c:f>
              <c:numCache>
                <c:formatCode>0.00</c:formatCode>
                <c:ptCount val="26"/>
                <c:pt idx="5">
                  <c:v>0</c:v>
                </c:pt>
                <c:pt idx="6">
                  <c:v>26.428022948116837</c:v>
                </c:pt>
                <c:pt idx="12">
                  <c:v>0</c:v>
                </c:pt>
                <c:pt idx="13">
                  <c:v>26.428022948116837</c:v>
                </c:pt>
                <c:pt idx="19">
                  <c:v>0</c:v>
                </c:pt>
                <c:pt idx="20">
                  <c:v>26.428022948116837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62-4E43-9843-3A0671DAAFFA}"/>
            </c:ext>
          </c:extLst>
        </c:ser>
        <c:ser>
          <c:idx val="2"/>
          <c:order val="2"/>
          <c:tx>
            <c:strRef>
              <c:f>'Figure 8.1'!$E$24</c:f>
              <c:strCache>
                <c:ptCount val="1"/>
                <c:pt idx="0">
                  <c:v>CDC Trend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62-4E43-9843-3A0671DAAFFA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B62-4E43-9843-3A0671DAAFFA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8.1'!$E$25:$E$50</c:f>
              <c:numCache>
                <c:formatCode>0.00</c:formatCode>
                <c:ptCount val="26"/>
                <c:pt idx="7">
                  <c:v>4.5121434251802599</c:v>
                </c:pt>
                <c:pt idx="8">
                  <c:v>4.3798337739451405</c:v>
                </c:pt>
                <c:pt idx="9">
                  <c:v>4.247524122710022</c:v>
                </c:pt>
                <c:pt idx="10">
                  <c:v>4.1152144714749035</c:v>
                </c:pt>
                <c:pt idx="11">
                  <c:v>3.9829048202397841</c:v>
                </c:pt>
                <c:pt idx="14">
                  <c:v>16.824462551227679</c:v>
                </c:pt>
                <c:pt idx="15">
                  <c:v>18.72535265044997</c:v>
                </c:pt>
                <c:pt idx="16">
                  <c:v>20.626242749672258</c:v>
                </c:pt>
                <c:pt idx="17">
                  <c:v>22.527132848894549</c:v>
                </c:pt>
                <c:pt idx="18">
                  <c:v>24.428022948116837</c:v>
                </c:pt>
                <c:pt idx="21">
                  <c:v>3.3323673449609394</c:v>
                </c:pt>
                <c:pt idx="22">
                  <c:v>2.8522007277562711</c:v>
                </c:pt>
                <c:pt idx="23">
                  <c:v>2.3720341105516027</c:v>
                </c:pt>
                <c:pt idx="24">
                  <c:v>1.8918674933469326</c:v>
                </c:pt>
                <c:pt idx="25">
                  <c:v>1.4117008761422642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62-4E43-9843-3A0671DAAFFA}"/>
            </c:ext>
          </c:extLst>
        </c:ser>
        <c:ser>
          <c:idx val="3"/>
          <c:order val="3"/>
          <c:tx>
            <c:strRef>
              <c:f>'Figure 8.1'!$F$24</c:f>
              <c:strCache>
                <c:ptCount val="1"/>
                <c:pt idx="0">
                  <c:v>CDC AVG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6B62-4E43-9843-3A0671DAAFFA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12700" cap="rnd">
                <a:noFill/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6B62-4E43-9843-3A0671DAAFFA}"/>
              </c:ext>
            </c:extLst>
          </c:dPt>
          <c:xVal>
            <c:numRef>
              <c:f>'Figure 8.1'!$B$25:$B$50</c:f>
              <c:numCache>
                <c:formatCode>0.00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8.1'!$F$25:$F$50</c:f>
              <c:numCache>
                <c:formatCode>0.00</c:formatCode>
                <c:ptCount val="26"/>
                <c:pt idx="7">
                  <c:v>4.9090723788856163</c:v>
                </c:pt>
                <c:pt idx="8">
                  <c:v>4.9090723788856163</c:v>
                </c:pt>
                <c:pt idx="9">
                  <c:v>4.9090723788856163</c:v>
                </c:pt>
                <c:pt idx="10">
                  <c:v>4.9090723788856163</c:v>
                </c:pt>
                <c:pt idx="11">
                  <c:v>4.9090723788856163</c:v>
                </c:pt>
                <c:pt idx="14">
                  <c:v>11.121792253560809</c:v>
                </c:pt>
                <c:pt idx="15">
                  <c:v>11.121792253560809</c:v>
                </c:pt>
                <c:pt idx="16">
                  <c:v>11.121792253560809</c:v>
                </c:pt>
                <c:pt idx="17">
                  <c:v>11.121792253560809</c:v>
                </c:pt>
                <c:pt idx="18">
                  <c:v>11.121792253560809</c:v>
                </c:pt>
                <c:pt idx="21">
                  <c:v>4.7728671965749454</c:v>
                </c:pt>
                <c:pt idx="22">
                  <c:v>4.7728671965749454</c:v>
                </c:pt>
                <c:pt idx="23">
                  <c:v>4.7728671965749454</c:v>
                </c:pt>
                <c:pt idx="24">
                  <c:v>4.7728671965749454</c:v>
                </c:pt>
                <c:pt idx="25">
                  <c:v>4.7728671965749454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62-4E43-9843-3A0671DAA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30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0.10743814449971996"/>
          <c:w val="0.88396303587051617"/>
          <c:h val="0.765355319078839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8.2'!$B$2</c:f>
              <c:strCache>
                <c:ptCount val="1"/>
                <c:pt idx="0">
                  <c:v>Responses per Min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E8-F444-87BE-0B0F1B2F969A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E8-F444-87BE-0B0F1B2F969A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E8-F444-87BE-0B0F1B2F969A}"/>
              </c:ext>
            </c:extLst>
          </c:dPt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8.2'!$B$3:$B$24</c:f>
              <c:numCache>
                <c:formatCode>0.00</c:formatCode>
                <c:ptCount val="22"/>
                <c:pt idx="0">
                  <c:v>0.39450036486668999</c:v>
                </c:pt>
                <c:pt idx="1">
                  <c:v>0.13337488629331345</c:v>
                </c:pt>
                <c:pt idx="2">
                  <c:v>0.38206990287362713</c:v>
                </c:pt>
                <c:pt idx="3">
                  <c:v>0.5312540345883463</c:v>
                </c:pt>
                <c:pt idx="4">
                  <c:v>0.62940596510161406</c:v>
                </c:pt>
                <c:pt idx="5">
                  <c:v>0.98090129338379484</c:v>
                </c:pt>
                <c:pt idx="6">
                  <c:v>1.24456555770012</c:v>
                </c:pt>
                <c:pt idx="7">
                  <c:v>1.6492755028360899</c:v>
                </c:pt>
                <c:pt idx="8">
                  <c:v>1.5208894117444198</c:v>
                </c:pt>
                <c:pt idx="9">
                  <c:v>1.7931844159727899</c:v>
                </c:pt>
                <c:pt idx="12">
                  <c:v>2.39450036486669</c:v>
                </c:pt>
                <c:pt idx="13">
                  <c:v>2.1333748862933133</c:v>
                </c:pt>
                <c:pt idx="14">
                  <c:v>2.382069902873627</c:v>
                </c:pt>
                <c:pt idx="15">
                  <c:v>2.5312540345883461</c:v>
                </c:pt>
                <c:pt idx="16">
                  <c:v>2.629405965101614</c:v>
                </c:pt>
                <c:pt idx="17">
                  <c:v>2.9809012933837948</c:v>
                </c:pt>
                <c:pt idx="18">
                  <c:v>3.24456555770012</c:v>
                </c:pt>
                <c:pt idx="19">
                  <c:v>3.6492755028360899</c:v>
                </c:pt>
                <c:pt idx="20">
                  <c:v>3.5208894117444198</c:v>
                </c:pt>
                <c:pt idx="21">
                  <c:v>3.7931844159727897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48-5549-A21C-D35BFF8C106A}"/>
            </c:ext>
          </c:extLst>
        </c:ser>
        <c:ser>
          <c:idx val="1"/>
          <c:order val="1"/>
          <c:tx>
            <c:strRef>
              <c:f>'Figure 8.2'!$C$2</c:f>
              <c:strCache>
                <c:ptCount val="1"/>
                <c:pt idx="0">
                  <c:v>Ph. Change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spPr>
              <a:ln w="19050" cap="rnd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FE8-F444-87BE-0B0F1B2F969A}"/>
              </c:ext>
            </c:extLst>
          </c:dPt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8.2'!$C$3:$C$24</c:f>
              <c:numCache>
                <c:formatCode>0.00</c:formatCode>
                <c:ptCount val="22"/>
                <c:pt idx="10">
                  <c:v>0</c:v>
                </c:pt>
                <c:pt idx="1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48-5549-A21C-D35BFF8C1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4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8.6517622797150334E-2"/>
          <c:w val="0.88396303587051617"/>
          <c:h val="0.78627577802774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8.2'!$F$2</c:f>
              <c:strCache>
                <c:ptCount val="1"/>
                <c:pt idx="0">
                  <c:v>Responses per Min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49A-F249-803C-389750A925B9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9A-F249-803C-389750A925B9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49A-F249-803C-389750A925B9}"/>
              </c:ext>
            </c:extLst>
          </c:dPt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8.2'!$F$3:$F$24</c:f>
              <c:numCache>
                <c:formatCode>General</c:formatCode>
                <c:ptCount val="22"/>
                <c:pt idx="0">
                  <c:v>5.0223737808642896</c:v>
                </c:pt>
                <c:pt idx="1">
                  <c:v>6.8811934473342298</c:v>
                </c:pt>
                <c:pt idx="2">
                  <c:v>4.3535433279466798</c:v>
                </c:pt>
                <c:pt idx="3">
                  <c:v>8.5761012289440295</c:v>
                </c:pt>
                <c:pt idx="4">
                  <c:v>3.0172667569131599</c:v>
                </c:pt>
                <c:pt idx="5">
                  <c:v>9.4070822140201908</c:v>
                </c:pt>
                <c:pt idx="6">
                  <c:v>2.8493922248599</c:v>
                </c:pt>
                <c:pt idx="7">
                  <c:v>11.8986685416894</c:v>
                </c:pt>
                <c:pt idx="8">
                  <c:v>0.89378772827330999</c:v>
                </c:pt>
                <c:pt idx="9">
                  <c:v>16.008756530098601</c:v>
                </c:pt>
                <c:pt idx="12">
                  <c:v>16.975690793187823</c:v>
                </c:pt>
                <c:pt idx="13">
                  <c:v>18.369371602777399</c:v>
                </c:pt>
                <c:pt idx="14">
                  <c:v>16.104819264379302</c:v>
                </c:pt>
                <c:pt idx="15">
                  <c:v>16.357757355435751</c:v>
                </c:pt>
                <c:pt idx="16">
                  <c:v>19.831162196846002</c:v>
                </c:pt>
                <c:pt idx="17">
                  <c:v>16.736657395667862</c:v>
                </c:pt>
                <c:pt idx="18">
                  <c:v>17.082033461192623</c:v>
                </c:pt>
                <c:pt idx="19">
                  <c:v>17.191100065829232</c:v>
                </c:pt>
                <c:pt idx="20">
                  <c:v>19.142269982461599</c:v>
                </c:pt>
                <c:pt idx="21">
                  <c:v>17.934529917780299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9A-F249-803C-389750A925B9}"/>
            </c:ext>
          </c:extLst>
        </c:ser>
        <c:ser>
          <c:idx val="1"/>
          <c:order val="1"/>
          <c:tx>
            <c:strRef>
              <c:f>'Figure 8.2'!$G$2</c:f>
              <c:strCache>
                <c:ptCount val="1"/>
                <c:pt idx="0">
                  <c:v>Ph. Change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8.2'!$G$3:$G$24</c:f>
              <c:numCache>
                <c:formatCode>0.00</c:formatCode>
                <c:ptCount val="22"/>
                <c:pt idx="10">
                  <c:v>0</c:v>
                </c:pt>
                <c:pt idx="11">
                  <c:v>21.831162196846002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9A-F249-803C-389750A92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30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0.10743814449971996"/>
          <c:w val="0.88396303587051617"/>
          <c:h val="0.765355319078839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8.2'!$D$2</c:f>
              <c:strCache>
                <c:ptCount val="1"/>
                <c:pt idx="0">
                  <c:v>Responses per Min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7F1-EF43-ACAA-A6C9D01994F6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F1-EF43-ACAA-A6C9D01994F6}"/>
              </c:ext>
            </c:extLst>
          </c:dPt>
          <c:dPt>
            <c:idx val="13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7F1-EF43-ACAA-A6C9D01994F6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7F1-EF43-ACAA-A6C9D01994F6}"/>
              </c:ext>
            </c:extLst>
          </c:dPt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8.2'!$D$3:$D$24</c:f>
              <c:numCache>
                <c:formatCode>0.00</c:formatCode>
                <c:ptCount val="22"/>
                <c:pt idx="1">
                  <c:v>0.26112547857337653</c:v>
                </c:pt>
                <c:pt idx="2">
                  <c:v>0.24869501658031368</c:v>
                </c:pt>
                <c:pt idx="3">
                  <c:v>0.14918413171471917</c:v>
                </c:pt>
                <c:pt idx="4">
                  <c:v>9.815193051326776E-2</c:v>
                </c:pt>
                <c:pt idx="5">
                  <c:v>0.35149532828218077</c:v>
                </c:pt>
                <c:pt idx="6">
                  <c:v>0.26366426431632517</c:v>
                </c:pt>
                <c:pt idx="7">
                  <c:v>0.40470994513596992</c:v>
                </c:pt>
                <c:pt idx="8">
                  <c:v>0.1283860910916701</c:v>
                </c:pt>
                <c:pt idx="9">
                  <c:v>0.27229500422837005</c:v>
                </c:pt>
                <c:pt idx="13">
                  <c:v>0.26112547857337676</c:v>
                </c:pt>
                <c:pt idx="14">
                  <c:v>0.24869501658031368</c:v>
                </c:pt>
                <c:pt idx="15">
                  <c:v>0.14918413171471911</c:v>
                </c:pt>
                <c:pt idx="16">
                  <c:v>9.8151930513267871E-2</c:v>
                </c:pt>
                <c:pt idx="17">
                  <c:v>0.35149532828218089</c:v>
                </c:pt>
                <c:pt idx="18">
                  <c:v>0.26366426431632517</c:v>
                </c:pt>
                <c:pt idx="19">
                  <c:v>0.40470994513596992</c:v>
                </c:pt>
                <c:pt idx="20">
                  <c:v>0.1283860910916701</c:v>
                </c:pt>
                <c:pt idx="21">
                  <c:v>0.27229500422836983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48-5549-A21C-D35BFF8C106A}"/>
            </c:ext>
          </c:extLst>
        </c:ser>
        <c:ser>
          <c:idx val="1"/>
          <c:order val="1"/>
          <c:tx>
            <c:strRef>
              <c:f>'Figure 8.2'!$E$2</c:f>
              <c:strCache>
                <c:ptCount val="1"/>
                <c:pt idx="0">
                  <c:v>Ph. Change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8.2'!$E$3:$E$24</c:f>
              <c:numCache>
                <c:formatCode>0.00</c:formatCode>
                <c:ptCount val="22"/>
                <c:pt idx="10">
                  <c:v>0</c:v>
                </c:pt>
                <c:pt idx="1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48-5549-A21C-D35BFF8C1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0.5"/>
          <c:min val="0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62073490813654E-2"/>
          <c:y val="8.6517622797150334E-2"/>
          <c:w val="0.88396303587051617"/>
          <c:h val="0.78627577802774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8.2'!$H$2</c:f>
              <c:strCache>
                <c:ptCount val="1"/>
                <c:pt idx="0">
                  <c:v>Responses per Min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49A-F249-803C-389750A925B9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9A-F249-803C-389750A925B9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49A-F249-803C-389750A925B9}"/>
              </c:ext>
            </c:extLst>
          </c:dPt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8.2'!$H$3:$H$24</c:f>
              <c:numCache>
                <c:formatCode>General</c:formatCode>
                <c:ptCount val="22"/>
                <c:pt idx="1">
                  <c:v>1.8588196664699401</c:v>
                </c:pt>
                <c:pt idx="2">
                  <c:v>2.52765011938755</c:v>
                </c:pt>
                <c:pt idx="3">
                  <c:v>4.2225579009973497</c:v>
                </c:pt>
                <c:pt idx="4">
                  <c:v>5.5588344720308696</c:v>
                </c:pt>
                <c:pt idx="5">
                  <c:v>6.3898154571070309</c:v>
                </c:pt>
                <c:pt idx="6">
                  <c:v>6.5576899891602913</c:v>
                </c:pt>
                <c:pt idx="7">
                  <c:v>9.0492763168295003</c:v>
                </c:pt>
                <c:pt idx="8">
                  <c:v>11.00488081341609</c:v>
                </c:pt>
                <c:pt idx="9">
                  <c:v>15.114968801825292</c:v>
                </c:pt>
                <c:pt idx="13">
                  <c:v>1.3936808095895756</c:v>
                </c:pt>
                <c:pt idx="14">
                  <c:v>2.2645523383980972</c:v>
                </c:pt>
                <c:pt idx="15">
                  <c:v>0.25293809105644982</c:v>
                </c:pt>
                <c:pt idx="16">
                  <c:v>3.4734048414102503</c:v>
                </c:pt>
                <c:pt idx="17">
                  <c:v>3.0945048011781395</c:v>
                </c:pt>
                <c:pt idx="18">
                  <c:v>0.34537606552476063</c:v>
                </c:pt>
                <c:pt idx="19">
                  <c:v>0.10906660463660955</c:v>
                </c:pt>
                <c:pt idx="20">
                  <c:v>1.9511699166323666</c:v>
                </c:pt>
                <c:pt idx="21">
                  <c:v>1.2077400646812997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9A-F249-803C-389750A925B9}"/>
            </c:ext>
          </c:extLst>
        </c:ser>
        <c:ser>
          <c:idx val="1"/>
          <c:order val="1"/>
          <c:tx>
            <c:strRef>
              <c:f>'Figure 8.2'!$I$2</c:f>
              <c:strCache>
                <c:ptCount val="1"/>
                <c:pt idx="0">
                  <c:v>Ph. Change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8.2'!$A$3:$A$24</c:f>
              <c:numCache>
                <c:formatCode>0.00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10.5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'Figure 8.2'!$I$3:$I$24</c:f>
              <c:numCache>
                <c:formatCode>0.00</c:formatCode>
                <c:ptCount val="22"/>
                <c:pt idx="10">
                  <c:v>0</c:v>
                </c:pt>
                <c:pt idx="11">
                  <c:v>17.114968801825292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9A-F249-803C-389750A92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7951"/>
        <c:axId val="2114391983"/>
      </c:scatterChart>
      <c:valAx>
        <c:axId val="2105387951"/>
        <c:scaling>
          <c:orientation val="minMax"/>
          <c:max val="2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91983"/>
        <c:crosses val="autoZero"/>
        <c:crossBetween val="midCat"/>
      </c:valAx>
      <c:valAx>
        <c:axId val="2114391983"/>
        <c:scaling>
          <c:orientation val="minMax"/>
          <c:max val="30"/>
          <c:min val="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8628401117776"/>
          <c:y val="5.2533918237047977E-2"/>
          <c:w val="0.84934447806581337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8.3'!$B$1</c:f>
              <c:strCache>
                <c:ptCount val="1"/>
                <c:pt idx="0">
                  <c:v>Responses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8.3'!$B$2:$B$27</c:f>
              <c:numCache>
                <c:formatCode>General</c:formatCode>
                <c:ptCount val="26"/>
                <c:pt idx="0">
                  <c:v>5.4319019808463</c:v>
                </c:pt>
                <c:pt idx="1">
                  <c:v>9.8679004420409004</c:v>
                </c:pt>
                <c:pt idx="2">
                  <c:v>5.8597596711770201</c:v>
                </c:pt>
                <c:pt idx="3">
                  <c:v>9.2343508741469105</c:v>
                </c:pt>
                <c:pt idx="4">
                  <c:v>5.5763748706377001</c:v>
                </c:pt>
                <c:pt idx="7">
                  <c:v>15.9399931261432</c:v>
                </c:pt>
                <c:pt idx="8">
                  <c:v>12.209371602162699</c:v>
                </c:pt>
                <c:pt idx="9">
                  <c:v>13.844103300943971</c:v>
                </c:pt>
                <c:pt idx="10">
                  <c:v>16.403636603441601</c:v>
                </c:pt>
                <c:pt idx="11">
                  <c:v>13.3752542347065</c:v>
                </c:pt>
                <c:pt idx="14">
                  <c:v>5.7497448122012429</c:v>
                </c:pt>
                <c:pt idx="15">
                  <c:v>10.8441691079497</c:v>
                </c:pt>
                <c:pt idx="16">
                  <c:v>5.8991003142</c:v>
                </c:pt>
                <c:pt idx="17">
                  <c:v>10.560792846546899</c:v>
                </c:pt>
                <c:pt idx="18">
                  <c:v>6.1604703457851429</c:v>
                </c:pt>
                <c:pt idx="21">
                  <c:v>12.2705152382841</c:v>
                </c:pt>
                <c:pt idx="22">
                  <c:v>18.3301851241558</c:v>
                </c:pt>
                <c:pt idx="23">
                  <c:v>15.087628334062201</c:v>
                </c:pt>
                <c:pt idx="24">
                  <c:v>13.998435563000401</c:v>
                </c:pt>
                <c:pt idx="25">
                  <c:v>15.8975147516466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A-5141-9B24-0E09D367815B}"/>
            </c:ext>
          </c:extLst>
        </c:ser>
        <c:ser>
          <c:idx val="1"/>
          <c:order val="1"/>
          <c:tx>
            <c:strRef>
              <c:f>'Figure 8.3'!$C$1</c:f>
              <c:strCache>
                <c:ptCount val="1"/>
                <c:pt idx="0">
                  <c:v>Ph. Change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8.3'!$C$2:$C$27</c:f>
              <c:numCache>
                <c:formatCode>General</c:formatCode>
                <c:ptCount val="26"/>
                <c:pt idx="5">
                  <c:v>0</c:v>
                </c:pt>
                <c:pt idx="6">
                  <c:v>100</c:v>
                </c:pt>
                <c:pt idx="12">
                  <c:v>0</c:v>
                </c:pt>
                <c:pt idx="13">
                  <c:v>100</c:v>
                </c:pt>
                <c:pt idx="19">
                  <c:v>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A-5141-9B24-0E09D367815B}"/>
            </c:ext>
          </c:extLst>
        </c:ser>
        <c:ser>
          <c:idx val="2"/>
          <c:order val="2"/>
          <c:tx>
            <c:strRef>
              <c:f>'Figure 8.3'!$D$1</c:f>
              <c:strCache>
                <c:ptCount val="1"/>
                <c:pt idx="0">
                  <c:v>B1 Trend</c:v>
                </c:pt>
              </c:strCache>
            </c:strRef>
          </c:tx>
          <c:spPr>
            <a:ln w="127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8.3'!$D$29</c:f>
                <c:numCache>
                  <c:formatCode>General</c:formatCode>
                  <c:ptCount val="1"/>
                  <c:pt idx="0">
                    <c:v>1.9009969952254504</c:v>
                  </c:pt>
                </c:numCache>
              </c:numRef>
            </c:plus>
            <c:minus>
              <c:numRef>
                <c:f>'Figure 8.3'!$D$29</c:f>
                <c:numCache>
                  <c:formatCode>General</c:formatCode>
                  <c:ptCount val="1"/>
                  <c:pt idx="0">
                    <c:v>1.9009969952254504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2">
                    <a:lumMod val="75000"/>
                  </a:schemeClr>
                </a:solidFill>
                <a:round/>
                <a:headEnd type="none"/>
                <a:tailEnd type="none"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8.3'!$D$2:$D$27</c:f>
              <c:numCache>
                <c:formatCode>General</c:formatCode>
                <c:ptCount val="26"/>
                <c:pt idx="7">
                  <c:v>7.0906764312764095</c:v>
                </c:pt>
                <c:pt idx="8">
                  <c:v>7.0562160524452899</c:v>
                </c:pt>
                <c:pt idx="9">
                  <c:v>7.0217556736141713</c:v>
                </c:pt>
                <c:pt idx="10">
                  <c:v>6.9872952947830518</c:v>
                </c:pt>
                <c:pt idx="11">
                  <c:v>6.9528349159519331</c:v>
                </c:pt>
                <c:pt idx="14">
                  <c:v>6.9183745371208145</c:v>
                </c:pt>
                <c:pt idx="15">
                  <c:v>6.883914158289695</c:v>
                </c:pt>
                <c:pt idx="16">
                  <c:v>6.8494537794585764</c:v>
                </c:pt>
                <c:pt idx="17">
                  <c:v>6.8149934006274568</c:v>
                </c:pt>
                <c:pt idx="18">
                  <c:v>6.7805330217963382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7A-5141-9B24-0E09D367815B}"/>
            </c:ext>
          </c:extLst>
        </c:ser>
        <c:ser>
          <c:idx val="3"/>
          <c:order val="3"/>
          <c:tx>
            <c:strRef>
              <c:f>'Figure 8.3'!$E$1</c:f>
              <c:strCache>
                <c:ptCount val="1"/>
                <c:pt idx="0">
                  <c:v>I1 Trend</c:v>
                </c:pt>
              </c:strCache>
            </c:strRef>
          </c:tx>
          <c:spPr>
            <a:ln w="127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8.3'!$E$29</c:f>
                <c:numCache>
                  <c:formatCode>General</c:formatCode>
                  <c:ptCount val="1"/>
                  <c:pt idx="0">
                    <c:v>1.5515781133094975</c:v>
                  </c:pt>
                </c:numCache>
              </c:numRef>
            </c:plus>
            <c:minus>
              <c:numRef>
                <c:f>'Figure 8.3'!$E$29</c:f>
                <c:numCache>
                  <c:formatCode>General</c:formatCode>
                  <c:ptCount val="1"/>
                  <c:pt idx="0">
                    <c:v>1.5515781133094975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8.3'!$E$2:$E$27</c:f>
              <c:numCache>
                <c:formatCode>General</c:formatCode>
                <c:ptCount val="26"/>
                <c:pt idx="14">
                  <c:v>14.073907939001243</c:v>
                </c:pt>
                <c:pt idx="15">
                  <c:v>13.980386660841793</c:v>
                </c:pt>
                <c:pt idx="16">
                  <c:v>13.886865382682343</c:v>
                </c:pt>
                <c:pt idx="17">
                  <c:v>13.793344104522893</c:v>
                </c:pt>
                <c:pt idx="18">
                  <c:v>13.699822826363445</c:v>
                </c:pt>
                <c:pt idx="21">
                  <c:v>13.606301548203994</c:v>
                </c:pt>
                <c:pt idx="22">
                  <c:v>13.512780270044544</c:v>
                </c:pt>
                <c:pt idx="23">
                  <c:v>13.419258991885094</c:v>
                </c:pt>
                <c:pt idx="24">
                  <c:v>13.325737713725644</c:v>
                </c:pt>
                <c:pt idx="25">
                  <c:v>13.232216435566194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7A-5141-9B24-0E09D367815B}"/>
            </c:ext>
          </c:extLst>
        </c:ser>
        <c:ser>
          <c:idx val="4"/>
          <c:order val="4"/>
          <c:tx>
            <c:strRef>
              <c:f>'Figure 8.3'!$F$1</c:f>
              <c:strCache>
                <c:ptCount val="1"/>
                <c:pt idx="0">
                  <c:v>B2 Trend</c:v>
                </c:pt>
              </c:strCache>
            </c:strRef>
          </c:tx>
          <c:spPr>
            <a:ln w="12700" cap="rnd">
              <a:solidFill>
                <a:schemeClr val="bg2">
                  <a:lumMod val="75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8.3'!$F$29</c:f>
                <c:numCache>
                  <c:formatCode>General</c:formatCode>
                  <c:ptCount val="1"/>
                  <c:pt idx="0">
                    <c:v>2.2934419207378474</c:v>
                  </c:pt>
                </c:numCache>
              </c:numRef>
            </c:plus>
            <c:minus>
              <c:numRef>
                <c:f>'Figure 8.3'!$F$29</c:f>
                <c:numCache>
                  <c:formatCode>General</c:formatCode>
                  <c:ptCount val="1"/>
                  <c:pt idx="0">
                    <c:v>2.2934419207378474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lgDashDotDot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8.3'!$F$2:$F$27</c:f>
              <c:numCache>
                <c:formatCode>General</c:formatCode>
                <c:ptCount val="26"/>
                <c:pt idx="21">
                  <c:v>8.0042779270660969</c:v>
                </c:pt>
                <c:pt idx="22">
                  <c:v>8.0580854076425972</c:v>
                </c:pt>
                <c:pt idx="23">
                  <c:v>8.1118928882190957</c:v>
                </c:pt>
                <c:pt idx="24">
                  <c:v>8.165700368795596</c:v>
                </c:pt>
                <c:pt idx="25">
                  <c:v>8.2195078493720963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7A-5141-9B24-0E09D3678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</c:valAx>
      <c:valAx>
        <c:axId val="2072783759"/>
        <c:scaling>
          <c:orientation val="minMax"/>
          <c:max val="2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8753153949274"/>
          <c:y val="5.2533918237047977E-2"/>
          <c:w val="0.84644323053749837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8.3'!$G$1</c:f>
              <c:strCache>
                <c:ptCount val="1"/>
                <c:pt idx="0">
                  <c:v>Linear Variability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8.3'!$G$2:$G$27</c:f>
              <c:numCache>
                <c:formatCode>General</c:formatCode>
                <c:ptCount val="26"/>
                <c:pt idx="1">
                  <c:v>4.4359984611946004</c:v>
                </c:pt>
                <c:pt idx="2">
                  <c:v>-4.0081407708638803</c:v>
                </c:pt>
                <c:pt idx="3">
                  <c:v>3.3745912029698903</c:v>
                </c:pt>
                <c:pt idx="4">
                  <c:v>-3.6579760035092104</c:v>
                </c:pt>
                <c:pt idx="8">
                  <c:v>-3.730621523980501</c:v>
                </c:pt>
                <c:pt idx="9">
                  <c:v>1.6347316987812714</c:v>
                </c:pt>
                <c:pt idx="10">
                  <c:v>2.5595333024976306</c:v>
                </c:pt>
                <c:pt idx="11">
                  <c:v>-3.0283823687351017</c:v>
                </c:pt>
                <c:pt idx="14">
                  <c:v>0.1733699415635428</c:v>
                </c:pt>
                <c:pt idx="15">
                  <c:v>5.0944242957484569</c:v>
                </c:pt>
                <c:pt idx="16">
                  <c:v>-4.9450687937496998</c:v>
                </c:pt>
                <c:pt idx="17">
                  <c:v>4.6616925323468994</c:v>
                </c:pt>
                <c:pt idx="18">
                  <c:v>-4.4003225007617566</c:v>
                </c:pt>
                <c:pt idx="21">
                  <c:v>-1.1047389964223999</c:v>
                </c:pt>
                <c:pt idx="22">
                  <c:v>6.0596698858717009</c:v>
                </c:pt>
                <c:pt idx="23">
                  <c:v>-3.2425567900935999</c:v>
                </c:pt>
                <c:pt idx="24">
                  <c:v>-1.0891927710617999</c:v>
                </c:pt>
                <c:pt idx="25">
                  <c:v>1.8990791886461995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9146-9F1F-55B63AB536C2}"/>
            </c:ext>
          </c:extLst>
        </c:ser>
        <c:ser>
          <c:idx val="1"/>
          <c:order val="1"/>
          <c:tx>
            <c:strRef>
              <c:f>'Figure 8.3'!$H$1</c:f>
              <c:strCache>
                <c:ptCount val="1"/>
                <c:pt idx="0">
                  <c:v>Ph. Change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8.3'!$H$2:$H$27</c:f>
              <c:numCache>
                <c:formatCode>General</c:formatCode>
                <c:ptCount val="26"/>
                <c:pt idx="5">
                  <c:v>-100</c:v>
                </c:pt>
                <c:pt idx="6">
                  <c:v>100</c:v>
                </c:pt>
                <c:pt idx="12">
                  <c:v>-100</c:v>
                </c:pt>
                <c:pt idx="13">
                  <c:v>100</c:v>
                </c:pt>
                <c:pt idx="19">
                  <c:v>-100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9146-9F1F-55B63AB536C2}"/>
            </c:ext>
          </c:extLst>
        </c:ser>
        <c:ser>
          <c:idx val="2"/>
          <c:order val="2"/>
          <c:tx>
            <c:strRef>
              <c:f>'Figure 8.3'!$I$1</c:f>
              <c:strCache>
                <c:ptCount val="1"/>
                <c:pt idx="0">
                  <c:v>B1 Variability 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8.3'!$I$29</c:f>
                <c:numCache>
                  <c:formatCode>General</c:formatCode>
                  <c:ptCount val="1"/>
                  <c:pt idx="0">
                    <c:v>3.936445421484926</c:v>
                  </c:pt>
                </c:numCache>
              </c:numRef>
            </c:plus>
            <c:minus>
              <c:numRef>
                <c:f>'Figure 8.3'!$I$29</c:f>
                <c:numCache>
                  <c:formatCode>General</c:formatCode>
                  <c:ptCount val="1"/>
                  <c:pt idx="0">
                    <c:v>3.936445421484926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2">
                    <a:lumMod val="75000"/>
                  </a:schemeClr>
                </a:solidFill>
                <a:round/>
                <a:headEnd type="none"/>
                <a:tailEnd type="none"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8.3'!$I$2:$I$27</c:f>
              <c:numCache>
                <c:formatCode>General</c:formatCode>
                <c:ptCount val="26"/>
                <c:pt idx="7">
                  <c:v>-4.1886796326215645</c:v>
                </c:pt>
                <c:pt idx="8">
                  <c:v>-5.8785987746493316</c:v>
                </c:pt>
                <c:pt idx="9">
                  <c:v>-7.5685179166770968</c:v>
                </c:pt>
                <c:pt idx="10">
                  <c:v>-9.2584370587048621</c:v>
                </c:pt>
                <c:pt idx="11">
                  <c:v>-10.948356200732629</c:v>
                </c:pt>
                <c:pt idx="14">
                  <c:v>-12.638275342760394</c:v>
                </c:pt>
                <c:pt idx="15">
                  <c:v>-14.32819448478816</c:v>
                </c:pt>
                <c:pt idx="16">
                  <c:v>-16.018113626815925</c:v>
                </c:pt>
                <c:pt idx="17">
                  <c:v>-17.708032768843694</c:v>
                </c:pt>
                <c:pt idx="18">
                  <c:v>-19.397951910871459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9146-9F1F-55B63AB536C2}"/>
            </c:ext>
          </c:extLst>
        </c:ser>
        <c:ser>
          <c:idx val="3"/>
          <c:order val="3"/>
          <c:tx>
            <c:strRef>
              <c:f>'Figure 8.3'!$J$1</c:f>
              <c:strCache>
                <c:ptCount val="1"/>
                <c:pt idx="0">
                  <c:v>I1 Variability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8.3'!$J$29</c:f>
                <c:numCache>
                  <c:formatCode>General</c:formatCode>
                  <c:ptCount val="1"/>
                  <c:pt idx="0">
                    <c:v>2.8024845886401235</c:v>
                  </c:pt>
                </c:numCache>
              </c:numRef>
            </c:plus>
            <c:minus>
              <c:numRef>
                <c:f>'Figure 8.3'!$J$29</c:f>
                <c:numCache>
                  <c:formatCode>General</c:formatCode>
                  <c:ptCount val="1"/>
                  <c:pt idx="0">
                    <c:v>2.8024845886401235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8.3'!$J$2:$J$27</c:f>
              <c:numCache>
                <c:formatCode>General</c:formatCode>
                <c:ptCount val="26"/>
                <c:pt idx="14">
                  <c:v>0.11669504450396406</c:v>
                </c:pt>
                <c:pt idx="15">
                  <c:v>0.41984695144921957</c:v>
                </c:pt>
                <c:pt idx="16">
                  <c:v>0.72299885839447509</c:v>
                </c:pt>
                <c:pt idx="17">
                  <c:v>1.026150765339731</c:v>
                </c:pt>
                <c:pt idx="18">
                  <c:v>1.3293026722849866</c:v>
                </c:pt>
                <c:pt idx="21">
                  <c:v>1.6324545792302421</c:v>
                </c:pt>
                <c:pt idx="22">
                  <c:v>1.9356064861754976</c:v>
                </c:pt>
                <c:pt idx="23">
                  <c:v>2.2387583931207531</c:v>
                </c:pt>
                <c:pt idx="24">
                  <c:v>2.5419103000660086</c:v>
                </c:pt>
                <c:pt idx="25">
                  <c:v>2.8450622070112641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9146-9F1F-55B63AB536C2}"/>
            </c:ext>
          </c:extLst>
        </c:ser>
        <c:ser>
          <c:idx val="4"/>
          <c:order val="4"/>
          <c:tx>
            <c:strRef>
              <c:f>'Figure 8.3'!$K$1</c:f>
              <c:strCache>
                <c:ptCount val="1"/>
                <c:pt idx="0">
                  <c:v>B2 Variability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8.3'!$K$29</c:f>
                <c:numCache>
                  <c:formatCode>General</c:formatCode>
                  <c:ptCount val="1"/>
                  <c:pt idx="0">
                    <c:v>4.1913659861951</c:v>
                  </c:pt>
                </c:numCache>
              </c:numRef>
            </c:plus>
            <c:minus>
              <c:numRef>
                <c:f>'Figure 8.3'!$K$29</c:f>
                <c:numCache>
                  <c:formatCode>General</c:formatCode>
                  <c:ptCount val="1"/>
                  <c:pt idx="0">
                    <c:v>4.1913659861951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lgDashDotDot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8.3'!$K$2:$K$27</c:f>
              <c:numCache>
                <c:formatCode>General</c:formatCode>
                <c:ptCount val="26"/>
                <c:pt idx="21">
                  <c:v>-2.7572158993861589</c:v>
                </c:pt>
                <c:pt idx="22">
                  <c:v>-3.7152275641913732</c:v>
                </c:pt>
                <c:pt idx="23">
                  <c:v>-4.6732392289965894</c:v>
                </c:pt>
                <c:pt idx="24">
                  <c:v>-5.6312508938018055</c:v>
                </c:pt>
                <c:pt idx="25">
                  <c:v>-6.5892625586070217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9146-9F1F-55B63AB53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</c:valAx>
      <c:valAx>
        <c:axId val="2072783759"/>
        <c:scaling>
          <c:orientation val="minMax"/>
          <c:max val="25"/>
          <c:min val="-25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27422246321765"/>
          <c:y val="5.2533918237047977E-2"/>
          <c:w val="0.84069169901356189"/>
          <c:h val="0.894932163525904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8.3'!$Q$1</c:f>
              <c:strCache>
                <c:ptCount val="1"/>
                <c:pt idx="0">
                  <c:v>Nonlinear Variability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8.3'!$Q$2:$Q$27</c:f>
              <c:numCache>
                <c:formatCode>General</c:formatCode>
                <c:ptCount val="26"/>
                <c:pt idx="1">
                  <c:v>-1.5640015388054049</c:v>
                </c:pt>
                <c:pt idx="2">
                  <c:v>-2.5081407708638803</c:v>
                </c:pt>
                <c:pt idx="3">
                  <c:v>0.37459120296988946</c:v>
                </c:pt>
                <c:pt idx="4">
                  <c:v>-0.45797600350920931</c:v>
                </c:pt>
                <c:pt idx="8">
                  <c:v>2.269378476019499</c:v>
                </c:pt>
                <c:pt idx="9">
                  <c:v>1.6347316987812999</c:v>
                </c:pt>
                <c:pt idx="10">
                  <c:v>0.55953330249760214</c:v>
                </c:pt>
                <c:pt idx="11">
                  <c:v>-0.52838236873510169</c:v>
                </c:pt>
                <c:pt idx="14">
                  <c:v>4.4733699415635</c:v>
                </c:pt>
                <c:pt idx="15">
                  <c:v>-1.9055757042515005</c:v>
                </c:pt>
                <c:pt idx="16">
                  <c:v>-1.9450687937496998</c:v>
                </c:pt>
                <c:pt idx="17">
                  <c:v>-0.33830746765303044</c:v>
                </c:pt>
                <c:pt idx="18">
                  <c:v>0.29967749923817077</c:v>
                </c:pt>
                <c:pt idx="21">
                  <c:v>-3.6047389964223999</c:v>
                </c:pt>
                <c:pt idx="22">
                  <c:v>2.0596698858717009</c:v>
                </c:pt>
                <c:pt idx="23">
                  <c:v>1.7574432099063984</c:v>
                </c:pt>
                <c:pt idx="24">
                  <c:v>-8.9192771061814113E-2</c:v>
                </c:pt>
                <c:pt idx="25">
                  <c:v>-0.1009208113537845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5-D443-96CF-1E061344F14E}"/>
            </c:ext>
          </c:extLst>
        </c:ser>
        <c:ser>
          <c:idx val="1"/>
          <c:order val="1"/>
          <c:tx>
            <c:strRef>
              <c:f>'Figure 8.3'!$R$1</c:f>
              <c:strCache>
                <c:ptCount val="1"/>
                <c:pt idx="0">
                  <c:v>Ph. Change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8.3'!$R$2:$R$27</c:f>
              <c:numCache>
                <c:formatCode>General</c:formatCode>
                <c:ptCount val="26"/>
                <c:pt idx="5">
                  <c:v>-100</c:v>
                </c:pt>
                <c:pt idx="6">
                  <c:v>100</c:v>
                </c:pt>
                <c:pt idx="12">
                  <c:v>-100</c:v>
                </c:pt>
                <c:pt idx="13">
                  <c:v>100</c:v>
                </c:pt>
                <c:pt idx="19">
                  <c:v>-100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5-D443-96CF-1E061344F14E}"/>
            </c:ext>
          </c:extLst>
        </c:ser>
        <c:ser>
          <c:idx val="2"/>
          <c:order val="2"/>
          <c:tx>
            <c:strRef>
              <c:f>'Figure 8.3'!$S$1</c:f>
              <c:strCache>
                <c:ptCount val="1"/>
                <c:pt idx="0">
                  <c:v>B1 Variability 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8.3'!$S$29</c:f>
                <c:numCache>
                  <c:formatCode>General</c:formatCode>
                  <c:ptCount val="1"/>
                  <c:pt idx="0">
                    <c:v>1.1052331897868242</c:v>
                  </c:pt>
                </c:numCache>
              </c:numRef>
            </c:plus>
            <c:minus>
              <c:numRef>
                <c:f>'Figure 8.3'!$S$29</c:f>
                <c:numCache>
                  <c:formatCode>General</c:formatCode>
                  <c:ptCount val="1"/>
                  <c:pt idx="0">
                    <c:v>1.1052331897868242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2">
                    <a:lumMod val="75000"/>
                  </a:schemeClr>
                </a:solidFill>
                <a:round/>
                <a:headEnd type="none"/>
                <a:tailEnd type="none"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8.3'!$S$2:$S$27</c:f>
              <c:numCache>
                <c:formatCode>General</c:formatCode>
                <c:ptCount val="26"/>
                <c:pt idx="7">
                  <c:v>0.51132036737843745</c:v>
                </c:pt>
                <c:pt idx="8">
                  <c:v>1.1314012253506736</c:v>
                </c:pt>
                <c:pt idx="9">
                  <c:v>1.7514820833229088</c:v>
                </c:pt>
                <c:pt idx="10">
                  <c:v>2.371562941295144</c:v>
                </c:pt>
                <c:pt idx="11">
                  <c:v>2.9916437992673801</c:v>
                </c:pt>
                <c:pt idx="14">
                  <c:v>3.6117246572396162</c:v>
                </c:pt>
                <c:pt idx="15">
                  <c:v>4.2318055152118514</c:v>
                </c:pt>
                <c:pt idx="16">
                  <c:v>4.8518863731840867</c:v>
                </c:pt>
                <c:pt idx="17">
                  <c:v>5.4719672311563237</c:v>
                </c:pt>
                <c:pt idx="18">
                  <c:v>6.0920480891285589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85-D443-96CF-1E061344F14E}"/>
            </c:ext>
          </c:extLst>
        </c:ser>
        <c:ser>
          <c:idx val="3"/>
          <c:order val="3"/>
          <c:tx>
            <c:strRef>
              <c:f>'Figure 8.3'!$T$1</c:f>
              <c:strCache>
                <c:ptCount val="1"/>
                <c:pt idx="0">
                  <c:v>I1 Variability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8.3'!$T$29</c:f>
                <c:numCache>
                  <c:formatCode>General</c:formatCode>
                  <c:ptCount val="1"/>
                  <c:pt idx="0">
                    <c:v>1.0786477790137758</c:v>
                  </c:pt>
                </c:numCache>
              </c:numRef>
            </c:plus>
            <c:minus>
              <c:numRef>
                <c:f>'Figure 8.3'!$T$29</c:f>
                <c:numCache>
                  <c:formatCode>General</c:formatCode>
                  <c:ptCount val="1"/>
                  <c:pt idx="0">
                    <c:v>1.0786477790137758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8.3'!$T$2:$T$27</c:f>
              <c:numCache>
                <c:formatCode>General</c:formatCode>
                <c:ptCount val="26"/>
                <c:pt idx="14">
                  <c:v>-1.383304955496051</c:v>
                </c:pt>
                <c:pt idx="15">
                  <c:v>-2.3301530485508017</c:v>
                </c:pt>
                <c:pt idx="16">
                  <c:v>-3.2770011416055507</c:v>
                </c:pt>
                <c:pt idx="17">
                  <c:v>-4.2238492346603014</c:v>
                </c:pt>
                <c:pt idx="18">
                  <c:v>-5.1706973277150503</c:v>
                </c:pt>
                <c:pt idx="21">
                  <c:v>-6.117545420769801</c:v>
                </c:pt>
                <c:pt idx="22">
                  <c:v>-7.0643935138245517</c:v>
                </c:pt>
                <c:pt idx="23">
                  <c:v>-8.0112416068793024</c:v>
                </c:pt>
                <c:pt idx="24">
                  <c:v>-8.9580896999340496</c:v>
                </c:pt>
                <c:pt idx="25">
                  <c:v>-9.9049377929888003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85-D443-96CF-1E061344F14E}"/>
            </c:ext>
          </c:extLst>
        </c:ser>
        <c:ser>
          <c:idx val="4"/>
          <c:order val="4"/>
          <c:tx>
            <c:strRef>
              <c:f>'Figure 8.3'!$U$1</c:f>
              <c:strCache>
                <c:ptCount val="1"/>
                <c:pt idx="0">
                  <c:v>B2 Variability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8.3'!$U$29</c:f>
                <c:numCache>
                  <c:formatCode>General</c:formatCode>
                  <c:ptCount val="1"/>
                  <c:pt idx="0">
                    <c:v>2.300833062151578</c:v>
                  </c:pt>
                </c:numCache>
              </c:numRef>
            </c:plus>
            <c:minus>
              <c:numRef>
                <c:f>'Figure 8.3'!$U$29</c:f>
                <c:numCache>
                  <c:formatCode>General</c:formatCode>
                  <c:ptCount val="1"/>
                  <c:pt idx="0">
                    <c:v>2.300833062151578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lgDashDotDot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8.3'!$U$2:$U$27</c:f>
              <c:numCache>
                <c:formatCode>General</c:formatCode>
                <c:ptCount val="26"/>
                <c:pt idx="21">
                  <c:v>-1</c:v>
                </c:pt>
                <c:pt idx="22">
                  <c:v>-0.4</c:v>
                </c:pt>
                <c:pt idx="23">
                  <c:v>0</c:v>
                </c:pt>
                <c:pt idx="24">
                  <c:v>0.2</c:v>
                </c:pt>
                <c:pt idx="2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85-D443-96CF-1E061344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</c:valAx>
      <c:valAx>
        <c:axId val="2072783759"/>
        <c:scaling>
          <c:orientation val="minMax"/>
          <c:max val="8"/>
          <c:min val="-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26430752364978"/>
          <c:y val="5.2533918237047977E-2"/>
          <c:w val="0.84370161395312981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8.3'!$L$1</c:f>
              <c:strCache>
                <c:ptCount val="1"/>
                <c:pt idx="0">
                  <c:v>Nonlinear Trend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8.3'!$L$2:$L$27</c:f>
              <c:numCache>
                <c:formatCode>General</c:formatCode>
                <c:ptCount val="26"/>
                <c:pt idx="0">
                  <c:v>10.431901980846305</c:v>
                </c:pt>
                <c:pt idx="1">
                  <c:v>8.8679004420409004</c:v>
                </c:pt>
                <c:pt idx="2">
                  <c:v>6.3597596711770201</c:v>
                </c:pt>
                <c:pt idx="3">
                  <c:v>6.7343508741469096</c:v>
                </c:pt>
                <c:pt idx="4">
                  <c:v>6.2763748706377003</c:v>
                </c:pt>
                <c:pt idx="7">
                  <c:v>12.9399931261432</c:v>
                </c:pt>
                <c:pt idx="8">
                  <c:v>15.209371602162699</c:v>
                </c:pt>
                <c:pt idx="9">
                  <c:v>16.844103300943999</c:v>
                </c:pt>
                <c:pt idx="10">
                  <c:v>17.403636603441601</c:v>
                </c:pt>
                <c:pt idx="11">
                  <c:v>16.8752542347065</c:v>
                </c:pt>
                <c:pt idx="14">
                  <c:v>10.7497448122012</c:v>
                </c:pt>
                <c:pt idx="15">
                  <c:v>8.8441691079496998</c:v>
                </c:pt>
                <c:pt idx="16">
                  <c:v>6.8991003142</c:v>
                </c:pt>
                <c:pt idx="17">
                  <c:v>6.5607928465469696</c:v>
                </c:pt>
                <c:pt idx="18">
                  <c:v>6.8604703457851404</c:v>
                </c:pt>
                <c:pt idx="21">
                  <c:v>13.2705152382841</c:v>
                </c:pt>
                <c:pt idx="22">
                  <c:v>15.3301851241558</c:v>
                </c:pt>
                <c:pt idx="23">
                  <c:v>17.087628334062199</c:v>
                </c:pt>
                <c:pt idx="24">
                  <c:v>16.998435563000385</c:v>
                </c:pt>
                <c:pt idx="25">
                  <c:v>16.8975147516466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9-FC43-B58F-A0EEB728F807}"/>
            </c:ext>
          </c:extLst>
        </c:ser>
        <c:ser>
          <c:idx val="1"/>
          <c:order val="1"/>
          <c:tx>
            <c:strRef>
              <c:f>'Figure 8.3'!$M$1</c:f>
              <c:strCache>
                <c:ptCount val="1"/>
                <c:pt idx="0">
                  <c:v>Ph. Change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8.3'!$M$2:$M$27</c:f>
              <c:numCache>
                <c:formatCode>General</c:formatCode>
                <c:ptCount val="26"/>
                <c:pt idx="5">
                  <c:v>0</c:v>
                </c:pt>
                <c:pt idx="6">
                  <c:v>100</c:v>
                </c:pt>
                <c:pt idx="12">
                  <c:v>0</c:v>
                </c:pt>
                <c:pt idx="13">
                  <c:v>100</c:v>
                </c:pt>
                <c:pt idx="19">
                  <c:v>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49-FC43-B58F-A0EEB728F807}"/>
            </c:ext>
          </c:extLst>
        </c:ser>
        <c:ser>
          <c:idx val="2"/>
          <c:order val="2"/>
          <c:tx>
            <c:strRef>
              <c:f>'Figure 8.3'!$N$1</c:f>
              <c:strCache>
                <c:ptCount val="1"/>
                <c:pt idx="0">
                  <c:v>B1 Trend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8.3'!$N$29</c:f>
                <c:numCache>
                  <c:formatCode>General</c:formatCode>
                  <c:ptCount val="1"/>
                  <c:pt idx="0">
                    <c:v>1.6148551818101875</c:v>
                  </c:pt>
                </c:numCache>
              </c:numRef>
            </c:plus>
            <c:minus>
              <c:numRef>
                <c:f>'Figure 8.3'!$N$29</c:f>
                <c:numCache>
                  <c:formatCode>General</c:formatCode>
                  <c:ptCount val="1"/>
                  <c:pt idx="0">
                    <c:v>1.6148551818101875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bg2">
                    <a:lumMod val="75000"/>
                  </a:schemeClr>
                </a:solidFill>
                <a:round/>
                <a:headEnd type="none"/>
                <a:tailEnd type="none"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8.3'!$N$2:$N$27</c:f>
              <c:numCache>
                <c:formatCode>General</c:formatCode>
                <c:ptCount val="26"/>
                <c:pt idx="0">
                  <c:v>10</c:v>
                </c:pt>
                <c:pt idx="1">
                  <c:v>8.1225239635623545</c:v>
                </c:pt>
                <c:pt idx="2">
                  <c:v>7.192230933248644</c:v>
                </c:pt>
                <c:pt idx="3">
                  <c:v>6.5975395538644719</c:v>
                </c:pt>
                <c:pt idx="4">
                  <c:v>6.1703386272000964</c:v>
                </c:pt>
                <c:pt idx="7">
                  <c:v>5.8419068106786556</c:v>
                </c:pt>
                <c:pt idx="8">
                  <c:v>5.5778982530324601</c:v>
                </c:pt>
                <c:pt idx="9">
                  <c:v>5.3588673126814657</c:v>
                </c:pt>
                <c:pt idx="10">
                  <c:v>5.1728185797178661</c:v>
                </c:pt>
                <c:pt idx="11">
                  <c:v>5.0118723362727229</c:v>
                </c:pt>
                <c:pt idx="14">
                  <c:v>4.8705969722582854</c:v>
                </c:pt>
                <c:pt idx="15">
                  <c:v>4.7451028062635512</c:v>
                </c:pt>
                <c:pt idx="16">
                  <c:v>4.6325167075036715</c:v>
                </c:pt>
                <c:pt idx="17">
                  <c:v>4.5306612226568763</c:v>
                </c:pt>
                <c:pt idx="18">
                  <c:v>4.4378500343167504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49-FC43-B58F-A0EEB728F807}"/>
            </c:ext>
          </c:extLst>
        </c:ser>
        <c:ser>
          <c:idx val="3"/>
          <c:order val="3"/>
          <c:tx>
            <c:strRef>
              <c:f>'Figure 8.3'!$O$1</c:f>
              <c:strCache>
                <c:ptCount val="1"/>
                <c:pt idx="0">
                  <c:v>I1 Trend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8.3'!$O$29</c:f>
                <c:numCache>
                  <c:formatCode>General</c:formatCode>
                  <c:ptCount val="1"/>
                  <c:pt idx="0">
                    <c:v>1.6002010141062912</c:v>
                  </c:pt>
                </c:numCache>
              </c:numRef>
            </c:plus>
            <c:minus>
              <c:numRef>
                <c:f>'Figure 8.3'!$O$29</c:f>
                <c:numCache>
                  <c:formatCode>General</c:formatCode>
                  <c:ptCount val="1"/>
                  <c:pt idx="0">
                    <c:v>1.6002010141062912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8.3'!$O$2:$O$27</c:f>
              <c:numCache>
                <c:formatCode>General</c:formatCode>
                <c:ptCount val="26"/>
                <c:pt idx="7">
                  <c:v>13</c:v>
                </c:pt>
                <c:pt idx="8">
                  <c:v>14.933078614961456</c:v>
                </c:pt>
                <c:pt idx="9">
                  <c:v>16.194502215001727</c:v>
                </c:pt>
                <c:pt idx="10">
                  <c:v>17.153602840047625</c:v>
                </c:pt>
                <c:pt idx="11">
                  <c:v>17.936485598995795</c:v>
                </c:pt>
                <c:pt idx="14">
                  <c:v>18.350000000000001</c:v>
                </c:pt>
                <c:pt idx="15">
                  <c:v>18.7</c:v>
                </c:pt>
                <c:pt idx="16">
                  <c:v>18.899999999999999</c:v>
                </c:pt>
                <c:pt idx="17">
                  <c:v>19</c:v>
                </c:pt>
                <c:pt idx="18">
                  <c:v>19.05</c:v>
                </c:pt>
                <c:pt idx="21">
                  <c:v>19.25</c:v>
                </c:pt>
                <c:pt idx="22">
                  <c:v>19.375</c:v>
                </c:pt>
                <c:pt idx="23">
                  <c:v>19.440000000000001</c:v>
                </c:pt>
                <c:pt idx="24">
                  <c:v>19.47</c:v>
                </c:pt>
                <c:pt idx="25">
                  <c:v>19.48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49-FC43-B58F-A0EEB728F807}"/>
            </c:ext>
          </c:extLst>
        </c:ser>
        <c:ser>
          <c:idx val="4"/>
          <c:order val="4"/>
          <c:tx>
            <c:strRef>
              <c:f>'Figure 8.3'!$P$1</c:f>
              <c:strCache>
                <c:ptCount val="1"/>
                <c:pt idx="0">
                  <c:v>B2 Trend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8.3'!$P$29</c:f>
                <c:numCache>
                  <c:formatCode>General</c:formatCode>
                  <c:ptCount val="1"/>
                  <c:pt idx="0">
                    <c:v>1.5712796397099937</c:v>
                  </c:pt>
                </c:numCache>
              </c:numRef>
            </c:plus>
            <c:minus>
              <c:numRef>
                <c:f>'Figure 8.3'!$P$29</c:f>
                <c:numCache>
                  <c:formatCode>General</c:formatCode>
                  <c:ptCount val="1"/>
                  <c:pt idx="0">
                    <c:v>1.5712796397099937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>
                    <a:lumMod val="75000"/>
                  </a:schemeClr>
                </a:solidFill>
                <a:prstDash val="lgDashDotDot"/>
                <a:round/>
              </a:ln>
              <a:effectLst/>
            </c:spPr>
          </c:errBars>
          <c:xVal>
            <c:numRef>
              <c:f>'Figure 8.3'!$A$2:$A$27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8.3'!$P$2:$P$27</c:f>
              <c:numCache>
                <c:formatCode>General</c:formatCode>
                <c:ptCount val="26"/>
                <c:pt idx="14">
                  <c:v>10</c:v>
                </c:pt>
                <c:pt idx="15">
                  <c:v>8.4089641525371466</c:v>
                </c:pt>
                <c:pt idx="16">
                  <c:v>7.5983568565159247</c:v>
                </c:pt>
                <c:pt idx="17">
                  <c:v>7.0710678118654755</c:v>
                </c:pt>
                <c:pt idx="18">
                  <c:v>6.6874030497642201</c:v>
                </c:pt>
                <c:pt idx="21">
                  <c:v>6.5</c:v>
                </c:pt>
                <c:pt idx="22">
                  <c:v>6.3</c:v>
                </c:pt>
                <c:pt idx="23">
                  <c:v>6.2</c:v>
                </c:pt>
                <c:pt idx="24">
                  <c:v>6.15</c:v>
                </c:pt>
                <c:pt idx="25">
                  <c:v>6.125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49-FC43-B58F-A0EEB728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</c:valAx>
      <c:valAx>
        <c:axId val="2072783759"/>
        <c:scaling>
          <c:orientation val="minMax"/>
          <c:max val="2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8628401117776"/>
          <c:y val="5.2533918237047977E-2"/>
          <c:w val="0.84934447806581337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11.1'!$B$1</c:f>
              <c:strCache>
                <c:ptCount val="1"/>
                <c:pt idx="0">
                  <c:v>Responses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11.1'!$A$2:$A$27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11.1'!$B$2:$B$27</c:f>
              <c:numCache>
                <c:formatCode>General</c:formatCode>
                <c:ptCount val="26"/>
                <c:pt idx="0">
                  <c:v>5.4319019808463</c:v>
                </c:pt>
                <c:pt idx="1">
                  <c:v>9.8679004420409004</c:v>
                </c:pt>
                <c:pt idx="2">
                  <c:v>5.8597596711770201</c:v>
                </c:pt>
                <c:pt idx="3">
                  <c:v>9.2343508741469105</c:v>
                </c:pt>
                <c:pt idx="4">
                  <c:v>5.5763748706377001</c:v>
                </c:pt>
                <c:pt idx="7">
                  <c:v>15.9399931261432</c:v>
                </c:pt>
                <c:pt idx="8">
                  <c:v>12.209371602162699</c:v>
                </c:pt>
                <c:pt idx="9">
                  <c:v>13.844103300943971</c:v>
                </c:pt>
                <c:pt idx="10">
                  <c:v>16.403636603441601</c:v>
                </c:pt>
                <c:pt idx="11">
                  <c:v>13.3752542347065</c:v>
                </c:pt>
                <c:pt idx="14">
                  <c:v>5.7497448122012429</c:v>
                </c:pt>
                <c:pt idx="15">
                  <c:v>10.8441691079497</c:v>
                </c:pt>
                <c:pt idx="16">
                  <c:v>5.8991003142</c:v>
                </c:pt>
                <c:pt idx="17">
                  <c:v>10.560792846546899</c:v>
                </c:pt>
                <c:pt idx="18">
                  <c:v>6.1604703457851429</c:v>
                </c:pt>
                <c:pt idx="21">
                  <c:v>12.2705152382841</c:v>
                </c:pt>
                <c:pt idx="22">
                  <c:v>18.3301851241558</c:v>
                </c:pt>
                <c:pt idx="23">
                  <c:v>15.087628334062201</c:v>
                </c:pt>
                <c:pt idx="24">
                  <c:v>13.998435563000401</c:v>
                </c:pt>
                <c:pt idx="25">
                  <c:v>15.8975147516466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8-7A4C-A544-CBE8EFE32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</c:valAx>
      <c:valAx>
        <c:axId val="2072783759"/>
        <c:scaling>
          <c:orientation val="minMax"/>
          <c:max val="2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8628401117776"/>
          <c:y val="5.2533918237047977E-2"/>
          <c:w val="0.84934447806581337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11.1'!$B$1</c:f>
              <c:strCache>
                <c:ptCount val="1"/>
                <c:pt idx="0">
                  <c:v>Responses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11.1'!$A$2:$A$27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11.1'!$B$2:$B$27</c:f>
              <c:numCache>
                <c:formatCode>General</c:formatCode>
                <c:ptCount val="26"/>
                <c:pt idx="0">
                  <c:v>5.4319019808463</c:v>
                </c:pt>
                <c:pt idx="1">
                  <c:v>9.8679004420409004</c:v>
                </c:pt>
                <c:pt idx="2">
                  <c:v>5.8597596711770201</c:v>
                </c:pt>
                <c:pt idx="3">
                  <c:v>9.2343508741469105</c:v>
                </c:pt>
                <c:pt idx="4">
                  <c:v>5.5763748706377001</c:v>
                </c:pt>
                <c:pt idx="7">
                  <c:v>15.9399931261432</c:v>
                </c:pt>
                <c:pt idx="8">
                  <c:v>12.209371602162699</c:v>
                </c:pt>
                <c:pt idx="9">
                  <c:v>13.844103300943971</c:v>
                </c:pt>
                <c:pt idx="10">
                  <c:v>16.403636603441601</c:v>
                </c:pt>
                <c:pt idx="11">
                  <c:v>13.3752542347065</c:v>
                </c:pt>
                <c:pt idx="14">
                  <c:v>5.7497448122012429</c:v>
                </c:pt>
                <c:pt idx="15">
                  <c:v>10.8441691079497</c:v>
                </c:pt>
                <c:pt idx="16">
                  <c:v>5.8991003142</c:v>
                </c:pt>
                <c:pt idx="17">
                  <c:v>10.560792846546899</c:v>
                </c:pt>
                <c:pt idx="18">
                  <c:v>6.1604703457851429</c:v>
                </c:pt>
                <c:pt idx="21">
                  <c:v>12.2705152382841</c:v>
                </c:pt>
                <c:pt idx="22">
                  <c:v>18.3301851241558</c:v>
                </c:pt>
                <c:pt idx="23">
                  <c:v>15.087628334062201</c:v>
                </c:pt>
                <c:pt idx="24">
                  <c:v>13.998435563000401</c:v>
                </c:pt>
                <c:pt idx="25">
                  <c:v>15.8975147516466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F-2141-9B86-864083D92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</c:valAx>
      <c:valAx>
        <c:axId val="2072783759"/>
        <c:scaling>
          <c:orientation val="minMax"/>
          <c:max val="2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8628401117776"/>
          <c:y val="5.2533918237047977E-2"/>
          <c:w val="0.84934447806581337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11.1'!$B$1</c:f>
              <c:strCache>
                <c:ptCount val="1"/>
                <c:pt idx="0">
                  <c:v>Responses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11.1'!$A$2:$A$27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11.1'!$B$2:$B$27</c:f>
              <c:numCache>
                <c:formatCode>General</c:formatCode>
                <c:ptCount val="26"/>
                <c:pt idx="0">
                  <c:v>5.4319019808463</c:v>
                </c:pt>
                <c:pt idx="1">
                  <c:v>9.8679004420409004</c:v>
                </c:pt>
                <c:pt idx="2">
                  <c:v>5.8597596711770201</c:v>
                </c:pt>
                <c:pt idx="3">
                  <c:v>9.2343508741469105</c:v>
                </c:pt>
                <c:pt idx="4">
                  <c:v>5.5763748706377001</c:v>
                </c:pt>
                <c:pt idx="7">
                  <c:v>15.9399931261432</c:v>
                </c:pt>
                <c:pt idx="8">
                  <c:v>12.209371602162699</c:v>
                </c:pt>
                <c:pt idx="9">
                  <c:v>13.844103300943971</c:v>
                </c:pt>
                <c:pt idx="10">
                  <c:v>16.403636603441601</c:v>
                </c:pt>
                <c:pt idx="11">
                  <c:v>13.3752542347065</c:v>
                </c:pt>
                <c:pt idx="14">
                  <c:v>5.7497448122012429</c:v>
                </c:pt>
                <c:pt idx="15">
                  <c:v>10.8441691079497</c:v>
                </c:pt>
                <c:pt idx="16">
                  <c:v>5.8991003142</c:v>
                </c:pt>
                <c:pt idx="17">
                  <c:v>10.560792846546899</c:v>
                </c:pt>
                <c:pt idx="18">
                  <c:v>6.1604703457851429</c:v>
                </c:pt>
                <c:pt idx="21">
                  <c:v>12.2705152382841</c:v>
                </c:pt>
                <c:pt idx="22">
                  <c:v>18.3301851241558</c:v>
                </c:pt>
                <c:pt idx="23">
                  <c:v>15.087628334062201</c:v>
                </c:pt>
                <c:pt idx="24">
                  <c:v>13.998435563000401</c:v>
                </c:pt>
                <c:pt idx="25">
                  <c:v>15.8975147516466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E-7041-9ECE-5DF70B903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  <c:majorUnit val="5"/>
      </c:valAx>
      <c:valAx>
        <c:axId val="2072783759"/>
        <c:scaling>
          <c:orientation val="minMax"/>
          <c:max val="2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8628401117776"/>
          <c:y val="5.2533918237047977E-2"/>
          <c:w val="0.84934447806581337"/>
          <c:h val="0.82922266336986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11.1'!$B$1</c:f>
              <c:strCache>
                <c:ptCount val="1"/>
                <c:pt idx="0">
                  <c:v>Responses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'Figure 11.1'!$A$2:$A$27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11.1'!$B$2:$B$27</c:f>
              <c:numCache>
                <c:formatCode>General</c:formatCode>
                <c:ptCount val="26"/>
                <c:pt idx="0">
                  <c:v>5.4319019808463</c:v>
                </c:pt>
                <c:pt idx="1">
                  <c:v>9.8679004420409004</c:v>
                </c:pt>
                <c:pt idx="2">
                  <c:v>5.8597596711770201</c:v>
                </c:pt>
                <c:pt idx="3">
                  <c:v>9.2343508741469105</c:v>
                </c:pt>
                <c:pt idx="4">
                  <c:v>5.5763748706377001</c:v>
                </c:pt>
                <c:pt idx="7">
                  <c:v>15.9399931261432</c:v>
                </c:pt>
                <c:pt idx="8">
                  <c:v>12.209371602162699</c:v>
                </c:pt>
                <c:pt idx="9">
                  <c:v>13.844103300943971</c:v>
                </c:pt>
                <c:pt idx="10">
                  <c:v>16.403636603441601</c:v>
                </c:pt>
                <c:pt idx="11">
                  <c:v>13.3752542347065</c:v>
                </c:pt>
                <c:pt idx="14">
                  <c:v>5.7497448122012429</c:v>
                </c:pt>
                <c:pt idx="15">
                  <c:v>10.8441691079497</c:v>
                </c:pt>
                <c:pt idx="16">
                  <c:v>5.8991003142</c:v>
                </c:pt>
                <c:pt idx="17">
                  <c:v>10.560792846546899</c:v>
                </c:pt>
                <c:pt idx="18">
                  <c:v>6.1604703457851429</c:v>
                </c:pt>
                <c:pt idx="21">
                  <c:v>12.2705152382841</c:v>
                </c:pt>
                <c:pt idx="22">
                  <c:v>18.3301851241558</c:v>
                </c:pt>
                <c:pt idx="23">
                  <c:v>15.087628334062201</c:v>
                </c:pt>
                <c:pt idx="24">
                  <c:v>13.998435563000401</c:v>
                </c:pt>
                <c:pt idx="25">
                  <c:v>15.8975147516466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1-7140-8FC8-09D79370DE87}"/>
            </c:ext>
          </c:extLst>
        </c:ser>
        <c:ser>
          <c:idx val="1"/>
          <c:order val="1"/>
          <c:tx>
            <c:strRef>
              <c:f>'Figure 11.1'!$C$1</c:f>
              <c:strCache>
                <c:ptCount val="1"/>
                <c:pt idx="0">
                  <c:v>Ph. Change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 11.1'!$A$2:$A$27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10.5</c:v>
                </c:pt>
                <c:pt idx="13">
                  <c:v>10.5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xVal>
          <c:yVal>
            <c:numRef>
              <c:f>'Figure 11.1'!$C$2:$C$27</c:f>
              <c:numCache>
                <c:formatCode>General</c:formatCode>
                <c:ptCount val="26"/>
                <c:pt idx="5">
                  <c:v>0</c:v>
                </c:pt>
                <c:pt idx="6">
                  <c:v>100</c:v>
                </c:pt>
                <c:pt idx="12">
                  <c:v>0</c:v>
                </c:pt>
                <c:pt idx="13">
                  <c:v>100</c:v>
                </c:pt>
                <c:pt idx="19">
                  <c:v>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1-7140-8FC8-09D79370D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786511"/>
        <c:axId val="2072783759"/>
      </c:scatterChart>
      <c:valAx>
        <c:axId val="1988786511"/>
        <c:scaling>
          <c:orientation val="minMax"/>
          <c:max val="21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83759"/>
        <c:crosses val="autoZero"/>
        <c:crossBetween val="midCat"/>
        <c:majorUnit val="5"/>
      </c:valAx>
      <c:valAx>
        <c:axId val="2072783759"/>
        <c:scaling>
          <c:orientation val="minMax"/>
          <c:max val="2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8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chart" Target="../charts/chart4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5.xml"/><Relationship Id="rId3" Type="http://schemas.openxmlformats.org/officeDocument/2006/relationships/chart" Target="../charts/chart50.xml"/><Relationship Id="rId7" Type="http://schemas.openxmlformats.org/officeDocument/2006/relationships/chart" Target="../charts/chart54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8.xml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5" Type="http://schemas.openxmlformats.org/officeDocument/2006/relationships/chart" Target="../charts/chart60.xml"/><Relationship Id="rId4" Type="http://schemas.openxmlformats.org/officeDocument/2006/relationships/chart" Target="../charts/chart59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4" Type="http://schemas.openxmlformats.org/officeDocument/2006/relationships/chart" Target="../charts/chart6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4" Type="http://schemas.openxmlformats.org/officeDocument/2006/relationships/chart" Target="../charts/chart68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1.xml"/><Relationship Id="rId2" Type="http://schemas.openxmlformats.org/officeDocument/2006/relationships/chart" Target="../charts/chart70.xml"/><Relationship Id="rId1" Type="http://schemas.openxmlformats.org/officeDocument/2006/relationships/chart" Target="../charts/chart69.xml"/><Relationship Id="rId5" Type="http://schemas.openxmlformats.org/officeDocument/2006/relationships/chart" Target="../charts/chart72.xml"/><Relationship Id="rId4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4" Type="http://schemas.openxmlformats.org/officeDocument/2006/relationships/chart" Target="../charts/chart76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9.xml"/><Relationship Id="rId2" Type="http://schemas.openxmlformats.org/officeDocument/2006/relationships/chart" Target="../charts/chart78.xml"/><Relationship Id="rId1" Type="http://schemas.openxmlformats.org/officeDocument/2006/relationships/chart" Target="../charts/chart77.xml"/><Relationship Id="rId4" Type="http://schemas.openxmlformats.org/officeDocument/2006/relationships/chart" Target="../charts/chart80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3.xml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4" Type="http://schemas.openxmlformats.org/officeDocument/2006/relationships/chart" Target="../charts/chart8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2</xdr:row>
      <xdr:rowOff>25400</xdr:rowOff>
    </xdr:from>
    <xdr:to>
      <xdr:col>23</xdr:col>
      <xdr:colOff>155575</xdr:colOff>
      <xdr:row>48</xdr:row>
      <xdr:rowOff>190500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D2DBF1B1-08BF-0162-7FDD-32E389CFA38D}"/>
            </a:ext>
          </a:extLst>
        </xdr:cNvPr>
        <xdr:cNvGrpSpPr/>
      </xdr:nvGrpSpPr>
      <xdr:grpSpPr>
        <a:xfrm>
          <a:off x="11413067" y="420511"/>
          <a:ext cx="11277952" cy="9492545"/>
          <a:chOff x="9328150" y="517525"/>
          <a:chExt cx="11179175" cy="10102850"/>
        </a:xfrm>
      </xdr:grpSpPr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EDDC89C2-7D64-EF4D-B003-0940F8C92914}"/>
              </a:ext>
            </a:extLst>
          </xdr:cNvPr>
          <xdr:cNvSpPr txBox="1"/>
        </xdr:nvSpPr>
        <xdr:spPr>
          <a:xfrm>
            <a:off x="13852525" y="9877425"/>
            <a:ext cx="5911850" cy="742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3000">
                <a:solidFill>
                  <a:schemeClr val="tx1"/>
                </a:solidFill>
              </a:rPr>
              <a:t>Number of Observation</a:t>
            </a:r>
            <a:r>
              <a:rPr lang="en-US" sz="3000" baseline="0">
                <a:solidFill>
                  <a:schemeClr val="tx1"/>
                </a:solidFill>
              </a:rPr>
              <a:t> </a:t>
            </a:r>
            <a:r>
              <a:rPr lang="en-US" sz="3000">
                <a:solidFill>
                  <a:schemeClr val="tx1"/>
                </a:solidFill>
              </a:rPr>
              <a:t>Trials</a:t>
            </a:r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C627A57E-AC9D-2C28-240B-9C45B94DBE6D}"/>
              </a:ext>
            </a:extLst>
          </xdr:cNvPr>
          <xdr:cNvGrpSpPr/>
        </xdr:nvGrpSpPr>
        <xdr:grpSpPr>
          <a:xfrm>
            <a:off x="9328150" y="517525"/>
            <a:ext cx="11179175" cy="9375775"/>
            <a:chOff x="9328150" y="517525"/>
            <a:chExt cx="11179175" cy="9375775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C8F9C82-40DC-C16C-EE73-2CED94B3B909}"/>
                </a:ext>
              </a:extLst>
            </xdr:cNvPr>
            <xdr:cNvGraphicFramePr/>
          </xdr:nvGraphicFramePr>
          <xdr:xfrm>
            <a:off x="9334500" y="1606550"/>
            <a:ext cx="2514600" cy="2787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5CC8C67-CED5-5A41-B89D-E5CBD6DE041C}"/>
                </a:ext>
              </a:extLst>
            </xdr:cNvPr>
            <xdr:cNvGraphicFramePr>
              <a:graphicFrameLocks/>
            </xdr:cNvGraphicFramePr>
          </xdr:nvGraphicFramePr>
          <xdr:xfrm>
            <a:off x="9328150" y="4365625"/>
            <a:ext cx="2514600" cy="2787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926C33-36A2-5D4D-822E-8ACB42CE937C}"/>
                </a:ext>
              </a:extLst>
            </xdr:cNvPr>
            <xdr:cNvGraphicFramePr>
              <a:graphicFrameLocks/>
            </xdr:cNvGraphicFramePr>
          </xdr:nvGraphicFramePr>
          <xdr:xfrm>
            <a:off x="9334500" y="7102475"/>
            <a:ext cx="2514600" cy="27844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52D8FB8-A964-AE4C-7923-BE65311B517F}"/>
                </a:ext>
              </a:extLst>
            </xdr:cNvPr>
            <xdr:cNvGraphicFramePr/>
          </xdr:nvGraphicFramePr>
          <xdr:xfrm>
            <a:off x="12528550" y="1638300"/>
            <a:ext cx="3657600" cy="2787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FDD35A-AF62-D24B-9CD3-A9A412B88925}"/>
                </a:ext>
              </a:extLst>
            </xdr:cNvPr>
            <xdr:cNvGraphicFramePr>
              <a:graphicFrameLocks/>
            </xdr:cNvGraphicFramePr>
          </xdr:nvGraphicFramePr>
          <xdr:xfrm>
            <a:off x="12509500" y="4365625"/>
            <a:ext cx="3657600" cy="2787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2F9A511-1043-DD4D-ADB7-259460787B37}"/>
                </a:ext>
              </a:extLst>
            </xdr:cNvPr>
            <xdr:cNvGraphicFramePr>
              <a:graphicFrameLocks/>
            </xdr:cNvGraphicFramePr>
          </xdr:nvGraphicFramePr>
          <xdr:xfrm>
            <a:off x="12522200" y="7102475"/>
            <a:ext cx="3657600" cy="27844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E091AF9-B155-0C40-BE8D-97C29FF6D156}"/>
                </a:ext>
              </a:extLst>
            </xdr:cNvPr>
            <xdr:cNvGraphicFramePr>
              <a:graphicFrameLocks/>
            </xdr:cNvGraphicFramePr>
          </xdr:nvGraphicFramePr>
          <xdr:xfrm>
            <a:off x="16849725" y="1644650"/>
            <a:ext cx="3657600" cy="2787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E2D96F4-592B-6944-BDFF-2F6252782104}"/>
                </a:ext>
              </a:extLst>
            </xdr:cNvPr>
            <xdr:cNvGraphicFramePr>
              <a:graphicFrameLocks/>
            </xdr:cNvGraphicFramePr>
          </xdr:nvGraphicFramePr>
          <xdr:xfrm>
            <a:off x="16830675" y="4371975"/>
            <a:ext cx="3657600" cy="2787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7E3C859-F354-8C4D-8DF5-DCD1868BDDAD}"/>
                </a:ext>
              </a:extLst>
            </xdr:cNvPr>
            <xdr:cNvGraphicFramePr>
              <a:graphicFrameLocks/>
            </xdr:cNvGraphicFramePr>
          </xdr:nvGraphicFramePr>
          <xdr:xfrm>
            <a:off x="16843375" y="7108825"/>
            <a:ext cx="3657600" cy="27844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447A830-38B4-9E51-46C7-EA3353DD1922}"/>
                </a:ext>
              </a:extLst>
            </xdr:cNvPr>
            <xdr:cNvSpPr txBox="1"/>
          </xdr:nvSpPr>
          <xdr:spPr>
            <a:xfrm>
              <a:off x="9779000" y="523875"/>
              <a:ext cx="2127250" cy="1127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3000">
                  <a:solidFill>
                    <a:schemeClr val="tx1"/>
                  </a:solidFill>
                </a:rPr>
                <a:t>Raw Frequencies</a:t>
              </a:r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0A3F2BB-FAF0-824E-8838-FD43968E7916}"/>
                </a:ext>
              </a:extLst>
            </xdr:cNvPr>
            <xdr:cNvSpPr txBox="1"/>
          </xdr:nvSpPr>
          <xdr:spPr>
            <a:xfrm>
              <a:off x="13398500" y="517525"/>
              <a:ext cx="2613025" cy="1127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3000">
                  <a:solidFill>
                    <a:schemeClr val="tx1"/>
                  </a:solidFill>
                </a:rPr>
                <a:t>Probability Mass Function</a:t>
              </a:r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AE91064-DC16-0C41-B408-B37C3436DB43}"/>
                </a:ext>
              </a:extLst>
            </xdr:cNvPr>
            <xdr:cNvSpPr txBox="1"/>
          </xdr:nvSpPr>
          <xdr:spPr>
            <a:xfrm>
              <a:off x="16957675" y="527050"/>
              <a:ext cx="3505200" cy="1127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3000">
                  <a:solidFill>
                    <a:schemeClr val="tx1"/>
                  </a:solidFill>
                </a:rPr>
                <a:t>Cumulative Probability Function</a:t>
              </a:r>
            </a:p>
          </xdr:txBody>
        </xdr:sp>
        <xdr:sp macro="" textlink="">
          <xdr:nvSpPr>
            <xdr:cNvPr id="16" name="Right Arrow 15">
              <a:extLst>
                <a:ext uri="{FF2B5EF4-FFF2-40B4-BE49-F238E27FC236}">
                  <a16:creationId xmlns:a16="http://schemas.microsoft.com/office/drawing/2014/main" id="{6CB93C44-6CC4-248D-CE70-94AEC101D693}"/>
                </a:ext>
              </a:extLst>
            </xdr:cNvPr>
            <xdr:cNvSpPr/>
          </xdr:nvSpPr>
          <xdr:spPr>
            <a:xfrm rot="1820737">
              <a:off x="14120279" y="2917520"/>
              <a:ext cx="368835" cy="209011"/>
            </a:xfrm>
            <a:prstGeom prst="rightArrow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Right Arrow 16">
              <a:extLst>
                <a:ext uri="{FF2B5EF4-FFF2-40B4-BE49-F238E27FC236}">
                  <a16:creationId xmlns:a16="http://schemas.microsoft.com/office/drawing/2014/main" id="{290907F4-E15A-314B-AF2A-20650E2D627E}"/>
                </a:ext>
              </a:extLst>
            </xdr:cNvPr>
            <xdr:cNvSpPr/>
          </xdr:nvSpPr>
          <xdr:spPr>
            <a:xfrm>
              <a:off x="14636745" y="1961844"/>
              <a:ext cx="364601" cy="209011"/>
            </a:xfrm>
            <a:prstGeom prst="rightArrow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" name="Right Arrow 17">
              <a:extLst>
                <a:ext uri="{FF2B5EF4-FFF2-40B4-BE49-F238E27FC236}">
                  <a16:creationId xmlns:a16="http://schemas.microsoft.com/office/drawing/2014/main" id="{B1AE2DC0-7F54-A944-A0CC-967886D0B327}"/>
                </a:ext>
              </a:extLst>
            </xdr:cNvPr>
            <xdr:cNvSpPr/>
          </xdr:nvSpPr>
          <xdr:spPr>
            <a:xfrm>
              <a:off x="15462246" y="3570511"/>
              <a:ext cx="364602" cy="209011"/>
            </a:xfrm>
            <a:prstGeom prst="rightArrow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57F625F-82FA-1041-AEBE-E1CD05C46984}"/>
                </a:ext>
              </a:extLst>
            </xdr:cNvPr>
            <xdr:cNvSpPr txBox="1"/>
          </xdr:nvSpPr>
          <xdr:spPr>
            <a:xfrm>
              <a:off x="13778440" y="2536822"/>
              <a:ext cx="409575" cy="454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800">
                  <a:solidFill>
                    <a:srgbClr val="FF0000"/>
                  </a:solidFill>
                </a:rPr>
                <a:t>A</a:t>
              </a:r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A749C7C-7157-3A45-BC8B-29621FCF8056}"/>
                </a:ext>
              </a:extLst>
            </xdr:cNvPr>
            <xdr:cNvSpPr txBox="1"/>
          </xdr:nvSpPr>
          <xdr:spPr>
            <a:xfrm>
              <a:off x="14290677" y="1779051"/>
              <a:ext cx="409574" cy="454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800">
                  <a:solidFill>
                    <a:srgbClr val="FF0000"/>
                  </a:solidFill>
                </a:rPr>
                <a:t>B</a:t>
              </a: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D07D04-10A4-6B4A-8304-356FDBB0F3FD}"/>
                </a:ext>
              </a:extLst>
            </xdr:cNvPr>
            <xdr:cNvSpPr txBox="1"/>
          </xdr:nvSpPr>
          <xdr:spPr>
            <a:xfrm>
              <a:off x="15107710" y="3404651"/>
              <a:ext cx="409575" cy="454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2800">
                  <a:solidFill>
                    <a:srgbClr val="FF0000"/>
                  </a:solidFill>
                </a:rPr>
                <a:t>C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23283</xdr:rowOff>
    </xdr:from>
    <xdr:to>
      <xdr:col>3</xdr:col>
      <xdr:colOff>2493772</xdr:colOff>
      <xdr:row>3</xdr:row>
      <xdr:rowOff>1841528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5593A8-ED7E-7246-A250-BD4ABFEE7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</xdr:colOff>
      <xdr:row>4</xdr:row>
      <xdr:rowOff>38100</xdr:rowOff>
    </xdr:from>
    <xdr:to>
      <xdr:col>3</xdr:col>
      <xdr:colOff>2451100</xdr:colOff>
      <xdr:row>4</xdr:row>
      <xdr:rowOff>1854200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C144C0-5E29-5B4B-BD87-A14CEC86B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50800</xdr:colOff>
      <xdr:row>5</xdr:row>
      <xdr:rowOff>25400</xdr:rowOff>
    </xdr:from>
    <xdr:to>
      <xdr:col>3</xdr:col>
      <xdr:colOff>2451100</xdr:colOff>
      <xdr:row>5</xdr:row>
      <xdr:rowOff>1841500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F45EC2-1017-8443-B502-C527D0554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76200</xdr:colOff>
      <xdr:row>3</xdr:row>
      <xdr:rowOff>35983</xdr:rowOff>
    </xdr:from>
    <xdr:to>
      <xdr:col>5</xdr:col>
      <xdr:colOff>17272</xdr:colOff>
      <xdr:row>3</xdr:row>
      <xdr:rowOff>1854228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BDE8581-B30C-0B4A-9BEF-71565D75F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49645</xdr:colOff>
      <xdr:row>4</xdr:row>
      <xdr:rowOff>39255</xdr:rowOff>
    </xdr:from>
    <xdr:to>
      <xdr:col>5</xdr:col>
      <xdr:colOff>29309</xdr:colOff>
      <xdr:row>4</xdr:row>
      <xdr:rowOff>1858819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2EC444-5836-FB42-A1D2-987980BFE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46180</xdr:colOff>
      <xdr:row>5</xdr:row>
      <xdr:rowOff>34635</xdr:rowOff>
    </xdr:from>
    <xdr:to>
      <xdr:col>4</xdr:col>
      <xdr:colOff>2446480</xdr:colOff>
      <xdr:row>5</xdr:row>
      <xdr:rowOff>1854199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89DE6F5-9FBC-EC4E-912A-4ECD2B858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38100</xdr:colOff>
      <xdr:row>8</xdr:row>
      <xdr:rowOff>38100</xdr:rowOff>
    </xdr:from>
    <xdr:to>
      <xdr:col>3</xdr:col>
      <xdr:colOff>2438400</xdr:colOff>
      <xdr:row>8</xdr:row>
      <xdr:rowOff>1854200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A39A92B-645A-6748-B304-05E4A136A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33480</xdr:colOff>
      <xdr:row>8</xdr:row>
      <xdr:rowOff>34635</xdr:rowOff>
    </xdr:from>
    <xdr:to>
      <xdr:col>4</xdr:col>
      <xdr:colOff>2433780</xdr:colOff>
      <xdr:row>8</xdr:row>
      <xdr:rowOff>1854199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30E1CA2-C8EB-3E48-BF75-6238660C9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38100</xdr:colOff>
      <xdr:row>6</xdr:row>
      <xdr:rowOff>33161</xdr:rowOff>
    </xdr:from>
    <xdr:to>
      <xdr:col>3</xdr:col>
      <xdr:colOff>2438400</xdr:colOff>
      <xdr:row>6</xdr:row>
      <xdr:rowOff>1849261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915E5137-93D3-7B4C-8A62-14FE6F810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33480</xdr:colOff>
      <xdr:row>6</xdr:row>
      <xdr:rowOff>29696</xdr:rowOff>
    </xdr:from>
    <xdr:to>
      <xdr:col>4</xdr:col>
      <xdr:colOff>2433780</xdr:colOff>
      <xdr:row>6</xdr:row>
      <xdr:rowOff>1849260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5C9FC8E-C0E6-4349-AE77-972258371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47625</xdr:colOff>
      <xdr:row>7</xdr:row>
      <xdr:rowOff>33451</xdr:rowOff>
    </xdr:from>
    <xdr:to>
      <xdr:col>3</xdr:col>
      <xdr:colOff>2447925</xdr:colOff>
      <xdr:row>7</xdr:row>
      <xdr:rowOff>1849551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C2ECD16D-EFC2-DD49-B213-8BA0375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43005</xdr:colOff>
      <xdr:row>7</xdr:row>
      <xdr:rowOff>29986</xdr:rowOff>
    </xdr:from>
    <xdr:to>
      <xdr:col>4</xdr:col>
      <xdr:colOff>2443305</xdr:colOff>
      <xdr:row>7</xdr:row>
      <xdr:rowOff>1849550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6011A4CC-5786-0743-AA92-7867DB1B3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97973</xdr:colOff>
      <xdr:row>2</xdr:row>
      <xdr:rowOff>42937</xdr:rowOff>
    </xdr:from>
    <xdr:to>
      <xdr:col>3</xdr:col>
      <xdr:colOff>2502845</xdr:colOff>
      <xdr:row>2</xdr:row>
      <xdr:rowOff>1862593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ED09125A-8DB9-3E47-826E-212F65631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64463</xdr:colOff>
      <xdr:row>2</xdr:row>
      <xdr:rowOff>30237</xdr:rowOff>
    </xdr:from>
    <xdr:to>
      <xdr:col>5</xdr:col>
      <xdr:colOff>9771</xdr:colOff>
      <xdr:row>2</xdr:row>
      <xdr:rowOff>1849893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47EF2F6-93DD-4043-BF62-FBDCAC673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1</xdr:row>
      <xdr:rowOff>165100</xdr:rowOff>
    </xdr:from>
    <xdr:to>
      <xdr:col>13</xdr:col>
      <xdr:colOff>450850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EDD24-5301-8141-86B4-0D0DDFCD5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736600</xdr:colOff>
      <xdr:row>24</xdr:row>
      <xdr:rowOff>190500</xdr:rowOff>
    </xdr:from>
    <xdr:to>
      <xdr:col>13</xdr:col>
      <xdr:colOff>762000</xdr:colOff>
      <xdr:row>47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30600-717F-CA45-8095-2FB8FEE9A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643943</xdr:colOff>
      <xdr:row>48</xdr:row>
      <xdr:rowOff>31750</xdr:rowOff>
    </xdr:from>
    <xdr:to>
      <xdr:col>14</xdr:col>
      <xdr:colOff>285750</xdr:colOff>
      <xdr:row>70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CDF681-5F75-C349-96F3-276EB2E44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0.28571</cdr:x>
      <cdr:y>0.125</cdr:y>
    </cdr:from>
    <cdr:to>
      <cdr:x>0.28571</cdr:x>
      <cdr:y>0.845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9D74A87-E490-754F-8EB5-C412CC50718A}"/>
            </a:ext>
          </a:extLst>
        </cdr:cNvPr>
        <cdr:cNvCxnSpPr/>
      </cdr:nvCxnSpPr>
      <cdr:spPr>
        <a:xfrm xmlns:a="http://schemas.openxmlformats.org/drawingml/2006/main" flipH="1">
          <a:off x="1828800" y="5715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0.3631</cdr:x>
      <cdr:y>0.12222</cdr:y>
    </cdr:from>
    <cdr:to>
      <cdr:x>0.3631</cdr:x>
      <cdr:y>0.84222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AD0B547A-6FFD-284F-83A0-622E21396ED4}"/>
            </a:ext>
          </a:extLst>
        </cdr:cNvPr>
        <cdr:cNvCxnSpPr/>
      </cdr:nvCxnSpPr>
      <cdr:spPr>
        <a:xfrm xmlns:a="http://schemas.openxmlformats.org/drawingml/2006/main" flipH="1">
          <a:off x="2324100" y="5588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0.43254</cdr:x>
      <cdr:y>0.125</cdr:y>
    </cdr:from>
    <cdr:to>
      <cdr:x>0.43254</cdr:x>
      <cdr:y>0.845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4CF5829C-95AE-EE4E-B88A-36DDE3B3DFCF}"/>
            </a:ext>
          </a:extLst>
        </cdr:cNvPr>
        <cdr:cNvCxnSpPr/>
      </cdr:nvCxnSpPr>
      <cdr:spPr>
        <a:xfrm xmlns:a="http://schemas.openxmlformats.org/drawingml/2006/main" flipH="1">
          <a:off x="2768600" y="5715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0.50992</cdr:x>
      <cdr:y>0.12222</cdr:y>
    </cdr:from>
    <cdr:to>
      <cdr:x>0.50992</cdr:x>
      <cdr:y>0.84222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91E32B76-A67F-6C41-A168-B1392EBD1312}"/>
            </a:ext>
          </a:extLst>
        </cdr:cNvPr>
        <cdr:cNvCxnSpPr/>
      </cdr:nvCxnSpPr>
      <cdr:spPr>
        <a:xfrm xmlns:a="http://schemas.openxmlformats.org/drawingml/2006/main" flipH="1">
          <a:off x="3263900" y="5588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0.58532</cdr:x>
      <cdr:y>0.11944</cdr:y>
    </cdr:from>
    <cdr:to>
      <cdr:x>0.58532</cdr:x>
      <cdr:y>0.83944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DF1A3EB-6A0D-C94B-91E1-B9D95441487D}"/>
            </a:ext>
          </a:extLst>
        </cdr:cNvPr>
        <cdr:cNvCxnSpPr/>
      </cdr:nvCxnSpPr>
      <cdr:spPr>
        <a:xfrm xmlns:a="http://schemas.openxmlformats.org/drawingml/2006/main" flipH="1">
          <a:off x="3746500" y="5461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0.6627</cdr:x>
      <cdr:y>0.11667</cdr:y>
    </cdr:from>
    <cdr:to>
      <cdr:x>0.6627</cdr:x>
      <cdr:y>0.83667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958FAAAD-E0F1-0B4D-B7CE-530CA11FA7A0}"/>
            </a:ext>
          </a:extLst>
        </cdr:cNvPr>
        <cdr:cNvCxnSpPr/>
      </cdr:nvCxnSpPr>
      <cdr:spPr>
        <a:xfrm xmlns:a="http://schemas.openxmlformats.org/drawingml/2006/main" flipH="1">
          <a:off x="4241800" y="5334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0.74008</cdr:x>
      <cdr:y>0.11944</cdr:y>
    </cdr:from>
    <cdr:to>
      <cdr:x>0.74008</cdr:x>
      <cdr:y>0.83944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D9888462-D6A1-894C-BAA3-708B6B59784D}"/>
            </a:ext>
          </a:extLst>
        </cdr:cNvPr>
        <cdr:cNvCxnSpPr/>
      </cdr:nvCxnSpPr>
      <cdr:spPr>
        <a:xfrm xmlns:a="http://schemas.openxmlformats.org/drawingml/2006/main" flipH="1">
          <a:off x="4737100" y="5461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0.81746</cdr:x>
      <cdr:y>0.11667</cdr:y>
    </cdr:from>
    <cdr:to>
      <cdr:x>0.81746</cdr:x>
      <cdr:y>0.83667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F7F9BF12-4B3D-7E45-B3A1-1F78347483FB}"/>
            </a:ext>
          </a:extLst>
        </cdr:cNvPr>
        <cdr:cNvCxnSpPr/>
      </cdr:nvCxnSpPr>
      <cdr:spPr>
        <a:xfrm xmlns:a="http://schemas.openxmlformats.org/drawingml/2006/main" flipH="1">
          <a:off x="5232400" y="5334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0.88492</cdr:x>
      <cdr:y>0.11944</cdr:y>
    </cdr:from>
    <cdr:to>
      <cdr:x>0.88492</cdr:x>
      <cdr:y>0.83944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5F50BEB4-E63F-174E-8CB7-2D4177816B63}"/>
            </a:ext>
          </a:extLst>
        </cdr:cNvPr>
        <cdr:cNvCxnSpPr/>
      </cdr:nvCxnSpPr>
      <cdr:spPr>
        <a:xfrm xmlns:a="http://schemas.openxmlformats.org/drawingml/2006/main" flipH="1">
          <a:off x="5664200" y="5461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0.9623</cdr:x>
      <cdr:y>0.11667</cdr:y>
    </cdr:from>
    <cdr:to>
      <cdr:x>0.9623</cdr:x>
      <cdr:y>0.83667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BC9AC740-54D8-FC49-A3C5-43FF6C248666}"/>
            </a:ext>
          </a:extLst>
        </cdr:cNvPr>
        <cdr:cNvCxnSpPr/>
      </cdr:nvCxnSpPr>
      <cdr:spPr>
        <a:xfrm xmlns:a="http://schemas.openxmlformats.org/drawingml/2006/main" flipH="1">
          <a:off x="6159500" y="533400"/>
          <a:ext cx="0" cy="32918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0.20933</cdr:x>
      <cdr:y>0</cdr:y>
    </cdr:from>
    <cdr:to>
      <cdr:x>1</cdr:x>
      <cdr:y>0.11111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1A2701C3-B1D7-394D-8316-E3BB686BF637}"/>
            </a:ext>
          </a:extLst>
        </cdr:cNvPr>
        <cdr:cNvSpPr txBox="1"/>
      </cdr:nvSpPr>
      <cdr:spPr>
        <a:xfrm xmlns:a="http://schemas.openxmlformats.org/drawingml/2006/main">
          <a:off x="1339850" y="0"/>
          <a:ext cx="5060950" cy="508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600">
              <a:solidFill>
                <a:schemeClr val="tx1"/>
              </a:solidFill>
            </a:rPr>
            <a:t>| ------- Baseline ------ | -------------- Intervention ------------</a:t>
          </a:r>
          <a:r>
            <a:rPr lang="en-US" sz="110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|</a:t>
          </a:r>
        </a:p>
        <a:p xmlns:a="http://schemas.openxmlformats.org/drawingml/2006/main">
          <a:pPr algn="ctr"/>
          <a:r>
            <a:rPr lang="en-US" sz="1600">
              <a:solidFill>
                <a:schemeClr val="tx1"/>
              </a:solidFill>
            </a:rPr>
            <a:t>Session Number</a:t>
          </a:r>
        </a:p>
        <a:p xmlns:a="http://schemas.openxmlformats.org/drawingml/2006/main">
          <a:pPr algn="l"/>
          <a:r>
            <a:rPr lang="en-US" sz="1600">
              <a:solidFill>
                <a:schemeClr val="tx1"/>
              </a:solidFill>
            </a:rPr>
            <a:t>  1         2        3        4        5         6        7         8       9       10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0.51984</cdr:x>
      <cdr:y>0</cdr:y>
    </cdr:from>
    <cdr:to>
      <cdr:x>0.51984</cdr:x>
      <cdr:y>0.845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7511EFD0-0252-FF45-9593-C4293C3A8EAB}"/>
            </a:ext>
          </a:extLst>
        </cdr:cNvPr>
        <cdr:cNvCxnSpPr/>
      </cdr:nvCxnSpPr>
      <cdr:spPr>
        <a:xfrm xmlns:a="http://schemas.openxmlformats.org/drawingml/2006/main">
          <a:off x="3327400" y="0"/>
          <a:ext cx="0" cy="38633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0.15675</cdr:x>
      <cdr:y>0</cdr:y>
    </cdr:from>
    <cdr:to>
      <cdr:x>0.98313</cdr:x>
      <cdr:y>0.11111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ED15E34-8F69-E042-A79E-78C5BB7345AF}"/>
            </a:ext>
          </a:extLst>
        </cdr:cNvPr>
        <cdr:cNvSpPr txBox="1"/>
      </cdr:nvSpPr>
      <cdr:spPr>
        <a:xfrm xmlns:a="http://schemas.openxmlformats.org/drawingml/2006/main">
          <a:off x="1003300" y="0"/>
          <a:ext cx="5289550" cy="508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600">
              <a:solidFill>
                <a:schemeClr val="tx1"/>
              </a:solidFill>
            </a:rPr>
            <a:t>                 Baseline</a:t>
          </a:r>
          <a:r>
            <a:rPr lang="en-US" sz="1600" baseline="0">
              <a:solidFill>
                <a:schemeClr val="tx1"/>
              </a:solidFill>
            </a:rPr>
            <a:t>                                    Intervention</a:t>
          </a:r>
          <a:endParaRPr lang="en-US" sz="1600">
            <a:solidFill>
              <a:schemeClr val="tx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0.1159</cdr:x>
      <cdr:y>0.88889</cdr:y>
    </cdr:from>
    <cdr:to>
      <cdr:x>0.9624</cdr:x>
      <cdr:y>1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2113BA1A-FCF0-634A-95E3-DDCB33BBF67B}"/>
            </a:ext>
          </a:extLst>
        </cdr:cNvPr>
        <cdr:cNvSpPr txBox="1"/>
      </cdr:nvSpPr>
      <cdr:spPr>
        <a:xfrm xmlns:a="http://schemas.openxmlformats.org/drawingml/2006/main">
          <a:off x="768350" y="4064000"/>
          <a:ext cx="5611813" cy="508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>
              <a:solidFill>
                <a:schemeClr val="tx1"/>
              </a:solidFill>
            </a:rPr>
            <a:t>      Average per Session </a:t>
          </a:r>
          <a:r>
            <a:rPr lang="en-US" sz="1800" baseline="0">
              <a:solidFill>
                <a:schemeClr val="tx1"/>
              </a:solidFill>
            </a:rPr>
            <a:t>            Total in Condition</a:t>
          </a:r>
          <a:endParaRPr lang="en-US" sz="1800">
            <a:solidFill>
              <a:schemeClr val="tx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28</xdr:row>
      <xdr:rowOff>133350</xdr:rowOff>
    </xdr:from>
    <xdr:to>
      <xdr:col>5</xdr:col>
      <xdr:colOff>596900</xdr:colOff>
      <xdr:row>44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CAC648-A157-B157-7855-7596FF4AF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12</xdr:col>
      <xdr:colOff>457200</xdr:colOff>
      <xdr:row>43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D8F5B-7E59-5149-AD59-9F68D6F04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79375</xdr:rowOff>
    </xdr:from>
    <xdr:to>
      <xdr:col>5</xdr:col>
      <xdr:colOff>428625</xdr:colOff>
      <xdr:row>1</xdr:row>
      <xdr:rowOff>158750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9EA4FD9-88FF-B5B5-065A-0A03975C8D4B}"/>
            </a:ext>
          </a:extLst>
        </xdr:cNvPr>
        <xdr:cNvSpPr/>
      </xdr:nvSpPr>
      <xdr:spPr>
        <a:xfrm>
          <a:off x="3952875" y="79375"/>
          <a:ext cx="333375" cy="285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15</xdr:row>
      <xdr:rowOff>184150</xdr:rowOff>
    </xdr:from>
    <xdr:to>
      <xdr:col>5</xdr:col>
      <xdr:colOff>422275</xdr:colOff>
      <xdr:row>17</xdr:row>
      <xdr:rowOff>57150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6F15645-80B5-3B46-93D4-FC7FD1CD930E}"/>
            </a:ext>
          </a:extLst>
        </xdr:cNvPr>
        <xdr:cNvSpPr/>
      </xdr:nvSpPr>
      <xdr:spPr>
        <a:xfrm>
          <a:off x="3946525" y="3279775"/>
          <a:ext cx="333375" cy="285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98425</xdr:colOff>
      <xdr:row>31</xdr:row>
      <xdr:rowOff>114300</xdr:rowOff>
    </xdr:from>
    <xdr:to>
      <xdr:col>5</xdr:col>
      <xdr:colOff>431800</xdr:colOff>
      <xdr:row>32</xdr:row>
      <xdr:rowOff>193675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6C6DC8D-6657-1940-B8DF-D011CD533166}"/>
            </a:ext>
          </a:extLst>
        </xdr:cNvPr>
        <xdr:cNvSpPr/>
      </xdr:nvSpPr>
      <xdr:spPr>
        <a:xfrm>
          <a:off x="3956050" y="6511925"/>
          <a:ext cx="333375" cy="285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103717</xdr:colOff>
      <xdr:row>47</xdr:row>
      <xdr:rowOff>119591</xdr:rowOff>
    </xdr:from>
    <xdr:to>
      <xdr:col>5</xdr:col>
      <xdr:colOff>437092</xdr:colOff>
      <xdr:row>49</xdr:row>
      <xdr:rowOff>1411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694D2DE-2A0A-B748-B9D9-5D035CBC2C44}"/>
            </a:ext>
          </a:extLst>
        </xdr:cNvPr>
        <xdr:cNvSpPr/>
      </xdr:nvSpPr>
      <xdr:spPr>
        <a:xfrm>
          <a:off x="3956050" y="9404702"/>
          <a:ext cx="333375" cy="2769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726016</xdr:colOff>
      <xdr:row>0</xdr:row>
      <xdr:rowOff>0</xdr:rowOff>
    </xdr:from>
    <xdr:to>
      <xdr:col>18</xdr:col>
      <xdr:colOff>822479</xdr:colOff>
      <xdr:row>68</xdr:row>
      <xdr:rowOff>150102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B6F265EC-2A1A-AA86-991A-BCA666A4500A}"/>
            </a:ext>
          </a:extLst>
        </xdr:cNvPr>
        <xdr:cNvGrpSpPr/>
      </xdr:nvGrpSpPr>
      <xdr:grpSpPr>
        <a:xfrm>
          <a:off x="2990849" y="0"/>
          <a:ext cx="12584797" cy="14543435"/>
          <a:chOff x="3001433" y="0"/>
          <a:chExt cx="12620074" cy="1454343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1CE45C9-D990-EB50-0F6E-943A9576399E}"/>
              </a:ext>
            </a:extLst>
          </xdr:cNvPr>
          <xdr:cNvGraphicFramePr/>
        </xdr:nvGraphicFramePr>
        <xdr:xfrm>
          <a:off x="4127499" y="25400"/>
          <a:ext cx="5450416" cy="35581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A0EFF5D-57ED-6BBF-2BFB-BBA957FA43E1}"/>
              </a:ext>
            </a:extLst>
          </xdr:cNvPr>
          <xdr:cNvCxnSpPr/>
        </xdr:nvCxnSpPr>
        <xdr:spPr>
          <a:xfrm>
            <a:off x="8346723" y="772583"/>
            <a:ext cx="457200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31707FA-5316-324E-AEC7-5704A96ECDDC}"/>
              </a:ext>
            </a:extLst>
          </xdr:cNvPr>
          <xdr:cNvCxnSpPr/>
        </xdr:nvCxnSpPr>
        <xdr:spPr>
          <a:xfrm>
            <a:off x="8319206" y="3105149"/>
            <a:ext cx="457200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18CCCF4-089F-6E5F-E11F-E1C00D3DA0C7}"/>
              </a:ext>
            </a:extLst>
          </xdr:cNvPr>
          <xdr:cNvSpPr txBox="1"/>
        </xdr:nvSpPr>
        <xdr:spPr>
          <a:xfrm>
            <a:off x="8738307" y="554567"/>
            <a:ext cx="708376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Max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754B74E2-16FA-1B48-9362-77C0A83008B3}"/>
              </a:ext>
            </a:extLst>
          </xdr:cNvPr>
          <xdr:cNvSpPr txBox="1"/>
        </xdr:nvSpPr>
        <xdr:spPr>
          <a:xfrm>
            <a:off x="8731957" y="2876552"/>
            <a:ext cx="708376" cy="374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Min</a:t>
            </a:r>
          </a:p>
        </xdr:txBody>
      </xdr:sp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CC410E02-D793-E95D-FA7D-30AB084D6AAD}"/>
              </a:ext>
            </a:extLst>
          </xdr:cNvPr>
          <xdr:cNvGrpSpPr/>
        </xdr:nvGrpSpPr>
        <xdr:grpSpPr>
          <a:xfrm>
            <a:off x="10025951" y="0"/>
            <a:ext cx="5464528" cy="3558117"/>
            <a:chOff x="9461503" y="0"/>
            <a:chExt cx="5464528" cy="3558117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40A9C8-0A12-524B-B848-72CCF9EF6CBC}"/>
                </a:ext>
              </a:extLst>
            </xdr:cNvPr>
            <xdr:cNvGraphicFramePr>
              <a:graphicFrameLocks/>
            </xdr:cNvGraphicFramePr>
          </xdr:nvGraphicFramePr>
          <xdr:xfrm>
            <a:off x="9461503" y="0"/>
            <a:ext cx="5464528" cy="355811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74894220-5686-9C48-8F17-1DE9E38A98A7}"/>
                </a:ext>
              </a:extLst>
            </xdr:cNvPr>
            <xdr:cNvCxnSpPr/>
          </xdr:nvCxnSpPr>
          <xdr:spPr>
            <a:xfrm>
              <a:off x="11857572" y="533399"/>
              <a:ext cx="2113703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C3418FF1-960F-104B-9FCD-81A3C5097832}"/>
                </a:ext>
              </a:extLst>
            </xdr:cNvPr>
            <xdr:cNvCxnSpPr/>
          </xdr:nvCxnSpPr>
          <xdr:spPr>
            <a:xfrm>
              <a:off x="10926947" y="2633131"/>
              <a:ext cx="3123071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D2A4EB1-4B15-4B4F-B849-AEA3821E0A29}"/>
                </a:ext>
              </a:extLst>
            </xdr:cNvPr>
            <xdr:cNvSpPr txBox="1"/>
          </xdr:nvSpPr>
          <xdr:spPr>
            <a:xfrm>
              <a:off x="13907210" y="315385"/>
              <a:ext cx="708377" cy="37464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Max</a:t>
              </a:r>
            </a:p>
          </xdr:txBody>
        </xdr: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6F7FB5F-7C4C-F34D-9635-904D99C322DD}"/>
                </a:ext>
              </a:extLst>
            </xdr:cNvPr>
            <xdr:cNvSpPr txBox="1"/>
          </xdr:nvSpPr>
          <xdr:spPr>
            <a:xfrm>
              <a:off x="13964364" y="2415115"/>
              <a:ext cx="708377" cy="374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Min</a:t>
              </a:r>
            </a:p>
          </xdr:txBody>
        </xdr:sp>
      </xdr:grpSp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273532E1-CFF9-8F46-BB8A-3F0537DA2373}"/>
              </a:ext>
            </a:extLst>
          </xdr:cNvPr>
          <xdr:cNvGraphicFramePr>
            <a:graphicFrameLocks/>
          </xdr:cNvGraphicFramePr>
        </xdr:nvGraphicFramePr>
        <xdr:xfrm>
          <a:off x="4127500" y="3316821"/>
          <a:ext cx="5450416" cy="35686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9DE891F3-39FA-AB44-AB46-DB8D1FB08C55}"/>
              </a:ext>
            </a:extLst>
          </xdr:cNvPr>
          <xdr:cNvGraphicFramePr>
            <a:graphicFrameLocks/>
          </xdr:cNvGraphicFramePr>
        </xdr:nvGraphicFramePr>
        <xdr:xfrm>
          <a:off x="4127496" y="6639987"/>
          <a:ext cx="5450416" cy="35686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71579412-CFBA-2F43-B4F1-7D26E7370A69}"/>
              </a:ext>
            </a:extLst>
          </xdr:cNvPr>
          <xdr:cNvCxnSpPr/>
        </xdr:nvCxnSpPr>
        <xdr:spPr>
          <a:xfrm>
            <a:off x="8350957" y="4078816"/>
            <a:ext cx="457200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25CB40CA-8C23-BB45-98A1-56331D678D6F}"/>
              </a:ext>
            </a:extLst>
          </xdr:cNvPr>
          <xdr:cNvCxnSpPr/>
        </xdr:nvCxnSpPr>
        <xdr:spPr>
          <a:xfrm>
            <a:off x="8323440" y="6411382"/>
            <a:ext cx="457200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881EFDD-E538-DB4F-B94A-1EDA2BBE7E5A}"/>
              </a:ext>
            </a:extLst>
          </xdr:cNvPr>
          <xdr:cNvSpPr txBox="1"/>
        </xdr:nvSpPr>
        <xdr:spPr>
          <a:xfrm>
            <a:off x="8774289" y="5039781"/>
            <a:ext cx="91419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Range</a:t>
            </a:r>
          </a:p>
        </xdr:txBody>
      </xdr: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826DB946-D3D7-BF47-8D44-A1F131DA005C}"/>
              </a:ext>
            </a:extLst>
          </xdr:cNvPr>
          <xdr:cNvCxnSpPr/>
        </xdr:nvCxnSpPr>
        <xdr:spPr>
          <a:xfrm flipV="1">
            <a:off x="8791222" y="4085168"/>
            <a:ext cx="10584" cy="2317749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2ADC1EBA-54F2-A798-A3F1-9772F7CE2C05}"/>
              </a:ext>
            </a:extLst>
          </xdr:cNvPr>
          <xdr:cNvGrpSpPr/>
        </xdr:nvGrpSpPr>
        <xdr:grpSpPr>
          <a:xfrm>
            <a:off x="10025952" y="3302004"/>
            <a:ext cx="5473486" cy="3568699"/>
            <a:chOff x="9461504" y="3302004"/>
            <a:chExt cx="5473486" cy="3568699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3D5C39DC-A40C-3B4D-9AE0-FF719185E604}"/>
                </a:ext>
              </a:extLst>
            </xdr:cNvPr>
            <xdr:cNvGraphicFramePr>
              <a:graphicFrameLocks/>
            </xdr:cNvGraphicFramePr>
          </xdr:nvGraphicFramePr>
          <xdr:xfrm>
            <a:off x="9461504" y="3302004"/>
            <a:ext cx="5464528" cy="35686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C9DC6CDB-82A9-D448-A151-4597AC4FDD10}"/>
                </a:ext>
              </a:extLst>
            </xdr:cNvPr>
            <xdr:cNvCxnSpPr/>
          </xdr:nvCxnSpPr>
          <xdr:spPr>
            <a:xfrm>
              <a:off x="11851223" y="3839634"/>
              <a:ext cx="2159423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E1C37FA6-FF82-4A47-A92A-A0C39C6931AB}"/>
                </a:ext>
              </a:extLst>
            </xdr:cNvPr>
            <xdr:cNvCxnSpPr/>
          </xdr:nvCxnSpPr>
          <xdr:spPr>
            <a:xfrm>
              <a:off x="10931181" y="5949949"/>
              <a:ext cx="3123071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EB7A99E0-DFD2-0A42-B33B-A9A204A39C70}"/>
                </a:ext>
              </a:extLst>
            </xdr:cNvPr>
            <xdr:cNvSpPr txBox="1"/>
          </xdr:nvSpPr>
          <xdr:spPr>
            <a:xfrm>
              <a:off x="14020799" y="4663018"/>
              <a:ext cx="914191" cy="36357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Range</a:t>
              </a:r>
            </a:p>
          </xdr:txBody>
        </xdr: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FD950098-B51C-4F45-A802-17AE73780D67}"/>
                </a:ext>
              </a:extLst>
            </xdr:cNvPr>
            <xdr:cNvCxnSpPr/>
          </xdr:nvCxnSpPr>
          <xdr:spPr>
            <a:xfrm flipV="1">
              <a:off x="14037731" y="3824816"/>
              <a:ext cx="0" cy="2117514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C4F4850-9379-464E-A7B2-BBF5BFAD7EE9}"/>
              </a:ext>
            </a:extLst>
          </xdr:cNvPr>
          <xdr:cNvCxnSpPr/>
        </xdr:nvCxnSpPr>
        <xdr:spPr>
          <a:xfrm>
            <a:off x="4538147" y="8115282"/>
            <a:ext cx="4259016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6EB442BC-0E6A-144C-957F-B9D13CB5A549}"/>
              </a:ext>
            </a:extLst>
          </xdr:cNvPr>
          <xdr:cNvSpPr txBox="1"/>
        </xdr:nvSpPr>
        <xdr:spPr>
          <a:xfrm>
            <a:off x="8767944" y="8631750"/>
            <a:ext cx="914190" cy="374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IQR</a:t>
            </a:r>
          </a:p>
        </xdr:txBody>
      </xdr: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9577F8EE-9445-8846-A3F2-CF8B0F896653}"/>
              </a:ext>
            </a:extLst>
          </xdr:cNvPr>
          <xdr:cNvCxnSpPr/>
        </xdr:nvCxnSpPr>
        <xdr:spPr>
          <a:xfrm flipV="1">
            <a:off x="8795460" y="8121638"/>
            <a:ext cx="0" cy="1361948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11655718-326A-1049-A8E0-2B20E1ED0C3C}"/>
              </a:ext>
            </a:extLst>
          </xdr:cNvPr>
          <xdr:cNvCxnSpPr/>
        </xdr:nvCxnSpPr>
        <xdr:spPr>
          <a:xfrm>
            <a:off x="4531797" y="9495345"/>
            <a:ext cx="4259016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0" name="Group 79">
            <a:extLst>
              <a:ext uri="{FF2B5EF4-FFF2-40B4-BE49-F238E27FC236}">
                <a16:creationId xmlns:a16="http://schemas.microsoft.com/office/drawing/2014/main" id="{831497BF-5C33-6403-4BD1-C5199B93024A}"/>
              </a:ext>
            </a:extLst>
          </xdr:cNvPr>
          <xdr:cNvGrpSpPr/>
        </xdr:nvGrpSpPr>
        <xdr:grpSpPr>
          <a:xfrm>
            <a:off x="10025948" y="6625170"/>
            <a:ext cx="5492545" cy="3568699"/>
            <a:chOff x="9461500" y="6625170"/>
            <a:chExt cx="5492545" cy="3568699"/>
          </a:xfrm>
        </xdr:grpSpPr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8DC5099D-2200-E44F-8123-258BFCACA065}"/>
                </a:ext>
              </a:extLst>
            </xdr:cNvPr>
            <xdr:cNvGraphicFramePr>
              <a:graphicFrameLocks/>
            </xdr:cNvGraphicFramePr>
          </xdr:nvGraphicFramePr>
          <xdr:xfrm>
            <a:off x="9461500" y="6625170"/>
            <a:ext cx="5464528" cy="35686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62335A9-E294-7A41-84FB-9C9EC716DEF7}"/>
                </a:ext>
              </a:extLst>
            </xdr:cNvPr>
            <xdr:cNvSpPr txBox="1"/>
          </xdr:nvSpPr>
          <xdr:spPr>
            <a:xfrm>
              <a:off x="14039854" y="8633875"/>
              <a:ext cx="914191" cy="37203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IQR</a:t>
              </a:r>
            </a:p>
          </xdr:txBody>
        </xdr: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5D953F13-D43F-C042-A6D2-F081D4C655B1}"/>
                </a:ext>
              </a:extLst>
            </xdr:cNvPr>
            <xdr:cNvCxnSpPr/>
          </xdr:nvCxnSpPr>
          <xdr:spPr>
            <a:xfrm>
              <a:off x="9879898" y="8691010"/>
              <a:ext cx="4159871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9ADEEC7C-162F-FB4B-9295-B93AC3366428}"/>
                </a:ext>
              </a:extLst>
            </xdr:cNvPr>
            <xdr:cNvCxnSpPr/>
          </xdr:nvCxnSpPr>
          <xdr:spPr>
            <a:xfrm flipV="1">
              <a:off x="14063130" y="8686791"/>
              <a:ext cx="0" cy="303192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>
              <a:extLst>
                <a:ext uri="{FF2B5EF4-FFF2-40B4-BE49-F238E27FC236}">
                  <a16:creationId xmlns:a16="http://schemas.microsoft.com/office/drawing/2014/main" id="{EEC6ECA0-A0D7-F44E-9E11-75B33F414D86}"/>
                </a:ext>
              </a:extLst>
            </xdr:cNvPr>
            <xdr:cNvCxnSpPr/>
          </xdr:nvCxnSpPr>
          <xdr:spPr>
            <a:xfrm>
              <a:off x="9873548" y="9012759"/>
              <a:ext cx="4159871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1545B180-2090-2C40-A3EF-B15BAED4CCA9}"/>
              </a:ext>
            </a:extLst>
          </xdr:cNvPr>
          <xdr:cNvSpPr txBox="1"/>
        </xdr:nvSpPr>
        <xdr:spPr>
          <a:xfrm rot="16200000">
            <a:off x="344487" y="4281487"/>
            <a:ext cx="6297083" cy="9831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4800"/>
              <a:t>Responses per Min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9F9B78B3-358B-5B4C-935A-428583C80005}"/>
              </a:ext>
            </a:extLst>
          </xdr:cNvPr>
          <xdr:cNvSpPr txBox="1"/>
        </xdr:nvSpPr>
        <xdr:spPr>
          <a:xfrm>
            <a:off x="6243637" y="13526729"/>
            <a:ext cx="6152444" cy="10167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4800"/>
              <a:t>Session</a:t>
            </a:r>
          </a:p>
        </xdr:txBody>
      </xdr:sp>
      <xdr:graphicFrame macro="">
        <xdr:nvGraphicFramePr>
          <xdr:cNvPr id="57" name="Chart 56">
            <a:extLst>
              <a:ext uri="{FF2B5EF4-FFF2-40B4-BE49-F238E27FC236}">
                <a16:creationId xmlns:a16="http://schemas.microsoft.com/office/drawing/2014/main" id="{7CD10E99-D963-5C41-8478-B96AA3C4C8CB}"/>
              </a:ext>
            </a:extLst>
          </xdr:cNvPr>
          <xdr:cNvGraphicFramePr>
            <a:graphicFrameLocks/>
          </xdr:cNvGraphicFramePr>
        </xdr:nvGraphicFramePr>
        <xdr:xfrm>
          <a:off x="4123971" y="10047821"/>
          <a:ext cx="5450416" cy="3568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F4E8C6E3-6CA8-BB45-9EEC-03ECA9FB1450}"/>
              </a:ext>
            </a:extLst>
          </xdr:cNvPr>
          <xdr:cNvCxnSpPr/>
        </xdr:nvCxnSpPr>
        <xdr:spPr>
          <a:xfrm>
            <a:off x="4527564" y="11452556"/>
            <a:ext cx="4259016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19A96AD9-FE5F-EE48-AE6C-7A1E4FC532B2}"/>
              </a:ext>
            </a:extLst>
          </xdr:cNvPr>
          <xdr:cNvSpPr txBox="1"/>
        </xdr:nvSpPr>
        <xdr:spPr>
          <a:xfrm>
            <a:off x="8785583" y="11969023"/>
            <a:ext cx="914190" cy="3746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Mean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3852A2A8-7BBD-9745-B2FF-E4A7B430193D}"/>
              </a:ext>
            </a:extLst>
          </xdr:cNvPr>
          <xdr:cNvCxnSpPr/>
        </xdr:nvCxnSpPr>
        <xdr:spPr>
          <a:xfrm flipV="1">
            <a:off x="8798988" y="11473022"/>
            <a:ext cx="0" cy="1488666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C74047C8-39DC-DF41-A661-3FFD2063F252}"/>
              </a:ext>
            </a:extLst>
          </xdr:cNvPr>
          <xdr:cNvCxnSpPr/>
        </xdr:nvCxnSpPr>
        <xdr:spPr>
          <a:xfrm>
            <a:off x="4521214" y="12987840"/>
            <a:ext cx="4259016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259140F7-D111-4A46-A439-DE8AD8E84C6D}"/>
              </a:ext>
            </a:extLst>
          </xdr:cNvPr>
          <xdr:cNvCxnSpPr/>
        </xdr:nvCxnSpPr>
        <xdr:spPr>
          <a:xfrm>
            <a:off x="4538854" y="12211729"/>
            <a:ext cx="4263192" cy="0"/>
          </a:xfrm>
          <a:prstGeom prst="line">
            <a:avLst/>
          </a:prstGeom>
          <a:ln w="1905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292631C-488A-6747-8501-900CF933BFF3}"/>
              </a:ext>
            </a:extLst>
          </xdr:cNvPr>
          <xdr:cNvSpPr txBox="1"/>
        </xdr:nvSpPr>
        <xdr:spPr>
          <a:xfrm>
            <a:off x="8782761" y="11246534"/>
            <a:ext cx="914190" cy="3605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+1 STD</a:t>
            </a:r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54C822FB-21D4-7646-B82F-2DE868F2A61A}"/>
              </a:ext>
            </a:extLst>
          </xdr:cNvPr>
          <xdr:cNvSpPr txBox="1"/>
        </xdr:nvSpPr>
        <xdr:spPr>
          <a:xfrm>
            <a:off x="8794051" y="12739488"/>
            <a:ext cx="914190" cy="3605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-1 STD</a:t>
            </a:r>
          </a:p>
        </xdr:txBody>
      </xdr:sp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0A1CE109-0692-7E36-712A-11AE93F8D132}"/>
              </a:ext>
            </a:extLst>
          </xdr:cNvPr>
          <xdr:cNvGrpSpPr/>
        </xdr:nvGrpSpPr>
        <xdr:grpSpPr>
          <a:xfrm>
            <a:off x="10022423" y="10033004"/>
            <a:ext cx="5599084" cy="3568700"/>
            <a:chOff x="9457975" y="10033004"/>
            <a:chExt cx="5599084" cy="3568700"/>
          </a:xfrm>
        </xdr:grpSpPr>
        <xdr:graphicFrame macro="">
          <xdr:nvGraphicFramePr>
            <xdr:cNvPr id="58" name="Chart 57">
              <a:extLst>
                <a:ext uri="{FF2B5EF4-FFF2-40B4-BE49-F238E27FC236}">
                  <a16:creationId xmlns:a16="http://schemas.microsoft.com/office/drawing/2014/main" id="{5F36DC0F-C622-AA4C-9FCC-AE18A35E1CFC}"/>
                </a:ext>
              </a:extLst>
            </xdr:cNvPr>
            <xdr:cNvGraphicFramePr>
              <a:graphicFrameLocks/>
            </xdr:cNvGraphicFramePr>
          </xdr:nvGraphicFramePr>
          <xdr:xfrm>
            <a:off x="9457975" y="10033004"/>
            <a:ext cx="5464528" cy="35687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cxnSp macro="">
          <xdr:nvCxnSpPr>
            <xdr:cNvPr id="71" name="Straight Connector 70">
              <a:extLst>
                <a:ext uri="{FF2B5EF4-FFF2-40B4-BE49-F238E27FC236}">
                  <a16:creationId xmlns:a16="http://schemas.microsoft.com/office/drawing/2014/main" id="{A6F81356-B437-E24D-8523-927656AF043F}"/>
                </a:ext>
              </a:extLst>
            </xdr:cNvPr>
            <xdr:cNvCxnSpPr/>
          </xdr:nvCxnSpPr>
          <xdr:spPr>
            <a:xfrm>
              <a:off x="9858742" y="11604956"/>
              <a:ext cx="4248434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7B7CCEC3-A991-864B-8003-E829FAB0F721}"/>
                </a:ext>
              </a:extLst>
            </xdr:cNvPr>
            <xdr:cNvSpPr txBox="1"/>
          </xdr:nvSpPr>
          <xdr:spPr>
            <a:xfrm>
              <a:off x="14106175" y="11867425"/>
              <a:ext cx="914190" cy="3605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Mean</a:t>
              </a:r>
            </a:p>
          </xdr:txBody>
        </xdr: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8FA1E93E-AE0B-C34A-8D0F-7F3D48071493}"/>
                </a:ext>
              </a:extLst>
            </xdr:cNvPr>
            <xdr:cNvCxnSpPr/>
          </xdr:nvCxnSpPr>
          <xdr:spPr>
            <a:xfrm flipV="1">
              <a:off x="14119580" y="11653644"/>
              <a:ext cx="0" cy="879404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D55FF75A-CC83-B24C-9CB4-80FD6A40FCD1}"/>
                </a:ext>
              </a:extLst>
            </xdr:cNvPr>
            <xdr:cNvCxnSpPr/>
          </xdr:nvCxnSpPr>
          <xdr:spPr>
            <a:xfrm>
              <a:off x="9867914" y="12575799"/>
              <a:ext cx="4261134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>
              <a:extLst>
                <a:ext uri="{FF2B5EF4-FFF2-40B4-BE49-F238E27FC236}">
                  <a16:creationId xmlns:a16="http://schemas.microsoft.com/office/drawing/2014/main" id="{0740269E-5BFC-6F40-9966-93395F46CE1C}"/>
                </a:ext>
              </a:extLst>
            </xdr:cNvPr>
            <xdr:cNvCxnSpPr/>
          </xdr:nvCxnSpPr>
          <xdr:spPr>
            <a:xfrm>
              <a:off x="9870028" y="12110131"/>
              <a:ext cx="4252610" cy="0"/>
            </a:xfrm>
            <a:prstGeom prst="line">
              <a:avLst/>
            </a:prstGeom>
            <a:ln w="19050">
              <a:solidFill>
                <a:schemeClr val="tx1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8472AB9D-30A2-934F-AD0A-1E478D4A39C8}"/>
                </a:ext>
              </a:extLst>
            </xdr:cNvPr>
            <xdr:cNvSpPr txBox="1"/>
          </xdr:nvSpPr>
          <xdr:spPr>
            <a:xfrm>
              <a:off x="14103357" y="11398934"/>
              <a:ext cx="914190" cy="37464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+1 STD</a:t>
              </a: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B6159379-0DCB-1D47-96BB-3AEC4CB2BB25}"/>
                </a:ext>
              </a:extLst>
            </xdr:cNvPr>
            <xdr:cNvSpPr txBox="1"/>
          </xdr:nvSpPr>
          <xdr:spPr>
            <a:xfrm>
              <a:off x="14142869" y="12327448"/>
              <a:ext cx="914190" cy="37464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/>
                <a:t>-1 STD</a:t>
              </a:r>
            </a:p>
          </xdr:txBody>
        </xdr:sp>
      </xdr:grp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5F6FD4E7-E855-D84D-962E-9F9778F2C901}"/>
              </a:ext>
            </a:extLst>
          </xdr:cNvPr>
          <xdr:cNvSpPr/>
        </xdr:nvSpPr>
        <xdr:spPr>
          <a:xfrm>
            <a:off x="10003014" y="79375"/>
            <a:ext cx="333375" cy="29104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17844830-1AFB-1F49-9966-3AE1FA0F44FD}"/>
              </a:ext>
            </a:extLst>
          </xdr:cNvPr>
          <xdr:cNvSpPr/>
        </xdr:nvSpPr>
        <xdr:spPr>
          <a:xfrm>
            <a:off x="9996664" y="3359150"/>
            <a:ext cx="333375" cy="29633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CD2ED39-8B8C-104A-87A1-56800D31BBC2}"/>
              </a:ext>
            </a:extLst>
          </xdr:cNvPr>
          <xdr:cNvSpPr/>
        </xdr:nvSpPr>
        <xdr:spPr>
          <a:xfrm>
            <a:off x="10006189" y="6675967"/>
            <a:ext cx="333375" cy="29104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9A4F59C2-75D9-9543-97C6-8217B24CE5A8}"/>
              </a:ext>
            </a:extLst>
          </xdr:cNvPr>
          <xdr:cNvSpPr/>
        </xdr:nvSpPr>
        <xdr:spPr>
          <a:xfrm>
            <a:off x="10011481" y="10067924"/>
            <a:ext cx="333375" cy="3051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</xdr:row>
      <xdr:rowOff>120650</xdr:rowOff>
    </xdr:from>
    <xdr:to>
      <xdr:col>9</xdr:col>
      <xdr:colOff>736600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A1502-F7EA-E12B-0606-9DED08205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127000</xdr:colOff>
      <xdr:row>16</xdr:row>
      <xdr:rowOff>0</xdr:rowOff>
    </xdr:from>
    <xdr:to>
      <xdr:col>10</xdr:col>
      <xdr:colOff>165100</xdr:colOff>
      <xdr:row>17</xdr:row>
      <xdr:rowOff>127000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764C67-8819-ECEF-37FD-789ADA8776FB}"/>
                </a:ext>
              </a:extLst>
            </xdr:cNvPr>
            <xdr:cNvSpPr txBox="1"/>
          </xdr:nvSpPr>
          <xdr:spPr>
            <a:xfrm>
              <a:off x="3987800" y="3314700"/>
              <a:ext cx="5816600" cy="393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-4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 -3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 -2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</a:t>
              </a:r>
              <a:r>
                <a:rPr lang="en-US" sz="1100" baseline="0"/>
                <a:t> </a:t>
              </a:r>
              <a:r>
                <a:rPr lang="en-US" sz="1600"/>
                <a:t>-1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 0           </a:t>
              </a:r>
              <a:r>
                <a:rPr lang="en-US" sz="1400"/>
                <a:t> </a:t>
              </a:r>
              <a:r>
                <a:rPr lang="en-US" sz="1600"/>
                <a:t>1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  2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  3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600"/>
                <a:t>         4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764C67-8819-ECEF-37FD-789ADA8776FB}"/>
                </a:ext>
              </a:extLst>
            </xdr:cNvPr>
            <xdr:cNvSpPr txBox="1"/>
          </xdr:nvSpPr>
          <xdr:spPr>
            <a:xfrm>
              <a:off x="3987800" y="3314700"/>
              <a:ext cx="5816600" cy="393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-4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 -3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 -2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</a:t>
              </a:r>
              <a:r>
                <a:rPr lang="en-US" sz="1100" baseline="0"/>
                <a:t> </a:t>
              </a:r>
              <a:r>
                <a:rPr lang="en-US" sz="1600"/>
                <a:t>-1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 0           </a:t>
              </a:r>
              <a:r>
                <a:rPr lang="en-US" sz="1400"/>
                <a:t> </a:t>
              </a:r>
              <a:r>
                <a:rPr lang="en-US" sz="1600"/>
                <a:t>1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  2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  3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/>
                <a:t>         4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3</xdr:col>
      <xdr:colOff>787400</xdr:colOff>
      <xdr:row>17</xdr:row>
      <xdr:rowOff>0</xdr:rowOff>
    </xdr:from>
    <xdr:to>
      <xdr:col>11</xdr:col>
      <xdr:colOff>0</xdr:colOff>
      <xdr:row>18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9004996-0ED9-0945-AFCD-E630C54DE230}"/>
            </a:ext>
          </a:extLst>
        </xdr:cNvPr>
        <xdr:cNvSpPr txBox="1"/>
      </xdr:nvSpPr>
      <xdr:spPr>
        <a:xfrm>
          <a:off x="4648200" y="3581400"/>
          <a:ext cx="58166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0.1%       2.3%      15.9%     50%         84.1%    97.7%     99.9%</a:t>
          </a:r>
        </a:p>
      </xdr:txBody>
    </xdr:sp>
    <xdr:clientData/>
  </xdr:twoCellAnchor>
  <xdr:twoCellAnchor>
    <xdr:from>
      <xdr:col>5</xdr:col>
      <xdr:colOff>330200</xdr:colOff>
      <xdr:row>0</xdr:row>
      <xdr:rowOff>177800</xdr:rowOff>
    </xdr:from>
    <xdr:to>
      <xdr:col>7</xdr:col>
      <xdr:colOff>457200</xdr:colOff>
      <xdr:row>5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2A5C4A-28C6-7B4F-B08F-1411BFFF46F8}"/>
            </a:ext>
          </a:extLst>
        </xdr:cNvPr>
        <xdr:cNvSpPr txBox="1"/>
      </xdr:nvSpPr>
      <xdr:spPr>
        <a:xfrm>
          <a:off x="5842000" y="177800"/>
          <a:ext cx="17780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Arithmetic </a:t>
          </a:r>
        </a:p>
        <a:p>
          <a:pPr algn="ctr"/>
          <a:r>
            <a:rPr lang="en-US" sz="1400"/>
            <a:t>Mean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730250</xdr:colOff>
      <xdr:row>2</xdr:row>
      <xdr:rowOff>120650</xdr:rowOff>
    </xdr:from>
    <xdr:to>
      <xdr:col>13</xdr:col>
      <xdr:colOff>387350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4813B-DD41-FD46-D2E1-C734C5950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431800</xdr:colOff>
      <xdr:row>2</xdr:row>
      <xdr:rowOff>101600</xdr:rowOff>
    </xdr:from>
    <xdr:to>
      <xdr:col>18</xdr:col>
      <xdr:colOff>88900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1ED20-AE81-ED49-BA80-71FD27E0A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381000</xdr:colOff>
      <xdr:row>16</xdr:row>
      <xdr:rowOff>0</xdr:rowOff>
    </xdr:from>
    <xdr:to>
      <xdr:col>13</xdr:col>
      <xdr:colOff>190500</xdr:colOff>
      <xdr:row>18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6C9FCE-8017-56D7-6262-6455FB5EED13}"/>
            </a:ext>
          </a:extLst>
        </xdr:cNvPr>
        <xdr:cNvSpPr txBox="1"/>
      </xdr:nvSpPr>
      <xdr:spPr>
        <a:xfrm>
          <a:off x="9169400" y="3251200"/>
          <a:ext cx="2286000" cy="4445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Height (inches)</a:t>
          </a:r>
        </a:p>
      </xdr:txBody>
    </xdr:sp>
    <xdr:clientData/>
  </xdr:twoCellAnchor>
  <xdr:twoCellAnchor>
    <xdr:from>
      <xdr:col>9</xdr:col>
      <xdr:colOff>266700</xdr:colOff>
      <xdr:row>3</xdr:row>
      <xdr:rowOff>25400</xdr:rowOff>
    </xdr:from>
    <xdr:to>
      <xdr:col>9</xdr:col>
      <xdr:colOff>769908</xdr:colOff>
      <xdr:row>14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DE56D0-9B40-554A-9650-0A1A26317FE7}"/>
            </a:ext>
          </a:extLst>
        </xdr:cNvPr>
        <xdr:cNvSpPr txBox="1"/>
      </xdr:nvSpPr>
      <xdr:spPr>
        <a:xfrm rot="16200000">
          <a:off x="7331854" y="1532746"/>
          <a:ext cx="2298700" cy="503208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Weight (pounds)</a:t>
          </a:r>
        </a:p>
      </xdr:txBody>
    </xdr:sp>
    <xdr:clientData/>
  </xdr:twoCellAnchor>
  <xdr:twoCellAnchor>
    <xdr:from>
      <xdr:col>14</xdr:col>
      <xdr:colOff>787400</xdr:colOff>
      <xdr:row>16</xdr:row>
      <xdr:rowOff>0</xdr:rowOff>
    </xdr:from>
    <xdr:to>
      <xdr:col>17</xdr:col>
      <xdr:colOff>596900</xdr:colOff>
      <xdr:row>18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1F68BC-B0FD-FA70-1E92-0C440C0A2C75}"/>
            </a:ext>
          </a:extLst>
        </xdr:cNvPr>
        <xdr:cNvSpPr txBox="1"/>
      </xdr:nvSpPr>
      <xdr:spPr>
        <a:xfrm>
          <a:off x="12877800" y="3251200"/>
          <a:ext cx="2286000" cy="4445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Altitude (feet)</a:t>
          </a:r>
        </a:p>
      </xdr:txBody>
    </xdr:sp>
    <xdr:clientData/>
  </xdr:twoCellAnchor>
  <xdr:twoCellAnchor>
    <xdr:from>
      <xdr:col>13</xdr:col>
      <xdr:colOff>749300</xdr:colOff>
      <xdr:row>3</xdr:row>
      <xdr:rowOff>25400</xdr:rowOff>
    </xdr:from>
    <xdr:to>
      <xdr:col>14</xdr:col>
      <xdr:colOff>368300</xdr:colOff>
      <xdr:row>14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269377B-526A-D3C3-BF9F-7AF98ECB622C}"/>
            </a:ext>
          </a:extLst>
        </xdr:cNvPr>
        <xdr:cNvSpPr txBox="1"/>
      </xdr:nvSpPr>
      <xdr:spPr>
        <a:xfrm rot="16200000">
          <a:off x="11087100" y="1562100"/>
          <a:ext cx="2298700" cy="4445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u="none">
              <a:latin typeface="+mn-lt"/>
            </a:rPr>
            <a:t>Temperature (℉)</a:t>
          </a:r>
        </a:p>
      </xdr:txBody>
    </xdr:sp>
    <xdr:clientData/>
  </xdr:twoCellAnchor>
  <xdr:twoCellAnchor>
    <xdr:from>
      <xdr:col>9</xdr:col>
      <xdr:colOff>717550</xdr:colOff>
      <xdr:row>19</xdr:row>
      <xdr:rowOff>171450</xdr:rowOff>
    </xdr:from>
    <xdr:to>
      <xdr:col>13</xdr:col>
      <xdr:colOff>374650</xdr:colOff>
      <xdr:row>33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4C8121-26BB-3140-8605-EBA17F527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419100</xdr:colOff>
      <xdr:row>19</xdr:row>
      <xdr:rowOff>152400</xdr:rowOff>
    </xdr:from>
    <xdr:to>
      <xdr:col>18</xdr:col>
      <xdr:colOff>76200</xdr:colOff>
      <xdr:row>33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FD845B-03DD-F941-AE29-A6E4291F7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279400</xdr:colOff>
      <xdr:row>33</xdr:row>
      <xdr:rowOff>50800</xdr:rowOff>
    </xdr:from>
    <xdr:to>
      <xdr:col>13</xdr:col>
      <xdr:colOff>304560</xdr:colOff>
      <xdr:row>35</xdr:row>
      <xdr:rowOff>88900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7208E01-CB21-7F4B-84B4-2B3660984F68}"/>
            </a:ext>
          </a:extLst>
        </xdr:cNvPr>
        <xdr:cNvSpPr txBox="1"/>
      </xdr:nvSpPr>
      <xdr:spPr>
        <a:xfrm>
          <a:off x="9067800" y="6756400"/>
          <a:ext cx="2501660" cy="4445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Reinforcer Amount</a:t>
          </a:r>
        </a:p>
      </xdr:txBody>
    </xdr:sp>
    <xdr:clientData/>
  </xdr:twoCellAnchor>
  <xdr:twoCellAnchor>
    <xdr:from>
      <xdr:col>9</xdr:col>
      <xdr:colOff>254000</xdr:colOff>
      <xdr:row>20</xdr:row>
      <xdr:rowOff>76200</xdr:rowOff>
    </xdr:from>
    <xdr:to>
      <xdr:col>9</xdr:col>
      <xdr:colOff>698500</xdr:colOff>
      <xdr:row>31</xdr:row>
      <xdr:rowOff>139700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C88CEDE-B5DC-EA4C-82CA-F2EA7F080DE5}"/>
            </a:ext>
          </a:extLst>
        </xdr:cNvPr>
        <xdr:cNvSpPr txBox="1"/>
      </xdr:nvSpPr>
      <xdr:spPr>
        <a:xfrm rot="16200000">
          <a:off x="7289800" y="5067300"/>
          <a:ext cx="2298700" cy="4445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Response Rate</a:t>
          </a:r>
        </a:p>
      </xdr:txBody>
    </xdr:sp>
    <xdr:clientData/>
  </xdr:twoCellAnchor>
  <xdr:twoCellAnchor>
    <xdr:from>
      <xdr:col>14</xdr:col>
      <xdr:colOff>596900</xdr:colOff>
      <xdr:row>33</xdr:row>
      <xdr:rowOff>50800</xdr:rowOff>
    </xdr:from>
    <xdr:to>
      <xdr:col>17</xdr:col>
      <xdr:colOff>808966</xdr:colOff>
      <xdr:row>35</xdr:row>
      <xdr:rowOff>88900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A375BB1-727E-7B45-AE61-571ABE6681B8}"/>
            </a:ext>
          </a:extLst>
        </xdr:cNvPr>
        <xdr:cNvSpPr txBox="1"/>
      </xdr:nvSpPr>
      <xdr:spPr>
        <a:xfrm>
          <a:off x="12687300" y="6756400"/>
          <a:ext cx="2688566" cy="4445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mgm Pentobarbital</a:t>
          </a:r>
        </a:p>
      </xdr:txBody>
    </xdr:sp>
    <xdr:clientData/>
  </xdr:twoCellAnchor>
  <xdr:twoCellAnchor>
    <xdr:from>
      <xdr:col>13</xdr:col>
      <xdr:colOff>673100</xdr:colOff>
      <xdr:row>20</xdr:row>
      <xdr:rowOff>38100</xdr:rowOff>
    </xdr:from>
    <xdr:to>
      <xdr:col>14</xdr:col>
      <xdr:colOff>419100</xdr:colOff>
      <xdr:row>33</xdr:row>
      <xdr:rowOff>143374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4A7711E-83A0-0141-A7B0-7A51AA96A18A}"/>
                </a:ext>
              </a:extLst>
            </xdr:cNvPr>
            <xdr:cNvSpPr txBox="1"/>
          </xdr:nvSpPr>
          <xdr:spPr>
            <a:xfrm rot="16200000">
              <a:off x="10850313" y="5189787"/>
              <a:ext cx="2746874" cy="571500"/>
            </a:xfrm>
            <a:prstGeom prst="rect">
              <a:avLst/>
            </a:prstGeom>
            <a:noFill/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i="1" u="none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Response</m:t>
                        </m:r>
                        <m:r>
                          <a:rPr lang="en-US" sz="1600" b="0" i="0" u="none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Rate</m:t>
                        </m:r>
                        <m:r>
                          <a:rPr lang="en-US" sz="1600" b="0" i="0" u="none">
                            <a:latin typeface="Cambria Math" panose="02040503050406030204" pitchFamily="18" charset="0"/>
                          </a:rPr>
                          <m:t>  </m:t>
                        </m:r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After</m:t>
                        </m:r>
                        <m:r>
                          <a:rPr lang="en-US" sz="1600" b="0" i="0" u="none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Drug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Response</m:t>
                        </m:r>
                        <m:r>
                          <a:rPr lang="en-US" sz="1600" b="0" i="0" u="none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Rate</m:t>
                        </m:r>
                        <m:r>
                          <a:rPr lang="en-US" sz="1600" b="0" i="0" u="none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Before</m:t>
                        </m:r>
                        <m:r>
                          <a:rPr lang="en-US" sz="1600" b="0" i="0" u="none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600" b="0" i="0" u="none">
                            <a:latin typeface="Cambria Math" panose="02040503050406030204" pitchFamily="18" charset="0"/>
                          </a:rPr>
                          <m:t>Drug</m:t>
                        </m:r>
                      </m:den>
                    </m:f>
                  </m:oMath>
                </m:oMathPara>
              </a14:m>
              <a:endParaRPr lang="en-US" sz="1600" i="0" u="none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4A7711E-83A0-0141-A7B0-7A51AA96A18A}"/>
                </a:ext>
              </a:extLst>
            </xdr:cNvPr>
            <xdr:cNvSpPr txBox="1"/>
          </xdr:nvSpPr>
          <xdr:spPr>
            <a:xfrm rot="16200000">
              <a:off x="10850313" y="5189787"/>
              <a:ext cx="2746874" cy="571500"/>
            </a:xfrm>
            <a:prstGeom prst="rect">
              <a:avLst/>
            </a:prstGeom>
            <a:noFill/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600" i="0" u="none">
                  <a:latin typeface="Cambria Math" panose="02040503050406030204" pitchFamily="18" charset="0"/>
                </a:rPr>
                <a:t>(</a:t>
              </a:r>
              <a:r>
                <a:rPr lang="en-US" sz="1600" b="0" i="0" u="none">
                  <a:latin typeface="Cambria Math" panose="02040503050406030204" pitchFamily="18" charset="0"/>
                </a:rPr>
                <a:t>Response Rate  After Drug)/(Response Rate Before Drug)</a:t>
              </a:r>
              <a:endParaRPr lang="en-US" sz="1600" i="0" u="none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169330</xdr:colOff>
      <xdr:row>0</xdr:row>
      <xdr:rowOff>16939</xdr:rowOff>
    </xdr:from>
    <xdr:to>
      <xdr:col>18</xdr:col>
      <xdr:colOff>728130</xdr:colOff>
      <xdr:row>13</xdr:row>
      <xdr:rowOff>118539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BB6A87-C6EE-E54C-9075-167E65528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169330</xdr:colOff>
      <xdr:row>12</xdr:row>
      <xdr:rowOff>118539</xdr:rowOff>
    </xdr:from>
    <xdr:to>
      <xdr:col>18</xdr:col>
      <xdr:colOff>728130</xdr:colOff>
      <xdr:row>26</xdr:row>
      <xdr:rowOff>16939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D12290-EB27-6848-AEEC-F5F00D031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169330</xdr:colOff>
      <xdr:row>25</xdr:row>
      <xdr:rowOff>29639</xdr:rowOff>
    </xdr:from>
    <xdr:to>
      <xdr:col>18</xdr:col>
      <xdr:colOff>728130</xdr:colOff>
      <xdr:row>38</xdr:row>
      <xdr:rowOff>131239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D47577-1255-654B-A343-7410C3993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169330</xdr:colOff>
      <xdr:row>37</xdr:row>
      <xdr:rowOff>87494</xdr:rowOff>
    </xdr:from>
    <xdr:to>
      <xdr:col>18</xdr:col>
      <xdr:colOff>728130</xdr:colOff>
      <xdr:row>50</xdr:row>
      <xdr:rowOff>183450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1ABA9B-F659-EE4B-9B92-068D0033C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169330</xdr:colOff>
      <xdr:row>49</xdr:row>
      <xdr:rowOff>159864</xdr:rowOff>
    </xdr:from>
    <xdr:to>
      <xdr:col>18</xdr:col>
      <xdr:colOff>728130</xdr:colOff>
      <xdr:row>63</xdr:row>
      <xdr:rowOff>63908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7164DC-6527-BA40-9139-D3E135C31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524933</xdr:colOff>
      <xdr:row>63</xdr:row>
      <xdr:rowOff>101600</xdr:rowOff>
    </xdr:from>
    <xdr:to>
      <xdr:col>17</xdr:col>
      <xdr:colOff>84666</xdr:colOff>
      <xdr:row>69</xdr:row>
      <xdr:rowOff>84667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F44E32-5DAF-110A-FD07-5ED9A020302D}"/>
            </a:ext>
          </a:extLst>
        </xdr:cNvPr>
        <xdr:cNvSpPr txBox="1"/>
      </xdr:nvSpPr>
      <xdr:spPr>
        <a:xfrm>
          <a:off x="8263466" y="12903200"/>
          <a:ext cx="6197600" cy="1202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Session Number</a:t>
          </a:r>
        </a:p>
      </xdr:txBody>
    </xdr:sp>
    <xdr:clientData/>
  </xdr:twoCellAnchor>
  <xdr:twoCellAnchor>
    <xdr:from>
      <xdr:col>6</xdr:col>
      <xdr:colOff>330202</xdr:colOff>
      <xdr:row>1</xdr:row>
      <xdr:rowOff>118533</xdr:rowOff>
    </xdr:from>
    <xdr:to>
      <xdr:col>7</xdr:col>
      <xdr:colOff>702735</xdr:colOff>
      <xdr:row>61</xdr:row>
      <xdr:rowOff>143933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EDE9BEC-0C44-BA4A-9C5F-41D07AFBD462}"/>
            </a:ext>
          </a:extLst>
        </xdr:cNvPr>
        <xdr:cNvSpPr txBox="1"/>
      </xdr:nvSpPr>
      <xdr:spPr>
        <a:xfrm rot="16200000">
          <a:off x="71969" y="5829299"/>
          <a:ext cx="12217400" cy="1202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Ratio of Response Rates (Left Key / Right Key)</a:t>
          </a:r>
        </a:p>
      </xdr:txBody>
    </xdr:sp>
    <xdr:clientData/>
  </xdr:twoCellAnchor>
  <xdr:twoCellAnchor>
    <xdr:from>
      <xdr:col>18</xdr:col>
      <xdr:colOff>241303</xdr:colOff>
      <xdr:row>4</xdr:row>
      <xdr:rowOff>156636</xdr:rowOff>
    </xdr:from>
    <xdr:to>
      <xdr:col>20</xdr:col>
      <xdr:colOff>541866</xdr:colOff>
      <xdr:row>8</xdr:row>
      <xdr:rowOff>152404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1A3655A-635B-4A4F-93ED-408FDCCAC0DE}"/>
            </a:ext>
          </a:extLst>
        </xdr:cNvPr>
        <xdr:cNvSpPr txBox="1"/>
      </xdr:nvSpPr>
      <xdr:spPr>
        <a:xfrm>
          <a:off x="15447436" y="969436"/>
          <a:ext cx="1960030" cy="808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10:1</a:t>
          </a:r>
        </a:p>
      </xdr:txBody>
    </xdr:sp>
    <xdr:clientData/>
  </xdr:twoCellAnchor>
  <xdr:twoCellAnchor>
    <xdr:from>
      <xdr:col>18</xdr:col>
      <xdr:colOff>359837</xdr:colOff>
      <xdr:row>17</xdr:row>
      <xdr:rowOff>55031</xdr:rowOff>
    </xdr:from>
    <xdr:to>
      <xdr:col>20</xdr:col>
      <xdr:colOff>660400</xdr:colOff>
      <xdr:row>21</xdr:row>
      <xdr:rowOff>50799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729438E-2233-C64A-AAFC-671FBAF2CE80}"/>
            </a:ext>
          </a:extLst>
        </xdr:cNvPr>
        <xdr:cNvSpPr txBox="1"/>
      </xdr:nvSpPr>
      <xdr:spPr>
        <a:xfrm>
          <a:off x="15565970" y="3509431"/>
          <a:ext cx="1960030" cy="808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5:1</a:t>
          </a:r>
        </a:p>
      </xdr:txBody>
    </xdr:sp>
    <xdr:clientData/>
  </xdr:twoCellAnchor>
  <xdr:twoCellAnchor>
    <xdr:from>
      <xdr:col>18</xdr:col>
      <xdr:colOff>359840</xdr:colOff>
      <xdr:row>29</xdr:row>
      <xdr:rowOff>156629</xdr:rowOff>
    </xdr:from>
    <xdr:to>
      <xdr:col>20</xdr:col>
      <xdr:colOff>660403</xdr:colOff>
      <xdr:row>33</xdr:row>
      <xdr:rowOff>152397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FD7381D-F6E2-2542-9857-DC451BC18793}"/>
            </a:ext>
          </a:extLst>
        </xdr:cNvPr>
        <xdr:cNvSpPr txBox="1"/>
      </xdr:nvSpPr>
      <xdr:spPr>
        <a:xfrm>
          <a:off x="15565973" y="6049429"/>
          <a:ext cx="1960030" cy="808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1:1</a:t>
          </a:r>
        </a:p>
      </xdr:txBody>
    </xdr:sp>
    <xdr:clientData/>
  </xdr:twoCellAnchor>
  <xdr:twoCellAnchor>
    <xdr:from>
      <xdr:col>18</xdr:col>
      <xdr:colOff>359843</xdr:colOff>
      <xdr:row>42</xdr:row>
      <xdr:rowOff>4225</xdr:rowOff>
    </xdr:from>
    <xdr:to>
      <xdr:col>20</xdr:col>
      <xdr:colOff>660406</xdr:colOff>
      <xdr:row>45</xdr:row>
      <xdr:rowOff>203193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F9074D5-F6AA-0347-8336-65BBBAA015DD}"/>
            </a:ext>
          </a:extLst>
        </xdr:cNvPr>
        <xdr:cNvSpPr txBox="1"/>
      </xdr:nvSpPr>
      <xdr:spPr>
        <a:xfrm>
          <a:off x="15565976" y="8538625"/>
          <a:ext cx="1960030" cy="808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1:5</a:t>
          </a:r>
        </a:p>
      </xdr:txBody>
    </xdr:sp>
    <xdr:clientData/>
  </xdr:twoCellAnchor>
  <xdr:twoCellAnchor>
    <xdr:from>
      <xdr:col>18</xdr:col>
      <xdr:colOff>359846</xdr:colOff>
      <xdr:row>54</xdr:row>
      <xdr:rowOff>190490</xdr:rowOff>
    </xdr:from>
    <xdr:to>
      <xdr:col>20</xdr:col>
      <xdr:colOff>660409</xdr:colOff>
      <xdr:row>58</xdr:row>
      <xdr:rowOff>186258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6B32832-E629-334A-B5DE-0FFF1430344A}"/>
            </a:ext>
          </a:extLst>
        </xdr:cNvPr>
        <xdr:cNvSpPr txBox="1"/>
      </xdr:nvSpPr>
      <xdr:spPr>
        <a:xfrm>
          <a:off x="15565979" y="11163290"/>
          <a:ext cx="1960030" cy="808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>
              <a:solidFill>
                <a:schemeClr val="tx1"/>
              </a:solidFill>
            </a:rPr>
            <a:t>10:1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</xdr:row>
      <xdr:rowOff>184150</xdr:rowOff>
    </xdr:from>
    <xdr:to>
      <xdr:col>12</xdr:col>
      <xdr:colOff>438150</xdr:colOff>
      <xdr:row>26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20139-F25C-FB64-3AD3-D03A0240A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18</xdr:row>
      <xdr:rowOff>171450</xdr:rowOff>
    </xdr:from>
    <xdr:to>
      <xdr:col>5</xdr:col>
      <xdr:colOff>165100</xdr:colOff>
      <xdr:row>43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AF04A-FB52-AA1E-23F2-835711222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546100</xdr:colOff>
      <xdr:row>21</xdr:row>
      <xdr:rowOff>118531</xdr:rowOff>
    </xdr:from>
    <xdr:to>
      <xdr:col>5</xdr:col>
      <xdr:colOff>502638</xdr:colOff>
      <xdr:row>22</xdr:row>
      <xdr:rowOff>125587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A6E847A1-1F39-B574-BC02-EB42C83E058A}"/>
            </a:ext>
          </a:extLst>
        </xdr:cNvPr>
        <xdr:cNvSpPr/>
      </xdr:nvSpPr>
      <xdr:spPr>
        <a:xfrm>
          <a:off x="3029656" y="4267198"/>
          <a:ext cx="2651760" cy="204611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476921</xdr:colOff>
      <xdr:row>29</xdr:row>
      <xdr:rowOff>152676</xdr:rowOff>
    </xdr:from>
    <xdr:to>
      <xdr:col>8</xdr:col>
      <xdr:colOff>438539</xdr:colOff>
      <xdr:row>30</xdr:row>
      <xdr:rowOff>165375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1812F757-0624-E34A-9CCD-BE1904D6341B}"/>
            </a:ext>
          </a:extLst>
        </xdr:cNvPr>
        <xdr:cNvSpPr/>
      </xdr:nvSpPr>
      <xdr:spPr>
        <a:xfrm rot="386927">
          <a:off x="4823143" y="5881787"/>
          <a:ext cx="3291840" cy="21025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534814</xdr:colOff>
      <xdr:row>34</xdr:row>
      <xdr:rowOff>64098</xdr:rowOff>
    </xdr:from>
    <xdr:to>
      <xdr:col>5</xdr:col>
      <xdr:colOff>582792</xdr:colOff>
      <xdr:row>35</xdr:row>
      <xdr:rowOff>76799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FB493CE8-DF48-1C4E-8862-B15F9AD395AF}"/>
            </a:ext>
          </a:extLst>
        </xdr:cNvPr>
        <xdr:cNvSpPr/>
      </xdr:nvSpPr>
      <xdr:spPr>
        <a:xfrm rot="368880">
          <a:off x="3018370" y="6780987"/>
          <a:ext cx="2743200" cy="210256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668868</xdr:colOff>
      <xdr:row>31</xdr:row>
      <xdr:rowOff>165100</xdr:rowOff>
    </xdr:from>
    <xdr:to>
      <xdr:col>8</xdr:col>
      <xdr:colOff>21168</xdr:colOff>
      <xdr:row>40</xdr:row>
      <xdr:rowOff>165100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ED8E03E-08B2-B7A2-BE5F-785441A99F1E}"/>
            </a:ext>
          </a:extLst>
        </xdr:cNvPr>
        <xdr:cNvGrpSpPr/>
      </xdr:nvGrpSpPr>
      <xdr:grpSpPr>
        <a:xfrm>
          <a:off x="5847646" y="6289322"/>
          <a:ext cx="1849966" cy="1778000"/>
          <a:chOff x="5889978" y="3721100"/>
          <a:chExt cx="1849966" cy="17780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C23E976-EDC5-9242-B759-E17C2881A127}"/>
              </a:ext>
            </a:extLst>
          </xdr:cNvPr>
          <xdr:cNvGraphicFramePr>
            <a:graphicFrameLocks/>
          </xdr:cNvGraphicFramePr>
        </xdr:nvGraphicFramePr>
        <xdr:xfrm>
          <a:off x="5889978" y="3721100"/>
          <a:ext cx="1849966" cy="177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CE3946E5-951F-9001-A53D-51079DEE1018}"/>
              </a:ext>
            </a:extLst>
          </xdr:cNvPr>
          <xdr:cNvCxnSpPr/>
        </xdr:nvCxnSpPr>
        <xdr:spPr>
          <a:xfrm>
            <a:off x="6341533" y="4161367"/>
            <a:ext cx="1162756" cy="694266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680154</xdr:colOff>
      <xdr:row>19</xdr:row>
      <xdr:rowOff>64911</xdr:rowOff>
    </xdr:from>
    <xdr:to>
      <xdr:col>8</xdr:col>
      <xdr:colOff>25400</xdr:colOff>
      <xdr:row>28</xdr:row>
      <xdr:rowOff>64911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EF54BB2-2F42-8A2B-C042-C787410A5DC6}"/>
            </a:ext>
          </a:extLst>
        </xdr:cNvPr>
        <xdr:cNvGrpSpPr/>
      </xdr:nvGrpSpPr>
      <xdr:grpSpPr>
        <a:xfrm>
          <a:off x="5858932" y="3818467"/>
          <a:ext cx="1842912" cy="1778000"/>
          <a:chOff x="8159044" y="5384800"/>
          <a:chExt cx="1842912" cy="17780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282B8BC3-DE8F-A444-9718-1BD0DEBB02FC}"/>
              </a:ext>
            </a:extLst>
          </xdr:cNvPr>
          <xdr:cNvGraphicFramePr>
            <a:graphicFrameLocks/>
          </xdr:cNvGraphicFramePr>
        </xdr:nvGraphicFramePr>
        <xdr:xfrm>
          <a:off x="8159044" y="5384800"/>
          <a:ext cx="1842912" cy="177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22F23CD1-5F20-2C4E-ACFA-3AF3555232C4}"/>
              </a:ext>
            </a:extLst>
          </xdr:cNvPr>
          <xdr:cNvCxnSpPr/>
        </xdr:nvCxnSpPr>
        <xdr:spPr>
          <a:xfrm flipV="1">
            <a:off x="8636000" y="5582356"/>
            <a:ext cx="1099256" cy="605366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594078</xdr:colOff>
      <xdr:row>26</xdr:row>
      <xdr:rowOff>112890</xdr:rowOff>
    </xdr:from>
    <xdr:to>
      <xdr:col>10</xdr:col>
      <xdr:colOff>778932</xdr:colOff>
      <xdr:row>35</xdr:row>
      <xdr:rowOff>112890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7B4EA2A-999C-86EA-EF41-5318868D2986}"/>
            </a:ext>
          </a:extLst>
        </xdr:cNvPr>
        <xdr:cNvGrpSpPr/>
      </xdr:nvGrpSpPr>
      <xdr:grpSpPr>
        <a:xfrm>
          <a:off x="8270522" y="5249334"/>
          <a:ext cx="1849966" cy="1778000"/>
          <a:chOff x="5928078" y="6914444"/>
          <a:chExt cx="1849966" cy="17780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C1EC1DB-DC1D-F04C-AD15-BAB84168C571}"/>
              </a:ext>
            </a:extLst>
          </xdr:cNvPr>
          <xdr:cNvGraphicFramePr>
            <a:graphicFrameLocks/>
          </xdr:cNvGraphicFramePr>
        </xdr:nvGraphicFramePr>
        <xdr:xfrm>
          <a:off x="5928078" y="6914444"/>
          <a:ext cx="1849966" cy="177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70EAB50-E6CA-2540-8AF1-8E6D14778C2E}"/>
              </a:ext>
            </a:extLst>
          </xdr:cNvPr>
          <xdr:cNvCxnSpPr/>
        </xdr:nvCxnSpPr>
        <xdr:spPr>
          <a:xfrm flipV="1">
            <a:off x="7034389" y="6990644"/>
            <a:ext cx="0" cy="1299634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419100</xdr:colOff>
      <xdr:row>48</xdr:row>
      <xdr:rowOff>158750</xdr:rowOff>
    </xdr:from>
    <xdr:to>
      <xdr:col>5</xdr:col>
      <xdr:colOff>292100</xdr:colOff>
      <xdr:row>73</xdr:row>
      <xdr:rowOff>107950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F62DFBF-256F-4D47-A489-861D94FF9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66321</xdr:colOff>
      <xdr:row>52</xdr:row>
      <xdr:rowOff>105832</xdr:rowOff>
    </xdr:from>
    <xdr:to>
      <xdr:col>5</xdr:col>
      <xdr:colOff>706401</xdr:colOff>
      <xdr:row>53</xdr:row>
      <xdr:rowOff>118532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E5C6CCEA-8725-D74A-98D5-15DD25C3F9A4}"/>
            </a:ext>
          </a:extLst>
        </xdr:cNvPr>
        <xdr:cNvSpPr/>
      </xdr:nvSpPr>
      <xdr:spPr>
        <a:xfrm>
          <a:off x="5245099" y="10378721"/>
          <a:ext cx="640080" cy="21025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49</xdr:row>
      <xdr:rowOff>67733</xdr:rowOff>
    </xdr:from>
    <xdr:to>
      <xdr:col>8</xdr:col>
      <xdr:colOff>190500</xdr:colOff>
      <xdr:row>58</xdr:row>
      <xdr:rowOff>67733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F4D5453-6457-E8D8-7C35-18020596A13E}"/>
            </a:ext>
          </a:extLst>
        </xdr:cNvPr>
        <xdr:cNvGrpSpPr/>
      </xdr:nvGrpSpPr>
      <xdr:grpSpPr>
        <a:xfrm>
          <a:off x="6024033" y="9747955"/>
          <a:ext cx="1842911" cy="1778000"/>
          <a:chOff x="6024033" y="9635067"/>
          <a:chExt cx="1842911" cy="1778000"/>
        </a:xfrm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9A84B957-810F-1A49-B0EC-292137F0546F}"/>
              </a:ext>
            </a:extLst>
          </xdr:cNvPr>
          <xdr:cNvGraphicFramePr>
            <a:graphicFrameLocks/>
          </xdr:cNvGraphicFramePr>
        </xdr:nvGraphicFramePr>
        <xdr:xfrm>
          <a:off x="6024033" y="9635067"/>
          <a:ext cx="1842911" cy="177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69B748F3-4EE8-ED42-BF00-34CB364361AE}"/>
              </a:ext>
            </a:extLst>
          </xdr:cNvPr>
          <xdr:cNvCxnSpPr/>
        </xdr:nvCxnSpPr>
        <xdr:spPr>
          <a:xfrm flipH="1">
            <a:off x="6493933" y="10285589"/>
            <a:ext cx="515056" cy="0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609600</xdr:colOff>
      <xdr:row>56</xdr:row>
      <xdr:rowOff>150990</xdr:rowOff>
    </xdr:from>
    <xdr:to>
      <xdr:col>10</xdr:col>
      <xdr:colOff>787400</xdr:colOff>
      <xdr:row>65</xdr:row>
      <xdr:rowOff>150990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9DF08DC-5FE8-92FD-FE24-ED75414955AD}"/>
            </a:ext>
          </a:extLst>
        </xdr:cNvPr>
        <xdr:cNvGrpSpPr/>
      </xdr:nvGrpSpPr>
      <xdr:grpSpPr>
        <a:xfrm>
          <a:off x="8286044" y="11214101"/>
          <a:ext cx="1842912" cy="1778000"/>
          <a:chOff x="8286044" y="11298767"/>
          <a:chExt cx="1842912" cy="1778000"/>
        </a:xfrm>
      </xdr:grpSpPr>
      <xdr:graphicFrame macro="">
        <xdr:nvGraphicFramePr>
          <xdr:cNvPr id="26" name="Chart 25">
            <a:extLst>
              <a:ext uri="{FF2B5EF4-FFF2-40B4-BE49-F238E27FC236}">
                <a16:creationId xmlns:a16="http://schemas.microsoft.com/office/drawing/2014/main" id="{C3CCFFD0-719E-0545-981F-2485BF67393F}"/>
              </a:ext>
            </a:extLst>
          </xdr:cNvPr>
          <xdr:cNvGraphicFramePr>
            <a:graphicFrameLocks/>
          </xdr:cNvGraphicFramePr>
        </xdr:nvGraphicFramePr>
        <xdr:xfrm>
          <a:off x="8286044" y="11298767"/>
          <a:ext cx="1842912" cy="177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9A41DF75-FC04-D549-AC77-10576494DCE9}"/>
              </a:ext>
            </a:extLst>
          </xdr:cNvPr>
          <xdr:cNvCxnSpPr/>
        </xdr:nvCxnSpPr>
        <xdr:spPr>
          <a:xfrm flipH="1">
            <a:off x="9182100" y="11362267"/>
            <a:ext cx="286456" cy="643466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61</xdr:row>
      <xdr:rowOff>162283</xdr:rowOff>
    </xdr:from>
    <xdr:to>
      <xdr:col>8</xdr:col>
      <xdr:colOff>228600</xdr:colOff>
      <xdr:row>70</xdr:row>
      <xdr:rowOff>162283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44927C8-435E-83C8-2F61-80CBF08D20B3}"/>
            </a:ext>
          </a:extLst>
        </xdr:cNvPr>
        <xdr:cNvGrpSpPr/>
      </xdr:nvGrpSpPr>
      <xdr:grpSpPr>
        <a:xfrm>
          <a:off x="6062133" y="12213172"/>
          <a:ext cx="1842911" cy="1778000"/>
          <a:chOff x="6062133" y="12834056"/>
          <a:chExt cx="1842911" cy="1778000"/>
        </a:xfrm>
      </xdr:grpSpPr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31AA1791-5E6A-294B-B40D-A201CC420969}"/>
              </a:ext>
            </a:extLst>
          </xdr:cNvPr>
          <xdr:cNvGraphicFramePr>
            <a:graphicFrameLocks/>
          </xdr:cNvGraphicFramePr>
        </xdr:nvGraphicFramePr>
        <xdr:xfrm>
          <a:off x="6062133" y="12834056"/>
          <a:ext cx="1842911" cy="177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DF97E26B-238B-EB47-A769-9508508C53BB}"/>
              </a:ext>
            </a:extLst>
          </xdr:cNvPr>
          <xdr:cNvCxnSpPr/>
        </xdr:nvCxnSpPr>
        <xdr:spPr>
          <a:xfrm>
            <a:off x="7021689" y="13375922"/>
            <a:ext cx="317500" cy="503767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91721</xdr:colOff>
      <xdr:row>59</xdr:row>
      <xdr:rowOff>159454</xdr:rowOff>
    </xdr:from>
    <xdr:to>
      <xdr:col>8</xdr:col>
      <xdr:colOff>520135</xdr:colOff>
      <xdr:row>60</xdr:row>
      <xdr:rowOff>172154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73A54AA1-43C7-974B-B8A3-60F4B4C0B941}"/>
            </a:ext>
          </a:extLst>
        </xdr:cNvPr>
        <xdr:cNvSpPr/>
      </xdr:nvSpPr>
      <xdr:spPr>
        <a:xfrm>
          <a:off x="5270499" y="11815232"/>
          <a:ext cx="2926080" cy="21025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63498</xdr:colOff>
      <xdr:row>64</xdr:row>
      <xdr:rowOff>103009</xdr:rowOff>
    </xdr:from>
    <xdr:to>
      <xdr:col>5</xdr:col>
      <xdr:colOff>703578</xdr:colOff>
      <xdr:row>65</xdr:row>
      <xdr:rowOff>115709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815E8EF2-E819-A545-B690-2C22380496F3}"/>
            </a:ext>
          </a:extLst>
        </xdr:cNvPr>
        <xdr:cNvSpPr/>
      </xdr:nvSpPr>
      <xdr:spPr>
        <a:xfrm>
          <a:off x="5242276" y="12746565"/>
          <a:ext cx="640080" cy="21025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598927</xdr:colOff>
      <xdr:row>0</xdr:row>
      <xdr:rowOff>346350</xdr:rowOff>
    </xdr:from>
    <xdr:to>
      <xdr:col>22</xdr:col>
      <xdr:colOff>185120</xdr:colOff>
      <xdr:row>17</xdr:row>
      <xdr:rowOff>119482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A999B5-EBAC-C74E-948E-F605C33AB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69268</xdr:colOff>
      <xdr:row>0</xdr:row>
      <xdr:rowOff>357897</xdr:rowOff>
    </xdr:from>
    <xdr:to>
      <xdr:col>16</xdr:col>
      <xdr:colOff>479516</xdr:colOff>
      <xdr:row>17</xdr:row>
      <xdr:rowOff>131029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3E81977-4FBB-2C81-09F0-8B6AE1AA7FC7}"/>
            </a:ext>
          </a:extLst>
        </xdr:cNvPr>
        <xdr:cNvGrpSpPr/>
      </xdr:nvGrpSpPr>
      <xdr:grpSpPr>
        <a:xfrm>
          <a:off x="10125359" y="357897"/>
          <a:ext cx="4566612" cy="3525405"/>
          <a:chOff x="5657270" y="3948545"/>
          <a:chExt cx="4566612" cy="3525405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D2811723-86D0-654E-8BE5-E1DBAD6C70E1}"/>
              </a:ext>
            </a:extLst>
          </xdr:cNvPr>
          <xdr:cNvGraphicFramePr>
            <a:graphicFrameLocks/>
          </xdr:cNvGraphicFramePr>
        </xdr:nvGraphicFramePr>
        <xdr:xfrm>
          <a:off x="5657270" y="3948545"/>
          <a:ext cx="4566612" cy="35254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73CD9312-7626-4995-B06B-C461D0B26B97}"/>
              </a:ext>
            </a:extLst>
          </xdr:cNvPr>
          <xdr:cNvCxnSpPr/>
        </xdr:nvCxnSpPr>
        <xdr:spPr>
          <a:xfrm flipH="1">
            <a:off x="8254996" y="5391729"/>
            <a:ext cx="0" cy="393192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82881B5-7137-D34C-ABC6-9A8BE4758D69}"/>
              </a:ext>
            </a:extLst>
          </xdr:cNvPr>
          <xdr:cNvCxnSpPr/>
        </xdr:nvCxnSpPr>
        <xdr:spPr>
          <a:xfrm flipH="1">
            <a:off x="7102761" y="4158670"/>
            <a:ext cx="0" cy="2743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651E6ED6-961C-4E11-E25F-2F1A5302A5DA}"/>
              </a:ext>
            </a:extLst>
          </xdr:cNvPr>
          <xdr:cNvSpPr txBox="1"/>
        </xdr:nvSpPr>
        <xdr:spPr>
          <a:xfrm>
            <a:off x="7100451" y="4110181"/>
            <a:ext cx="842825" cy="3117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800">
                <a:solidFill>
                  <a:srgbClr val="FF0000"/>
                </a:solidFill>
              </a:rPr>
              <a:t>1.73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A8E0D95-DEF7-7646-97AC-2D0A98A5091A}"/>
              </a:ext>
            </a:extLst>
          </xdr:cNvPr>
          <xdr:cNvSpPr txBox="1"/>
        </xdr:nvSpPr>
        <xdr:spPr>
          <a:xfrm>
            <a:off x="7391396" y="5417127"/>
            <a:ext cx="842825" cy="3117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800">
                <a:solidFill>
                  <a:srgbClr val="FF0000"/>
                </a:solidFill>
              </a:rPr>
              <a:t>-1.99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9EA69D64-57F1-5740-9E5E-D29F4DC2C02E}"/>
              </a:ext>
            </a:extLst>
          </xdr:cNvPr>
          <xdr:cNvCxnSpPr/>
        </xdr:nvCxnSpPr>
        <xdr:spPr>
          <a:xfrm flipH="1">
            <a:off x="9989124" y="6179127"/>
            <a:ext cx="0" cy="323272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840A1AA4-E165-0243-8906-03FFE05FE101}"/>
              </a:ext>
            </a:extLst>
          </xdr:cNvPr>
          <xdr:cNvSpPr txBox="1"/>
        </xdr:nvSpPr>
        <xdr:spPr>
          <a:xfrm>
            <a:off x="9102436" y="6158343"/>
            <a:ext cx="842825" cy="311729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800">
                <a:solidFill>
                  <a:srgbClr val="FF0000"/>
                </a:solidFill>
              </a:rPr>
              <a:t>1.53</a:t>
            </a:r>
          </a:p>
        </xdr:txBody>
      </xdr:sp>
    </xdr:grpSp>
    <xdr:clientData/>
  </xdr:twoCellAnchor>
  <xdr:twoCellAnchor>
    <xdr:from>
      <xdr:col>5</xdr:col>
      <xdr:colOff>381000</xdr:colOff>
      <xdr:row>0</xdr:row>
      <xdr:rowOff>370025</xdr:rowOff>
    </xdr:from>
    <xdr:to>
      <xdr:col>10</xdr:col>
      <xdr:colOff>745067</xdr:colOff>
      <xdr:row>17</xdr:row>
      <xdr:rowOff>143157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25028-AA6D-4401-172D-1E1ACE27A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369454</xdr:colOff>
      <xdr:row>19</xdr:row>
      <xdr:rowOff>11546</xdr:rowOff>
    </xdr:from>
    <xdr:to>
      <xdr:col>10</xdr:col>
      <xdr:colOff>733521</xdr:colOff>
      <xdr:row>36</xdr:row>
      <xdr:rowOff>4042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C4970F-0539-C54F-BB90-30B334ED0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18</xdr:row>
      <xdr:rowOff>184727</xdr:rowOff>
    </xdr:from>
    <xdr:to>
      <xdr:col>16</xdr:col>
      <xdr:colOff>410248</xdr:colOff>
      <xdr:row>35</xdr:row>
      <xdr:rowOff>177223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6E0E035-7733-264E-9681-1F7118E73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334818</xdr:colOff>
      <xdr:row>19</xdr:row>
      <xdr:rowOff>219363</xdr:rowOff>
    </xdr:from>
    <xdr:to>
      <xdr:col>15</xdr:col>
      <xdr:colOff>484909</xdr:colOff>
      <xdr:row>30</xdr:row>
      <xdr:rowOff>103908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id="{82429A11-4C57-7D66-8970-E619C0ADD4A1}"/>
            </a:ext>
          </a:extLst>
        </xdr:cNvPr>
        <xdr:cNvSpPr/>
      </xdr:nvSpPr>
      <xdr:spPr>
        <a:xfrm>
          <a:off x="11222182" y="4387272"/>
          <a:ext cx="2643909" cy="2389909"/>
        </a:xfrm>
        <a:custGeom>
          <a:avLst/>
          <a:gdLst>
            <a:gd name="connsiteX0" fmla="*/ 0 w 2620818"/>
            <a:gd name="connsiteY0" fmla="*/ 12407 h 2563953"/>
            <a:gd name="connsiteX1" fmla="*/ 658091 w 2620818"/>
            <a:gd name="connsiteY1" fmla="*/ 35498 h 2563953"/>
            <a:gd name="connsiteX2" fmla="*/ 1373909 w 2620818"/>
            <a:gd name="connsiteY2" fmla="*/ 312589 h 2563953"/>
            <a:gd name="connsiteX3" fmla="*/ 1708727 w 2620818"/>
            <a:gd name="connsiteY3" fmla="*/ 785953 h 2563953"/>
            <a:gd name="connsiteX4" fmla="*/ 2193636 w 2620818"/>
            <a:gd name="connsiteY4" fmla="*/ 2182953 h 2563953"/>
            <a:gd name="connsiteX5" fmla="*/ 2620818 w 2620818"/>
            <a:gd name="connsiteY5" fmla="*/ 2563953 h 25639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20818" h="2563953">
              <a:moveTo>
                <a:pt x="0" y="12407"/>
              </a:moveTo>
              <a:cubicBezTo>
                <a:pt x="214553" y="-1063"/>
                <a:pt x="429106" y="-14532"/>
                <a:pt x="658091" y="35498"/>
              </a:cubicBezTo>
              <a:cubicBezTo>
                <a:pt x="887076" y="85528"/>
                <a:pt x="1198803" y="187513"/>
                <a:pt x="1373909" y="312589"/>
              </a:cubicBezTo>
              <a:cubicBezTo>
                <a:pt x="1549015" y="437665"/>
                <a:pt x="1572106" y="474226"/>
                <a:pt x="1708727" y="785953"/>
              </a:cubicBezTo>
              <a:cubicBezTo>
                <a:pt x="1845348" y="1097680"/>
                <a:pt x="2041621" y="1886620"/>
                <a:pt x="2193636" y="2182953"/>
              </a:cubicBezTo>
              <a:cubicBezTo>
                <a:pt x="2345651" y="2479286"/>
                <a:pt x="2483234" y="2521619"/>
                <a:pt x="2620818" y="2563953"/>
              </a:cubicBezTo>
            </a:path>
          </a:pathLst>
        </a:custGeom>
        <a:noFill/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0.01638</cdr:y>
    </cdr:from>
    <cdr:to>
      <cdr:x>0.19973</cdr:x>
      <cdr:y>0.11135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81B540C0-FB64-0DA0-98F6-081C4FA0E704}"/>
            </a:ext>
          </a:extLst>
        </cdr:cNvPr>
        <cdr:cNvSpPr txBox="1"/>
      </cdr:nvSpPr>
      <cdr:spPr>
        <a:xfrm xmlns:a="http://schemas.openxmlformats.org/drawingml/2006/main">
          <a:off x="0" y="57729"/>
          <a:ext cx="912091" cy="334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/>
            <a:t>Max</a:t>
          </a:r>
          <a:endParaRPr lang="en-US" sz="1800"/>
        </a:p>
      </cdr:txBody>
    </cdr:sp>
  </cdr:relSizeAnchor>
  <cdr:relSizeAnchor xmlns:cdr="http://schemas.openxmlformats.org/drawingml/2006/chartDrawing">
    <cdr:from>
      <cdr:x>0</cdr:x>
      <cdr:y>0.71197</cdr:y>
    </cdr:from>
    <cdr:to>
      <cdr:x>0.21237</cdr:x>
      <cdr:y>0.80694</cdr:y>
    </cdr:to>
    <cdr:sp macro="" textlink="">
      <cdr:nvSpPr>
        <cdr:cNvPr id="3" name="TextBox 4">
          <a:extLst xmlns:a="http://schemas.openxmlformats.org/drawingml/2006/main">
            <a:ext uri="{FF2B5EF4-FFF2-40B4-BE49-F238E27FC236}">
              <a16:creationId xmlns:a16="http://schemas.microsoft.com/office/drawing/2014/main" id="{82967545-2FF4-353B-C975-A8DE18BE71EF}"/>
            </a:ext>
          </a:extLst>
        </cdr:cNvPr>
        <cdr:cNvSpPr txBox="1"/>
      </cdr:nvSpPr>
      <cdr:spPr>
        <a:xfrm xmlns:a="http://schemas.openxmlformats.org/drawingml/2006/main">
          <a:off x="0" y="2509982"/>
          <a:ext cx="969818" cy="334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/>
            <a:t>None</a:t>
          </a:r>
          <a:endParaRPr lang="en-US" sz="1800"/>
        </a:p>
      </cdr:txBody>
    </cdr:sp>
  </cdr:relSizeAnchor>
  <cdr:relSizeAnchor xmlns:cdr="http://schemas.openxmlformats.org/drawingml/2006/chartDrawing">
    <cdr:from>
      <cdr:x>0.17445</cdr:x>
      <cdr:y>0.77419</cdr:y>
    </cdr:from>
    <cdr:to>
      <cdr:x>0.95314</cdr:x>
      <cdr:y>0.86917</cdr:y>
    </cdr:to>
    <cdr:sp macro="" textlink="">
      <cdr:nvSpPr>
        <cdr:cNvPr id="4" name="TextBox 4">
          <a:extLst xmlns:a="http://schemas.openxmlformats.org/drawingml/2006/main">
            <a:ext uri="{FF2B5EF4-FFF2-40B4-BE49-F238E27FC236}">
              <a16:creationId xmlns:a16="http://schemas.microsoft.com/office/drawing/2014/main" id="{4557CE13-FE9D-3C56-706E-3805E608FFDB}"/>
            </a:ext>
          </a:extLst>
        </cdr:cNvPr>
        <cdr:cNvSpPr txBox="1"/>
      </cdr:nvSpPr>
      <cdr:spPr>
        <a:xfrm xmlns:a="http://schemas.openxmlformats.org/drawingml/2006/main">
          <a:off x="796638" y="2729345"/>
          <a:ext cx="3556000" cy="334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/>
            <a:t>Low                                                                  High</a:t>
          </a:r>
          <a:endParaRPr lang="en-US" sz="18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0.01638</cdr:y>
    </cdr:from>
    <cdr:to>
      <cdr:x>0.19973</cdr:x>
      <cdr:y>0.11135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81B540C0-FB64-0DA0-98F6-081C4FA0E704}"/>
            </a:ext>
          </a:extLst>
        </cdr:cNvPr>
        <cdr:cNvSpPr txBox="1"/>
      </cdr:nvSpPr>
      <cdr:spPr>
        <a:xfrm xmlns:a="http://schemas.openxmlformats.org/drawingml/2006/main">
          <a:off x="0" y="57729"/>
          <a:ext cx="912091" cy="334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/>
            <a:t>Max</a:t>
          </a:r>
          <a:endParaRPr lang="en-US" sz="1800"/>
        </a:p>
      </cdr:txBody>
    </cdr:sp>
  </cdr:relSizeAnchor>
  <cdr:relSizeAnchor xmlns:cdr="http://schemas.openxmlformats.org/drawingml/2006/chartDrawing">
    <cdr:from>
      <cdr:x>0</cdr:x>
      <cdr:y>0.71197</cdr:y>
    </cdr:from>
    <cdr:to>
      <cdr:x>0.21237</cdr:x>
      <cdr:y>0.80694</cdr:y>
    </cdr:to>
    <cdr:sp macro="" textlink="">
      <cdr:nvSpPr>
        <cdr:cNvPr id="3" name="TextBox 4">
          <a:extLst xmlns:a="http://schemas.openxmlformats.org/drawingml/2006/main">
            <a:ext uri="{FF2B5EF4-FFF2-40B4-BE49-F238E27FC236}">
              <a16:creationId xmlns:a16="http://schemas.microsoft.com/office/drawing/2014/main" id="{82967545-2FF4-353B-C975-A8DE18BE71EF}"/>
            </a:ext>
          </a:extLst>
        </cdr:cNvPr>
        <cdr:cNvSpPr txBox="1"/>
      </cdr:nvSpPr>
      <cdr:spPr>
        <a:xfrm xmlns:a="http://schemas.openxmlformats.org/drawingml/2006/main">
          <a:off x="0" y="2509982"/>
          <a:ext cx="969818" cy="334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/>
            <a:t>None</a:t>
          </a:r>
          <a:endParaRPr lang="en-US" sz="1800"/>
        </a:p>
      </cdr:txBody>
    </cdr:sp>
  </cdr:relSizeAnchor>
  <cdr:relSizeAnchor xmlns:cdr="http://schemas.openxmlformats.org/drawingml/2006/chartDrawing">
    <cdr:from>
      <cdr:x>0.17445</cdr:x>
      <cdr:y>0.77419</cdr:y>
    </cdr:from>
    <cdr:to>
      <cdr:x>0.95314</cdr:x>
      <cdr:y>0.86917</cdr:y>
    </cdr:to>
    <cdr:sp macro="" textlink="">
      <cdr:nvSpPr>
        <cdr:cNvPr id="4" name="TextBox 4">
          <a:extLst xmlns:a="http://schemas.openxmlformats.org/drawingml/2006/main">
            <a:ext uri="{FF2B5EF4-FFF2-40B4-BE49-F238E27FC236}">
              <a16:creationId xmlns:a16="http://schemas.microsoft.com/office/drawing/2014/main" id="{4557CE13-FE9D-3C56-706E-3805E608FFDB}"/>
            </a:ext>
          </a:extLst>
        </cdr:cNvPr>
        <cdr:cNvSpPr txBox="1"/>
      </cdr:nvSpPr>
      <cdr:spPr>
        <a:xfrm xmlns:a="http://schemas.openxmlformats.org/drawingml/2006/main">
          <a:off x="796638" y="2729345"/>
          <a:ext cx="3556000" cy="334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/>
            <a:t>Low                                                                  High</a:t>
          </a:r>
          <a:endParaRPr lang="en-US" sz="180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</xdr:row>
      <xdr:rowOff>76200</xdr:rowOff>
    </xdr:from>
    <xdr:to>
      <xdr:col>22</xdr:col>
      <xdr:colOff>539750</xdr:colOff>
      <xdr:row>12</xdr:row>
      <xdr:rowOff>139700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93C4388-DB31-A199-9E94-EDA80E74FC14}"/>
            </a:ext>
          </a:extLst>
        </xdr:cNvPr>
        <xdr:cNvGrpSpPr/>
      </xdr:nvGrpSpPr>
      <xdr:grpSpPr>
        <a:xfrm>
          <a:off x="5664200" y="279400"/>
          <a:ext cx="7219950" cy="2654300"/>
          <a:chOff x="6972300" y="203200"/>
          <a:chExt cx="7219950" cy="26543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2C62FE39-2353-DA4A-B11B-8CDE67EBE4AC}"/>
              </a:ext>
            </a:extLst>
          </xdr:cNvPr>
          <xdr:cNvGraphicFramePr>
            <a:graphicFrameLocks/>
          </xdr:cNvGraphicFramePr>
        </xdr:nvGraphicFramePr>
        <xdr:xfrm>
          <a:off x="10991850" y="203200"/>
          <a:ext cx="3200400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B519C8C6-AB32-8740-AD7A-FE672D7D7E58}"/>
              </a:ext>
            </a:extLst>
          </xdr:cNvPr>
          <xdr:cNvGraphicFramePr>
            <a:graphicFrameLocks/>
          </xdr:cNvGraphicFramePr>
        </xdr:nvGraphicFramePr>
        <xdr:xfrm>
          <a:off x="8153400" y="203200"/>
          <a:ext cx="3200400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DC68CA5-5CAA-2423-0000-08116323EFFE}"/>
              </a:ext>
            </a:extLst>
          </xdr:cNvPr>
          <xdr:cNvSpPr txBox="1"/>
        </xdr:nvSpPr>
        <xdr:spPr>
          <a:xfrm>
            <a:off x="6972300" y="711200"/>
            <a:ext cx="1244600" cy="1054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Percent of Trials Correct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358A158-CF10-2443-BE12-0AE897CDFC95}"/>
              </a:ext>
            </a:extLst>
          </xdr:cNvPr>
          <xdr:cNvSpPr txBox="1"/>
        </xdr:nvSpPr>
        <xdr:spPr>
          <a:xfrm>
            <a:off x="8940800" y="2413000"/>
            <a:ext cx="2044700" cy="444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Session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6285D88B-E9D7-7A43-A5AC-D03741FC82CF}"/>
              </a:ext>
            </a:extLst>
          </xdr:cNvPr>
          <xdr:cNvSpPr txBox="1"/>
        </xdr:nvSpPr>
        <xdr:spPr>
          <a:xfrm>
            <a:off x="11785600" y="2413000"/>
            <a:ext cx="2044700" cy="444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Session</a:t>
            </a:r>
          </a:p>
        </xdr:txBody>
      </xdr:sp>
    </xdr:grpSp>
    <xdr:clientData/>
  </xdr:twoCellAnchor>
  <xdr:twoCellAnchor>
    <xdr:from>
      <xdr:col>14</xdr:col>
      <xdr:colOff>101600</xdr:colOff>
      <xdr:row>13</xdr:row>
      <xdr:rowOff>114300</xdr:rowOff>
    </xdr:from>
    <xdr:to>
      <xdr:col>22</xdr:col>
      <xdr:colOff>501650</xdr:colOff>
      <xdr:row>25</xdr:row>
      <xdr:rowOff>101600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F581724-56A2-6047-A70D-070032953FD9}"/>
            </a:ext>
          </a:extLst>
        </xdr:cNvPr>
        <xdr:cNvGrpSpPr/>
      </xdr:nvGrpSpPr>
      <xdr:grpSpPr>
        <a:xfrm>
          <a:off x="5842000" y="3111500"/>
          <a:ext cx="7004050" cy="2654300"/>
          <a:chOff x="7162800" y="203200"/>
          <a:chExt cx="7004050" cy="2654300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371FE6B4-E2F4-12AC-D50B-12D99A2872F3}"/>
              </a:ext>
            </a:extLst>
          </xdr:cNvPr>
          <xdr:cNvGraphicFramePr>
            <a:graphicFrameLocks/>
          </xdr:cNvGraphicFramePr>
        </xdr:nvGraphicFramePr>
        <xdr:xfrm>
          <a:off x="10966450" y="203200"/>
          <a:ext cx="3200400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2C46510A-E1D1-AFB4-D178-71D9D7268096}"/>
              </a:ext>
            </a:extLst>
          </xdr:cNvPr>
          <xdr:cNvGraphicFramePr>
            <a:graphicFrameLocks/>
          </xdr:cNvGraphicFramePr>
        </xdr:nvGraphicFramePr>
        <xdr:xfrm>
          <a:off x="8153400" y="203200"/>
          <a:ext cx="3200400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EAC7EF49-CBCB-DE60-FA34-E3D1001BCE62}"/>
              </a:ext>
            </a:extLst>
          </xdr:cNvPr>
          <xdr:cNvSpPr txBox="1"/>
        </xdr:nvSpPr>
        <xdr:spPr>
          <a:xfrm>
            <a:off x="7162800" y="838200"/>
            <a:ext cx="1054100" cy="787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Resp per Min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616C22C5-E231-39CE-2FCA-7C1C05070D5C}"/>
              </a:ext>
            </a:extLst>
          </xdr:cNvPr>
          <xdr:cNvSpPr txBox="1"/>
        </xdr:nvSpPr>
        <xdr:spPr>
          <a:xfrm>
            <a:off x="8940800" y="2413000"/>
            <a:ext cx="2044700" cy="444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Session</a:t>
            </a: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EF4A7837-77D9-ED35-AA41-77ED36693CEC}"/>
              </a:ext>
            </a:extLst>
          </xdr:cNvPr>
          <xdr:cNvSpPr txBox="1"/>
        </xdr:nvSpPr>
        <xdr:spPr>
          <a:xfrm>
            <a:off x="11734800" y="2413000"/>
            <a:ext cx="2044700" cy="444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Session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24</xdr:row>
      <xdr:rowOff>82550</xdr:rowOff>
    </xdr:from>
    <xdr:to>
      <xdr:col>9</xdr:col>
      <xdr:colOff>457200</xdr:colOff>
      <xdr:row>35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AD5681-07D1-0E4E-A398-730E0489A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24</xdr:row>
      <xdr:rowOff>63500</xdr:rowOff>
    </xdr:from>
    <xdr:to>
      <xdr:col>14</xdr:col>
      <xdr:colOff>254000</xdr:colOff>
      <xdr:row>35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53BFDD0-92E7-D34F-A494-3C1DBD66E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27</xdr:row>
      <xdr:rowOff>0</xdr:rowOff>
    </xdr:from>
    <xdr:to>
      <xdr:col>4</xdr:col>
      <xdr:colOff>571500</xdr:colOff>
      <xdr:row>31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1A4E22D-5528-2F42-8EDF-9BF723AFBB11}"/>
            </a:ext>
          </a:extLst>
        </xdr:cNvPr>
        <xdr:cNvSpPr txBox="1"/>
      </xdr:nvSpPr>
      <xdr:spPr>
        <a:xfrm>
          <a:off x="1574800" y="5486400"/>
          <a:ext cx="157480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Percent of Trials Correct</a:t>
          </a:r>
        </a:p>
      </xdr:txBody>
    </xdr:sp>
    <xdr:clientData/>
  </xdr:twoCellAnchor>
  <xdr:twoCellAnchor>
    <xdr:from>
      <xdr:col>6</xdr:col>
      <xdr:colOff>50800</xdr:colOff>
      <xdr:row>35</xdr:row>
      <xdr:rowOff>139700</xdr:rowOff>
    </xdr:from>
    <xdr:to>
      <xdr:col>9</xdr:col>
      <xdr:colOff>76200</xdr:colOff>
      <xdr:row>37</xdr:row>
      <xdr:rowOff>177800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B234F56-CC44-7C4A-B8FC-C19535FA92BA}"/>
            </a:ext>
          </a:extLst>
        </xdr:cNvPr>
        <xdr:cNvSpPr txBox="1"/>
      </xdr:nvSpPr>
      <xdr:spPr>
        <a:xfrm>
          <a:off x="3975100" y="7251700"/>
          <a:ext cx="20447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Trial Number</a:t>
          </a:r>
        </a:p>
      </xdr:txBody>
    </xdr:sp>
    <xdr:clientData/>
  </xdr:twoCellAnchor>
  <xdr:twoCellAnchor>
    <xdr:from>
      <xdr:col>10</xdr:col>
      <xdr:colOff>533400</xdr:colOff>
      <xdr:row>35</xdr:row>
      <xdr:rowOff>139700</xdr:rowOff>
    </xdr:from>
    <xdr:to>
      <xdr:col>13</xdr:col>
      <xdr:colOff>558800</xdr:colOff>
      <xdr:row>37</xdr:row>
      <xdr:rowOff>177800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0086F38-E6C0-E74E-97C7-7D8D551FBE38}"/>
            </a:ext>
          </a:extLst>
        </xdr:cNvPr>
        <xdr:cNvSpPr txBox="1"/>
      </xdr:nvSpPr>
      <xdr:spPr>
        <a:xfrm>
          <a:off x="7150100" y="7251700"/>
          <a:ext cx="20447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Trial Number</a:t>
          </a:r>
        </a:p>
      </xdr:txBody>
    </xdr:sp>
    <xdr:clientData/>
  </xdr:twoCellAnchor>
  <xdr:twoCellAnchor>
    <xdr:from>
      <xdr:col>28</xdr:col>
      <xdr:colOff>279400</xdr:colOff>
      <xdr:row>25</xdr:row>
      <xdr:rowOff>19050</xdr:rowOff>
    </xdr:from>
    <xdr:to>
      <xdr:col>33</xdr:col>
      <xdr:colOff>114300</xdr:colOff>
      <xdr:row>36</xdr:row>
      <xdr:rowOff>69850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C0B198-E7B5-CF42-A55C-CBCFBD5FB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76200</xdr:colOff>
      <xdr:row>25</xdr:row>
      <xdr:rowOff>0</xdr:rowOff>
    </xdr:from>
    <xdr:to>
      <xdr:col>37</xdr:col>
      <xdr:colOff>584200</xdr:colOff>
      <xdr:row>36</xdr:row>
      <xdr:rowOff>50800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77134C1-7E8B-804A-AA51-739CD460F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27</xdr:row>
      <xdr:rowOff>139700</xdr:rowOff>
    </xdr:from>
    <xdr:to>
      <xdr:col>28</xdr:col>
      <xdr:colOff>228600</xdr:colOff>
      <xdr:row>32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31A3BF6-ACC8-CE41-87D4-F28C53EF029B}"/>
            </a:ext>
          </a:extLst>
        </xdr:cNvPr>
        <xdr:cNvSpPr txBox="1"/>
      </xdr:nvSpPr>
      <xdr:spPr>
        <a:xfrm>
          <a:off x="16852900" y="5626100"/>
          <a:ext cx="157480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Responses per Minute</a:t>
          </a:r>
        </a:p>
      </xdr:txBody>
    </xdr:sp>
    <xdr:clientData/>
  </xdr:twoCellAnchor>
  <xdr:twoCellAnchor>
    <xdr:from>
      <xdr:col>29</xdr:col>
      <xdr:colOff>177800</xdr:colOff>
      <xdr:row>36</xdr:row>
      <xdr:rowOff>76200</xdr:rowOff>
    </xdr:from>
    <xdr:to>
      <xdr:col>33</xdr:col>
      <xdr:colOff>0</xdr:colOff>
      <xdr:row>38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6EA54D5-83F2-2548-B07A-2EDFD94DFC60}"/>
            </a:ext>
          </a:extLst>
        </xdr:cNvPr>
        <xdr:cNvSpPr txBox="1"/>
      </xdr:nvSpPr>
      <xdr:spPr>
        <a:xfrm>
          <a:off x="19050000" y="7391400"/>
          <a:ext cx="25146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Minute Into Session</a:t>
          </a:r>
        </a:p>
      </xdr:txBody>
    </xdr:sp>
    <xdr:clientData/>
  </xdr:twoCellAnchor>
  <xdr:twoCellAnchor>
    <xdr:from>
      <xdr:col>33</xdr:col>
      <xdr:colOff>647700</xdr:colOff>
      <xdr:row>36</xdr:row>
      <xdr:rowOff>76200</xdr:rowOff>
    </xdr:from>
    <xdr:to>
      <xdr:col>37</xdr:col>
      <xdr:colOff>482600</xdr:colOff>
      <xdr:row>38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77AC41-DEFE-EA4F-A884-CBBC764D6510}"/>
            </a:ext>
          </a:extLst>
        </xdr:cNvPr>
        <xdr:cNvSpPr txBox="1"/>
      </xdr:nvSpPr>
      <xdr:spPr>
        <a:xfrm>
          <a:off x="22212300" y="7391400"/>
          <a:ext cx="25273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Minute Into Session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263525</xdr:colOff>
      <xdr:row>1</xdr:row>
      <xdr:rowOff>352425</xdr:rowOff>
    </xdr:from>
    <xdr:to>
      <xdr:col>27</xdr:col>
      <xdr:colOff>714375</xdr:colOff>
      <xdr:row>36</xdr:row>
      <xdr:rowOff>31750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1E40C17A-872D-A168-A4E8-56FCCFB02665}"/>
            </a:ext>
          </a:extLst>
        </xdr:cNvPr>
        <xdr:cNvGrpSpPr/>
      </xdr:nvGrpSpPr>
      <xdr:grpSpPr>
        <a:xfrm>
          <a:off x="10534650" y="558800"/>
          <a:ext cx="9991725" cy="7346950"/>
          <a:chOff x="4994275" y="6337300"/>
          <a:chExt cx="9991725" cy="7346950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9F78ADBF-E8AC-5D47-9D15-C701C2B7C45C}"/>
              </a:ext>
            </a:extLst>
          </xdr:cNvPr>
          <xdr:cNvGraphicFramePr>
            <a:graphicFrameLocks/>
          </xdr:cNvGraphicFramePr>
        </xdr:nvGraphicFramePr>
        <xdr:xfrm>
          <a:off x="10388600" y="9671050"/>
          <a:ext cx="4572000" cy="3251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4439BD6-777E-9640-8E8C-D99F8A43026D}"/>
              </a:ext>
            </a:extLst>
          </xdr:cNvPr>
          <xdr:cNvGraphicFramePr>
            <a:graphicFrameLocks/>
          </xdr:cNvGraphicFramePr>
        </xdr:nvGraphicFramePr>
        <xdr:xfrm>
          <a:off x="10414000" y="6505575"/>
          <a:ext cx="4572000" cy="3251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77A31D8-7549-EF92-BB42-24670040A396}"/>
              </a:ext>
            </a:extLst>
          </xdr:cNvPr>
          <xdr:cNvGraphicFramePr/>
        </xdr:nvGraphicFramePr>
        <xdr:xfrm>
          <a:off x="5978531" y="6502406"/>
          <a:ext cx="4562475" cy="3251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B77EC2B-356E-2D11-3479-D473782543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762875" y="6337300"/>
            <a:ext cx="5500642" cy="372110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D7ED37A2-5431-EA45-A76C-3374DB2BD939}"/>
              </a:ext>
            </a:extLst>
          </xdr:cNvPr>
          <xdr:cNvSpPr txBox="1"/>
        </xdr:nvSpPr>
        <xdr:spPr>
          <a:xfrm rot="16200000">
            <a:off x="2309812" y="9240838"/>
            <a:ext cx="6264276" cy="895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5000"/>
              <a:t>Responses per Min</a:t>
            </a:r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72B0AF73-1420-2045-9C78-749993B2CD42}"/>
              </a:ext>
            </a:extLst>
          </xdr:cNvPr>
          <xdr:cNvGraphicFramePr>
            <a:graphicFrameLocks/>
          </xdr:cNvGraphicFramePr>
        </xdr:nvGraphicFramePr>
        <xdr:xfrm>
          <a:off x="5953131" y="9677406"/>
          <a:ext cx="4575175" cy="3251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D9E663-274D-674A-86A0-706645FF86C2}"/>
              </a:ext>
            </a:extLst>
          </xdr:cNvPr>
          <xdr:cNvSpPr txBox="1"/>
        </xdr:nvSpPr>
        <xdr:spPr>
          <a:xfrm>
            <a:off x="7651750" y="12849225"/>
            <a:ext cx="5937250" cy="835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5000"/>
              <a:t>Session Number</a:t>
            </a:r>
          </a:p>
        </xdr:txBody>
      </xdr:sp>
    </xdr:grpSp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0.06111</cdr:x>
      <cdr:y>0</cdr:y>
    </cdr:from>
    <cdr:to>
      <cdr:x>1</cdr:x>
      <cdr:y>0.10317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7D7CD889-F6C0-AE9C-C39E-027A6546E5ED}"/>
            </a:ext>
          </a:extLst>
        </cdr:cNvPr>
        <cdr:cNvSpPr txBox="1"/>
      </cdr:nvSpPr>
      <cdr:spPr>
        <a:xfrm xmlns:a="http://schemas.openxmlformats.org/drawingml/2006/main">
          <a:off x="279400" y="0"/>
          <a:ext cx="4292600" cy="330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    Baseline      Treatment      Baseline     Treatment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0.06111</cdr:x>
      <cdr:y>0</cdr:y>
    </cdr:from>
    <cdr:to>
      <cdr:x>1</cdr:x>
      <cdr:y>0.10317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18EA153A-9019-21A9-47E6-6ED60F4A30C9}"/>
            </a:ext>
          </a:extLst>
        </cdr:cNvPr>
        <cdr:cNvSpPr txBox="1"/>
      </cdr:nvSpPr>
      <cdr:spPr>
        <a:xfrm xmlns:a="http://schemas.openxmlformats.org/drawingml/2006/main">
          <a:off x="279400" y="0"/>
          <a:ext cx="4292600" cy="330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    Baseline      Treatment      Baseline     Treatment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311150</xdr:colOff>
      <xdr:row>1</xdr:row>
      <xdr:rowOff>381000</xdr:rowOff>
    </xdr:from>
    <xdr:to>
      <xdr:col>10</xdr:col>
      <xdr:colOff>381000</xdr:colOff>
      <xdr:row>31</xdr:row>
      <xdr:rowOff>9526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5ED4678-827F-FAF4-6725-EF07CC848CE5}"/>
            </a:ext>
          </a:extLst>
        </xdr:cNvPr>
        <xdr:cNvSpPr txBox="1"/>
      </xdr:nvSpPr>
      <xdr:spPr>
        <a:xfrm rot="16200000">
          <a:off x="1611312" y="3160713"/>
          <a:ext cx="6042026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5000"/>
            <a:t>Responses per Min</a:t>
          </a:r>
        </a:p>
      </xdr:txBody>
    </xdr:sp>
    <xdr:clientData/>
  </xdr:twoCellAnchor>
  <xdr:twoCellAnchor>
    <xdr:from>
      <xdr:col>10</xdr:col>
      <xdr:colOff>508006</xdr:colOff>
      <xdr:row>1</xdr:row>
      <xdr:rowOff>88906</xdr:rowOff>
    </xdr:from>
    <xdr:to>
      <xdr:col>15</xdr:col>
      <xdr:colOff>495306</xdr:colOff>
      <xdr:row>15</xdr:row>
      <xdr:rowOff>12706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0F5B60-5B5F-C667-9CFE-6A0A860E6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79375</xdr:colOff>
      <xdr:row>30</xdr:row>
      <xdr:rowOff>22225</xdr:rowOff>
    </xdr:from>
    <xdr:to>
      <xdr:col>19</xdr:col>
      <xdr:colOff>238125</xdr:colOff>
      <xdr:row>34</xdr:row>
      <xdr:rowOff>31750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7F0F78-19DD-9250-953B-BD9D72F19DB7}"/>
            </a:ext>
          </a:extLst>
        </xdr:cNvPr>
        <xdr:cNvSpPr txBox="1"/>
      </xdr:nvSpPr>
      <xdr:spPr>
        <a:xfrm>
          <a:off x="10699750" y="6435725"/>
          <a:ext cx="5937250" cy="835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5000"/>
            <a:t>Session Number</a:t>
          </a:r>
        </a:p>
      </xdr:txBody>
    </xdr:sp>
    <xdr:clientData/>
  </xdr:twoCellAnchor>
  <xdr:twoCellAnchor>
    <xdr:from>
      <xdr:col>14</xdr:col>
      <xdr:colOff>79375</xdr:colOff>
      <xdr:row>8</xdr:row>
      <xdr:rowOff>15875</xdr:rowOff>
    </xdr:from>
    <xdr:to>
      <xdr:col>15</xdr:col>
      <xdr:colOff>365125</xdr:colOff>
      <xdr:row>12</xdr:row>
      <xdr:rowOff>190500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247F33B-EEE0-6839-03D2-B0EF83B126C8}"/>
            </a:ext>
          </a:extLst>
        </xdr:cNvPr>
        <xdr:cNvSpPr txBox="1"/>
      </xdr:nvSpPr>
      <xdr:spPr>
        <a:xfrm>
          <a:off x="8540750" y="1889125"/>
          <a:ext cx="1111250" cy="1000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PND</a:t>
          </a:r>
          <a:r>
            <a:rPr lang="en-US" sz="1400" baseline="0"/>
            <a:t> = 100%</a:t>
          </a:r>
        </a:p>
        <a:p>
          <a:pPr algn="ctr"/>
          <a:r>
            <a:rPr lang="en-US" sz="1400" baseline="0"/>
            <a:t>NAP = 0%</a:t>
          </a:r>
        </a:p>
        <a:p>
          <a:pPr algn="ctr"/>
          <a:r>
            <a:rPr lang="en-US" sz="1400" baseline="0"/>
            <a:t>PAND = 0%</a:t>
          </a:r>
        </a:p>
        <a:p>
          <a:pPr algn="ctr"/>
          <a:r>
            <a:rPr lang="en-US" sz="1400" baseline="0"/>
            <a:t>PEM = 100%</a:t>
          </a:r>
          <a:endParaRPr lang="en-US" sz="1400"/>
        </a:p>
      </xdr:txBody>
    </xdr:sp>
    <xdr:clientData/>
  </xdr:twoCellAnchor>
  <xdr:twoCellAnchor>
    <xdr:from>
      <xdr:col>10</xdr:col>
      <xdr:colOff>492125</xdr:colOff>
      <xdr:row>15</xdr:row>
      <xdr:rowOff>142875</xdr:rowOff>
    </xdr:from>
    <xdr:to>
      <xdr:col>15</xdr:col>
      <xdr:colOff>479425</xdr:colOff>
      <xdr:row>30</xdr:row>
      <xdr:rowOff>82550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FC8668-F174-C346-899A-28F3BF0D6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111125</xdr:colOff>
      <xdr:row>23</xdr:row>
      <xdr:rowOff>95249</xdr:rowOff>
    </xdr:from>
    <xdr:to>
      <xdr:col>15</xdr:col>
      <xdr:colOff>396875</xdr:colOff>
      <xdr:row>28</xdr:row>
      <xdr:rowOff>63499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CCD298-69AA-0A42-9826-C76BCB0B3345}"/>
            </a:ext>
          </a:extLst>
        </xdr:cNvPr>
        <xdr:cNvSpPr txBox="1"/>
      </xdr:nvSpPr>
      <xdr:spPr>
        <a:xfrm>
          <a:off x="8572500" y="5064124"/>
          <a:ext cx="1111250" cy="1000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PND</a:t>
          </a:r>
          <a:r>
            <a:rPr lang="en-US" sz="1400" baseline="0"/>
            <a:t> = 100%</a:t>
          </a:r>
        </a:p>
        <a:p>
          <a:pPr algn="ctr"/>
          <a:r>
            <a:rPr lang="en-US" sz="1400" baseline="0"/>
            <a:t>NAP = 0%</a:t>
          </a:r>
        </a:p>
        <a:p>
          <a:pPr algn="ctr"/>
          <a:r>
            <a:rPr lang="en-US" sz="1400" baseline="0"/>
            <a:t>PAND = 0%</a:t>
          </a:r>
        </a:p>
        <a:p>
          <a:pPr algn="ctr"/>
          <a:r>
            <a:rPr lang="en-US" sz="1400" baseline="0"/>
            <a:t>PEM = 100%</a:t>
          </a:r>
          <a:endParaRPr lang="en-US" sz="1400"/>
        </a:p>
      </xdr:txBody>
    </xdr:sp>
    <xdr:clientData/>
  </xdr:twoCellAnchor>
  <xdr:twoCellAnchor>
    <xdr:from>
      <xdr:col>15</xdr:col>
      <xdr:colOff>660406</xdr:colOff>
      <xdr:row>1</xdr:row>
      <xdr:rowOff>19056</xdr:rowOff>
    </xdr:from>
    <xdr:to>
      <xdr:col>21</xdr:col>
      <xdr:colOff>282581</xdr:colOff>
      <xdr:row>14</xdr:row>
      <xdr:rowOff>149231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312802-3A3B-4710-DFF3-256AA7410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644525</xdr:colOff>
      <xdr:row>15</xdr:row>
      <xdr:rowOff>73025</xdr:rowOff>
    </xdr:from>
    <xdr:to>
      <xdr:col>21</xdr:col>
      <xdr:colOff>266700</xdr:colOff>
      <xdr:row>30</xdr:row>
      <xdr:rowOff>12700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4143C28-D93E-D92D-E469-D66F17830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0.06111</cdr:x>
      <cdr:y>0</cdr:y>
    </cdr:from>
    <cdr:to>
      <cdr:x>1</cdr:x>
      <cdr:y>0.10317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18EA153A-9019-21A9-47E6-6ED60F4A30C9}"/>
            </a:ext>
          </a:extLst>
        </cdr:cNvPr>
        <cdr:cNvSpPr txBox="1"/>
      </cdr:nvSpPr>
      <cdr:spPr>
        <a:xfrm xmlns:a="http://schemas.openxmlformats.org/drawingml/2006/main">
          <a:off x="279400" y="0"/>
          <a:ext cx="4292600" cy="330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                    Baseline                        </a:t>
          </a:r>
          <a:r>
            <a:rPr lang="en-US" sz="1600" baseline="0"/>
            <a:t> </a:t>
          </a:r>
          <a:r>
            <a:rPr lang="en-US" sz="1600"/>
            <a:t>Treatment      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0.06111</cdr:x>
      <cdr:y>0</cdr:y>
    </cdr:from>
    <cdr:to>
      <cdr:x>1</cdr:x>
      <cdr:y>0.10317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18EA153A-9019-21A9-47E6-6ED60F4A30C9}"/>
            </a:ext>
          </a:extLst>
        </cdr:cNvPr>
        <cdr:cNvSpPr txBox="1"/>
      </cdr:nvSpPr>
      <cdr:spPr>
        <a:xfrm xmlns:a="http://schemas.openxmlformats.org/drawingml/2006/main">
          <a:off x="279400" y="0"/>
          <a:ext cx="4292600" cy="330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    Baseline      Treatment      Baseline     Treatment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0.06111</cdr:x>
      <cdr:y>0</cdr:y>
    </cdr:from>
    <cdr:to>
      <cdr:x>1</cdr:x>
      <cdr:y>0.10317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18EA153A-9019-21A9-47E6-6ED60F4A30C9}"/>
            </a:ext>
          </a:extLst>
        </cdr:cNvPr>
        <cdr:cNvSpPr txBox="1"/>
      </cdr:nvSpPr>
      <cdr:spPr>
        <a:xfrm xmlns:a="http://schemas.openxmlformats.org/drawingml/2006/main">
          <a:off x="279400" y="0"/>
          <a:ext cx="4292600" cy="330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                    Baseline                        </a:t>
          </a:r>
          <a:r>
            <a:rPr lang="en-US" sz="1600" baseline="0"/>
            <a:t> </a:t>
          </a:r>
          <a:r>
            <a:rPr lang="en-US" sz="1600"/>
            <a:t>Treatment      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0.06111</cdr:x>
      <cdr:y>0</cdr:y>
    </cdr:from>
    <cdr:to>
      <cdr:x>1</cdr:x>
      <cdr:y>0.10317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18EA153A-9019-21A9-47E6-6ED60F4A30C9}"/>
            </a:ext>
          </a:extLst>
        </cdr:cNvPr>
        <cdr:cNvSpPr txBox="1"/>
      </cdr:nvSpPr>
      <cdr:spPr>
        <a:xfrm xmlns:a="http://schemas.openxmlformats.org/drawingml/2006/main">
          <a:off x="279400" y="0"/>
          <a:ext cx="4292600" cy="330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    Baseline      Treatment      Baseline     Treatment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574129</xdr:colOff>
      <xdr:row>30</xdr:row>
      <xdr:rowOff>126303</xdr:rowOff>
    </xdr:from>
    <xdr:to>
      <xdr:col>9</xdr:col>
      <xdr:colOff>362462</xdr:colOff>
      <xdr:row>45</xdr:row>
      <xdr:rowOff>114110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926D0-93BB-9D2D-1B38-B490142EF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592668</xdr:colOff>
      <xdr:row>30</xdr:row>
      <xdr:rowOff>112889</xdr:rowOff>
    </xdr:from>
    <xdr:to>
      <xdr:col>17</xdr:col>
      <xdr:colOff>536223</xdr:colOff>
      <xdr:row>45</xdr:row>
      <xdr:rowOff>100696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AD86E6-3A11-CE41-BFE2-88C14A208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581570</xdr:colOff>
      <xdr:row>44</xdr:row>
      <xdr:rowOff>35973</xdr:rowOff>
    </xdr:from>
    <xdr:to>
      <xdr:col>17</xdr:col>
      <xdr:colOff>525125</xdr:colOff>
      <xdr:row>59</xdr:row>
      <xdr:rowOff>23780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47092-90E9-234E-93C0-1EB2786E5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310444</xdr:colOff>
      <xdr:row>30</xdr:row>
      <xdr:rowOff>0</xdr:rowOff>
    </xdr:from>
    <xdr:to>
      <xdr:col>2</xdr:col>
      <xdr:colOff>457906</xdr:colOff>
      <xdr:row>59</xdr:row>
      <xdr:rowOff>185915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C8FFF2C-1641-FA42-9D8B-E15BD941DF06}"/>
            </a:ext>
          </a:extLst>
        </xdr:cNvPr>
        <xdr:cNvSpPr txBox="1"/>
      </xdr:nvSpPr>
      <xdr:spPr>
        <a:xfrm rot="16200000">
          <a:off x="-1430338" y="9995783"/>
          <a:ext cx="6042026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/>
            <a:t>Responses per Min</a:t>
          </a:r>
        </a:p>
      </xdr:txBody>
    </xdr:sp>
    <xdr:clientData/>
  </xdr:twoCellAnchor>
  <xdr:twoCellAnchor>
    <xdr:from>
      <xdr:col>5</xdr:col>
      <xdr:colOff>381000</xdr:colOff>
      <xdr:row>59</xdr:row>
      <xdr:rowOff>76905</xdr:rowOff>
    </xdr:from>
    <xdr:to>
      <xdr:col>13</xdr:col>
      <xdr:colOff>518583</xdr:colOff>
      <xdr:row>63</xdr:row>
      <xdr:rowOff>121708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B2F2E75-9260-884C-B861-9CAC3CFE893C}"/>
            </a:ext>
          </a:extLst>
        </xdr:cNvPr>
        <xdr:cNvSpPr txBox="1"/>
      </xdr:nvSpPr>
      <xdr:spPr>
        <a:xfrm>
          <a:off x="3993444" y="13355461"/>
          <a:ext cx="5937250" cy="835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5000"/>
            <a:t>Session Number</a:t>
          </a:r>
        </a:p>
      </xdr:txBody>
    </xdr:sp>
    <xdr:clientData/>
  </xdr:twoCellAnchor>
  <xdr:twoCellAnchor>
    <xdr:from>
      <xdr:col>2</xdr:col>
      <xdr:colOff>553156</xdr:colOff>
      <xdr:row>44</xdr:row>
      <xdr:rowOff>49389</xdr:rowOff>
    </xdr:from>
    <xdr:to>
      <xdr:col>9</xdr:col>
      <xdr:colOff>341489</xdr:colOff>
      <xdr:row>59</xdr:row>
      <xdr:rowOff>37196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36F03-2E47-C84A-AE25-47D30B9FF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505178</xdr:colOff>
      <xdr:row>30</xdr:row>
      <xdr:rowOff>0</xdr:rowOff>
    </xdr:from>
    <xdr:to>
      <xdr:col>10</xdr:col>
      <xdr:colOff>624417</xdr:colOff>
      <xdr:row>59</xdr:row>
      <xdr:rowOff>183093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AFB78C1-B414-A342-AB29-B8DC970A4AE3}"/>
            </a:ext>
          </a:extLst>
        </xdr:cNvPr>
        <xdr:cNvSpPr txBox="1"/>
      </xdr:nvSpPr>
      <xdr:spPr>
        <a:xfrm rot="16200000">
          <a:off x="4295951" y="9992961"/>
          <a:ext cx="6042026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/>
            <a:t>Difference From Previous</a:t>
          </a:r>
          <a:endParaRPr lang="en-US" sz="50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574129</xdr:colOff>
      <xdr:row>32</xdr:row>
      <xdr:rowOff>24703</xdr:rowOff>
    </xdr:from>
    <xdr:to>
      <xdr:col>9</xdr:col>
      <xdr:colOff>362462</xdr:colOff>
      <xdr:row>47</xdr:row>
      <xdr:rowOff>12510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F971D-8E25-B649-BA9B-F26BE4FA9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584200</xdr:colOff>
      <xdr:row>49</xdr:row>
      <xdr:rowOff>126999</xdr:rowOff>
    </xdr:from>
    <xdr:to>
      <xdr:col>2</xdr:col>
      <xdr:colOff>731662</xdr:colOff>
      <xdr:row>67</xdr:row>
      <xdr:rowOff>2470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39AA9A1-57FD-1049-A406-2184166D96F3}"/>
            </a:ext>
          </a:extLst>
        </xdr:cNvPr>
        <xdr:cNvSpPr txBox="1"/>
      </xdr:nvSpPr>
      <xdr:spPr>
        <a:xfrm rot="16200000">
          <a:off x="110595" y="11624204"/>
          <a:ext cx="3533071" cy="909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/>
            <a:t>Resp per Min</a:t>
          </a:r>
        </a:p>
      </xdr:txBody>
    </xdr:sp>
    <xdr:clientData/>
  </xdr:twoCellAnchor>
  <xdr:twoCellAnchor>
    <xdr:from>
      <xdr:col>3</xdr:col>
      <xdr:colOff>177800</xdr:colOff>
      <xdr:row>85</xdr:row>
      <xdr:rowOff>51505</xdr:rowOff>
    </xdr:from>
    <xdr:to>
      <xdr:col>8</xdr:col>
      <xdr:colOff>696383</xdr:colOff>
      <xdr:row>89</xdr:row>
      <xdr:rowOff>96308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AA74EC-22B0-6D4A-9DB9-91297B264CF5}"/>
            </a:ext>
          </a:extLst>
        </xdr:cNvPr>
        <xdr:cNvSpPr txBox="1"/>
      </xdr:nvSpPr>
      <xdr:spPr>
        <a:xfrm>
          <a:off x="2540000" y="17552105"/>
          <a:ext cx="3820583" cy="8576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800"/>
            <a:t>Session Number</a:t>
          </a:r>
        </a:p>
      </xdr:txBody>
    </xdr:sp>
    <xdr:clientData/>
  </xdr:twoCellAnchor>
  <xdr:twoCellAnchor>
    <xdr:from>
      <xdr:col>2</xdr:col>
      <xdr:colOff>553156</xdr:colOff>
      <xdr:row>51</xdr:row>
      <xdr:rowOff>22578</xdr:rowOff>
    </xdr:from>
    <xdr:to>
      <xdr:col>9</xdr:col>
      <xdr:colOff>318911</xdr:colOff>
      <xdr:row>66</xdr:row>
      <xdr:rowOff>10385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A3DBB9-7192-5844-A2C1-CC41ED941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462844</xdr:colOff>
      <xdr:row>70</xdr:row>
      <xdr:rowOff>83969</xdr:rowOff>
    </xdr:from>
    <xdr:to>
      <xdr:col>9</xdr:col>
      <xdr:colOff>251177</xdr:colOff>
      <xdr:row>85</xdr:row>
      <xdr:rowOff>71776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0376BD0-C21A-0D45-BF06-DE79B9838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441871</xdr:colOff>
      <xdr:row>90</xdr:row>
      <xdr:rowOff>56444</xdr:rowOff>
    </xdr:from>
    <xdr:to>
      <xdr:col>9</xdr:col>
      <xdr:colOff>207626</xdr:colOff>
      <xdr:row>105</xdr:row>
      <xdr:rowOff>44251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3EF7964-7F22-2B42-BD52-D818956BF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584200</xdr:colOff>
      <xdr:row>68</xdr:row>
      <xdr:rowOff>177799</xdr:rowOff>
    </xdr:from>
    <xdr:to>
      <xdr:col>2</xdr:col>
      <xdr:colOff>718962</xdr:colOff>
      <xdr:row>86</xdr:row>
      <xdr:rowOff>53270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D3D829-6C49-E745-9A2A-D72B6AFE48C4}"/>
            </a:ext>
          </a:extLst>
        </xdr:cNvPr>
        <xdr:cNvSpPr txBox="1"/>
      </xdr:nvSpPr>
      <xdr:spPr>
        <a:xfrm rot="16200000">
          <a:off x="104245" y="15542154"/>
          <a:ext cx="3533071" cy="896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/>
            <a:t>Resp per Min</a:t>
          </a:r>
        </a:p>
      </xdr:txBody>
    </xdr:sp>
    <xdr:clientData/>
  </xdr:twoCellAnchor>
  <xdr:twoCellAnchor>
    <xdr:from>
      <xdr:col>3</xdr:col>
      <xdr:colOff>177800</xdr:colOff>
      <xdr:row>105</xdr:row>
      <xdr:rowOff>51505</xdr:rowOff>
    </xdr:from>
    <xdr:to>
      <xdr:col>8</xdr:col>
      <xdr:colOff>696383</xdr:colOff>
      <xdr:row>109</xdr:row>
      <xdr:rowOff>96308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82E2DB6-31B3-D35E-4C27-26A1B6D4FE93}"/>
            </a:ext>
          </a:extLst>
        </xdr:cNvPr>
        <xdr:cNvSpPr txBox="1"/>
      </xdr:nvSpPr>
      <xdr:spPr>
        <a:xfrm>
          <a:off x="2540000" y="21616105"/>
          <a:ext cx="3820583" cy="8576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800"/>
            <a:t>Session Number</a:t>
          </a:r>
        </a:p>
      </xdr:txBody>
    </xdr:sp>
    <xdr:clientData/>
  </xdr:twoCellAnchor>
  <xdr:twoCellAnchor>
    <xdr:from>
      <xdr:col>1</xdr:col>
      <xdr:colOff>584200</xdr:colOff>
      <xdr:row>88</xdr:row>
      <xdr:rowOff>177799</xdr:rowOff>
    </xdr:from>
    <xdr:to>
      <xdr:col>2</xdr:col>
      <xdr:colOff>718962</xdr:colOff>
      <xdr:row>106</xdr:row>
      <xdr:rowOff>53270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619990D-5AA3-8DBD-4C2D-BFBF79D19177}"/>
            </a:ext>
          </a:extLst>
        </xdr:cNvPr>
        <xdr:cNvSpPr txBox="1"/>
      </xdr:nvSpPr>
      <xdr:spPr>
        <a:xfrm rot="16200000">
          <a:off x="104245" y="19606154"/>
          <a:ext cx="3533071" cy="896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000"/>
            <a:t>Resp per Min</a:t>
          </a:r>
        </a:p>
      </xdr:txBody>
    </xdr:sp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0.07484</cdr:x>
      <cdr:y>0</cdr:y>
    </cdr:from>
    <cdr:to>
      <cdr:x>1</cdr:x>
      <cdr:y>0.15711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id="{56995C09-ECD8-62BC-7981-9906FABD4870}"/>
            </a:ext>
          </a:extLst>
        </cdr:cNvPr>
        <cdr:cNvSpPr txBox="1"/>
      </cdr:nvSpPr>
      <cdr:spPr>
        <a:xfrm xmlns:a="http://schemas.openxmlformats.org/drawingml/2006/main">
          <a:off x="345529" y="0"/>
          <a:ext cx="4271626" cy="476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     Baseline    Treatment    Baseline   Treatment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D2B9-B937-994A-9AB7-6B472D51A6D5}">
  <dimension ref="A1:I48"/>
  <sheetViews>
    <sheetView zoomScale="90" zoomScaleNormal="90" workbookViewId="0">
      <selection activeCell="B9" sqref="B9"/>
    </sheetView>
  </sheetViews>
  <sheetFormatPr baseColWidth="10" defaultRowHeight="16" x14ac:dyDescent="0.2"/>
  <cols>
    <col min="1" max="1" width="8.5" style="1" bestFit="1" customWidth="1"/>
    <col min="2" max="2" width="18.33203125" style="1" bestFit="1" customWidth="1"/>
    <col min="3" max="3" width="20.6640625" style="1" customWidth="1"/>
    <col min="4" max="4" width="8.5" style="1" bestFit="1" customWidth="1"/>
    <col min="5" max="5" width="18.33203125" style="1" bestFit="1" customWidth="1"/>
    <col min="6" max="6" width="20.6640625" style="1" bestFit="1" customWidth="1"/>
    <col min="7" max="7" width="8.5" style="1" bestFit="1" customWidth="1"/>
    <col min="8" max="8" width="18.33203125" style="1" bestFit="1" customWidth="1"/>
    <col min="9" max="9" width="20.6640625" style="1" bestFit="1" customWidth="1"/>
    <col min="10" max="16384" width="10.83203125" style="1"/>
  </cols>
  <sheetData>
    <row r="1" spans="1:9" x14ac:dyDescent="0.2">
      <c r="B1" s="4" t="s">
        <v>0</v>
      </c>
      <c r="C1" s="4" t="s">
        <v>3</v>
      </c>
      <c r="E1" s="4" t="s">
        <v>0</v>
      </c>
      <c r="F1" s="4" t="s">
        <v>3</v>
      </c>
      <c r="H1" s="4" t="s">
        <v>0</v>
      </c>
      <c r="I1" s="4" t="s">
        <v>3</v>
      </c>
    </row>
    <row r="2" spans="1:9" x14ac:dyDescent="0.2">
      <c r="B2" s="1" t="s">
        <v>1</v>
      </c>
      <c r="C2" s="1">
        <v>7</v>
      </c>
      <c r="E2" s="1" t="s">
        <v>1</v>
      </c>
      <c r="F2" s="1">
        <v>14</v>
      </c>
      <c r="H2" s="1" t="s">
        <v>1</v>
      </c>
      <c r="I2" s="1">
        <f>0.4*40</f>
        <v>16</v>
      </c>
    </row>
    <row r="3" spans="1:9" x14ac:dyDescent="0.2">
      <c r="B3" s="4" t="s">
        <v>2</v>
      </c>
      <c r="C3" s="4">
        <v>3</v>
      </c>
      <c r="E3" s="4" t="s">
        <v>2</v>
      </c>
      <c r="F3" s="4">
        <v>6</v>
      </c>
      <c r="H3" s="4" t="s">
        <v>2</v>
      </c>
      <c r="I3" s="4">
        <f>40-I2</f>
        <v>24</v>
      </c>
    </row>
    <row r="5" spans="1:9" x14ac:dyDescent="0.2">
      <c r="A5" s="2" t="s">
        <v>4</v>
      </c>
      <c r="B5" s="1">
        <f>MAX(A8:A17)</f>
        <v>10</v>
      </c>
      <c r="C5" s="12"/>
      <c r="D5" s="1">
        <v>20</v>
      </c>
      <c r="E5" s="1">
        <v>20</v>
      </c>
      <c r="F5" s="12">
        <v>20</v>
      </c>
      <c r="G5" s="2" t="s">
        <v>4</v>
      </c>
      <c r="H5" s="1">
        <f>MAX(G8:G47)</f>
        <v>40</v>
      </c>
      <c r="I5" s="12"/>
    </row>
    <row r="6" spans="1:9" x14ac:dyDescent="0.2">
      <c r="A6" s="3" t="s">
        <v>5</v>
      </c>
      <c r="B6" s="4">
        <f>(C2)/(C2+C3)</f>
        <v>0.7</v>
      </c>
      <c r="C6" s="13"/>
      <c r="D6" s="4">
        <v>0.9</v>
      </c>
      <c r="E6" s="4">
        <f>(F2)/(F2+F3)</f>
        <v>0.7</v>
      </c>
      <c r="F6" s="13">
        <v>0.5</v>
      </c>
      <c r="G6" s="3" t="s">
        <v>5</v>
      </c>
      <c r="H6" s="4">
        <f>(I2)/(I2+I3)</f>
        <v>0.4</v>
      </c>
      <c r="I6" s="13"/>
    </row>
    <row r="7" spans="1:9" ht="34" x14ac:dyDescent="0.2">
      <c r="A7" s="7" t="s">
        <v>6</v>
      </c>
      <c r="B7" s="7" t="s">
        <v>7</v>
      </c>
      <c r="C7" s="7" t="s">
        <v>8</v>
      </c>
      <c r="D7" s="41" t="s">
        <v>52</v>
      </c>
      <c r="E7" s="41" t="s">
        <v>53</v>
      </c>
      <c r="F7" s="41" t="s">
        <v>54</v>
      </c>
      <c r="G7" s="8" t="s">
        <v>6</v>
      </c>
      <c r="H7" s="7" t="s">
        <v>7</v>
      </c>
      <c r="I7" s="10" t="s">
        <v>8</v>
      </c>
    </row>
    <row r="8" spans="1:9" s="6" customFormat="1" x14ac:dyDescent="0.2">
      <c r="A8" s="9">
        <v>1</v>
      </c>
      <c r="B8" s="5">
        <f>_xlfn.BINOM.DIST($A8, B$5, B$6, FALSE)</f>
        <v>1.3778100000000015E-4</v>
      </c>
      <c r="C8" s="5">
        <f t="shared" ref="C8:C17" si="0">_xlfn.BINOM.DIST($A8, B$5, B$6, TRUE)</f>
        <v>1.4368590000000012E-4</v>
      </c>
      <c r="D8" s="5">
        <f>_xlfn.BINOM.DIST($A8, D$5, D$6, FALSE)</f>
        <v>1.7999999999999935E-18</v>
      </c>
      <c r="E8" s="5">
        <f>_xlfn.BINOM.DIST($A8, E$5, E$6, FALSE)</f>
        <v>1.627166053800001E-9</v>
      </c>
      <c r="F8" s="5">
        <f>_xlfn.BINOM.DIST($A8, F$5, F$6, FALSE)</f>
        <v>1.9073486328125034E-5</v>
      </c>
      <c r="G8" s="9">
        <v>1</v>
      </c>
      <c r="H8" s="5">
        <f t="shared" ref="H8:H47" si="1">_xlfn.BINOM.DIST($G8, H$5, H$6, FALSE)</f>
        <v>3.5646652103583345E-8</v>
      </c>
      <c r="I8" s="11">
        <f t="shared" ref="I8:I47" si="2">_xlfn.BINOM.DIST($G8, H$5, H$6, TRUE)</f>
        <v>3.6983401557467647E-8</v>
      </c>
    </row>
    <row r="9" spans="1:9" x14ac:dyDescent="0.2">
      <c r="A9" s="9">
        <f t="shared" ref="A9:A27" si="3">A8+1</f>
        <v>2</v>
      </c>
      <c r="B9" s="5">
        <f t="shared" ref="B9:B17" si="4">_xlfn.BINOM.DIST($A9, B$5, B$6, FALSE)</f>
        <v>1.4467005000000047E-3</v>
      </c>
      <c r="C9" s="5">
        <f t="shared" si="0"/>
        <v>1.5903864000000008E-3</v>
      </c>
      <c r="D9" s="5">
        <f t="shared" ref="D9:F27" si="5">_xlfn.BINOM.DIST($A9, D$5, D$6, FALSE)</f>
        <v>1.5390000000000012E-16</v>
      </c>
      <c r="E9" s="5">
        <f t="shared" si="5"/>
        <v>3.606884752590013E-8</v>
      </c>
      <c r="F9" s="5">
        <f t="shared" si="5"/>
        <v>1.8119812011718755E-4</v>
      </c>
      <c r="G9" s="9">
        <f t="shared" ref="G9:G47" si="6">G8+1</f>
        <v>2</v>
      </c>
      <c r="H9" s="5">
        <f t="shared" si="1"/>
        <v>4.6340647734658267E-7</v>
      </c>
      <c r="I9" s="11">
        <f t="shared" si="2"/>
        <v>5.0038987890404931E-7</v>
      </c>
    </row>
    <row r="10" spans="1:9" x14ac:dyDescent="0.2">
      <c r="A10" s="9">
        <f t="shared" si="3"/>
        <v>3</v>
      </c>
      <c r="B10" s="5">
        <f t="shared" si="4"/>
        <v>9.0016920000000108E-3</v>
      </c>
      <c r="C10" s="5">
        <f t="shared" si="0"/>
        <v>1.0592078400000007E-2</v>
      </c>
      <c r="D10" s="5">
        <f t="shared" si="5"/>
        <v>8.3105999999999958E-15</v>
      </c>
      <c r="E10" s="5">
        <f t="shared" si="5"/>
        <v>5.0496386536260129E-7</v>
      </c>
      <c r="F10" s="5">
        <f t="shared" si="5"/>
        <v>1.0871887207031263E-3</v>
      </c>
      <c r="G10" s="9">
        <f t="shared" si="6"/>
        <v>3</v>
      </c>
      <c r="H10" s="5">
        <f t="shared" si="1"/>
        <v>3.9132102531489252E-6</v>
      </c>
      <c r="I10" s="11">
        <f t="shared" si="2"/>
        <v>4.4136001320529697E-6</v>
      </c>
    </row>
    <row r="11" spans="1:9" x14ac:dyDescent="0.2">
      <c r="A11" s="9">
        <f t="shared" si="3"/>
        <v>4</v>
      </c>
      <c r="B11" s="5">
        <f t="shared" si="4"/>
        <v>3.6756909000000053E-2</v>
      </c>
      <c r="C11" s="5">
        <f t="shared" si="0"/>
        <v>4.7348987400000014E-2</v>
      </c>
      <c r="D11" s="5">
        <f t="shared" si="5"/>
        <v>3.1788044999999865E-13</v>
      </c>
      <c r="E11" s="5">
        <f t="shared" si="5"/>
        <v>5.0075583315124709E-6</v>
      </c>
      <c r="F11" s="5">
        <f t="shared" si="5"/>
        <v>4.6205520629882752E-3</v>
      </c>
      <c r="G11" s="9">
        <f t="shared" si="6"/>
        <v>4</v>
      </c>
      <c r="H11" s="5">
        <f t="shared" si="1"/>
        <v>2.4131463227751628E-5</v>
      </c>
      <c r="I11" s="11">
        <f t="shared" si="2"/>
        <v>2.8545063359804588E-5</v>
      </c>
    </row>
    <row r="12" spans="1:9" x14ac:dyDescent="0.2">
      <c r="A12" s="9">
        <f t="shared" si="3"/>
        <v>5</v>
      </c>
      <c r="B12" s="5">
        <f t="shared" si="4"/>
        <v>0.10291934520000004</v>
      </c>
      <c r="C12" s="5">
        <f t="shared" si="0"/>
        <v>0.15026833260000003</v>
      </c>
      <c r="D12" s="5">
        <f t="shared" si="5"/>
        <v>9.154956959999926E-12</v>
      </c>
      <c r="E12" s="5">
        <f t="shared" si="5"/>
        <v>3.7389768875293041E-5</v>
      </c>
      <c r="F12" s="5">
        <f t="shared" si="5"/>
        <v>1.4785766601562502E-2</v>
      </c>
      <c r="G12" s="9">
        <f t="shared" si="6"/>
        <v>5</v>
      </c>
      <c r="H12" s="5">
        <f t="shared" si="1"/>
        <v>1.1583102349320834E-4</v>
      </c>
      <c r="I12" s="11">
        <f t="shared" si="2"/>
        <v>1.4437608685301264E-4</v>
      </c>
    </row>
    <row r="13" spans="1:9" x14ac:dyDescent="0.2">
      <c r="A13" s="9">
        <f t="shared" si="3"/>
        <v>6</v>
      </c>
      <c r="B13" s="5">
        <f t="shared" si="4"/>
        <v>0.20012094900000008</v>
      </c>
      <c r="C13" s="5">
        <f t="shared" si="0"/>
        <v>0.3503892816000001</v>
      </c>
      <c r="D13" s="5">
        <f t="shared" si="5"/>
        <v>2.0598653159999975E-10</v>
      </c>
      <c r="E13" s="5">
        <f t="shared" si="5"/>
        <v>2.1810698510587605E-4</v>
      </c>
      <c r="F13" s="5">
        <f t="shared" si="5"/>
        <v>3.6964416503906257E-2</v>
      </c>
      <c r="G13" s="9">
        <f t="shared" si="6"/>
        <v>6</v>
      </c>
      <c r="H13" s="5">
        <f t="shared" si="1"/>
        <v>4.504539802513648E-4</v>
      </c>
      <c r="I13" s="11">
        <f t="shared" si="2"/>
        <v>5.9483006710437617E-4</v>
      </c>
    </row>
    <row r="14" spans="1:9" x14ac:dyDescent="0.2">
      <c r="A14" s="9">
        <f t="shared" si="3"/>
        <v>7</v>
      </c>
      <c r="B14" s="5">
        <f t="shared" si="4"/>
        <v>0.26682793200000005</v>
      </c>
      <c r="C14" s="5">
        <f t="shared" si="0"/>
        <v>0.61721721360000026</v>
      </c>
      <c r="D14" s="5">
        <f t="shared" si="5"/>
        <v>3.7077575687999811E-9</v>
      </c>
      <c r="E14" s="5">
        <f t="shared" si="5"/>
        <v>1.0178325971607529E-3</v>
      </c>
      <c r="F14" s="5">
        <f t="shared" si="5"/>
        <v>7.3928833007812458E-2</v>
      </c>
      <c r="G14" s="9">
        <f t="shared" si="6"/>
        <v>7</v>
      </c>
      <c r="H14" s="5">
        <f t="shared" si="1"/>
        <v>1.4586128884329899E-3</v>
      </c>
      <c r="I14" s="11">
        <f t="shared" si="2"/>
        <v>2.0534429555373658E-3</v>
      </c>
    </row>
    <row r="15" spans="1:9" x14ac:dyDescent="0.2">
      <c r="A15" s="9">
        <f t="shared" si="3"/>
        <v>8</v>
      </c>
      <c r="B15" s="5">
        <f t="shared" si="4"/>
        <v>0.23347444050000005</v>
      </c>
      <c r="C15" s="5">
        <f t="shared" si="0"/>
        <v>0.85069165410000003</v>
      </c>
      <c r="D15" s="5">
        <f t="shared" si="5"/>
        <v>5.4225954443699671E-8</v>
      </c>
      <c r="E15" s="5">
        <f t="shared" si="5"/>
        <v>3.8592819309011951E-3</v>
      </c>
      <c r="F15" s="5">
        <f t="shared" si="5"/>
        <v>0.12013435363769531</v>
      </c>
      <c r="G15" s="9">
        <f t="shared" si="6"/>
        <v>8</v>
      </c>
      <c r="H15" s="5">
        <f t="shared" si="1"/>
        <v>4.0111854431907241E-3</v>
      </c>
      <c r="I15" s="11">
        <f t="shared" si="2"/>
        <v>6.0646283987280851E-3</v>
      </c>
    </row>
    <row r="16" spans="1:9" x14ac:dyDescent="0.2">
      <c r="A16" s="9">
        <f t="shared" si="3"/>
        <v>9</v>
      </c>
      <c r="B16" s="5">
        <f t="shared" si="4"/>
        <v>0.121060821</v>
      </c>
      <c r="C16" s="5">
        <f t="shared" si="0"/>
        <v>0.97175247509999996</v>
      </c>
      <c r="D16" s="5">
        <f t="shared" si="5"/>
        <v>6.5071145332439711E-7</v>
      </c>
      <c r="E16" s="5">
        <f t="shared" si="5"/>
        <v>1.2006654896137036E-2</v>
      </c>
      <c r="F16" s="5">
        <f t="shared" si="5"/>
        <v>0.16017913818359369</v>
      </c>
      <c r="G16" s="9">
        <f t="shared" si="6"/>
        <v>9</v>
      </c>
      <c r="H16" s="5">
        <f t="shared" si="1"/>
        <v>9.5079951246002346E-3</v>
      </c>
      <c r="I16" s="11">
        <f t="shared" si="2"/>
        <v>1.5572623523328308E-2</v>
      </c>
    </row>
    <row r="17" spans="1:9" x14ac:dyDescent="0.2">
      <c r="A17" s="9">
        <f t="shared" si="3"/>
        <v>10</v>
      </c>
      <c r="B17" s="5">
        <f t="shared" si="4"/>
        <v>2.824752489999998E-2</v>
      </c>
      <c r="C17" s="5">
        <f t="shared" si="0"/>
        <v>1</v>
      </c>
      <c r="D17" s="5">
        <f t="shared" si="5"/>
        <v>6.442043387911556E-6</v>
      </c>
      <c r="E17" s="5">
        <f t="shared" si="5"/>
        <v>3.0817080900085028E-2</v>
      </c>
      <c r="F17" s="5">
        <f t="shared" si="5"/>
        <v>0.17619705200195307</v>
      </c>
      <c r="G17" s="9">
        <f t="shared" si="6"/>
        <v>10</v>
      </c>
      <c r="H17" s="5">
        <f t="shared" si="1"/>
        <v>1.9649856590840481E-2</v>
      </c>
      <c r="I17" s="11">
        <f t="shared" si="2"/>
        <v>3.5222480114168758E-2</v>
      </c>
    </row>
    <row r="18" spans="1:9" x14ac:dyDescent="0.2">
      <c r="A18" s="9">
        <f t="shared" si="3"/>
        <v>11</v>
      </c>
      <c r="D18" s="5">
        <f t="shared" si="5"/>
        <v>5.2707627719276334E-5</v>
      </c>
      <c r="E18" s="5">
        <f t="shared" si="5"/>
        <v>6.5369565545634972E-2</v>
      </c>
      <c r="F18" s="5">
        <f t="shared" si="5"/>
        <v>0.16017913818359369</v>
      </c>
      <c r="G18" s="9">
        <f t="shared" si="6"/>
        <v>11</v>
      </c>
      <c r="H18" s="5">
        <f t="shared" si="1"/>
        <v>3.5727011983346338E-2</v>
      </c>
      <c r="I18" s="11">
        <f t="shared" si="2"/>
        <v>7.0949492097515082E-2</v>
      </c>
    </row>
    <row r="19" spans="1:9" x14ac:dyDescent="0.2">
      <c r="A19" s="9">
        <f t="shared" si="3"/>
        <v>12</v>
      </c>
      <c r="D19" s="5">
        <f t="shared" si="5"/>
        <v>3.5577648710511479E-4</v>
      </c>
      <c r="E19" s="5">
        <f t="shared" si="5"/>
        <v>0.11439673970486115</v>
      </c>
      <c r="F19" s="5">
        <f t="shared" si="5"/>
        <v>0.12013435363769531</v>
      </c>
      <c r="G19" s="9">
        <f t="shared" si="6"/>
        <v>12</v>
      </c>
      <c r="H19" s="5">
        <f t="shared" si="1"/>
        <v>5.7560185973169121E-2</v>
      </c>
      <c r="I19" s="11">
        <f t="shared" si="2"/>
        <v>0.12850967807068422</v>
      </c>
    </row>
    <row r="20" spans="1:9" x14ac:dyDescent="0.2">
      <c r="A20" s="9">
        <f t="shared" si="3"/>
        <v>13</v>
      </c>
      <c r="D20" s="5">
        <f t="shared" si="5"/>
        <v>1.9704543901206363E-3</v>
      </c>
      <c r="E20" s="5">
        <f t="shared" si="5"/>
        <v>0.16426198521723651</v>
      </c>
      <c r="F20" s="5">
        <f t="shared" si="5"/>
        <v>7.3928833007812472E-2</v>
      </c>
      <c r="G20" s="9">
        <f t="shared" si="6"/>
        <v>13</v>
      </c>
      <c r="H20" s="5">
        <f t="shared" si="1"/>
        <v>8.2650523448653007E-2</v>
      </c>
      <c r="I20" s="11">
        <f t="shared" si="2"/>
        <v>0.21116020151933731</v>
      </c>
    </row>
    <row r="21" spans="1:9" x14ac:dyDescent="0.2">
      <c r="A21" s="9">
        <f t="shared" si="3"/>
        <v>14</v>
      </c>
      <c r="D21" s="5">
        <f t="shared" si="5"/>
        <v>8.8670447555428602E-3</v>
      </c>
      <c r="E21" s="5">
        <f t="shared" si="5"/>
        <v>0.1916389827534426</v>
      </c>
      <c r="F21" s="5">
        <f t="shared" si="5"/>
        <v>3.6964416503906257E-2</v>
      </c>
      <c r="G21" s="9">
        <f t="shared" si="6"/>
        <v>14</v>
      </c>
      <c r="H21" s="5">
        <f t="shared" si="1"/>
        <v>0.10626495871969681</v>
      </c>
      <c r="I21" s="11">
        <f t="shared" si="2"/>
        <v>0.31742516023903417</v>
      </c>
    </row>
    <row r="22" spans="1:9" x14ac:dyDescent="0.2">
      <c r="A22" s="9">
        <f t="shared" si="3"/>
        <v>15</v>
      </c>
      <c r="D22" s="5">
        <f t="shared" si="5"/>
        <v>3.1921361119954361E-2</v>
      </c>
      <c r="E22" s="5">
        <f t="shared" si="5"/>
        <v>0.17886305056987969</v>
      </c>
      <c r="F22" s="5">
        <f t="shared" si="5"/>
        <v>1.4785766601562502E-2</v>
      </c>
      <c r="G22" s="9">
        <f t="shared" si="6"/>
        <v>15</v>
      </c>
      <c r="H22" s="5">
        <f t="shared" si="1"/>
        <v>0.12279506340942742</v>
      </c>
      <c r="I22" s="11">
        <f t="shared" si="2"/>
        <v>0.44022022364846114</v>
      </c>
    </row>
    <row r="23" spans="1:9" x14ac:dyDescent="0.2">
      <c r="A23" s="9">
        <f t="shared" si="3"/>
        <v>16</v>
      </c>
      <c r="D23" s="5">
        <f t="shared" si="5"/>
        <v>8.9778828149871676E-2</v>
      </c>
      <c r="E23" s="5">
        <f t="shared" si="5"/>
        <v>0.13042097437387062</v>
      </c>
      <c r="F23" s="5">
        <f t="shared" si="5"/>
        <v>4.6205520629882752E-3</v>
      </c>
      <c r="G23" s="9">
        <f t="shared" si="6"/>
        <v>16</v>
      </c>
      <c r="H23" s="5">
        <f t="shared" si="1"/>
        <v>0.1279115243848202</v>
      </c>
      <c r="I23" s="11">
        <f t="shared" si="2"/>
        <v>0.56813174803328159</v>
      </c>
    </row>
    <row r="24" spans="1:9" x14ac:dyDescent="0.2">
      <c r="A24" s="9">
        <f t="shared" si="3"/>
        <v>17</v>
      </c>
      <c r="D24" s="5">
        <f t="shared" si="5"/>
        <v>0.19011987137619876</v>
      </c>
      <c r="E24" s="5">
        <f t="shared" si="5"/>
        <v>7.1603672205262273E-2</v>
      </c>
      <c r="F24" s="5">
        <f t="shared" si="5"/>
        <v>1.0871887207031261E-3</v>
      </c>
      <c r="G24" s="9">
        <f t="shared" si="6"/>
        <v>17</v>
      </c>
      <c r="H24" s="5">
        <f t="shared" si="1"/>
        <v>0.12038731706806606</v>
      </c>
      <c r="I24" s="11">
        <f t="shared" si="2"/>
        <v>0.68851906510134742</v>
      </c>
    </row>
    <row r="25" spans="1:9" x14ac:dyDescent="0.2">
      <c r="A25" s="9">
        <f t="shared" si="3"/>
        <v>18</v>
      </c>
      <c r="D25" s="5">
        <f t="shared" si="5"/>
        <v>0.28517980706429835</v>
      </c>
      <c r="E25" s="5">
        <f t="shared" si="5"/>
        <v>2.7845872524268681E-2</v>
      </c>
      <c r="F25" s="5">
        <f t="shared" si="5"/>
        <v>1.8119812011718753E-4</v>
      </c>
      <c r="G25" s="9">
        <f t="shared" si="6"/>
        <v>18</v>
      </c>
      <c r="H25" s="5">
        <f t="shared" si="1"/>
        <v>0.10255215898390814</v>
      </c>
      <c r="I25" s="11">
        <f t="shared" si="2"/>
        <v>0.79107122408525599</v>
      </c>
    </row>
    <row r="26" spans="1:9" x14ac:dyDescent="0.2">
      <c r="A26" s="9">
        <f t="shared" si="3"/>
        <v>19</v>
      </c>
      <c r="D26" s="5">
        <f t="shared" si="5"/>
        <v>0.27017034353459851</v>
      </c>
      <c r="E26" s="5">
        <f t="shared" si="5"/>
        <v>6.8393371112238774E-3</v>
      </c>
      <c r="F26" s="5">
        <f t="shared" si="5"/>
        <v>1.9073486328125E-5</v>
      </c>
      <c r="G26" s="9">
        <f t="shared" si="6"/>
        <v>19</v>
      </c>
      <c r="H26" s="5">
        <f t="shared" si="1"/>
        <v>7.9163070092841389E-2</v>
      </c>
      <c r="I26" s="11">
        <f t="shared" si="2"/>
        <v>0.87023429417809739</v>
      </c>
    </row>
    <row r="27" spans="1:9" x14ac:dyDescent="0.2">
      <c r="A27" s="9">
        <f t="shared" si="3"/>
        <v>20</v>
      </c>
      <c r="D27" s="5">
        <f t="shared" si="5"/>
        <v>0.12157665459056931</v>
      </c>
      <c r="E27" s="5">
        <f t="shared" si="5"/>
        <v>7.9792266297611894E-4</v>
      </c>
      <c r="F27" s="5">
        <f t="shared" si="5"/>
        <v>9.5367431640625E-7</v>
      </c>
      <c r="G27" s="9">
        <f t="shared" si="6"/>
        <v>20</v>
      </c>
      <c r="H27" s="5">
        <f t="shared" si="1"/>
        <v>5.5414149064988968E-2</v>
      </c>
      <c r="I27" s="11">
        <f t="shared" si="2"/>
        <v>0.92564844324308604</v>
      </c>
    </row>
    <row r="28" spans="1:9" x14ac:dyDescent="0.2">
      <c r="G28" s="9">
        <f t="shared" si="6"/>
        <v>21</v>
      </c>
      <c r="H28" s="5">
        <f t="shared" si="1"/>
        <v>3.518358670792953E-2</v>
      </c>
      <c r="I28" s="11">
        <f t="shared" si="2"/>
        <v>0.96083202995101569</v>
      </c>
    </row>
    <row r="29" spans="1:9" x14ac:dyDescent="0.2">
      <c r="A29" s="9">
        <v>1</v>
      </c>
      <c r="D29" s="5">
        <f>D8</f>
        <v>1.7999999999999935E-18</v>
      </c>
      <c r="E29" s="5">
        <f t="shared" ref="E29:F29" si="7">E8</f>
        <v>1.627166053800001E-9</v>
      </c>
      <c r="F29" s="5">
        <f t="shared" si="7"/>
        <v>1.9073486328125034E-5</v>
      </c>
      <c r="G29" s="9">
        <f t="shared" si="6"/>
        <v>22</v>
      </c>
      <c r="H29" s="5">
        <f t="shared" si="1"/>
        <v>2.0257216589413943E-2</v>
      </c>
      <c r="I29" s="11">
        <f t="shared" si="2"/>
        <v>0.98108924654042973</v>
      </c>
    </row>
    <row r="30" spans="1:9" x14ac:dyDescent="0.2">
      <c r="A30" s="9">
        <f t="shared" ref="A30:A48" si="8">A29+1</f>
        <v>2</v>
      </c>
      <c r="D30" s="5">
        <f>D29+D9</f>
        <v>1.5570000000000012E-16</v>
      </c>
      <c r="E30" s="5">
        <f t="shared" ref="E30:F45" si="9">E29+E9</f>
        <v>3.7696013579700127E-8</v>
      </c>
      <c r="F30" s="5">
        <f t="shared" si="9"/>
        <v>2.0027160644531258E-4</v>
      </c>
      <c r="G30" s="9">
        <f t="shared" si="6"/>
        <v>23</v>
      </c>
      <c r="H30" s="5">
        <f t="shared" si="1"/>
        <v>1.0568982568389894E-2</v>
      </c>
      <c r="I30" s="11">
        <f t="shared" si="2"/>
        <v>0.99165822910881962</v>
      </c>
    </row>
    <row r="31" spans="1:9" x14ac:dyDescent="0.2">
      <c r="A31" s="9">
        <f t="shared" si="8"/>
        <v>3</v>
      </c>
      <c r="D31" s="5">
        <f t="shared" ref="D31:D48" si="10">D30+D10</f>
        <v>8.4662999999999964E-15</v>
      </c>
      <c r="E31" s="5">
        <f t="shared" si="9"/>
        <v>5.4265987894230144E-7</v>
      </c>
      <c r="F31" s="5">
        <f t="shared" si="9"/>
        <v>1.2874603271484388E-3</v>
      </c>
      <c r="G31" s="9">
        <f t="shared" si="6"/>
        <v>24</v>
      </c>
      <c r="H31" s="5">
        <f t="shared" si="1"/>
        <v>4.9909084350730068E-3</v>
      </c>
      <c r="I31" s="11">
        <f t="shared" si="2"/>
        <v>0.99664913754389262</v>
      </c>
    </row>
    <row r="32" spans="1:9" x14ac:dyDescent="0.2">
      <c r="A32" s="9">
        <f t="shared" si="8"/>
        <v>4</v>
      </c>
      <c r="D32" s="5">
        <f t="shared" si="10"/>
        <v>3.2634674999999865E-13</v>
      </c>
      <c r="E32" s="5">
        <f t="shared" si="9"/>
        <v>5.5502182104547724E-6</v>
      </c>
      <c r="F32" s="5">
        <f t="shared" si="9"/>
        <v>5.9080123901367135E-3</v>
      </c>
      <c r="G32" s="9">
        <f t="shared" si="6"/>
        <v>25</v>
      </c>
      <c r="H32" s="5">
        <f t="shared" si="1"/>
        <v>2.1294542656311454E-3</v>
      </c>
      <c r="I32" s="11">
        <f t="shared" si="2"/>
        <v>0.99877859180952377</v>
      </c>
    </row>
    <row r="33" spans="1:9" x14ac:dyDescent="0.2">
      <c r="A33" s="9">
        <f t="shared" si="8"/>
        <v>5</v>
      </c>
      <c r="D33" s="5">
        <f t="shared" si="10"/>
        <v>9.4813037099999243E-12</v>
      </c>
      <c r="E33" s="5">
        <f t="shared" si="9"/>
        <v>4.2939987085747812E-5</v>
      </c>
      <c r="F33" s="5">
        <f t="shared" si="9"/>
        <v>2.0693778991699215E-2</v>
      </c>
      <c r="G33" s="9">
        <f t="shared" si="6"/>
        <v>26</v>
      </c>
      <c r="H33" s="5">
        <f t="shared" si="1"/>
        <v>8.1902087139659296E-4</v>
      </c>
      <c r="I33" s="11">
        <f t="shared" si="2"/>
        <v>0.99959761268092029</v>
      </c>
    </row>
    <row r="34" spans="1:9" x14ac:dyDescent="0.2">
      <c r="A34" s="9">
        <f t="shared" si="8"/>
        <v>6</v>
      </c>
      <c r="D34" s="5">
        <f t="shared" si="10"/>
        <v>2.1546783530999966E-10</v>
      </c>
      <c r="E34" s="5">
        <f t="shared" si="9"/>
        <v>2.6104697219162388E-4</v>
      </c>
      <c r="F34" s="5">
        <f t="shared" si="9"/>
        <v>5.7658195495605469E-2</v>
      </c>
      <c r="G34" s="9">
        <f t="shared" si="6"/>
        <v>27</v>
      </c>
      <c r="H34" s="5">
        <f t="shared" si="1"/>
        <v>2.8311832591487214E-4</v>
      </c>
      <c r="I34" s="11">
        <f t="shared" si="2"/>
        <v>0.99988073100683517</v>
      </c>
    </row>
    <row r="35" spans="1:9" x14ac:dyDescent="0.2">
      <c r="A35" s="9">
        <f t="shared" si="8"/>
        <v>7</v>
      </c>
      <c r="D35" s="5">
        <f t="shared" si="10"/>
        <v>3.9232254041099806E-9</v>
      </c>
      <c r="E35" s="5">
        <f t="shared" si="9"/>
        <v>1.2788795693523768E-3</v>
      </c>
      <c r="F35" s="5">
        <f t="shared" si="9"/>
        <v>0.13158702850341791</v>
      </c>
      <c r="G35" s="9">
        <f t="shared" si="6"/>
        <v>28</v>
      </c>
      <c r="H35" s="5">
        <f t="shared" si="1"/>
        <v>8.7631862783174862E-5</v>
      </c>
      <c r="I35" s="11">
        <f t="shared" si="2"/>
        <v>0.99996836286961843</v>
      </c>
    </row>
    <row r="36" spans="1:9" x14ac:dyDescent="0.2">
      <c r="A36" s="9">
        <f t="shared" si="8"/>
        <v>8</v>
      </c>
      <c r="D36" s="5">
        <f t="shared" si="10"/>
        <v>5.8149179847809651E-8</v>
      </c>
      <c r="E36" s="5">
        <f t="shared" si="9"/>
        <v>5.1381615002535717E-3</v>
      </c>
      <c r="F36" s="5">
        <f t="shared" si="9"/>
        <v>0.25172138214111323</v>
      </c>
      <c r="G36" s="9">
        <f t="shared" si="6"/>
        <v>29</v>
      </c>
      <c r="H36" s="5">
        <f t="shared" si="1"/>
        <v>2.417430697466895E-5</v>
      </c>
      <c r="I36" s="11">
        <f t="shared" si="2"/>
        <v>0.99999253717659309</v>
      </c>
    </row>
    <row r="37" spans="1:9" x14ac:dyDescent="0.2">
      <c r="A37" s="9">
        <f t="shared" si="8"/>
        <v>9</v>
      </c>
      <c r="D37" s="5">
        <f t="shared" si="10"/>
        <v>7.088606331722068E-7</v>
      </c>
      <c r="E37" s="5">
        <f t="shared" si="9"/>
        <v>1.7144816396390608E-2</v>
      </c>
      <c r="F37" s="5">
        <f t="shared" si="9"/>
        <v>0.41190052032470692</v>
      </c>
      <c r="G37" s="9">
        <f t="shared" si="6"/>
        <v>30</v>
      </c>
      <c r="H37" s="5">
        <f t="shared" si="1"/>
        <v>5.9092750382524139E-6</v>
      </c>
      <c r="I37" s="11">
        <f t="shared" si="2"/>
        <v>0.99999844645163138</v>
      </c>
    </row>
    <row r="38" spans="1:9" x14ac:dyDescent="0.2">
      <c r="A38" s="9">
        <f t="shared" si="8"/>
        <v>10</v>
      </c>
      <c r="D38" s="5">
        <f t="shared" si="10"/>
        <v>7.1509040210837628E-6</v>
      </c>
      <c r="E38" s="5">
        <f t="shared" si="9"/>
        <v>4.7961897296475639E-2</v>
      </c>
      <c r="F38" s="5">
        <f t="shared" si="9"/>
        <v>0.58809757232665993</v>
      </c>
      <c r="G38" s="9">
        <f t="shared" si="6"/>
        <v>31</v>
      </c>
      <c r="H38" s="5">
        <f t="shared" si="1"/>
        <v>1.2708118361833103E-6</v>
      </c>
      <c r="I38" s="11">
        <f t="shared" si="2"/>
        <v>0.99999971726346759</v>
      </c>
    </row>
    <row r="39" spans="1:9" x14ac:dyDescent="0.2">
      <c r="A39" s="9">
        <f t="shared" si="8"/>
        <v>11</v>
      </c>
      <c r="D39" s="5">
        <f t="shared" si="10"/>
        <v>5.9858531740360099E-5</v>
      </c>
      <c r="E39" s="5">
        <f t="shared" si="9"/>
        <v>0.11333146284211061</v>
      </c>
      <c r="F39" s="5">
        <f t="shared" si="9"/>
        <v>0.74827671051025368</v>
      </c>
      <c r="G39" s="9">
        <f t="shared" si="6"/>
        <v>32</v>
      </c>
      <c r="H39" s="5">
        <f t="shared" si="1"/>
        <v>2.3827721928437168E-7</v>
      </c>
      <c r="I39" s="11">
        <f t="shared" si="2"/>
        <v>0.99999995554068688</v>
      </c>
    </row>
    <row r="40" spans="1:9" x14ac:dyDescent="0.2">
      <c r="A40" s="9">
        <f t="shared" si="8"/>
        <v>12</v>
      </c>
      <c r="D40" s="5">
        <f t="shared" si="10"/>
        <v>4.156350188454749E-4</v>
      </c>
      <c r="E40" s="5">
        <f t="shared" si="9"/>
        <v>0.22772820254697176</v>
      </c>
      <c r="F40" s="5">
        <f t="shared" si="9"/>
        <v>0.868411064147949</v>
      </c>
      <c r="G40" s="9">
        <f t="shared" si="6"/>
        <v>33</v>
      </c>
      <c r="H40" s="5">
        <f t="shared" si="1"/>
        <v>3.8509449581312596E-8</v>
      </c>
      <c r="I40" s="11">
        <f t="shared" si="2"/>
        <v>0.9999999940501364</v>
      </c>
    </row>
    <row r="41" spans="1:9" x14ac:dyDescent="0.2">
      <c r="A41" s="9">
        <f t="shared" si="8"/>
        <v>13</v>
      </c>
      <c r="D41" s="5">
        <f t="shared" si="10"/>
        <v>2.3860894089661111E-3</v>
      </c>
      <c r="E41" s="5">
        <f t="shared" si="9"/>
        <v>0.39199018776420824</v>
      </c>
      <c r="F41" s="5">
        <f t="shared" si="9"/>
        <v>0.9423398971557615</v>
      </c>
      <c r="G41" s="9">
        <f t="shared" si="6"/>
        <v>34</v>
      </c>
      <c r="H41" s="5">
        <f t="shared" si="1"/>
        <v>5.2856107268467847E-9</v>
      </c>
      <c r="I41" s="11">
        <f t="shared" si="2"/>
        <v>0.99999999933574713</v>
      </c>
    </row>
    <row r="42" spans="1:9" x14ac:dyDescent="0.2">
      <c r="A42" s="9">
        <f t="shared" si="8"/>
        <v>14</v>
      </c>
      <c r="D42" s="5">
        <f t="shared" si="10"/>
        <v>1.125313416450897E-2</v>
      </c>
      <c r="E42" s="5">
        <f t="shared" si="9"/>
        <v>0.58362917051765084</v>
      </c>
      <c r="F42" s="5">
        <f t="shared" si="9"/>
        <v>0.97930431365966775</v>
      </c>
      <c r="G42" s="9">
        <f t="shared" si="6"/>
        <v>35</v>
      </c>
      <c r="H42" s="5">
        <f t="shared" si="1"/>
        <v>6.0406979735392088E-10</v>
      </c>
      <c r="I42" s="11">
        <f t="shared" si="2"/>
        <v>0.99999999993981692</v>
      </c>
    </row>
    <row r="43" spans="1:9" x14ac:dyDescent="0.2">
      <c r="A43" s="9">
        <f t="shared" si="8"/>
        <v>15</v>
      </c>
      <c r="D43" s="5">
        <f t="shared" si="10"/>
        <v>4.3174495284463335E-2</v>
      </c>
      <c r="E43" s="5">
        <f t="shared" si="9"/>
        <v>0.76249222108753056</v>
      </c>
      <c r="F43" s="5">
        <f t="shared" si="9"/>
        <v>0.99409008026123025</v>
      </c>
      <c r="G43" s="9">
        <f t="shared" si="6"/>
        <v>36</v>
      </c>
      <c r="H43" s="5">
        <f t="shared" si="1"/>
        <v>5.5932388643881482E-11</v>
      </c>
      <c r="I43" s="11">
        <f t="shared" si="2"/>
        <v>0.99999999999574929</v>
      </c>
    </row>
    <row r="44" spans="1:9" x14ac:dyDescent="0.2">
      <c r="A44" s="9">
        <f t="shared" si="8"/>
        <v>16</v>
      </c>
      <c r="D44" s="5">
        <f t="shared" si="10"/>
        <v>0.13295332343433502</v>
      </c>
      <c r="E44" s="5">
        <f t="shared" si="9"/>
        <v>0.89291319546140113</v>
      </c>
      <c r="F44" s="5">
        <f t="shared" si="9"/>
        <v>0.99871063232421853</v>
      </c>
      <c r="G44" s="9">
        <f>G43+1</f>
        <v>37</v>
      </c>
      <c r="H44" s="5">
        <f t="shared" si="1"/>
        <v>4.0311631455049759E-12</v>
      </c>
      <c r="I44" s="11">
        <f t="shared" si="2"/>
        <v>0.9999999999997804</v>
      </c>
    </row>
    <row r="45" spans="1:9" x14ac:dyDescent="0.2">
      <c r="A45" s="9">
        <f t="shared" si="8"/>
        <v>17</v>
      </c>
      <c r="D45" s="5">
        <f t="shared" si="10"/>
        <v>0.32307319481053376</v>
      </c>
      <c r="E45" s="5">
        <f t="shared" si="9"/>
        <v>0.96451686766666345</v>
      </c>
      <c r="F45" s="5">
        <f t="shared" si="9"/>
        <v>0.99979782104492165</v>
      </c>
      <c r="G45" s="9">
        <f t="shared" si="6"/>
        <v>38</v>
      </c>
      <c r="H45" s="5">
        <f t="shared" si="1"/>
        <v>2.1216648134236827E-13</v>
      </c>
      <c r="I45" s="11">
        <f t="shared" si="2"/>
        <v>0.99999999999999267</v>
      </c>
    </row>
    <row r="46" spans="1:9" x14ac:dyDescent="0.2">
      <c r="A46" s="9">
        <f t="shared" si="8"/>
        <v>18</v>
      </c>
      <c r="D46" s="5">
        <f t="shared" si="10"/>
        <v>0.60825300187483211</v>
      </c>
      <c r="E46" s="5">
        <f t="shared" ref="E46:E48" si="11">E45+E25</f>
        <v>0.99236274019093218</v>
      </c>
      <c r="F46" s="5">
        <f t="shared" ref="F46:F48" si="12">F45+F25</f>
        <v>0.99997901916503884</v>
      </c>
      <c r="G46" s="9">
        <f t="shared" si="6"/>
        <v>39</v>
      </c>
      <c r="H46" s="5">
        <f t="shared" si="1"/>
        <v>7.2535549176877868E-15</v>
      </c>
      <c r="I46" s="11">
        <f t="shared" si="2"/>
        <v>0.99999999999999989</v>
      </c>
    </row>
    <row r="47" spans="1:9" x14ac:dyDescent="0.2">
      <c r="A47" s="9">
        <f t="shared" si="8"/>
        <v>19</v>
      </c>
      <c r="D47" s="5">
        <f t="shared" si="10"/>
        <v>0.87842334540943057</v>
      </c>
      <c r="E47" s="5">
        <f t="shared" si="11"/>
        <v>0.99920207730215604</v>
      </c>
      <c r="F47" s="5">
        <f t="shared" si="12"/>
        <v>0.99999809265136697</v>
      </c>
      <c r="G47" s="9">
        <f t="shared" si="6"/>
        <v>40</v>
      </c>
      <c r="H47" s="5">
        <f t="shared" si="1"/>
        <v>1.2089258196146357E-16</v>
      </c>
      <c r="I47" s="11">
        <f t="shared" si="2"/>
        <v>1</v>
      </c>
    </row>
    <row r="48" spans="1:9" x14ac:dyDescent="0.2">
      <c r="A48" s="9">
        <f t="shared" si="8"/>
        <v>20</v>
      </c>
      <c r="D48" s="5">
        <f t="shared" si="10"/>
        <v>0.99999999999999989</v>
      </c>
      <c r="E48" s="5">
        <f t="shared" si="11"/>
        <v>0.99999999996513211</v>
      </c>
      <c r="F48" s="5">
        <f t="shared" si="12"/>
        <v>0.99999904632568337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74DA-02B8-F547-A811-3C7CF1D24E41}">
  <dimension ref="A1:S54"/>
  <sheetViews>
    <sheetView topLeftCell="A16" zoomScale="70" zoomScaleNormal="70" workbookViewId="0">
      <selection activeCell="Q4" sqref="Q4"/>
    </sheetView>
  </sheetViews>
  <sheetFormatPr baseColWidth="10" defaultRowHeight="16" x14ac:dyDescent="0.2"/>
  <cols>
    <col min="1" max="1" width="10.83203125" style="14"/>
    <col min="2" max="2" width="16.1640625" style="14" customWidth="1"/>
    <col min="3" max="3" width="18.5" style="14" customWidth="1"/>
    <col min="4" max="4" width="33" style="14" customWidth="1"/>
    <col min="5" max="5" width="32.33203125" style="14" customWidth="1"/>
    <col min="6" max="6" width="32.6640625" style="14" customWidth="1"/>
    <col min="7" max="7" width="8.6640625" style="14" customWidth="1"/>
    <col min="8" max="10" width="9.5" style="14" customWidth="1"/>
    <col min="11" max="13" width="10.5" style="14" customWidth="1"/>
    <col min="14" max="15" width="9.33203125" style="14" customWidth="1"/>
    <col min="16" max="16" width="11" style="14" customWidth="1"/>
    <col min="17" max="19" width="12.33203125" style="14" customWidth="1"/>
    <col min="20" max="16384" width="10.83203125" style="14"/>
  </cols>
  <sheetData>
    <row r="1" spans="1:19" x14ac:dyDescent="0.2">
      <c r="B1" s="18"/>
      <c r="C1" s="18"/>
      <c r="D1" s="18"/>
      <c r="E1" s="18"/>
      <c r="F1" s="18"/>
    </row>
    <row r="2" spans="1:19" ht="44" x14ac:dyDescent="0.2">
      <c r="B2" s="16" t="s">
        <v>9</v>
      </c>
      <c r="C2" s="16" t="s">
        <v>12</v>
      </c>
      <c r="D2" s="16" t="s">
        <v>20</v>
      </c>
      <c r="E2" s="16" t="s">
        <v>19</v>
      </c>
      <c r="F2" s="16" t="s">
        <v>10</v>
      </c>
    </row>
    <row r="3" spans="1:19" ht="147" customHeight="1" x14ac:dyDescent="0.2">
      <c r="B3" s="36" t="s">
        <v>11</v>
      </c>
      <c r="C3" s="36" t="s">
        <v>13</v>
      </c>
      <c r="D3" s="37"/>
      <c r="E3" s="37"/>
      <c r="F3" s="36" t="s">
        <v>24</v>
      </c>
    </row>
    <row r="4" spans="1:19" ht="147" customHeight="1" x14ac:dyDescent="0.2">
      <c r="B4" s="38" t="s">
        <v>14</v>
      </c>
      <c r="C4" s="38" t="s">
        <v>15</v>
      </c>
      <c r="D4" s="39"/>
      <c r="E4" s="39"/>
      <c r="F4" s="38" t="s">
        <v>25</v>
      </c>
      <c r="Q4" s="14" t="s">
        <v>215</v>
      </c>
    </row>
    <row r="5" spans="1:19" ht="147" customHeight="1" x14ac:dyDescent="0.2">
      <c r="B5" s="38" t="s">
        <v>21</v>
      </c>
      <c r="C5" s="38" t="s">
        <v>15</v>
      </c>
      <c r="D5" s="39"/>
      <c r="E5" s="39"/>
      <c r="F5" s="38" t="s">
        <v>26</v>
      </c>
    </row>
    <row r="6" spans="1:19" ht="147" customHeight="1" x14ac:dyDescent="0.2">
      <c r="B6" s="38" t="s">
        <v>16</v>
      </c>
      <c r="C6" s="38" t="s">
        <v>18</v>
      </c>
      <c r="D6" s="39"/>
      <c r="E6" s="39"/>
      <c r="F6" s="38" t="s">
        <v>83</v>
      </c>
    </row>
    <row r="7" spans="1:19" ht="147" customHeight="1" x14ac:dyDescent="0.2">
      <c r="B7" s="38" t="s">
        <v>55</v>
      </c>
      <c r="C7" s="38" t="s">
        <v>23</v>
      </c>
      <c r="D7" s="39"/>
      <c r="E7" s="39"/>
      <c r="F7" s="38" t="s">
        <v>58</v>
      </c>
    </row>
    <row r="8" spans="1:19" ht="147" customHeight="1" x14ac:dyDescent="0.2">
      <c r="B8" s="38" t="s">
        <v>28</v>
      </c>
      <c r="C8" s="38" t="s">
        <v>23</v>
      </c>
      <c r="D8" s="39"/>
      <c r="E8" s="39"/>
      <c r="F8" s="38" t="s">
        <v>56</v>
      </c>
    </row>
    <row r="9" spans="1:19" ht="148" customHeight="1" x14ac:dyDescent="0.2">
      <c r="B9" s="40" t="s">
        <v>17</v>
      </c>
      <c r="C9" s="40" t="s">
        <v>23</v>
      </c>
      <c r="D9" s="23"/>
      <c r="E9" s="23"/>
      <c r="F9" s="40" t="s">
        <v>27</v>
      </c>
    </row>
    <row r="10" spans="1:19" ht="20" customHeight="1" x14ac:dyDescent="0.2"/>
    <row r="11" spans="1:19" s="18" customFormat="1" ht="20" customHeight="1" x14ac:dyDescent="0.2"/>
    <row r="12" spans="1:19" s="18" customFormat="1" ht="20" customHeight="1" x14ac:dyDescent="0.2">
      <c r="B12" s="139" t="s">
        <v>31</v>
      </c>
      <c r="C12" s="139"/>
      <c r="D12" s="139"/>
      <c r="E12" s="19" t="s">
        <v>33</v>
      </c>
      <c r="F12" s="19"/>
      <c r="G12" s="20"/>
      <c r="H12" s="140" t="s">
        <v>38</v>
      </c>
      <c r="I12" s="141"/>
      <c r="J12" s="142"/>
      <c r="K12" s="143" t="s">
        <v>41</v>
      </c>
      <c r="L12" s="144"/>
      <c r="M12" s="145"/>
      <c r="N12" s="143" t="s">
        <v>45</v>
      </c>
      <c r="O12" s="144"/>
      <c r="P12" s="145"/>
      <c r="Q12" s="143" t="s">
        <v>49</v>
      </c>
      <c r="R12" s="144"/>
      <c r="S12" s="145"/>
    </row>
    <row r="13" spans="1:19" s="15" customFormat="1" ht="34" x14ac:dyDescent="0.2">
      <c r="A13" s="20" t="s">
        <v>22</v>
      </c>
      <c r="B13" s="24" t="s">
        <v>32</v>
      </c>
      <c r="C13" s="24" t="s">
        <v>29</v>
      </c>
      <c r="D13" s="27" t="s">
        <v>30</v>
      </c>
      <c r="E13" s="15" t="s">
        <v>34</v>
      </c>
      <c r="F13" s="15" t="s">
        <v>35</v>
      </c>
      <c r="G13" s="20" t="s">
        <v>36</v>
      </c>
      <c r="H13" s="15" t="s">
        <v>37</v>
      </c>
      <c r="I13" s="15" t="s">
        <v>40</v>
      </c>
      <c r="J13" s="20" t="s">
        <v>39</v>
      </c>
      <c r="K13" s="34" t="s">
        <v>42</v>
      </c>
      <c r="L13" s="24" t="s">
        <v>43</v>
      </c>
      <c r="M13" s="27" t="s">
        <v>44</v>
      </c>
      <c r="N13" s="30" t="s">
        <v>46</v>
      </c>
      <c r="O13" s="15" t="s">
        <v>47</v>
      </c>
      <c r="P13" s="20" t="s">
        <v>48</v>
      </c>
      <c r="Q13" s="30" t="s">
        <v>51</v>
      </c>
      <c r="R13" s="15" t="s">
        <v>50</v>
      </c>
      <c r="S13" s="25" t="s">
        <v>57</v>
      </c>
    </row>
    <row r="14" spans="1:19" ht="20" customHeight="1" x14ac:dyDescent="0.2">
      <c r="A14" s="12">
        <v>1</v>
      </c>
      <c r="B14" s="5">
        <f t="shared" ref="B14:B33" si="0">0.3*((1-0.3)^(A14-1))</f>
        <v>0.3</v>
      </c>
      <c r="C14" s="5">
        <f t="shared" ref="C14:C33" si="1">0.15*((1-0.15)^(A14-1))</f>
        <v>0.15</v>
      </c>
      <c r="D14" s="11">
        <f t="shared" ref="D14:D33" si="2">0.05*((1-0.05)^(A14-1))</f>
        <v>0.05</v>
      </c>
      <c r="E14" s="14">
        <f t="shared" ref="E14:E33" si="3">_xlfn.NEGBINOM.DIST($A14, 5, 0.3, FALSE)</f>
        <v>8.5050000000000004E-3</v>
      </c>
      <c r="F14" s="14">
        <f t="shared" ref="F14:F33" si="4">_xlfn.NEGBINOM.DIST($A14, 10, 0.3, FALSE)</f>
        <v>4.1334299999999975E-5</v>
      </c>
      <c r="G14" s="21">
        <f>_xlfn.NEGBINOM.DIST($A14, 5, 0.7, FALSE)</f>
        <v>0.25210499999999997</v>
      </c>
      <c r="H14" s="14">
        <f>_xlfn.NORM.DIST($A14, 10, 2.5, FALSE)</f>
        <v>2.4476077204550875E-4</v>
      </c>
      <c r="I14" s="14">
        <f>_xlfn.NORM.DIST($A14, 5, 1.5, FALSE)</f>
        <v>7.597324015864962E-3</v>
      </c>
      <c r="J14" s="21">
        <f>_xlfn.NORM.DIST($A14, 15, 5, FALSE)</f>
        <v>1.5830903165959939E-3</v>
      </c>
      <c r="K14" s="31">
        <f>_xlfn.EXPON.DIST($A14, 0.2, FALSE)</f>
        <v>0.16374615061559639</v>
      </c>
      <c r="L14" s="14">
        <f>_xlfn.EXPON.DIST($A14, 0.4, FALSE)</f>
        <v>0.26812801841425576</v>
      </c>
      <c r="M14" s="21">
        <f>_xlfn.EXPON.DIST($A14, 0.8, FALSE)</f>
        <v>0.35946317129377725</v>
      </c>
      <c r="N14" s="31">
        <f>_xlfn.LOGNORM.DIST($A14, 2, 0.5, FALSE)</f>
        <v>2.6766045152977101E-4</v>
      </c>
      <c r="O14" s="14">
        <f>_xlfn.LOGNORM.DIST($A14, 1, 0.65, FALSE)</f>
        <v>0.1879484473884909</v>
      </c>
      <c r="P14" s="21">
        <f>_xlfn.LOGNORM.DIST($A14, 0.75, 1.25, FALSE)</f>
        <v>0.2665796823134397</v>
      </c>
      <c r="Q14" s="31">
        <f>_xlfn.POISSON.DIST($A14, 5, FALSE)</f>
        <v>3.368973499542733E-2</v>
      </c>
      <c r="R14" s="14">
        <f>_xlfn.POISSON.DIST($A14, 10, FALSE)</f>
        <v>4.5399929762484861E-4</v>
      </c>
      <c r="S14" s="21">
        <f>_xlfn.POISSON.DIST($A14, 15, FALSE)</f>
        <v>4.5885348075273872E-6</v>
      </c>
    </row>
    <row r="15" spans="1:19" ht="20" customHeight="1" x14ac:dyDescent="0.2">
      <c r="A15" s="12">
        <f t="shared" ref="A15:A33" si="5">A14+1</f>
        <v>2</v>
      </c>
      <c r="B15" s="5">
        <f t="shared" si="0"/>
        <v>0.21</v>
      </c>
      <c r="C15" s="5">
        <f t="shared" si="1"/>
        <v>0.1275</v>
      </c>
      <c r="D15" s="11">
        <f t="shared" si="2"/>
        <v>4.7500000000000001E-2</v>
      </c>
      <c r="E15" s="14">
        <f t="shared" si="3"/>
        <v>1.7860500000000005E-2</v>
      </c>
      <c r="F15" s="14">
        <f t="shared" si="4"/>
        <v>1.5913705499999984E-4</v>
      </c>
      <c r="G15" s="21">
        <f t="shared" ref="G15:G33" si="6">_xlfn.NEGBINOM.DIST($A15, 5, 0.7, FALSE)</f>
        <v>0.22689449999999997</v>
      </c>
      <c r="H15" s="14">
        <f t="shared" ref="H15:H33" si="7">_xlfn.NORM.DIST($A15, 10, 2.5, FALSE)</f>
        <v>9.536352805859362E-4</v>
      </c>
      <c r="I15" s="14">
        <f t="shared" ref="I15:I33" si="8">_xlfn.NORM.DIST($A15, 5, 1.5, FALSE)</f>
        <v>3.5993977675458706E-2</v>
      </c>
      <c r="J15" s="21">
        <f t="shared" ref="J15:J33" si="9">_xlfn.NORM.DIST($A15, 15, 5, FALSE)</f>
        <v>2.7165938467371225E-3</v>
      </c>
      <c r="K15" s="31">
        <f t="shared" ref="K15:K33" si="10">_xlfn.EXPON.DIST($A15, 0.2, FALSE)</f>
        <v>0.13406400920712788</v>
      </c>
      <c r="L15" s="14">
        <f t="shared" ref="L15:L33" si="11">_xlfn.EXPON.DIST($A15, 0.4, FALSE)</f>
        <v>0.17973158564688863</v>
      </c>
      <c r="M15" s="21">
        <f t="shared" ref="M15:M33" si="12">_xlfn.EXPON.DIST($A15, 0.8, FALSE)</f>
        <v>0.16151721439572431</v>
      </c>
      <c r="N15" s="31">
        <f t="shared" ref="N15:N33" si="13">_xlfn.LOGNORM.DIST($A15, 2, 0.5, FALSE)</f>
        <v>1.3106236195882647E-2</v>
      </c>
      <c r="O15" s="14">
        <f>_xlfn.LOGNORM.DIST($A15, 1, 0.65, FALSE)</f>
        <v>0.27451945231347502</v>
      </c>
      <c r="P15" s="21">
        <f t="shared" ref="P15:P33" si="14">_xlfn.LOGNORM.DIST($A15, 0.75, 1.25, FALSE)</f>
        <v>0.15941194425157004</v>
      </c>
      <c r="Q15" s="31">
        <f t="shared" ref="Q15:Q33" si="15">_xlfn.POISSON.DIST($A15, 5, FALSE)</f>
        <v>8.4224337488568335E-2</v>
      </c>
      <c r="R15" s="14">
        <f t="shared" ref="R15:R33" si="16">_xlfn.POISSON.DIST($A15, 10, FALSE)</f>
        <v>2.2699964881242444E-3</v>
      </c>
      <c r="S15" s="21">
        <f t="shared" ref="S15:S33" si="17">_xlfn.POISSON.DIST($A15, 15, FALSE)</f>
        <v>3.4414011056455447E-5</v>
      </c>
    </row>
    <row r="16" spans="1:19" ht="20" customHeight="1" x14ac:dyDescent="0.2">
      <c r="A16" s="12">
        <f t="shared" si="5"/>
        <v>3</v>
      </c>
      <c r="B16" s="5">
        <f t="shared" si="0"/>
        <v>0.14699999999999996</v>
      </c>
      <c r="C16" s="5">
        <f t="shared" si="1"/>
        <v>0.10837499999999999</v>
      </c>
      <c r="D16" s="11">
        <f t="shared" si="2"/>
        <v>4.5124999999999998E-2</v>
      </c>
      <c r="E16" s="14">
        <f t="shared" si="3"/>
        <v>2.9172150000000015E-2</v>
      </c>
      <c r="F16" s="14">
        <f t="shared" si="4"/>
        <v>4.455837539999998E-4</v>
      </c>
      <c r="G16" s="21">
        <f t="shared" si="6"/>
        <v>0.15882615</v>
      </c>
      <c r="H16" s="14">
        <f t="shared" si="7"/>
        <v>3.1661806331919878E-3</v>
      </c>
      <c r="I16" s="14">
        <f t="shared" si="8"/>
        <v>0.10934004978399575</v>
      </c>
      <c r="J16" s="21">
        <f t="shared" si="9"/>
        <v>4.4789060589685804E-3</v>
      </c>
      <c r="K16" s="31">
        <f t="shared" si="10"/>
        <v>0.10976232721880529</v>
      </c>
      <c r="L16" s="14">
        <f t="shared" si="11"/>
        <v>0.12047768476488081</v>
      </c>
      <c r="M16" s="21">
        <f t="shared" si="12"/>
        <v>7.2574362631529984E-2</v>
      </c>
      <c r="N16" s="31">
        <f t="shared" si="13"/>
        <v>5.2370948800996929E-2</v>
      </c>
      <c r="O16" s="14">
        <f t="shared" ref="O16:O33" si="18">_xlfn.LOGNORM.DIST($A16, 1, 0.65, FALSE)</f>
        <v>0.20224487730240223</v>
      </c>
      <c r="P16" s="21">
        <f t="shared" si="14"/>
        <v>0.10232675125797325</v>
      </c>
      <c r="Q16" s="31">
        <f t="shared" si="15"/>
        <v>0.14037389581428059</v>
      </c>
      <c r="R16" s="14">
        <f t="shared" si="16"/>
        <v>7.5666549604141483E-3</v>
      </c>
      <c r="S16" s="21">
        <f t="shared" si="17"/>
        <v>1.7207005528227688E-4</v>
      </c>
    </row>
    <row r="17" spans="1:19" ht="20" customHeight="1" x14ac:dyDescent="0.2">
      <c r="A17" s="12">
        <f t="shared" si="5"/>
        <v>4</v>
      </c>
      <c r="B17" s="5">
        <f t="shared" si="0"/>
        <v>0.10289999999999998</v>
      </c>
      <c r="C17" s="5">
        <f t="shared" si="1"/>
        <v>9.2118749999999985E-2</v>
      </c>
      <c r="D17" s="11">
        <f t="shared" si="2"/>
        <v>4.2868749999999997E-2</v>
      </c>
      <c r="E17" s="14">
        <f t="shared" si="3"/>
        <v>4.0841010000000004E-2</v>
      </c>
      <c r="F17" s="14">
        <f t="shared" si="4"/>
        <v>1.0137030403499984E-3</v>
      </c>
      <c r="G17" s="21">
        <f t="shared" si="6"/>
        <v>9.5295690000000016E-2</v>
      </c>
      <c r="H17" s="14">
        <f t="shared" si="7"/>
        <v>8.9578121179371608E-3</v>
      </c>
      <c r="I17" s="14">
        <f t="shared" si="8"/>
        <v>0.21296533701490147</v>
      </c>
      <c r="J17" s="21">
        <f t="shared" si="9"/>
        <v>7.0949185692462842E-3</v>
      </c>
      <c r="K17" s="31">
        <f t="shared" si="10"/>
        <v>8.9865792823444313E-2</v>
      </c>
      <c r="L17" s="14">
        <f t="shared" si="11"/>
        <v>8.0758607197862153E-2</v>
      </c>
      <c r="M17" s="21">
        <f t="shared" si="12"/>
        <v>3.2609763182692972E-2</v>
      </c>
      <c r="N17" s="31">
        <f t="shared" si="13"/>
        <v>9.3915960282558344E-2</v>
      </c>
      <c r="O17" s="14">
        <f t="shared" si="18"/>
        <v>0.12860036369147676</v>
      </c>
      <c r="P17" s="21">
        <f t="shared" si="14"/>
        <v>7.0092813353649683E-2</v>
      </c>
      <c r="Q17" s="31">
        <f t="shared" si="15"/>
        <v>0.17546736976785074</v>
      </c>
      <c r="R17" s="14">
        <f t="shared" si="16"/>
        <v>1.8916637401035354E-2</v>
      </c>
      <c r="S17" s="21">
        <f t="shared" si="17"/>
        <v>6.4526270730853874E-4</v>
      </c>
    </row>
    <row r="18" spans="1:19" ht="20" customHeight="1" x14ac:dyDescent="0.2">
      <c r="A18" s="12">
        <f t="shared" si="5"/>
        <v>5</v>
      </c>
      <c r="B18" s="5">
        <f t="shared" si="0"/>
        <v>7.2029999999999969E-2</v>
      </c>
      <c r="C18" s="5">
        <f t="shared" si="1"/>
        <v>7.8300937499999987E-2</v>
      </c>
      <c r="D18" s="11">
        <f t="shared" si="2"/>
        <v>4.0725312499999999E-2</v>
      </c>
      <c r="E18" s="14">
        <f t="shared" si="3"/>
        <v>5.1459672600000006E-2</v>
      </c>
      <c r="F18" s="14">
        <f t="shared" si="4"/>
        <v>1.986857959086001E-3</v>
      </c>
      <c r="G18" s="21">
        <f t="shared" si="6"/>
        <v>5.1459672600000061E-2</v>
      </c>
      <c r="H18" s="14">
        <f t="shared" si="7"/>
        <v>2.1596386605275224E-2</v>
      </c>
      <c r="I18" s="14">
        <f t="shared" si="8"/>
        <v>0.26596152026762176</v>
      </c>
      <c r="J18" s="21">
        <f t="shared" si="9"/>
        <v>1.0798193302637612E-2</v>
      </c>
      <c r="K18" s="31">
        <f t="shared" si="10"/>
        <v>7.357588823428847E-2</v>
      </c>
      <c r="L18" s="14">
        <f t="shared" si="11"/>
        <v>5.4134113294645084E-2</v>
      </c>
      <c r="M18" s="21">
        <f t="shared" si="12"/>
        <v>1.4652511110987344E-2</v>
      </c>
      <c r="N18" s="31">
        <f t="shared" si="13"/>
        <v>0.11761875751402895</v>
      </c>
      <c r="O18" s="14">
        <f t="shared" si="18"/>
        <v>7.9092486322827435E-2</v>
      </c>
      <c r="P18" s="21">
        <f t="shared" si="14"/>
        <v>5.0394021848439455E-2</v>
      </c>
      <c r="Q18" s="31">
        <f t="shared" si="15"/>
        <v>0.17546736976785071</v>
      </c>
      <c r="R18" s="14">
        <f t="shared" si="16"/>
        <v>3.7833274802070715E-2</v>
      </c>
      <c r="S18" s="21">
        <f t="shared" si="17"/>
        <v>1.9357881219256175E-3</v>
      </c>
    </row>
    <row r="19" spans="1:19" ht="20" customHeight="1" x14ac:dyDescent="0.2">
      <c r="A19" s="12">
        <f t="shared" si="5"/>
        <v>6</v>
      </c>
      <c r="B19" s="5">
        <f t="shared" si="0"/>
        <v>5.042099999999998E-2</v>
      </c>
      <c r="C19" s="5">
        <f t="shared" si="1"/>
        <v>6.6555796874999976E-2</v>
      </c>
      <c r="D19" s="11">
        <f t="shared" si="2"/>
        <v>3.8689046875000001E-2</v>
      </c>
      <c r="E19" s="14">
        <f t="shared" si="3"/>
        <v>6.0036284700000019E-2</v>
      </c>
      <c r="F19" s="14">
        <f t="shared" si="4"/>
        <v>3.4770014284005008E-3</v>
      </c>
      <c r="G19" s="21">
        <f t="shared" si="6"/>
        <v>2.5729836300000034E-2</v>
      </c>
      <c r="H19" s="14">
        <f t="shared" si="7"/>
        <v>4.4368333871782219E-2</v>
      </c>
      <c r="I19" s="14">
        <f t="shared" si="8"/>
        <v>0.21296533701490147</v>
      </c>
      <c r="J19" s="21">
        <f t="shared" si="9"/>
        <v>1.5790031660178828E-2</v>
      </c>
      <c r="K19" s="31">
        <f t="shared" si="10"/>
        <v>6.0238842382440407E-2</v>
      </c>
      <c r="L19" s="14">
        <f t="shared" si="11"/>
        <v>3.6287181315764992E-2</v>
      </c>
      <c r="M19" s="21">
        <f t="shared" si="12"/>
        <v>6.5837976392160193E-3</v>
      </c>
      <c r="N19" s="31">
        <f t="shared" si="13"/>
        <v>0.12193354946137466</v>
      </c>
      <c r="O19" s="14">
        <f t="shared" si="18"/>
        <v>4.8714014086333413E-2</v>
      </c>
      <c r="P19" s="21">
        <f t="shared" si="14"/>
        <v>3.7585924499137023E-2</v>
      </c>
      <c r="Q19" s="31">
        <f t="shared" si="15"/>
        <v>0.14622280813987559</v>
      </c>
      <c r="R19" s="14">
        <f t="shared" si="16"/>
        <v>6.3055458003451192E-2</v>
      </c>
      <c r="S19" s="21">
        <f t="shared" si="17"/>
        <v>4.839470304814038E-3</v>
      </c>
    </row>
    <row r="20" spans="1:19" ht="20" customHeight="1" x14ac:dyDescent="0.2">
      <c r="A20" s="12">
        <f t="shared" si="5"/>
        <v>7</v>
      </c>
      <c r="B20" s="5">
        <f t="shared" si="0"/>
        <v>3.5294699999999984E-2</v>
      </c>
      <c r="C20" s="5">
        <f t="shared" si="1"/>
        <v>5.6572427343749981E-2</v>
      </c>
      <c r="D20" s="11">
        <f t="shared" si="2"/>
        <v>3.6754594531249997E-2</v>
      </c>
      <c r="E20" s="14">
        <f t="shared" si="3"/>
        <v>6.6039913170000006E-2</v>
      </c>
      <c r="F20" s="14">
        <f t="shared" si="4"/>
        <v>5.5632022854408053E-3</v>
      </c>
      <c r="G20" s="21">
        <f t="shared" si="6"/>
        <v>1.2129779970000022E-2</v>
      </c>
      <c r="H20" s="14">
        <f t="shared" si="7"/>
        <v>7.7674421993285184E-2</v>
      </c>
      <c r="I20" s="14">
        <f t="shared" si="8"/>
        <v>0.10934004978399575</v>
      </c>
      <c r="J20" s="21">
        <f t="shared" si="9"/>
        <v>2.2184166935891109E-2</v>
      </c>
      <c r="K20" s="31">
        <f t="shared" si="10"/>
        <v>4.9319392788321287E-2</v>
      </c>
      <c r="L20" s="14">
        <f t="shared" si="11"/>
        <v>2.4324025050087184E-2</v>
      </c>
      <c r="M20" s="21">
        <f t="shared" si="12"/>
        <v>2.9582909731863433E-3</v>
      </c>
      <c r="N20" s="31">
        <f t="shared" si="13"/>
        <v>0.1133184904028692</v>
      </c>
      <c r="O20" s="14">
        <f t="shared" si="18"/>
        <v>3.0411429098988221E-2</v>
      </c>
      <c r="P20" s="21">
        <f t="shared" si="14"/>
        <v>2.8849674151981395E-2</v>
      </c>
      <c r="Q20" s="31">
        <f t="shared" si="15"/>
        <v>0.104444862957054</v>
      </c>
      <c r="R20" s="14">
        <f t="shared" si="16"/>
        <v>9.0079225719215977E-2</v>
      </c>
      <c r="S20" s="21">
        <f t="shared" si="17"/>
        <v>1.0370293510315797E-2</v>
      </c>
    </row>
    <row r="21" spans="1:19" ht="20" customHeight="1" x14ac:dyDescent="0.2">
      <c r="A21" s="12">
        <f t="shared" si="5"/>
        <v>8</v>
      </c>
      <c r="B21" s="5">
        <f t="shared" si="0"/>
        <v>2.4706289999999985E-2</v>
      </c>
      <c r="C21" s="5">
        <f t="shared" si="1"/>
        <v>4.8086563242187477E-2</v>
      </c>
      <c r="D21" s="11">
        <f t="shared" si="2"/>
        <v>3.4916864804687496E-2</v>
      </c>
      <c r="E21" s="14">
        <f t="shared" si="3"/>
        <v>6.9341908828500012E-2</v>
      </c>
      <c r="F21" s="14">
        <f t="shared" si="4"/>
        <v>8.2752633995931846E-3</v>
      </c>
      <c r="G21" s="21">
        <f t="shared" si="6"/>
        <v>5.4584009865000114E-3</v>
      </c>
      <c r="H21" s="14">
        <f t="shared" si="7"/>
        <v>0.1158766211045931</v>
      </c>
      <c r="I21" s="14">
        <f t="shared" si="8"/>
        <v>3.5993977675458706E-2</v>
      </c>
      <c r="J21" s="21">
        <f t="shared" si="9"/>
        <v>2.9945493127148972E-2</v>
      </c>
      <c r="K21" s="31">
        <f t="shared" si="10"/>
        <v>4.0379303598931077E-2</v>
      </c>
      <c r="L21" s="14">
        <f t="shared" si="11"/>
        <v>1.6304881591346486E-2</v>
      </c>
      <c r="M21" s="21">
        <f t="shared" si="12"/>
        <v>1.3292458185391472E-3</v>
      </c>
      <c r="N21" s="31">
        <f t="shared" si="13"/>
        <v>9.8484627259697907E-2</v>
      </c>
      <c r="O21" s="14">
        <f t="shared" si="18"/>
        <v>1.9321727887353219E-2</v>
      </c>
      <c r="P21" s="21">
        <f t="shared" si="14"/>
        <v>2.2661306547675241E-2</v>
      </c>
      <c r="Q21" s="31">
        <f t="shared" si="15"/>
        <v>6.5278039348158706E-2</v>
      </c>
      <c r="R21" s="14">
        <f t="shared" si="16"/>
        <v>0.11259903214901996</v>
      </c>
      <c r="S21" s="21">
        <f t="shared" si="17"/>
        <v>1.9444300331842138E-2</v>
      </c>
    </row>
    <row r="22" spans="1:19" ht="20" customHeight="1" x14ac:dyDescent="0.2">
      <c r="A22" s="12">
        <f t="shared" si="5"/>
        <v>9</v>
      </c>
      <c r="B22" s="5">
        <f t="shared" si="0"/>
        <v>1.7294402999999989E-2</v>
      </c>
      <c r="C22" s="5">
        <f t="shared" si="1"/>
        <v>4.0873578755859362E-2</v>
      </c>
      <c r="D22" s="11">
        <f t="shared" si="2"/>
        <v>3.3171021564453125E-2</v>
      </c>
      <c r="E22" s="14">
        <f t="shared" si="3"/>
        <v>7.0112374482149992E-2</v>
      </c>
      <c r="F22" s="14">
        <f t="shared" si="4"/>
        <v>1.158536875943047E-2</v>
      </c>
      <c r="G22" s="21">
        <f t="shared" si="6"/>
        <v>2.3653070941500004E-3</v>
      </c>
      <c r="H22" s="14">
        <f t="shared" si="7"/>
        <v>0.14730805612132933</v>
      </c>
      <c r="I22" s="14">
        <f t="shared" si="8"/>
        <v>7.597324015864962E-3</v>
      </c>
      <c r="J22" s="21">
        <f t="shared" si="9"/>
        <v>3.8837210996642592E-2</v>
      </c>
      <c r="K22" s="31">
        <f t="shared" si="10"/>
        <v>3.3059777644317306E-2</v>
      </c>
      <c r="L22" s="14">
        <f t="shared" si="11"/>
        <v>1.0929488978917025E-2</v>
      </c>
      <c r="M22" s="21">
        <f t="shared" si="12"/>
        <v>5.9726864670134338E-4</v>
      </c>
      <c r="N22" s="31">
        <f t="shared" si="13"/>
        <v>8.2018454858341708E-2</v>
      </c>
      <c r="O22" s="14">
        <f t="shared" si="18"/>
        <v>1.2504728015428105E-2</v>
      </c>
      <c r="P22" s="21">
        <f t="shared" si="14"/>
        <v>1.8141855811867728E-2</v>
      </c>
      <c r="Q22" s="31">
        <f t="shared" si="15"/>
        <v>3.6265577415643749E-2</v>
      </c>
      <c r="R22" s="14">
        <f t="shared" si="16"/>
        <v>0.1251100357211333</v>
      </c>
      <c r="S22" s="21">
        <f t="shared" si="17"/>
        <v>3.2407167219736882E-2</v>
      </c>
    </row>
    <row r="23" spans="1:19" ht="20" customHeight="1" x14ac:dyDescent="0.2">
      <c r="A23" s="12">
        <f t="shared" si="5"/>
        <v>10</v>
      </c>
      <c r="B23" s="5">
        <f t="shared" si="0"/>
        <v>1.2106082099999992E-2</v>
      </c>
      <c r="C23" s="5">
        <f t="shared" si="1"/>
        <v>3.4742541942480457E-2</v>
      </c>
      <c r="D23" s="11">
        <f t="shared" si="2"/>
        <v>3.1512470486230466E-2</v>
      </c>
      <c r="E23" s="14">
        <f t="shared" si="3"/>
        <v>6.871012699250699E-2</v>
      </c>
      <c r="F23" s="14">
        <f t="shared" si="4"/>
        <v>1.5408540450042507E-2</v>
      </c>
      <c r="G23" s="21">
        <f t="shared" si="6"/>
        <v>9.9342897954300181E-4</v>
      </c>
      <c r="H23" s="14">
        <f t="shared" si="7"/>
        <v>0.1595769121605731</v>
      </c>
      <c r="I23" s="14">
        <f t="shared" si="8"/>
        <v>1.0281859975274036E-3</v>
      </c>
      <c r="J23" s="21">
        <f t="shared" si="9"/>
        <v>4.8394144903828672E-2</v>
      </c>
      <c r="K23" s="31">
        <f t="shared" si="10"/>
        <v>2.7067056647322542E-2</v>
      </c>
      <c r="L23" s="14">
        <f t="shared" si="11"/>
        <v>7.3262555554936722E-3</v>
      </c>
      <c r="M23" s="21">
        <f t="shared" si="12"/>
        <v>2.6837010232200952E-4</v>
      </c>
      <c r="N23" s="31">
        <f t="shared" si="13"/>
        <v>6.6437612959576189E-2</v>
      </c>
      <c r="O23" s="14">
        <f t="shared" si="18"/>
        <v>8.2404300085132144E-3</v>
      </c>
      <c r="P23" s="21">
        <f t="shared" si="14"/>
        <v>1.4757059091159484E-2</v>
      </c>
      <c r="Q23" s="31">
        <f t="shared" si="15"/>
        <v>1.8132788707821874E-2</v>
      </c>
      <c r="R23" s="14">
        <f t="shared" si="16"/>
        <v>0.1251100357211333</v>
      </c>
      <c r="S23" s="21">
        <f t="shared" si="17"/>
        <v>4.8610750829605344E-2</v>
      </c>
    </row>
    <row r="24" spans="1:19" ht="20" customHeight="1" x14ac:dyDescent="0.2">
      <c r="A24" s="12">
        <f t="shared" si="5"/>
        <v>11</v>
      </c>
      <c r="B24" s="5">
        <f t="shared" si="0"/>
        <v>8.4742574699999944E-3</v>
      </c>
      <c r="C24" s="5">
        <f t="shared" si="1"/>
        <v>2.9531160651108383E-2</v>
      </c>
      <c r="D24" s="11">
        <f t="shared" si="2"/>
        <v>2.9936846961918947E-2</v>
      </c>
      <c r="E24" s="14">
        <f t="shared" si="3"/>
        <v>6.5586939401938493E-2</v>
      </c>
      <c r="F24" s="14">
        <f t="shared" si="4"/>
        <v>1.9610869663690474E-2</v>
      </c>
      <c r="G24" s="21">
        <f t="shared" si="6"/>
        <v>4.0640276435850112E-4</v>
      </c>
      <c r="H24" s="14">
        <f t="shared" si="7"/>
        <v>0.14730805612132933</v>
      </c>
      <c r="I24" s="14">
        <f t="shared" si="8"/>
        <v>8.9220150509923578E-5</v>
      </c>
      <c r="J24" s="21">
        <f t="shared" si="9"/>
        <v>5.7938310552296549E-2</v>
      </c>
      <c r="K24" s="31">
        <f t="shared" si="10"/>
        <v>2.2160631672466777E-2</v>
      </c>
      <c r="L24" s="14">
        <f t="shared" si="11"/>
        <v>4.9109359612273746E-3</v>
      </c>
      <c r="M24" s="21">
        <f t="shared" si="12"/>
        <v>1.2058646007638121E-4</v>
      </c>
      <c r="N24" s="31">
        <f t="shared" si="13"/>
        <v>5.2848395762186889E-2</v>
      </c>
      <c r="O24" s="14">
        <f t="shared" si="18"/>
        <v>5.5242459772081353E-3</v>
      </c>
      <c r="P24" s="21">
        <f t="shared" si="14"/>
        <v>1.2167872736433312E-2</v>
      </c>
      <c r="Q24" s="31">
        <f t="shared" si="15"/>
        <v>8.2421766853735742E-3</v>
      </c>
      <c r="R24" s="14">
        <f t="shared" si="16"/>
        <v>0.11373639611012118</v>
      </c>
      <c r="S24" s="21">
        <f t="shared" si="17"/>
        <v>6.6287387494916333E-2</v>
      </c>
    </row>
    <row r="25" spans="1:19" x14ac:dyDescent="0.2">
      <c r="A25" s="12">
        <f t="shared" si="5"/>
        <v>12</v>
      </c>
      <c r="B25" s="5">
        <f t="shared" si="0"/>
        <v>5.9319802289999951E-3</v>
      </c>
      <c r="C25" s="5">
        <f t="shared" si="1"/>
        <v>2.5101486553442125E-2</v>
      </c>
      <c r="D25" s="11">
        <f t="shared" si="2"/>
        <v>2.8440004613822997E-2</v>
      </c>
      <c r="E25" s="14">
        <f t="shared" si="3"/>
        <v>6.1214476775142593E-2</v>
      </c>
      <c r="F25" s="14">
        <f t="shared" si="4"/>
        <v>2.402331533802084E-2</v>
      </c>
      <c r="G25" s="21">
        <f t="shared" si="6"/>
        <v>1.6256110574340042E-4</v>
      </c>
      <c r="H25" s="14">
        <f t="shared" si="7"/>
        <v>0.1158766211045931</v>
      </c>
      <c r="I25" s="14">
        <f t="shared" si="8"/>
        <v>4.9640305804199935E-6</v>
      </c>
      <c r="J25" s="21">
        <f t="shared" si="9"/>
        <v>6.6644920578359926E-2</v>
      </c>
      <c r="K25" s="31">
        <f t="shared" si="10"/>
        <v>1.8143590657882496E-2</v>
      </c>
      <c r="L25" s="14">
        <f t="shared" si="11"/>
        <v>3.2918988196080096E-3</v>
      </c>
      <c r="M25" s="21">
        <f t="shared" si="12"/>
        <v>5.4182989192683024E-5</v>
      </c>
      <c r="N25" s="31">
        <f t="shared" si="13"/>
        <v>4.1545464534492357E-2</v>
      </c>
      <c r="O25" s="14">
        <f t="shared" si="18"/>
        <v>3.7632666895327407E-3</v>
      </c>
      <c r="P25" s="21">
        <f t="shared" si="14"/>
        <v>1.0151263677271661E-2</v>
      </c>
      <c r="Q25" s="31">
        <f t="shared" si="15"/>
        <v>3.4342402855723282E-3</v>
      </c>
      <c r="R25" s="14">
        <f t="shared" si="16"/>
        <v>9.4780330091767673E-2</v>
      </c>
      <c r="S25" s="21">
        <f t="shared" si="17"/>
        <v>8.2859234368645451E-2</v>
      </c>
    </row>
    <row r="26" spans="1:19" x14ac:dyDescent="0.2">
      <c r="A26" s="12">
        <f t="shared" si="5"/>
        <v>13</v>
      </c>
      <c r="B26" s="5">
        <f t="shared" si="0"/>
        <v>4.1523861602999956E-3</v>
      </c>
      <c r="C26" s="5">
        <f t="shared" si="1"/>
        <v>2.1336263570425805E-2</v>
      </c>
      <c r="D26" s="11">
        <f t="shared" si="2"/>
        <v>2.7018004383131844E-2</v>
      </c>
      <c r="E26" s="14">
        <f t="shared" si="3"/>
        <v>5.6034790278784372E-2</v>
      </c>
      <c r="F26" s="14">
        <f t="shared" si="4"/>
        <v>2.8458388938886206E-2</v>
      </c>
      <c r="G26" s="21">
        <f t="shared" si="6"/>
        <v>6.3773972253180011E-5</v>
      </c>
      <c r="H26" s="14">
        <f t="shared" si="7"/>
        <v>7.7674421993285184E-2</v>
      </c>
      <c r="I26" s="14">
        <f t="shared" si="8"/>
        <v>1.7708679390146084E-7</v>
      </c>
      <c r="J26" s="21">
        <f t="shared" si="9"/>
        <v>7.3654028060664664E-2</v>
      </c>
      <c r="K26" s="31">
        <f t="shared" si="10"/>
        <v>1.4854715642866776E-2</v>
      </c>
      <c r="L26" s="14">
        <f t="shared" si="11"/>
        <v>2.2066257683043089E-3</v>
      </c>
      <c r="M26" s="21">
        <f t="shared" si="12"/>
        <v>2.4345986406722902E-5</v>
      </c>
      <c r="N26" s="31">
        <f t="shared" si="13"/>
        <v>3.2416871607199901E-2</v>
      </c>
      <c r="O26" s="14">
        <f t="shared" si="18"/>
        <v>2.6021727373617782E-3</v>
      </c>
      <c r="P26" s="21">
        <f t="shared" si="14"/>
        <v>8.5559817871491799E-3</v>
      </c>
      <c r="Q26" s="31">
        <f t="shared" si="15"/>
        <v>1.3208616482970471E-3</v>
      </c>
      <c r="R26" s="14">
        <f t="shared" si="16"/>
        <v>7.2907946224436637E-2</v>
      </c>
      <c r="S26" s="21">
        <f t="shared" si="17"/>
        <v>9.5606808886898584E-2</v>
      </c>
    </row>
    <row r="27" spans="1:19" x14ac:dyDescent="0.2">
      <c r="A27" s="12">
        <f t="shared" si="5"/>
        <v>14</v>
      </c>
      <c r="B27" s="5">
        <f t="shared" si="0"/>
        <v>2.9066703122099971E-3</v>
      </c>
      <c r="C27" s="5">
        <f t="shared" si="1"/>
        <v>1.8135824034861935E-2</v>
      </c>
      <c r="D27" s="11">
        <f t="shared" si="2"/>
        <v>2.5667104163975253E-2</v>
      </c>
      <c r="E27" s="14">
        <f t="shared" si="3"/>
        <v>5.0431311250905941E-2</v>
      </c>
      <c r="F27" s="14">
        <f t="shared" si="4"/>
        <v>3.2727147279719142E-2</v>
      </c>
      <c r="G27" s="21">
        <f t="shared" si="6"/>
        <v>2.4598532154798028E-5</v>
      </c>
      <c r="H27" s="14">
        <f t="shared" si="7"/>
        <v>4.4368333871782219E-2</v>
      </c>
      <c r="I27" s="14">
        <f t="shared" si="8"/>
        <v>4.0505885665488571E-9</v>
      </c>
      <c r="J27" s="21">
        <f t="shared" si="9"/>
        <v>7.8208538795091181E-2</v>
      </c>
      <c r="K27" s="31">
        <f t="shared" si="10"/>
        <v>1.2162012525043592E-2</v>
      </c>
      <c r="L27" s="14">
        <f t="shared" si="11"/>
        <v>1.4791454865931716E-3</v>
      </c>
      <c r="M27" s="21">
        <f t="shared" si="12"/>
        <v>1.0939356852544752E-5</v>
      </c>
      <c r="N27" s="31">
        <f t="shared" si="13"/>
        <v>2.5181712979029772E-2</v>
      </c>
      <c r="O27" s="14">
        <f t="shared" si="18"/>
        <v>1.8243829561718054E-3</v>
      </c>
      <c r="P27" s="21">
        <f t="shared" si="14"/>
        <v>7.2767463661835554E-3</v>
      </c>
      <c r="Q27" s="31">
        <f t="shared" si="15"/>
        <v>4.7173630296323246E-4</v>
      </c>
      <c r="R27" s="14">
        <f t="shared" si="16"/>
        <v>5.2077104446026187E-2</v>
      </c>
      <c r="S27" s="21">
        <f t="shared" si="17"/>
        <v>0.10243586666453419</v>
      </c>
    </row>
    <row r="28" spans="1:19" x14ac:dyDescent="0.2">
      <c r="A28" s="12">
        <f t="shared" si="5"/>
        <v>15</v>
      </c>
      <c r="B28" s="5">
        <f t="shared" si="0"/>
        <v>2.0346692185469976E-3</v>
      </c>
      <c r="C28" s="5">
        <f t="shared" si="1"/>
        <v>1.5415450429632643E-2</v>
      </c>
      <c r="D28" s="11">
        <f t="shared" si="2"/>
        <v>2.4383748955776489E-2</v>
      </c>
      <c r="E28" s="14">
        <f t="shared" si="3"/>
        <v>4.4715762642469903E-2</v>
      </c>
      <c r="F28" s="14">
        <f t="shared" si="4"/>
        <v>3.6654404953285438E-2</v>
      </c>
      <c r="G28" s="21">
        <f t="shared" si="6"/>
        <v>9.3474422188232602E-6</v>
      </c>
      <c r="H28" s="14">
        <f t="shared" si="7"/>
        <v>2.1596386605275224E-2</v>
      </c>
      <c r="I28" s="14">
        <f t="shared" si="8"/>
        <v>5.9406001249014352E-11</v>
      </c>
      <c r="J28" s="21">
        <f t="shared" si="9"/>
        <v>7.9788456080286549E-2</v>
      </c>
      <c r="K28" s="31">
        <f t="shared" si="10"/>
        <v>9.9574136735727896E-3</v>
      </c>
      <c r="L28" s="14">
        <f t="shared" si="11"/>
        <v>9.915008706665434E-4</v>
      </c>
      <c r="M28" s="21">
        <f t="shared" si="12"/>
        <v>4.915369882662568E-6</v>
      </c>
      <c r="N28" s="31">
        <f t="shared" si="13"/>
        <v>1.9516173863351003E-2</v>
      </c>
      <c r="O28" s="14">
        <f t="shared" si="18"/>
        <v>1.2955859743813455E-3</v>
      </c>
      <c r="P28" s="21">
        <f t="shared" si="14"/>
        <v>6.2385987916747376E-3</v>
      </c>
      <c r="Q28" s="31">
        <f t="shared" si="15"/>
        <v>1.5724543432107704E-4</v>
      </c>
      <c r="R28" s="14">
        <f t="shared" si="16"/>
        <v>3.4718069630684127E-2</v>
      </c>
      <c r="S28" s="21">
        <f t="shared" si="17"/>
        <v>0.10243586666453419</v>
      </c>
    </row>
    <row r="29" spans="1:19" x14ac:dyDescent="0.2">
      <c r="A29" s="12">
        <f t="shared" si="5"/>
        <v>16</v>
      </c>
      <c r="B29" s="5">
        <f t="shared" si="0"/>
        <v>1.4242684529828982E-3</v>
      </c>
      <c r="C29" s="5">
        <f t="shared" si="1"/>
        <v>1.3103132865187744E-2</v>
      </c>
      <c r="D29" s="11">
        <f t="shared" si="2"/>
        <v>2.3164561507987666E-2</v>
      </c>
      <c r="E29" s="14">
        <f t="shared" si="3"/>
        <v>3.9126292312161186E-2</v>
      </c>
      <c r="F29" s="14">
        <f t="shared" si="4"/>
        <v>4.0090755417655957E-2</v>
      </c>
      <c r="G29" s="21">
        <f t="shared" si="6"/>
        <v>3.5052908320587298E-6</v>
      </c>
      <c r="H29" s="14">
        <f t="shared" si="7"/>
        <v>8.9578121179371608E-3</v>
      </c>
      <c r="I29" s="14">
        <f t="shared" si="8"/>
        <v>5.5862804867931224E-13</v>
      </c>
      <c r="J29" s="21">
        <f t="shared" si="9"/>
        <v>7.8208538795091181E-2</v>
      </c>
      <c r="K29" s="31">
        <f t="shared" si="10"/>
        <v>8.152440795673243E-3</v>
      </c>
      <c r="L29" s="14">
        <f t="shared" si="11"/>
        <v>6.6462290926957361E-4</v>
      </c>
      <c r="M29" s="21">
        <f t="shared" si="12"/>
        <v>2.2086180576297589E-6</v>
      </c>
      <c r="N29" s="31">
        <f t="shared" si="13"/>
        <v>1.5113502304702153E-2</v>
      </c>
      <c r="O29" s="14">
        <f t="shared" si="18"/>
        <v>9.3107446889370896E-4</v>
      </c>
      <c r="P29" s="21">
        <f t="shared" si="14"/>
        <v>5.3871022674500052E-3</v>
      </c>
      <c r="Q29" s="31">
        <f t="shared" si="15"/>
        <v>4.9139198225336609E-5</v>
      </c>
      <c r="R29" s="14">
        <f t="shared" si="16"/>
        <v>2.1698793519177549E-2</v>
      </c>
      <c r="S29" s="21">
        <f t="shared" si="17"/>
        <v>9.6033624998000819E-2</v>
      </c>
    </row>
    <row r="30" spans="1:19" x14ac:dyDescent="0.2">
      <c r="A30" s="12">
        <f t="shared" si="5"/>
        <v>17</v>
      </c>
      <c r="B30" s="5">
        <f t="shared" si="0"/>
        <v>9.9698791708802874E-4</v>
      </c>
      <c r="C30" s="5">
        <f t="shared" si="1"/>
        <v>1.1137662935409584E-2</v>
      </c>
      <c r="D30" s="11">
        <f t="shared" si="2"/>
        <v>2.2006333432588284E-2</v>
      </c>
      <c r="E30" s="14">
        <f t="shared" si="3"/>
        <v>3.3832735116986444E-2</v>
      </c>
      <c r="F30" s="14">
        <f t="shared" si="4"/>
        <v>4.2920691094196384E-2</v>
      </c>
      <c r="G30" s="21">
        <f t="shared" si="6"/>
        <v>1.2990195436452892E-6</v>
      </c>
      <c r="H30" s="14">
        <f t="shared" si="7"/>
        <v>3.1661806331919878E-3</v>
      </c>
      <c r="I30" s="14">
        <f t="shared" si="8"/>
        <v>3.3681807223579286E-15</v>
      </c>
      <c r="J30" s="21">
        <f t="shared" si="9"/>
        <v>7.3654028060664664E-2</v>
      </c>
      <c r="K30" s="31">
        <f t="shared" si="10"/>
        <v>6.6746539920652138E-3</v>
      </c>
      <c r="L30" s="14">
        <f t="shared" si="11"/>
        <v>4.45510059137921E-4</v>
      </c>
      <c r="M30" s="21">
        <f t="shared" si="12"/>
        <v>9.9239606396536899E-7</v>
      </c>
      <c r="N30" s="31">
        <f t="shared" si="13"/>
        <v>1.1707874257046402E-2</v>
      </c>
      <c r="O30" s="14">
        <f t="shared" si="18"/>
        <v>6.7655649710261973E-4</v>
      </c>
      <c r="P30" s="21">
        <f t="shared" si="14"/>
        <v>4.6820260954107676E-3</v>
      </c>
      <c r="Q30" s="31">
        <f t="shared" si="15"/>
        <v>1.4452705360393124E-5</v>
      </c>
      <c r="R30" s="14">
        <f t="shared" si="16"/>
        <v>1.2763996187751522E-2</v>
      </c>
      <c r="S30" s="21">
        <f t="shared" si="17"/>
        <v>8.4735551468824222E-2</v>
      </c>
    </row>
    <row r="31" spans="1:19" x14ac:dyDescent="0.2">
      <c r="A31" s="12">
        <f t="shared" si="5"/>
        <v>18</v>
      </c>
      <c r="B31" s="5">
        <f t="shared" si="0"/>
        <v>6.9789154196162008E-4</v>
      </c>
      <c r="C31" s="5">
        <f t="shared" si="1"/>
        <v>9.4670134950981463E-3</v>
      </c>
      <c r="D31" s="11">
        <f t="shared" si="2"/>
        <v>2.0906016760958868E-2</v>
      </c>
      <c r="E31" s="14">
        <f t="shared" si="3"/>
        <v>2.8945784488977298E-2</v>
      </c>
      <c r="F31" s="14">
        <f t="shared" si="4"/>
        <v>4.5066725648906202E-2</v>
      </c>
      <c r="G31" s="21">
        <f t="shared" si="6"/>
        <v>4.7630716600327367E-7</v>
      </c>
      <c r="H31" s="14">
        <f t="shared" si="7"/>
        <v>9.536352805859362E-4</v>
      </c>
      <c r="I31" s="14">
        <f t="shared" si="8"/>
        <v>1.3021117687947652E-17</v>
      </c>
      <c r="J31" s="21">
        <f t="shared" si="9"/>
        <v>6.6644920578359926E-2</v>
      </c>
      <c r="K31" s="31">
        <f t="shared" si="10"/>
        <v>5.4647444894585125E-3</v>
      </c>
      <c r="L31" s="14">
        <f t="shared" si="11"/>
        <v>2.9863432335067169E-4</v>
      </c>
      <c r="M31" s="21">
        <f t="shared" si="12"/>
        <v>4.4591229541556767E-7</v>
      </c>
      <c r="N31" s="31">
        <f t="shared" si="13"/>
        <v>9.0799477112438274E-3</v>
      </c>
      <c r="O31" s="14">
        <f t="shared" si="18"/>
        <v>4.9669826529182785E-4</v>
      </c>
      <c r="P31" s="21">
        <f t="shared" si="14"/>
        <v>4.0931720537592305E-3</v>
      </c>
      <c r="Q31" s="31">
        <f t="shared" si="15"/>
        <v>4.0146403778869831E-6</v>
      </c>
      <c r="R31" s="14">
        <f t="shared" si="16"/>
        <v>7.0911089931952852E-3</v>
      </c>
      <c r="S31" s="21">
        <f t="shared" si="17"/>
        <v>7.0612959557353555E-2</v>
      </c>
    </row>
    <row r="32" spans="1:19" x14ac:dyDescent="0.2">
      <c r="A32" s="12">
        <f t="shared" si="5"/>
        <v>19</v>
      </c>
      <c r="B32" s="5">
        <f t="shared" si="0"/>
        <v>4.8852407937313399E-4</v>
      </c>
      <c r="C32" s="5">
        <f t="shared" si="1"/>
        <v>8.0469614708334244E-3</v>
      </c>
      <c r="D32" s="11">
        <f t="shared" si="2"/>
        <v>1.9860715922910926E-2</v>
      </c>
      <c r="E32" s="14">
        <f t="shared" si="3"/>
        <v>2.4527743698554445E-2</v>
      </c>
      <c r="F32" s="14">
        <f t="shared" si="4"/>
        <v>4.6489885406240092E-2</v>
      </c>
      <c r="G32" s="21">
        <f t="shared" si="6"/>
        <v>1.729747076538215E-7</v>
      </c>
      <c r="H32" s="14">
        <f t="shared" si="7"/>
        <v>2.4476077204550875E-4</v>
      </c>
      <c r="I32" s="14">
        <f t="shared" si="8"/>
        <v>3.2276123811628609E-20</v>
      </c>
      <c r="J32" s="21">
        <f t="shared" si="9"/>
        <v>5.7938310552296549E-2</v>
      </c>
      <c r="K32" s="31">
        <f t="shared" si="10"/>
        <v>4.4741543712331182E-3</v>
      </c>
      <c r="L32" s="14">
        <f t="shared" si="11"/>
        <v>2.0018057337624416E-4</v>
      </c>
      <c r="M32" s="21">
        <f t="shared" si="12"/>
        <v>2.0036130978620938E-7</v>
      </c>
      <c r="N32" s="31">
        <f t="shared" si="13"/>
        <v>7.0540010201440096E-3</v>
      </c>
      <c r="O32" s="14">
        <f t="shared" si="18"/>
        <v>3.6817030414090053E-4</v>
      </c>
      <c r="P32" s="21">
        <f t="shared" si="14"/>
        <v>3.59755423943508E-3</v>
      </c>
      <c r="Q32" s="31">
        <f t="shared" si="15"/>
        <v>1.0564843099702586E-6</v>
      </c>
      <c r="R32" s="14">
        <f t="shared" si="16"/>
        <v>3.7321626279975249E-3</v>
      </c>
      <c r="S32" s="21">
        <f t="shared" si="17"/>
        <v>5.5747073334752775E-2</v>
      </c>
    </row>
    <row r="33" spans="1:19" s="18" customFormat="1" x14ac:dyDescent="0.2">
      <c r="A33" s="13">
        <f t="shared" si="5"/>
        <v>20</v>
      </c>
      <c r="B33" s="17">
        <f t="shared" si="0"/>
        <v>3.419668555611938E-4</v>
      </c>
      <c r="C33" s="17">
        <f t="shared" si="1"/>
        <v>6.8399172502084105E-3</v>
      </c>
      <c r="D33" s="28">
        <f t="shared" si="2"/>
        <v>1.8867680126765377E-2</v>
      </c>
      <c r="E33" s="18">
        <f t="shared" si="3"/>
        <v>2.060330470678573E-2</v>
      </c>
      <c r="F33" s="18">
        <f t="shared" si="4"/>
        <v>4.7187233687333699E-2</v>
      </c>
      <c r="G33" s="22">
        <f t="shared" si="6"/>
        <v>6.2270894755375566E-8</v>
      </c>
      <c r="H33" s="18">
        <f t="shared" si="7"/>
        <v>5.3532090305954143E-5</v>
      </c>
      <c r="I33" s="18">
        <f t="shared" si="8"/>
        <v>5.1297324178042805E-23</v>
      </c>
      <c r="J33" s="22">
        <f t="shared" si="9"/>
        <v>4.8394144903828672E-2</v>
      </c>
      <c r="K33" s="35">
        <f t="shared" si="10"/>
        <v>3.6631277777468361E-3</v>
      </c>
      <c r="L33" s="18">
        <f t="shared" si="11"/>
        <v>1.3418505116100476E-4</v>
      </c>
      <c r="M33" s="22">
        <f t="shared" si="12"/>
        <v>9.0028139775407304E-8</v>
      </c>
      <c r="N33" s="31">
        <f t="shared" si="13"/>
        <v>5.4918552530183636E-3</v>
      </c>
      <c r="O33" s="14">
        <f t="shared" si="18"/>
        <v>2.7535896055232595E-4</v>
      </c>
      <c r="P33" s="21">
        <f t="shared" si="14"/>
        <v>3.1774551803871319E-3</v>
      </c>
      <c r="Q33" s="31">
        <f t="shared" si="15"/>
        <v>2.6412107749256427E-7</v>
      </c>
      <c r="R33" s="14">
        <f t="shared" si="16"/>
        <v>1.8660813139987594E-3</v>
      </c>
      <c r="S33" s="21">
        <f t="shared" si="17"/>
        <v>4.1810305001064599E-2</v>
      </c>
    </row>
    <row r="34" spans="1:19" s="29" customFormat="1" ht="34" x14ac:dyDescent="0.2">
      <c r="A34" s="20" t="s">
        <v>22</v>
      </c>
      <c r="B34" s="19" t="str">
        <f t="shared" ref="B34:S34" si="19">B13</f>
        <v>p = 0.30</v>
      </c>
      <c r="C34" s="19" t="str">
        <f t="shared" si="19"/>
        <v>p = 0.15</v>
      </c>
      <c r="D34" s="20" t="str">
        <f t="shared" si="19"/>
        <v>p = 0.05</v>
      </c>
      <c r="E34" s="19" t="str">
        <f t="shared" si="19"/>
        <v>5 Resp.; p = 0.30</v>
      </c>
      <c r="F34" s="19" t="str">
        <f t="shared" si="19"/>
        <v>10 Resp.; p = 0.30</v>
      </c>
      <c r="G34" s="20" t="str">
        <f t="shared" si="19"/>
        <v>5 Resp.; p = 0.70</v>
      </c>
      <c r="H34" s="19" t="str">
        <f t="shared" si="19"/>
        <v>AVG = 10; SD = 2.5</v>
      </c>
      <c r="I34" s="19" t="str">
        <f t="shared" si="19"/>
        <v>AVG = 5; SD = 1.5</v>
      </c>
      <c r="J34" s="20" t="str">
        <f t="shared" si="19"/>
        <v>AVG = 15; SD = 5</v>
      </c>
      <c r="K34" s="26" t="str">
        <f t="shared" si="19"/>
        <v>p = 0.2</v>
      </c>
      <c r="L34" s="19" t="str">
        <f t="shared" si="19"/>
        <v>p = 0.4</v>
      </c>
      <c r="M34" s="20" t="str">
        <f t="shared" si="19"/>
        <v>p = 0.8</v>
      </c>
      <c r="N34" s="26" t="str">
        <f t="shared" si="19"/>
        <v>AVG = 2; SD = 0.5</v>
      </c>
      <c r="O34" s="19" t="str">
        <f t="shared" si="19"/>
        <v>AVG = 1; SD = 0.65</v>
      </c>
      <c r="P34" s="20" t="str">
        <f t="shared" si="19"/>
        <v>AVG = 0.75; SD = 1.25</v>
      </c>
      <c r="Q34" s="26" t="str">
        <f t="shared" si="19"/>
        <v>AVG = 5</v>
      </c>
      <c r="R34" s="19" t="str">
        <f t="shared" si="19"/>
        <v>AVG = 10</v>
      </c>
      <c r="S34" s="20" t="str">
        <f t="shared" si="19"/>
        <v>AVG = 15</v>
      </c>
    </row>
    <row r="35" spans="1:19" x14ac:dyDescent="0.2">
      <c r="A35" s="12">
        <v>1</v>
      </c>
      <c r="B35" s="5">
        <f t="shared" ref="B35:S35" si="20">B14</f>
        <v>0.3</v>
      </c>
      <c r="C35" s="5">
        <f t="shared" si="20"/>
        <v>0.15</v>
      </c>
      <c r="D35" s="11">
        <f t="shared" si="20"/>
        <v>0.05</v>
      </c>
      <c r="E35" s="5">
        <f t="shared" si="20"/>
        <v>8.5050000000000004E-3</v>
      </c>
      <c r="F35" s="5">
        <f t="shared" si="20"/>
        <v>4.1334299999999975E-5</v>
      </c>
      <c r="G35" s="11">
        <f t="shared" si="20"/>
        <v>0.25210499999999997</v>
      </c>
      <c r="H35" s="5">
        <f t="shared" si="20"/>
        <v>2.4476077204550875E-4</v>
      </c>
      <c r="I35" s="5">
        <f t="shared" si="20"/>
        <v>7.597324015864962E-3</v>
      </c>
      <c r="J35" s="11">
        <f t="shared" si="20"/>
        <v>1.5830903165959939E-3</v>
      </c>
      <c r="K35" s="32">
        <f t="shared" si="20"/>
        <v>0.16374615061559639</v>
      </c>
      <c r="L35" s="5">
        <f t="shared" si="20"/>
        <v>0.26812801841425576</v>
      </c>
      <c r="M35" s="11">
        <f t="shared" si="20"/>
        <v>0.35946317129377725</v>
      </c>
      <c r="N35" s="32">
        <f t="shared" si="20"/>
        <v>2.6766045152977101E-4</v>
      </c>
      <c r="O35" s="5">
        <f t="shared" si="20"/>
        <v>0.1879484473884909</v>
      </c>
      <c r="P35" s="11">
        <f t="shared" si="20"/>
        <v>0.2665796823134397</v>
      </c>
      <c r="Q35" s="32">
        <f t="shared" si="20"/>
        <v>3.368973499542733E-2</v>
      </c>
      <c r="R35" s="5">
        <f t="shared" si="20"/>
        <v>4.5399929762484861E-4</v>
      </c>
      <c r="S35" s="11">
        <f t="shared" si="20"/>
        <v>4.5885348075273872E-6</v>
      </c>
    </row>
    <row r="36" spans="1:19" x14ac:dyDescent="0.2">
      <c r="A36" s="12">
        <f t="shared" ref="A36:A54" si="21">A35+1</f>
        <v>2</v>
      </c>
      <c r="B36" s="5">
        <f>B35+B15</f>
        <v>0.51</v>
      </c>
      <c r="C36" s="5">
        <f t="shared" ref="C36:D51" si="22">C35+C15</f>
        <v>0.27749999999999997</v>
      </c>
      <c r="D36" s="11">
        <f t="shared" si="22"/>
        <v>9.7500000000000003E-2</v>
      </c>
      <c r="E36" s="5">
        <f>E35+E15</f>
        <v>2.6365500000000007E-2</v>
      </c>
      <c r="F36" s="5">
        <f t="shared" ref="F36:F54" si="23">F35+F15</f>
        <v>2.004713549999998E-4</v>
      </c>
      <c r="G36" s="11">
        <f t="shared" ref="G36:G54" si="24">G35+G15</f>
        <v>0.47899949999999991</v>
      </c>
      <c r="H36" s="5">
        <f>H35+H15</f>
        <v>1.198396052631445E-3</v>
      </c>
      <c r="I36" s="5">
        <f t="shared" ref="I36:I54" si="25">I35+I15</f>
        <v>4.3591301691323671E-2</v>
      </c>
      <c r="J36" s="11">
        <f t="shared" ref="J36:J54" si="26">J35+J15</f>
        <v>4.2996841633331159E-3</v>
      </c>
      <c r="K36" s="32">
        <f>K35+K15</f>
        <v>0.2978101598227243</v>
      </c>
      <c r="L36" s="5">
        <f t="shared" ref="L36:L54" si="27">L35+L15</f>
        <v>0.44785960406114439</v>
      </c>
      <c r="M36" s="11">
        <f t="shared" ref="M36:M54" si="28">M35+M15</f>
        <v>0.52098038568950156</v>
      </c>
      <c r="N36" s="32">
        <f>N35+N15</f>
        <v>1.3373896647412419E-2</v>
      </c>
      <c r="O36" s="5">
        <f t="shared" ref="O36:O54" si="29">O35+O15</f>
        <v>0.46246789970196589</v>
      </c>
      <c r="P36" s="11">
        <f t="shared" ref="P36:P54" si="30">P35+P15</f>
        <v>0.42599162656500977</v>
      </c>
      <c r="Q36" s="32">
        <f>Q35+Q15</f>
        <v>0.11791407248399566</v>
      </c>
      <c r="R36" s="5">
        <f t="shared" ref="R36:R54" si="31">R35+R15</f>
        <v>2.7239957857490928E-3</v>
      </c>
      <c r="S36" s="11">
        <f t="shared" ref="S36:S54" si="32">S35+S15</f>
        <v>3.9002545863982837E-5</v>
      </c>
    </row>
    <row r="37" spans="1:19" x14ac:dyDescent="0.2">
      <c r="A37" s="12">
        <f t="shared" si="21"/>
        <v>3</v>
      </c>
      <c r="B37" s="5">
        <f t="shared" ref="B37:B54" si="33">B36+B16</f>
        <v>0.65700000000000003</v>
      </c>
      <c r="C37" s="5">
        <f t="shared" si="22"/>
        <v>0.38587499999999997</v>
      </c>
      <c r="D37" s="11">
        <f t="shared" si="22"/>
        <v>0.142625</v>
      </c>
      <c r="E37" s="5">
        <f t="shared" ref="E37:E54" si="34">E36+E16</f>
        <v>5.5537650000000022E-2</v>
      </c>
      <c r="F37" s="5">
        <f t="shared" si="23"/>
        <v>6.4605510899999954E-4</v>
      </c>
      <c r="G37" s="11">
        <f t="shared" si="24"/>
        <v>0.63782564999999991</v>
      </c>
      <c r="H37" s="5">
        <f t="shared" ref="H37:H54" si="35">H36+H16</f>
        <v>4.364576685823433E-3</v>
      </c>
      <c r="I37" s="5">
        <f t="shared" si="25"/>
        <v>0.15293135147531942</v>
      </c>
      <c r="J37" s="11">
        <f t="shared" si="26"/>
        <v>8.7785902223016972E-3</v>
      </c>
      <c r="K37" s="32">
        <f t="shared" ref="K37:K54" si="36">K36+K16</f>
        <v>0.4075724870415296</v>
      </c>
      <c r="L37" s="5">
        <f t="shared" si="27"/>
        <v>0.56833728882602519</v>
      </c>
      <c r="M37" s="11">
        <f t="shared" si="28"/>
        <v>0.5935547483210315</v>
      </c>
      <c r="N37" s="32">
        <f t="shared" ref="N37:N54" si="37">N36+N16</f>
        <v>6.5744845448409348E-2</v>
      </c>
      <c r="O37" s="5">
        <f t="shared" si="29"/>
        <v>0.66471277700436815</v>
      </c>
      <c r="P37" s="11">
        <f t="shared" si="30"/>
        <v>0.52831837782298297</v>
      </c>
      <c r="Q37" s="32">
        <f t="shared" ref="Q37:Q54" si="38">Q36+Q16</f>
        <v>0.25828796829827627</v>
      </c>
      <c r="R37" s="5">
        <f t="shared" si="31"/>
        <v>1.0290650746163241E-2</v>
      </c>
      <c r="S37" s="11">
        <f t="shared" si="32"/>
        <v>2.1107260114625973E-4</v>
      </c>
    </row>
    <row r="38" spans="1:19" x14ac:dyDescent="0.2">
      <c r="A38" s="12">
        <f t="shared" si="21"/>
        <v>4</v>
      </c>
      <c r="B38" s="5">
        <f t="shared" si="33"/>
        <v>0.75990000000000002</v>
      </c>
      <c r="C38" s="5">
        <f t="shared" si="22"/>
        <v>0.47799374999999994</v>
      </c>
      <c r="D38" s="11">
        <f t="shared" si="22"/>
        <v>0.18549375000000001</v>
      </c>
      <c r="E38" s="5">
        <f t="shared" si="34"/>
        <v>9.6378660000000033E-2</v>
      </c>
      <c r="F38" s="5">
        <f t="shared" si="23"/>
        <v>1.659758149349998E-3</v>
      </c>
      <c r="G38" s="11">
        <f t="shared" si="24"/>
        <v>0.73312133999999995</v>
      </c>
      <c r="H38" s="5">
        <f t="shared" si="35"/>
        <v>1.3322388803760594E-2</v>
      </c>
      <c r="I38" s="5">
        <f t="shared" si="25"/>
        <v>0.36589668849022089</v>
      </c>
      <c r="J38" s="11">
        <f t="shared" si="26"/>
        <v>1.5873508791547981E-2</v>
      </c>
      <c r="K38" s="32">
        <f t="shared" si="36"/>
        <v>0.49743827986497391</v>
      </c>
      <c r="L38" s="5">
        <f t="shared" si="27"/>
        <v>0.64909589602388729</v>
      </c>
      <c r="M38" s="11">
        <f t="shared" si="28"/>
        <v>0.62616451150372443</v>
      </c>
      <c r="N38" s="32">
        <f t="shared" si="37"/>
        <v>0.15966080573096769</v>
      </c>
      <c r="O38" s="5">
        <f t="shared" si="29"/>
        <v>0.79331314069584491</v>
      </c>
      <c r="P38" s="11">
        <f t="shared" si="30"/>
        <v>0.59841119117663266</v>
      </c>
      <c r="Q38" s="32">
        <f t="shared" si="38"/>
        <v>0.43375533806612698</v>
      </c>
      <c r="R38" s="5">
        <f t="shared" si="31"/>
        <v>2.9207288147198595E-2</v>
      </c>
      <c r="S38" s="11">
        <f t="shared" si="32"/>
        <v>8.5633530845479844E-4</v>
      </c>
    </row>
    <row r="39" spans="1:19" x14ac:dyDescent="0.2">
      <c r="A39" s="12">
        <f t="shared" si="21"/>
        <v>5</v>
      </c>
      <c r="B39" s="5">
        <f t="shared" si="33"/>
        <v>0.83192999999999995</v>
      </c>
      <c r="C39" s="5">
        <f t="shared" si="22"/>
        <v>0.55629468749999988</v>
      </c>
      <c r="D39" s="11">
        <f t="shared" si="22"/>
        <v>0.22621906250000001</v>
      </c>
      <c r="E39" s="5">
        <f t="shared" si="34"/>
        <v>0.14783833260000004</v>
      </c>
      <c r="F39" s="5">
        <f t="shared" si="23"/>
        <v>3.646616108435999E-3</v>
      </c>
      <c r="G39" s="11">
        <f t="shared" si="24"/>
        <v>0.78458101260000002</v>
      </c>
      <c r="H39" s="5">
        <f t="shared" si="35"/>
        <v>3.4918775409035818E-2</v>
      </c>
      <c r="I39" s="5">
        <f t="shared" si="25"/>
        <v>0.6318582087578426</v>
      </c>
      <c r="J39" s="11">
        <f t="shared" si="26"/>
        <v>2.6671702094185595E-2</v>
      </c>
      <c r="K39" s="32">
        <f t="shared" si="36"/>
        <v>0.57101416809926242</v>
      </c>
      <c r="L39" s="5">
        <f t="shared" si="27"/>
        <v>0.70323000931853241</v>
      </c>
      <c r="M39" s="11">
        <f t="shared" si="28"/>
        <v>0.64081702261471174</v>
      </c>
      <c r="N39" s="32">
        <f t="shared" si="37"/>
        <v>0.27727956324499664</v>
      </c>
      <c r="O39" s="5">
        <f t="shared" si="29"/>
        <v>0.8724056270186723</v>
      </c>
      <c r="P39" s="11">
        <f t="shared" si="30"/>
        <v>0.6488052130250721</v>
      </c>
      <c r="Q39" s="32">
        <f t="shared" si="38"/>
        <v>0.60922270783397769</v>
      </c>
      <c r="R39" s="5">
        <f t="shared" si="31"/>
        <v>6.7040562949269314E-2</v>
      </c>
      <c r="S39" s="11">
        <f t="shared" si="32"/>
        <v>2.7921234303804159E-3</v>
      </c>
    </row>
    <row r="40" spans="1:19" x14ac:dyDescent="0.2">
      <c r="A40" s="12">
        <f t="shared" si="21"/>
        <v>6</v>
      </c>
      <c r="B40" s="5">
        <f t="shared" si="33"/>
        <v>0.88235099999999989</v>
      </c>
      <c r="C40" s="5">
        <f t="shared" si="22"/>
        <v>0.6228504843749999</v>
      </c>
      <c r="D40" s="11">
        <f t="shared" si="22"/>
        <v>0.26490810937500003</v>
      </c>
      <c r="E40" s="5">
        <f t="shared" si="34"/>
        <v>0.20787461730000006</v>
      </c>
      <c r="F40" s="5">
        <f t="shared" si="23"/>
        <v>7.1236175368364994E-3</v>
      </c>
      <c r="G40" s="11">
        <f t="shared" si="24"/>
        <v>0.81031084890000005</v>
      </c>
      <c r="H40" s="5">
        <f t="shared" si="35"/>
        <v>7.928710928081803E-2</v>
      </c>
      <c r="I40" s="5">
        <f t="shared" si="25"/>
        <v>0.8448235457727441</v>
      </c>
      <c r="J40" s="11">
        <f t="shared" si="26"/>
        <v>4.246173375436442E-2</v>
      </c>
      <c r="K40" s="32">
        <f t="shared" si="36"/>
        <v>0.63125301048170279</v>
      </c>
      <c r="L40" s="5">
        <f t="shared" si="27"/>
        <v>0.73951719063429744</v>
      </c>
      <c r="M40" s="11">
        <f t="shared" si="28"/>
        <v>0.64740082025392776</v>
      </c>
      <c r="N40" s="32">
        <f t="shared" si="37"/>
        <v>0.39921311270637128</v>
      </c>
      <c r="O40" s="5">
        <f t="shared" si="29"/>
        <v>0.92111964110500577</v>
      </c>
      <c r="P40" s="11">
        <f t="shared" si="30"/>
        <v>0.68639113752420911</v>
      </c>
      <c r="Q40" s="32">
        <f t="shared" si="38"/>
        <v>0.75544551597385334</v>
      </c>
      <c r="R40" s="5">
        <f t="shared" si="31"/>
        <v>0.13009602095272049</v>
      </c>
      <c r="S40" s="11">
        <f t="shared" si="32"/>
        <v>7.6315937351944538E-3</v>
      </c>
    </row>
    <row r="41" spans="1:19" x14ac:dyDescent="0.2">
      <c r="A41" s="12">
        <f t="shared" si="21"/>
        <v>7</v>
      </c>
      <c r="B41" s="5">
        <f t="shared" si="33"/>
        <v>0.9176456999999999</v>
      </c>
      <c r="C41" s="5">
        <f t="shared" si="22"/>
        <v>0.67942291171874991</v>
      </c>
      <c r="D41" s="11">
        <f t="shared" si="22"/>
        <v>0.30166270390625005</v>
      </c>
      <c r="E41" s="5">
        <f t="shared" si="34"/>
        <v>0.27391453047000008</v>
      </c>
      <c r="F41" s="5">
        <f t="shared" si="23"/>
        <v>1.2686819822277304E-2</v>
      </c>
      <c r="G41" s="11">
        <f t="shared" si="24"/>
        <v>0.82244062887000002</v>
      </c>
      <c r="H41" s="5">
        <f t="shared" si="35"/>
        <v>0.15696153127410323</v>
      </c>
      <c r="I41" s="5">
        <f t="shared" si="25"/>
        <v>0.9541635955567398</v>
      </c>
      <c r="J41" s="11">
        <f t="shared" si="26"/>
        <v>6.4645900690255526E-2</v>
      </c>
      <c r="K41" s="32">
        <f t="shared" si="36"/>
        <v>0.68057240327002411</v>
      </c>
      <c r="L41" s="5">
        <f t="shared" si="27"/>
        <v>0.76384121568438457</v>
      </c>
      <c r="M41" s="11">
        <f t="shared" si="28"/>
        <v>0.6503591112271141</v>
      </c>
      <c r="N41" s="32">
        <f t="shared" si="37"/>
        <v>0.51253160310924051</v>
      </c>
      <c r="O41" s="5">
        <f t="shared" si="29"/>
        <v>0.95153107020399397</v>
      </c>
      <c r="P41" s="11">
        <f t="shared" si="30"/>
        <v>0.71524081167619047</v>
      </c>
      <c r="Q41" s="32">
        <f t="shared" si="38"/>
        <v>0.85989037893090736</v>
      </c>
      <c r="R41" s="5">
        <f t="shared" si="31"/>
        <v>0.22017524667193647</v>
      </c>
      <c r="S41" s="11">
        <f t="shared" si="32"/>
        <v>1.8001887245510252E-2</v>
      </c>
    </row>
    <row r="42" spans="1:19" x14ac:dyDescent="0.2">
      <c r="A42" s="12">
        <f t="shared" si="21"/>
        <v>8</v>
      </c>
      <c r="B42" s="5">
        <f t="shared" si="33"/>
        <v>0.94235198999999992</v>
      </c>
      <c r="C42" s="5">
        <f t="shared" si="22"/>
        <v>0.72750947496093743</v>
      </c>
      <c r="D42" s="11">
        <f t="shared" si="22"/>
        <v>0.33657956871093753</v>
      </c>
      <c r="E42" s="5">
        <f t="shared" si="34"/>
        <v>0.34325643929850008</v>
      </c>
      <c r="F42" s="5">
        <f t="shared" si="23"/>
        <v>2.0962083221870487E-2</v>
      </c>
      <c r="G42" s="11">
        <f t="shared" si="24"/>
        <v>0.82789902985649999</v>
      </c>
      <c r="H42" s="5">
        <f t="shared" si="35"/>
        <v>0.27283815237869635</v>
      </c>
      <c r="I42" s="5">
        <f t="shared" si="25"/>
        <v>0.99015757323219855</v>
      </c>
      <c r="J42" s="11">
        <f t="shared" si="26"/>
        <v>9.4591393817404501E-2</v>
      </c>
      <c r="K42" s="32">
        <f t="shared" si="36"/>
        <v>0.72095170686895516</v>
      </c>
      <c r="L42" s="5">
        <f t="shared" si="27"/>
        <v>0.78014609727573103</v>
      </c>
      <c r="M42" s="11">
        <f t="shared" si="28"/>
        <v>0.6516883570456532</v>
      </c>
      <c r="N42" s="32">
        <f t="shared" si="37"/>
        <v>0.61101623036893837</v>
      </c>
      <c r="O42" s="5">
        <f t="shared" si="29"/>
        <v>0.97085279809134717</v>
      </c>
      <c r="P42" s="11">
        <f t="shared" si="30"/>
        <v>0.73790211822386576</v>
      </c>
      <c r="Q42" s="32">
        <f t="shared" si="38"/>
        <v>0.92516841827906604</v>
      </c>
      <c r="R42" s="5">
        <f t="shared" si="31"/>
        <v>0.33277427882095645</v>
      </c>
      <c r="S42" s="11">
        <f t="shared" si="32"/>
        <v>3.7446187577352394E-2</v>
      </c>
    </row>
    <row r="43" spans="1:19" x14ac:dyDescent="0.2">
      <c r="A43" s="12">
        <f t="shared" si="21"/>
        <v>9</v>
      </c>
      <c r="B43" s="5">
        <f t="shared" si="33"/>
        <v>0.95964639299999988</v>
      </c>
      <c r="C43" s="5">
        <f t="shared" si="22"/>
        <v>0.76838305371679683</v>
      </c>
      <c r="D43" s="11">
        <f t="shared" si="22"/>
        <v>0.36975059027539064</v>
      </c>
      <c r="E43" s="5">
        <f t="shared" si="34"/>
        <v>0.41336881378065005</v>
      </c>
      <c r="F43" s="5">
        <f t="shared" si="23"/>
        <v>3.2547451981300955E-2</v>
      </c>
      <c r="G43" s="11">
        <f t="shared" si="24"/>
        <v>0.83026433695064994</v>
      </c>
      <c r="H43" s="5">
        <f t="shared" si="35"/>
        <v>0.42014620850002571</v>
      </c>
      <c r="I43" s="5">
        <f t="shared" si="25"/>
        <v>0.99775489724806354</v>
      </c>
      <c r="J43" s="11">
        <f t="shared" si="26"/>
        <v>0.13342860481404709</v>
      </c>
      <c r="K43" s="32">
        <f t="shared" si="36"/>
        <v>0.75401148451327249</v>
      </c>
      <c r="L43" s="5">
        <f t="shared" si="27"/>
        <v>0.79107558625464802</v>
      </c>
      <c r="M43" s="11">
        <f t="shared" si="28"/>
        <v>0.6522856256923546</v>
      </c>
      <c r="N43" s="32">
        <f t="shared" si="37"/>
        <v>0.69303468522728007</v>
      </c>
      <c r="O43" s="5">
        <f t="shared" si="29"/>
        <v>0.98335752610677529</v>
      </c>
      <c r="P43" s="11">
        <f t="shared" si="30"/>
        <v>0.75604397403573353</v>
      </c>
      <c r="Q43" s="32">
        <f t="shared" si="38"/>
        <v>0.96143399569470978</v>
      </c>
      <c r="R43" s="5">
        <f t="shared" si="31"/>
        <v>0.45788431454208978</v>
      </c>
      <c r="S43" s="11">
        <f t="shared" si="32"/>
        <v>6.9853354797089276E-2</v>
      </c>
    </row>
    <row r="44" spans="1:19" x14ac:dyDescent="0.2">
      <c r="A44" s="12">
        <f t="shared" si="21"/>
        <v>10</v>
      </c>
      <c r="B44" s="5">
        <f t="shared" si="33"/>
        <v>0.97175247509999985</v>
      </c>
      <c r="C44" s="5">
        <f t="shared" si="22"/>
        <v>0.80312559565927732</v>
      </c>
      <c r="D44" s="11">
        <f t="shared" si="22"/>
        <v>0.4012630607616211</v>
      </c>
      <c r="E44" s="5">
        <f t="shared" si="34"/>
        <v>0.48207894077315705</v>
      </c>
      <c r="F44" s="5">
        <f t="shared" si="23"/>
        <v>4.7955992431343464E-2</v>
      </c>
      <c r="G44" s="11">
        <f t="shared" si="24"/>
        <v>0.83125776593019296</v>
      </c>
      <c r="H44" s="5">
        <f t="shared" si="35"/>
        <v>0.57972312066059883</v>
      </c>
      <c r="I44" s="5">
        <f t="shared" si="25"/>
        <v>0.99878308324559095</v>
      </c>
      <c r="J44" s="11">
        <f t="shared" si="26"/>
        <v>0.18182274971787576</v>
      </c>
      <c r="K44" s="32">
        <f t="shared" si="36"/>
        <v>0.78107854116059505</v>
      </c>
      <c r="L44" s="5">
        <f t="shared" si="27"/>
        <v>0.79840184181014173</v>
      </c>
      <c r="M44" s="11">
        <f t="shared" si="28"/>
        <v>0.65255399579467666</v>
      </c>
      <c r="N44" s="32">
        <f t="shared" si="37"/>
        <v>0.75947229818685624</v>
      </c>
      <c r="O44" s="5">
        <f t="shared" si="29"/>
        <v>0.99159795611528856</v>
      </c>
      <c r="P44" s="11">
        <f t="shared" si="30"/>
        <v>0.77080103312689296</v>
      </c>
      <c r="Q44" s="32">
        <f t="shared" si="38"/>
        <v>0.97956678440253164</v>
      </c>
      <c r="R44" s="5">
        <f t="shared" si="31"/>
        <v>0.5829943502632231</v>
      </c>
      <c r="S44" s="11">
        <f t="shared" si="32"/>
        <v>0.11846410562669463</v>
      </c>
    </row>
    <row r="45" spans="1:19" x14ac:dyDescent="0.2">
      <c r="A45" s="12">
        <f t="shared" si="21"/>
        <v>11</v>
      </c>
      <c r="B45" s="5">
        <f t="shared" si="33"/>
        <v>0.98022673256999981</v>
      </c>
      <c r="C45" s="5">
        <f t="shared" si="22"/>
        <v>0.83265675631038572</v>
      </c>
      <c r="D45" s="11">
        <f t="shared" si="22"/>
        <v>0.43119990772354005</v>
      </c>
      <c r="E45" s="5">
        <f t="shared" si="34"/>
        <v>0.54766588017509554</v>
      </c>
      <c r="F45" s="5">
        <f t="shared" si="23"/>
        <v>6.756686209503393E-2</v>
      </c>
      <c r="G45" s="11">
        <f t="shared" si="24"/>
        <v>0.83166416869455151</v>
      </c>
      <c r="H45" s="5">
        <f t="shared" si="35"/>
        <v>0.72703117678192819</v>
      </c>
      <c r="I45" s="5">
        <f t="shared" si="25"/>
        <v>0.99887230339610089</v>
      </c>
      <c r="J45" s="11">
        <f t="shared" si="26"/>
        <v>0.2397610602701723</v>
      </c>
      <c r="K45" s="32">
        <f t="shared" si="36"/>
        <v>0.80323917283306179</v>
      </c>
      <c r="L45" s="5">
        <f t="shared" si="27"/>
        <v>0.80331277777136911</v>
      </c>
      <c r="M45" s="11">
        <f t="shared" si="28"/>
        <v>0.65267458225475306</v>
      </c>
      <c r="N45" s="32">
        <f t="shared" si="37"/>
        <v>0.81232069394904316</v>
      </c>
      <c r="O45" s="5">
        <f t="shared" si="29"/>
        <v>0.99712220209249669</v>
      </c>
      <c r="P45" s="11">
        <f t="shared" si="30"/>
        <v>0.78296890586332624</v>
      </c>
      <c r="Q45" s="32">
        <f t="shared" si="38"/>
        <v>0.98780896108790517</v>
      </c>
      <c r="R45" s="5">
        <f t="shared" si="31"/>
        <v>0.69673074637334431</v>
      </c>
      <c r="S45" s="11">
        <f t="shared" si="32"/>
        <v>0.18475149312161096</v>
      </c>
    </row>
    <row r="46" spans="1:19" x14ac:dyDescent="0.2">
      <c r="A46" s="12">
        <f t="shared" si="21"/>
        <v>12</v>
      </c>
      <c r="B46" s="5">
        <f t="shared" si="33"/>
        <v>0.9861587127989998</v>
      </c>
      <c r="C46" s="5">
        <f t="shared" si="22"/>
        <v>0.85775824286382785</v>
      </c>
      <c r="D46" s="11">
        <f t="shared" si="22"/>
        <v>0.45963991233736307</v>
      </c>
      <c r="E46" s="5">
        <f t="shared" si="34"/>
        <v>0.60888035695023812</v>
      </c>
      <c r="F46" s="5">
        <f t="shared" si="23"/>
        <v>9.1590177433054767E-2</v>
      </c>
      <c r="G46" s="11">
        <f t="shared" si="24"/>
        <v>0.83182672980029493</v>
      </c>
      <c r="H46" s="5">
        <f t="shared" si="35"/>
        <v>0.84290779788652126</v>
      </c>
      <c r="I46" s="5">
        <f t="shared" si="25"/>
        <v>0.99887726742668126</v>
      </c>
      <c r="J46" s="11">
        <f t="shared" si="26"/>
        <v>0.30640598084853221</v>
      </c>
      <c r="K46" s="32">
        <f t="shared" si="36"/>
        <v>0.8213827634909443</v>
      </c>
      <c r="L46" s="5">
        <f t="shared" si="27"/>
        <v>0.80660467659097712</v>
      </c>
      <c r="M46" s="11">
        <f t="shared" si="28"/>
        <v>0.65272876524394574</v>
      </c>
      <c r="N46" s="32">
        <f t="shared" si="37"/>
        <v>0.85386615848353553</v>
      </c>
      <c r="O46" s="5">
        <f t="shared" si="29"/>
        <v>1.0008854687820294</v>
      </c>
      <c r="P46" s="11">
        <f t="shared" si="30"/>
        <v>0.79312016954059794</v>
      </c>
      <c r="Q46" s="32">
        <f t="shared" si="38"/>
        <v>0.99124320137347754</v>
      </c>
      <c r="R46" s="5">
        <f t="shared" si="31"/>
        <v>0.79151107646511198</v>
      </c>
      <c r="S46" s="11">
        <f t="shared" si="32"/>
        <v>0.26761072749025638</v>
      </c>
    </row>
    <row r="47" spans="1:19" x14ac:dyDescent="0.2">
      <c r="A47" s="12">
        <f t="shared" si="21"/>
        <v>13</v>
      </c>
      <c r="B47" s="5">
        <f t="shared" si="33"/>
        <v>0.99031109895929981</v>
      </c>
      <c r="C47" s="5">
        <f t="shared" si="22"/>
        <v>0.87909450643425369</v>
      </c>
      <c r="D47" s="11">
        <f t="shared" si="22"/>
        <v>0.48665791672049491</v>
      </c>
      <c r="E47" s="5">
        <f t="shared" si="34"/>
        <v>0.66491514722902245</v>
      </c>
      <c r="F47" s="5">
        <f t="shared" si="23"/>
        <v>0.12004856637194097</v>
      </c>
      <c r="G47" s="11">
        <f t="shared" si="24"/>
        <v>0.83189050377254814</v>
      </c>
      <c r="H47" s="5">
        <f t="shared" si="35"/>
        <v>0.92058221987980648</v>
      </c>
      <c r="I47" s="5">
        <f t="shared" si="25"/>
        <v>0.99887744451347515</v>
      </c>
      <c r="J47" s="11">
        <f t="shared" si="26"/>
        <v>0.38006000890919689</v>
      </c>
      <c r="K47" s="32">
        <f t="shared" si="36"/>
        <v>0.83623747913381108</v>
      </c>
      <c r="L47" s="5">
        <f t="shared" si="27"/>
        <v>0.80881130235928145</v>
      </c>
      <c r="M47" s="11">
        <f t="shared" si="28"/>
        <v>0.65275311123035251</v>
      </c>
      <c r="N47" s="32">
        <f t="shared" si="37"/>
        <v>0.88628303009073539</v>
      </c>
      <c r="O47" s="5">
        <f t="shared" si="29"/>
        <v>1.0034876415193912</v>
      </c>
      <c r="P47" s="11">
        <f t="shared" si="30"/>
        <v>0.80167615132774717</v>
      </c>
      <c r="Q47" s="32">
        <f t="shared" si="38"/>
        <v>0.99256406302177458</v>
      </c>
      <c r="R47" s="5">
        <f t="shared" si="31"/>
        <v>0.86441902268954862</v>
      </c>
      <c r="S47" s="11">
        <f t="shared" si="32"/>
        <v>0.36321753637715498</v>
      </c>
    </row>
    <row r="48" spans="1:19" x14ac:dyDescent="0.2">
      <c r="A48" s="12">
        <f t="shared" si="21"/>
        <v>14</v>
      </c>
      <c r="B48" s="5">
        <f t="shared" si="33"/>
        <v>0.99321776927150984</v>
      </c>
      <c r="C48" s="5">
        <f t="shared" si="22"/>
        <v>0.8972303304691156</v>
      </c>
      <c r="D48" s="11">
        <f t="shared" si="22"/>
        <v>0.51232502088447018</v>
      </c>
      <c r="E48" s="5">
        <f t="shared" si="34"/>
        <v>0.71534645847992839</v>
      </c>
      <c r="F48" s="5">
        <f t="shared" si="23"/>
        <v>0.15277571365166012</v>
      </c>
      <c r="G48" s="11">
        <f t="shared" si="24"/>
        <v>0.83191510230470289</v>
      </c>
      <c r="H48" s="5">
        <f t="shared" si="35"/>
        <v>0.96495055375158867</v>
      </c>
      <c r="I48" s="5">
        <f t="shared" si="25"/>
        <v>0.99887744856406369</v>
      </c>
      <c r="J48" s="11">
        <f t="shared" si="26"/>
        <v>0.45826854770428804</v>
      </c>
      <c r="K48" s="32">
        <f t="shared" si="36"/>
        <v>0.84839949165885464</v>
      </c>
      <c r="L48" s="5">
        <f t="shared" si="27"/>
        <v>0.81029044784587467</v>
      </c>
      <c r="M48" s="11">
        <f t="shared" si="28"/>
        <v>0.6527640505872051</v>
      </c>
      <c r="N48" s="32">
        <f t="shared" si="37"/>
        <v>0.91146474306976522</v>
      </c>
      <c r="O48" s="5">
        <f t="shared" si="29"/>
        <v>1.0053120244755629</v>
      </c>
      <c r="P48" s="11">
        <f t="shared" si="30"/>
        <v>0.80895289769393075</v>
      </c>
      <c r="Q48" s="32">
        <f t="shared" si="38"/>
        <v>0.99303579932473784</v>
      </c>
      <c r="R48" s="5">
        <f t="shared" si="31"/>
        <v>0.91649612713557482</v>
      </c>
      <c r="S48" s="11">
        <f t="shared" si="32"/>
        <v>0.46565340304168917</v>
      </c>
    </row>
    <row r="49" spans="1:19" x14ac:dyDescent="0.2">
      <c r="A49" s="12">
        <f t="shared" si="21"/>
        <v>15</v>
      </c>
      <c r="B49" s="5">
        <f t="shared" si="33"/>
        <v>0.99525243849005685</v>
      </c>
      <c r="C49" s="5">
        <f t="shared" si="22"/>
        <v>0.91264578089874826</v>
      </c>
      <c r="D49" s="11">
        <f t="shared" si="22"/>
        <v>0.53670876984024662</v>
      </c>
      <c r="E49" s="5">
        <f t="shared" si="34"/>
        <v>0.7600622211223983</v>
      </c>
      <c r="F49" s="5">
        <f t="shared" si="23"/>
        <v>0.18943011860494557</v>
      </c>
      <c r="G49" s="11">
        <f t="shared" si="24"/>
        <v>0.8319244497469217</v>
      </c>
      <c r="H49" s="5">
        <f t="shared" si="35"/>
        <v>0.98654694035686386</v>
      </c>
      <c r="I49" s="5">
        <f t="shared" si="25"/>
        <v>0.99887744862346972</v>
      </c>
      <c r="J49" s="11">
        <f t="shared" si="26"/>
        <v>0.53805700378457455</v>
      </c>
      <c r="K49" s="32">
        <f t="shared" si="36"/>
        <v>0.85835690533242748</v>
      </c>
      <c r="L49" s="5">
        <f t="shared" si="27"/>
        <v>0.81128194871654125</v>
      </c>
      <c r="M49" s="11">
        <f t="shared" si="28"/>
        <v>0.65276896595708778</v>
      </c>
      <c r="N49" s="32">
        <f t="shared" si="37"/>
        <v>0.93098091693311624</v>
      </c>
      <c r="O49" s="5">
        <f t="shared" si="29"/>
        <v>1.0066076104499442</v>
      </c>
      <c r="P49" s="11">
        <f t="shared" si="30"/>
        <v>0.81519149648560552</v>
      </c>
      <c r="Q49" s="32">
        <f t="shared" si="38"/>
        <v>0.9931930447590589</v>
      </c>
      <c r="R49" s="5">
        <f t="shared" si="31"/>
        <v>0.95121419676625896</v>
      </c>
      <c r="S49" s="11">
        <f t="shared" si="32"/>
        <v>0.56808926970622342</v>
      </c>
    </row>
    <row r="50" spans="1:19" x14ac:dyDescent="0.2">
      <c r="A50" s="12">
        <f t="shared" si="21"/>
        <v>16</v>
      </c>
      <c r="B50" s="5">
        <f t="shared" si="33"/>
        <v>0.99667670694303978</v>
      </c>
      <c r="C50" s="5">
        <f t="shared" si="22"/>
        <v>0.92574891376393598</v>
      </c>
      <c r="D50" s="11">
        <f t="shared" si="22"/>
        <v>0.55987333134823425</v>
      </c>
      <c r="E50" s="5">
        <f t="shared" si="34"/>
        <v>0.79918851343455943</v>
      </c>
      <c r="F50" s="5">
        <f t="shared" si="23"/>
        <v>0.22952087402260152</v>
      </c>
      <c r="G50" s="11">
        <f t="shared" si="24"/>
        <v>0.83192795503775374</v>
      </c>
      <c r="H50" s="5">
        <f t="shared" si="35"/>
        <v>0.99550475247480097</v>
      </c>
      <c r="I50" s="5">
        <f t="shared" si="25"/>
        <v>0.99887744862402839</v>
      </c>
      <c r="J50" s="11">
        <f t="shared" si="26"/>
        <v>0.6162655425796657</v>
      </c>
      <c r="K50" s="32">
        <f t="shared" si="36"/>
        <v>0.86650934612810071</v>
      </c>
      <c r="L50" s="5">
        <f t="shared" si="27"/>
        <v>0.81194657162581085</v>
      </c>
      <c r="M50" s="11">
        <f t="shared" si="28"/>
        <v>0.65277117457514544</v>
      </c>
      <c r="N50" s="32">
        <f t="shared" si="37"/>
        <v>0.94609441923781845</v>
      </c>
      <c r="O50" s="5">
        <f t="shared" si="29"/>
        <v>1.0075386849188379</v>
      </c>
      <c r="P50" s="11">
        <f t="shared" si="30"/>
        <v>0.8205785987530555</v>
      </c>
      <c r="Q50" s="32">
        <f t="shared" si="38"/>
        <v>0.99324218395728425</v>
      </c>
      <c r="R50" s="5">
        <f t="shared" si="31"/>
        <v>0.97291299028543654</v>
      </c>
      <c r="S50" s="11">
        <f t="shared" si="32"/>
        <v>0.66412289470422425</v>
      </c>
    </row>
    <row r="51" spans="1:19" x14ac:dyDescent="0.2">
      <c r="A51" s="12">
        <f t="shared" si="21"/>
        <v>17</v>
      </c>
      <c r="B51" s="5">
        <f t="shared" si="33"/>
        <v>0.9976736948601278</v>
      </c>
      <c r="C51" s="5">
        <f t="shared" si="22"/>
        <v>0.93688657669934561</v>
      </c>
      <c r="D51" s="11">
        <f t="shared" si="22"/>
        <v>0.58187966478082254</v>
      </c>
      <c r="E51" s="5">
        <f t="shared" si="34"/>
        <v>0.83302124855154591</v>
      </c>
      <c r="F51" s="5">
        <f t="shared" si="23"/>
        <v>0.2724415651167979</v>
      </c>
      <c r="G51" s="11">
        <f t="shared" si="24"/>
        <v>0.83192925405729734</v>
      </c>
      <c r="H51" s="5">
        <f t="shared" si="35"/>
        <v>0.99867093310799293</v>
      </c>
      <c r="I51" s="5">
        <f t="shared" si="25"/>
        <v>0.99887744862403172</v>
      </c>
      <c r="J51" s="11">
        <f t="shared" si="26"/>
        <v>0.68991957064033038</v>
      </c>
      <c r="K51" s="32">
        <f t="shared" si="36"/>
        <v>0.87318400012016595</v>
      </c>
      <c r="L51" s="5">
        <f t="shared" si="27"/>
        <v>0.81239208168494881</v>
      </c>
      <c r="M51" s="11">
        <f t="shared" si="28"/>
        <v>0.65277216697120943</v>
      </c>
      <c r="N51" s="32">
        <f t="shared" si="37"/>
        <v>0.9578022934948649</v>
      </c>
      <c r="O51" s="5">
        <f t="shared" si="29"/>
        <v>1.0082152414159404</v>
      </c>
      <c r="P51" s="11">
        <f t="shared" si="30"/>
        <v>0.8252606248484663</v>
      </c>
      <c r="Q51" s="32">
        <f t="shared" si="38"/>
        <v>0.99325663666264463</v>
      </c>
      <c r="R51" s="5">
        <f t="shared" si="31"/>
        <v>0.98567698647318802</v>
      </c>
      <c r="S51" s="11">
        <f t="shared" si="32"/>
        <v>0.74885844617304853</v>
      </c>
    </row>
    <row r="52" spans="1:19" x14ac:dyDescent="0.2">
      <c r="A52" s="12">
        <f t="shared" si="21"/>
        <v>18</v>
      </c>
      <c r="B52" s="5">
        <f t="shared" si="33"/>
        <v>0.99837158640208945</v>
      </c>
      <c r="C52" s="5">
        <f t="shared" ref="C52:C54" si="39">C51+C31</f>
        <v>0.94635359019444376</v>
      </c>
      <c r="D52" s="11">
        <f t="shared" ref="D52:D54" si="40">D51+D31</f>
        <v>0.60278568154178136</v>
      </c>
      <c r="E52" s="5">
        <f t="shared" si="34"/>
        <v>0.86196703304052325</v>
      </c>
      <c r="F52" s="5">
        <f t="shared" si="23"/>
        <v>0.31750829076570408</v>
      </c>
      <c r="G52" s="11">
        <f t="shared" si="24"/>
        <v>0.83192973036446338</v>
      </c>
      <c r="H52" s="5">
        <f t="shared" si="35"/>
        <v>0.99962456838857883</v>
      </c>
      <c r="I52" s="5">
        <f t="shared" si="25"/>
        <v>0.99887744862403172</v>
      </c>
      <c r="J52" s="11">
        <f t="shared" si="26"/>
        <v>0.75656449121869029</v>
      </c>
      <c r="K52" s="32">
        <f t="shared" si="36"/>
        <v>0.8786487446096245</v>
      </c>
      <c r="L52" s="5">
        <f t="shared" si="27"/>
        <v>0.81269071600829945</v>
      </c>
      <c r="M52" s="11">
        <f t="shared" si="28"/>
        <v>0.65277261288350485</v>
      </c>
      <c r="N52" s="32">
        <f t="shared" si="37"/>
        <v>0.96688224120610877</v>
      </c>
      <c r="O52" s="5">
        <f t="shared" si="29"/>
        <v>1.0087119396812323</v>
      </c>
      <c r="P52" s="11">
        <f t="shared" si="30"/>
        <v>0.82935379690222555</v>
      </c>
      <c r="Q52" s="32">
        <f t="shared" si="38"/>
        <v>0.99326065130302255</v>
      </c>
      <c r="R52" s="5">
        <f t="shared" si="31"/>
        <v>0.99276809546638334</v>
      </c>
      <c r="S52" s="11">
        <f t="shared" si="32"/>
        <v>0.81947140573040211</v>
      </c>
    </row>
    <row r="53" spans="1:19" x14ac:dyDescent="0.2">
      <c r="A53" s="12">
        <f t="shared" si="21"/>
        <v>19</v>
      </c>
      <c r="B53" s="5">
        <f t="shared" si="33"/>
        <v>0.99886011048146262</v>
      </c>
      <c r="C53" s="5">
        <f t="shared" si="39"/>
        <v>0.95440055166527715</v>
      </c>
      <c r="D53" s="11">
        <f t="shared" si="40"/>
        <v>0.6226463974646923</v>
      </c>
      <c r="E53" s="5">
        <f t="shared" si="34"/>
        <v>0.88649477673907773</v>
      </c>
      <c r="F53" s="5">
        <f t="shared" si="23"/>
        <v>0.36399817617194419</v>
      </c>
      <c r="G53" s="11">
        <f t="shared" si="24"/>
        <v>0.83192990333917105</v>
      </c>
      <c r="H53" s="5">
        <f t="shared" si="35"/>
        <v>0.99986932916062432</v>
      </c>
      <c r="I53" s="5">
        <f t="shared" si="25"/>
        <v>0.99887744862403172</v>
      </c>
      <c r="J53" s="11">
        <f t="shared" si="26"/>
        <v>0.81450280177098688</v>
      </c>
      <c r="K53" s="32">
        <f t="shared" si="36"/>
        <v>0.88312289898085761</v>
      </c>
      <c r="L53" s="5">
        <f t="shared" si="27"/>
        <v>0.81289089658167568</v>
      </c>
      <c r="M53" s="11">
        <f t="shared" si="28"/>
        <v>0.65277281324481462</v>
      </c>
      <c r="N53" s="32">
        <f t="shared" si="37"/>
        <v>0.97393624222625275</v>
      </c>
      <c r="O53" s="5">
        <f t="shared" si="29"/>
        <v>1.0090801099853732</v>
      </c>
      <c r="P53" s="11">
        <f t="shared" si="30"/>
        <v>0.83295135114166063</v>
      </c>
      <c r="Q53" s="32">
        <f t="shared" si="38"/>
        <v>0.99326170778733247</v>
      </c>
      <c r="R53" s="5">
        <f t="shared" si="31"/>
        <v>0.99650025809438081</v>
      </c>
      <c r="S53" s="11">
        <f t="shared" si="32"/>
        <v>0.87521847906515493</v>
      </c>
    </row>
    <row r="54" spans="1:19" s="18" customFormat="1" x14ac:dyDescent="0.2">
      <c r="A54" s="13">
        <f t="shared" si="21"/>
        <v>20</v>
      </c>
      <c r="B54" s="17">
        <f t="shared" si="33"/>
        <v>0.99920207733702382</v>
      </c>
      <c r="C54" s="17">
        <f t="shared" si="39"/>
        <v>0.96124046891548554</v>
      </c>
      <c r="D54" s="28">
        <f t="shared" si="40"/>
        <v>0.64151407759145773</v>
      </c>
      <c r="E54" s="17">
        <f t="shared" si="34"/>
        <v>0.90709808144586346</v>
      </c>
      <c r="F54" s="17">
        <f t="shared" si="23"/>
        <v>0.41118540985927787</v>
      </c>
      <c r="G54" s="28">
        <f t="shared" si="24"/>
        <v>0.83192996561006582</v>
      </c>
      <c r="H54" s="17">
        <f t="shared" si="35"/>
        <v>0.99992286125093033</v>
      </c>
      <c r="I54" s="17">
        <f t="shared" si="25"/>
        <v>0.99887744862403172</v>
      </c>
      <c r="J54" s="28">
        <f t="shared" si="26"/>
        <v>0.86289694667481553</v>
      </c>
      <c r="K54" s="33">
        <f t="shared" si="36"/>
        <v>0.88678602675860441</v>
      </c>
      <c r="L54" s="17">
        <f t="shared" si="27"/>
        <v>0.81302508163283671</v>
      </c>
      <c r="M54" s="28">
        <f t="shared" si="28"/>
        <v>0.65277290327295434</v>
      </c>
      <c r="N54" s="33">
        <f t="shared" si="37"/>
        <v>0.97942809747927106</v>
      </c>
      <c r="O54" s="17">
        <f t="shared" si="29"/>
        <v>1.0093554689459256</v>
      </c>
      <c r="P54" s="28">
        <f t="shared" si="30"/>
        <v>0.83612880632204778</v>
      </c>
      <c r="Q54" s="33">
        <f t="shared" si="38"/>
        <v>0.99326197190840992</v>
      </c>
      <c r="R54" s="17">
        <f t="shared" si="31"/>
        <v>0.9983663394083796</v>
      </c>
      <c r="S54" s="28">
        <f t="shared" si="32"/>
        <v>0.91702878406621957</v>
      </c>
    </row>
  </sheetData>
  <mergeCells count="5">
    <mergeCell ref="B12:D12"/>
    <mergeCell ref="H12:J12"/>
    <mergeCell ref="K12:M12"/>
    <mergeCell ref="N12:P12"/>
    <mergeCell ref="Q12:S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0E01-0814-7A41-B382-B0AFCA572D60}">
  <dimension ref="A1:AA1000"/>
  <sheetViews>
    <sheetView zoomScale="71" zoomScaleNormal="71" workbookViewId="0">
      <selection activeCell="U10" sqref="U10"/>
    </sheetView>
  </sheetViews>
  <sheetFormatPr baseColWidth="10" defaultRowHeight="16" x14ac:dyDescent="0.2"/>
  <cols>
    <col min="6" max="22" width="10.83203125" style="44"/>
  </cols>
  <sheetData>
    <row r="1" spans="1:27" x14ac:dyDescent="0.2">
      <c r="A1" s="42" t="s">
        <v>120</v>
      </c>
      <c r="B1" s="42" t="s">
        <v>119</v>
      </c>
      <c r="C1" s="42" t="s">
        <v>118</v>
      </c>
      <c r="D1" s="42" t="s">
        <v>117</v>
      </c>
      <c r="E1" s="42" t="s">
        <v>116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2"/>
      <c r="X1" s="42"/>
      <c r="Y1" s="42"/>
      <c r="Z1" s="42"/>
      <c r="AA1" s="42"/>
    </row>
    <row r="2" spans="1:27" x14ac:dyDescent="0.2">
      <c r="A2" s="42">
        <v>1</v>
      </c>
      <c r="B2" s="42">
        <v>1</v>
      </c>
      <c r="C2" s="42">
        <v>1</v>
      </c>
      <c r="D2" s="42">
        <v>1</v>
      </c>
      <c r="E2" s="42">
        <f>SUM(D2:D31)</f>
        <v>18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42"/>
      <c r="X2" s="42"/>
      <c r="Y2" s="42"/>
      <c r="Z2" s="42"/>
      <c r="AA2" s="42"/>
    </row>
    <row r="3" spans="1:27" x14ac:dyDescent="0.2">
      <c r="A3" s="42">
        <v>2</v>
      </c>
      <c r="B3" s="42">
        <v>1</v>
      </c>
      <c r="C3" s="42">
        <v>2</v>
      </c>
      <c r="D3" s="42">
        <v>0</v>
      </c>
      <c r="E3" s="42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42"/>
      <c r="X3" s="42"/>
      <c r="Y3" s="42"/>
      <c r="Z3" s="42"/>
      <c r="AA3" s="42"/>
    </row>
    <row r="4" spans="1:27" x14ac:dyDescent="0.2">
      <c r="A4" s="42">
        <v>3</v>
      </c>
      <c r="B4" s="42">
        <v>1</v>
      </c>
      <c r="C4" s="42">
        <v>3</v>
      </c>
      <c r="D4" s="42">
        <v>1</v>
      </c>
      <c r="E4" s="42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42"/>
      <c r="X4" s="42"/>
      <c r="Y4" s="42"/>
      <c r="Z4" s="42"/>
      <c r="AA4" s="42"/>
    </row>
    <row r="5" spans="1:27" x14ac:dyDescent="0.2">
      <c r="A5" s="42">
        <v>4</v>
      </c>
      <c r="B5" s="42">
        <v>1</v>
      </c>
      <c r="C5" s="42">
        <v>4</v>
      </c>
      <c r="D5" s="42">
        <v>1</v>
      </c>
      <c r="E5" s="42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42"/>
      <c r="X5" s="42"/>
      <c r="Y5" s="42"/>
      <c r="Z5" s="42"/>
      <c r="AA5" s="42"/>
    </row>
    <row r="6" spans="1:27" x14ac:dyDescent="0.2">
      <c r="A6" s="42">
        <v>5</v>
      </c>
      <c r="B6" s="42">
        <v>1</v>
      </c>
      <c r="C6" s="42">
        <v>5</v>
      </c>
      <c r="D6" s="42">
        <v>0</v>
      </c>
      <c r="E6" s="42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42"/>
      <c r="X6" s="42"/>
      <c r="Y6" s="42"/>
      <c r="Z6" s="42"/>
      <c r="AA6" s="42"/>
    </row>
    <row r="7" spans="1:27" x14ac:dyDescent="0.2">
      <c r="A7" s="42">
        <v>6</v>
      </c>
      <c r="B7" s="42">
        <v>1</v>
      </c>
      <c r="C7" s="42">
        <v>6</v>
      </c>
      <c r="D7" s="42">
        <v>1</v>
      </c>
      <c r="E7" s="42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42"/>
      <c r="X7" s="42"/>
      <c r="Y7" s="42"/>
      <c r="Z7" s="42"/>
      <c r="AA7" s="42"/>
    </row>
    <row r="8" spans="1:27" x14ac:dyDescent="0.2">
      <c r="A8" s="42">
        <v>7</v>
      </c>
      <c r="B8" s="42">
        <v>1</v>
      </c>
      <c r="C8" s="42">
        <v>7</v>
      </c>
      <c r="D8" s="42">
        <v>0</v>
      </c>
      <c r="E8" s="42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42"/>
      <c r="X8" s="42"/>
      <c r="Y8" s="42"/>
      <c r="Z8" s="42"/>
      <c r="AA8" s="42"/>
    </row>
    <row r="9" spans="1:27" x14ac:dyDescent="0.2">
      <c r="A9" s="42">
        <v>8</v>
      </c>
      <c r="B9" s="42">
        <v>1</v>
      </c>
      <c r="C9" s="42">
        <v>8</v>
      </c>
      <c r="D9" s="42">
        <v>0</v>
      </c>
      <c r="E9" s="42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42"/>
      <c r="X9" s="42"/>
      <c r="Y9" s="42"/>
      <c r="Z9" s="42"/>
      <c r="AA9" s="42"/>
    </row>
    <row r="10" spans="1:27" x14ac:dyDescent="0.2">
      <c r="A10" s="42">
        <v>9</v>
      </c>
      <c r="B10" s="42">
        <v>1</v>
      </c>
      <c r="C10" s="42">
        <v>9</v>
      </c>
      <c r="D10" s="42">
        <v>1</v>
      </c>
      <c r="E10" s="42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42"/>
      <c r="X10" s="42"/>
      <c r="Y10" s="42"/>
      <c r="Z10" s="42"/>
      <c r="AA10" s="42"/>
    </row>
    <row r="11" spans="1:27" x14ac:dyDescent="0.2">
      <c r="A11" s="42">
        <v>10</v>
      </c>
      <c r="B11" s="42">
        <v>1</v>
      </c>
      <c r="C11" s="42">
        <v>10</v>
      </c>
      <c r="D11" s="42">
        <v>1</v>
      </c>
      <c r="E11" s="42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42"/>
      <c r="X11" s="42"/>
      <c r="Y11" s="42"/>
      <c r="Z11" s="42"/>
      <c r="AA11" s="42"/>
    </row>
    <row r="12" spans="1:27" x14ac:dyDescent="0.2">
      <c r="A12" s="42">
        <v>11</v>
      </c>
      <c r="B12" s="42">
        <v>1</v>
      </c>
      <c r="C12" s="42">
        <v>11</v>
      </c>
      <c r="D12" s="42">
        <v>1</v>
      </c>
      <c r="E12" s="42"/>
      <c r="F12" s="75"/>
      <c r="G12" s="75"/>
      <c r="H12" s="75"/>
      <c r="I12" s="75"/>
      <c r="J12" s="75"/>
      <c r="K12" s="75"/>
      <c r="L12" s="75"/>
      <c r="M12" s="75"/>
      <c r="N12" s="75"/>
      <c r="O12" s="75"/>
      <c r="Q12" s="75"/>
      <c r="R12" s="75"/>
      <c r="S12" s="75"/>
      <c r="T12" s="75"/>
      <c r="U12" s="75"/>
      <c r="V12" s="75"/>
      <c r="W12" s="42"/>
      <c r="X12" s="42"/>
      <c r="Y12" s="42"/>
      <c r="Z12" s="42"/>
      <c r="AA12" s="42"/>
    </row>
    <row r="13" spans="1:27" x14ac:dyDescent="0.2">
      <c r="A13" s="42">
        <v>12</v>
      </c>
      <c r="B13" s="42">
        <v>1</v>
      </c>
      <c r="C13" s="42">
        <v>12</v>
      </c>
      <c r="D13" s="42">
        <v>0</v>
      </c>
      <c r="E13" s="42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42"/>
      <c r="X13" s="42"/>
      <c r="Y13" s="42"/>
      <c r="Z13" s="42"/>
      <c r="AA13" s="42"/>
    </row>
    <row r="14" spans="1:27" x14ac:dyDescent="0.2">
      <c r="A14" s="42">
        <v>13</v>
      </c>
      <c r="B14" s="42">
        <v>1</v>
      </c>
      <c r="C14" s="42">
        <v>13</v>
      </c>
      <c r="D14" s="42">
        <v>0</v>
      </c>
      <c r="E14" s="42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42"/>
      <c r="X14" s="42"/>
      <c r="Y14" s="42"/>
      <c r="Z14" s="42"/>
      <c r="AA14" s="42"/>
    </row>
    <row r="15" spans="1:27" x14ac:dyDescent="0.2">
      <c r="A15" s="42">
        <v>14</v>
      </c>
      <c r="B15" s="42">
        <v>1</v>
      </c>
      <c r="C15" s="42">
        <v>14</v>
      </c>
      <c r="D15" s="42">
        <v>1</v>
      </c>
      <c r="E15" s="42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42"/>
      <c r="X15" s="42"/>
      <c r="Y15" s="42"/>
      <c r="Z15" s="42"/>
      <c r="AA15" s="42"/>
    </row>
    <row r="16" spans="1:27" x14ac:dyDescent="0.2">
      <c r="A16" s="42">
        <v>15</v>
      </c>
      <c r="B16" s="42">
        <v>1</v>
      </c>
      <c r="C16" s="42">
        <v>15</v>
      </c>
      <c r="D16" s="42">
        <v>1</v>
      </c>
      <c r="E16" s="42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42"/>
      <c r="X16" s="42"/>
      <c r="Y16" s="42"/>
      <c r="Z16" s="42"/>
      <c r="AA16" s="42"/>
    </row>
    <row r="17" spans="1:27" x14ac:dyDescent="0.2">
      <c r="A17" s="42">
        <v>16</v>
      </c>
      <c r="B17" s="42">
        <v>1</v>
      </c>
      <c r="C17" s="42">
        <v>16</v>
      </c>
      <c r="D17" s="42">
        <v>1</v>
      </c>
      <c r="E17" s="42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42"/>
      <c r="X17" s="42"/>
      <c r="Y17" s="42"/>
      <c r="Z17" s="42"/>
      <c r="AA17" s="42"/>
    </row>
    <row r="18" spans="1:27" x14ac:dyDescent="0.2">
      <c r="A18" s="42">
        <v>17</v>
      </c>
      <c r="B18" s="42">
        <v>1</v>
      </c>
      <c r="C18" s="42">
        <v>17</v>
      </c>
      <c r="D18" s="42">
        <v>0</v>
      </c>
      <c r="E18" s="42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42"/>
      <c r="X18" s="42"/>
      <c r="Y18" s="42"/>
      <c r="Z18" s="42"/>
      <c r="AA18" s="42"/>
    </row>
    <row r="19" spans="1:27" x14ac:dyDescent="0.2">
      <c r="A19" s="42">
        <v>18</v>
      </c>
      <c r="B19" s="42">
        <v>1</v>
      </c>
      <c r="C19" s="42">
        <v>18</v>
      </c>
      <c r="D19" s="42">
        <v>1</v>
      </c>
      <c r="E19" s="42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42"/>
      <c r="X19" s="42"/>
      <c r="Y19" s="42"/>
      <c r="Z19" s="42"/>
      <c r="AA19" s="42"/>
    </row>
    <row r="20" spans="1:27" x14ac:dyDescent="0.2">
      <c r="A20" s="42">
        <v>19</v>
      </c>
      <c r="B20" s="42">
        <v>1</v>
      </c>
      <c r="C20" s="42">
        <v>19</v>
      </c>
      <c r="D20" s="42">
        <v>1</v>
      </c>
      <c r="E20" s="42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42"/>
      <c r="X20" s="42"/>
      <c r="Y20" s="42"/>
      <c r="Z20" s="42"/>
      <c r="AA20" s="42"/>
    </row>
    <row r="21" spans="1:27" x14ac:dyDescent="0.2">
      <c r="A21" s="42">
        <v>20</v>
      </c>
      <c r="B21" s="42">
        <v>1</v>
      </c>
      <c r="C21" s="42">
        <v>20</v>
      </c>
      <c r="D21" s="42">
        <v>0</v>
      </c>
      <c r="E21" s="42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42"/>
      <c r="X21" s="42"/>
      <c r="Y21" s="42"/>
      <c r="Z21" s="42"/>
      <c r="AA21" s="42"/>
    </row>
    <row r="22" spans="1:27" x14ac:dyDescent="0.2">
      <c r="A22" s="42">
        <v>21</v>
      </c>
      <c r="B22" s="42">
        <v>1</v>
      </c>
      <c r="C22" s="42">
        <v>21</v>
      </c>
      <c r="D22" s="42">
        <v>1</v>
      </c>
      <c r="E22" s="42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42"/>
      <c r="X22" s="42"/>
      <c r="Y22" s="42"/>
      <c r="Z22" s="42"/>
      <c r="AA22" s="42"/>
    </row>
    <row r="23" spans="1:27" x14ac:dyDescent="0.2">
      <c r="A23" s="42">
        <v>22</v>
      </c>
      <c r="B23" s="42">
        <v>1</v>
      </c>
      <c r="C23" s="42">
        <v>22</v>
      </c>
      <c r="D23" s="42">
        <v>1</v>
      </c>
      <c r="E23" s="42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42"/>
      <c r="X23" s="42"/>
      <c r="Y23" s="42"/>
      <c r="Z23" s="42"/>
      <c r="AA23" s="42"/>
    </row>
    <row r="24" spans="1:27" x14ac:dyDescent="0.2">
      <c r="A24" s="42">
        <v>23</v>
      </c>
      <c r="B24" s="42">
        <v>1</v>
      </c>
      <c r="C24" s="42">
        <v>23</v>
      </c>
      <c r="D24" s="42">
        <v>0</v>
      </c>
      <c r="E24" s="42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42"/>
      <c r="X24" s="42"/>
      <c r="Y24" s="42"/>
      <c r="Z24" s="42"/>
      <c r="AA24" s="42"/>
    </row>
    <row r="25" spans="1:27" x14ac:dyDescent="0.2">
      <c r="A25" s="42">
        <v>24</v>
      </c>
      <c r="B25" s="42">
        <v>1</v>
      </c>
      <c r="C25" s="42">
        <v>24</v>
      </c>
      <c r="D25" s="42">
        <v>1</v>
      </c>
      <c r="E25" s="42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42"/>
      <c r="X25" s="42"/>
      <c r="Y25" s="42"/>
      <c r="Z25" s="42"/>
      <c r="AA25" s="42"/>
    </row>
    <row r="26" spans="1:27" x14ac:dyDescent="0.2">
      <c r="A26" s="42">
        <v>25</v>
      </c>
      <c r="B26" s="42">
        <v>1</v>
      </c>
      <c r="C26" s="42">
        <v>25</v>
      </c>
      <c r="D26" s="42">
        <v>0</v>
      </c>
      <c r="E26" s="42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42"/>
      <c r="X26" s="42"/>
      <c r="Y26" s="42"/>
      <c r="Z26" s="42"/>
      <c r="AA26" s="42"/>
    </row>
    <row r="27" spans="1:27" x14ac:dyDescent="0.2">
      <c r="A27" s="42">
        <v>26</v>
      </c>
      <c r="B27" s="42">
        <v>1</v>
      </c>
      <c r="C27" s="42">
        <v>26</v>
      </c>
      <c r="D27" s="42">
        <v>0</v>
      </c>
      <c r="E27" s="42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42"/>
      <c r="X27" s="42"/>
      <c r="Y27" s="42"/>
      <c r="Z27" s="42"/>
      <c r="AA27" s="42"/>
    </row>
    <row r="28" spans="1:27" x14ac:dyDescent="0.2">
      <c r="A28" s="42">
        <v>27</v>
      </c>
      <c r="B28" s="42">
        <v>1</v>
      </c>
      <c r="C28" s="42">
        <v>27</v>
      </c>
      <c r="D28" s="42">
        <v>1</v>
      </c>
      <c r="E28" s="42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42"/>
      <c r="X28" s="42"/>
      <c r="Y28" s="42"/>
      <c r="Z28" s="42"/>
      <c r="AA28" s="42"/>
    </row>
    <row r="29" spans="1:27" x14ac:dyDescent="0.2">
      <c r="A29" s="42">
        <v>28</v>
      </c>
      <c r="B29" s="42">
        <v>1</v>
      </c>
      <c r="C29" s="42">
        <v>28</v>
      </c>
      <c r="D29" s="42">
        <v>1</v>
      </c>
      <c r="E29" s="42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42"/>
      <c r="X29" s="42"/>
      <c r="Y29" s="42"/>
      <c r="Z29" s="42"/>
      <c r="AA29" s="42"/>
    </row>
    <row r="30" spans="1:27" x14ac:dyDescent="0.2">
      <c r="A30" s="42">
        <v>29</v>
      </c>
      <c r="B30" s="42">
        <v>1</v>
      </c>
      <c r="C30" s="42">
        <v>29</v>
      </c>
      <c r="D30" s="42">
        <v>0</v>
      </c>
      <c r="E30" s="42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42"/>
      <c r="X30" s="42"/>
      <c r="Y30" s="42"/>
      <c r="Z30" s="42"/>
      <c r="AA30" s="42"/>
    </row>
    <row r="31" spans="1:27" x14ac:dyDescent="0.2">
      <c r="A31" s="42">
        <v>30</v>
      </c>
      <c r="B31" s="42">
        <v>1</v>
      </c>
      <c r="C31" s="42">
        <v>30</v>
      </c>
      <c r="D31" s="42">
        <v>1</v>
      </c>
      <c r="E31" s="42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42"/>
      <c r="X31" s="42"/>
      <c r="Y31" s="42"/>
      <c r="Z31" s="42"/>
      <c r="AA31" s="42"/>
    </row>
    <row r="32" spans="1:27" x14ac:dyDescent="0.2">
      <c r="A32" s="42">
        <v>1</v>
      </c>
      <c r="B32" s="42">
        <v>2</v>
      </c>
      <c r="C32" s="42">
        <v>31</v>
      </c>
      <c r="D32" s="42">
        <v>1</v>
      </c>
      <c r="E32" s="42">
        <f>SUM(D32:D61)</f>
        <v>18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42"/>
      <c r="X32" s="42"/>
      <c r="Y32" s="42"/>
      <c r="Z32" s="42"/>
      <c r="AA32" s="42"/>
    </row>
    <row r="33" spans="1:27" x14ac:dyDescent="0.2">
      <c r="A33" s="42">
        <v>2</v>
      </c>
      <c r="B33" s="42">
        <v>2</v>
      </c>
      <c r="C33" s="42">
        <v>32</v>
      </c>
      <c r="D33" s="42">
        <v>0</v>
      </c>
      <c r="E33" s="42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42"/>
      <c r="X33" s="42"/>
      <c r="Y33" s="42"/>
      <c r="Z33" s="42"/>
      <c r="AA33" s="42"/>
    </row>
    <row r="34" spans="1:27" x14ac:dyDescent="0.2">
      <c r="A34" s="42">
        <v>3</v>
      </c>
      <c r="B34" s="42">
        <v>2</v>
      </c>
      <c r="C34" s="42">
        <v>33</v>
      </c>
      <c r="D34" s="42">
        <v>1</v>
      </c>
      <c r="E34" s="42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42"/>
      <c r="X34" s="42"/>
      <c r="Y34" s="42"/>
      <c r="Z34" s="42"/>
      <c r="AA34" s="42"/>
    </row>
    <row r="35" spans="1:27" x14ac:dyDescent="0.2">
      <c r="A35" s="42">
        <v>4</v>
      </c>
      <c r="B35" s="42">
        <v>2</v>
      </c>
      <c r="C35" s="42">
        <v>34</v>
      </c>
      <c r="D35" s="42">
        <v>0</v>
      </c>
      <c r="E35" s="42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42"/>
      <c r="X35" s="42"/>
      <c r="Y35" s="42"/>
      <c r="Z35" s="42"/>
      <c r="AA35" s="42"/>
    </row>
    <row r="36" spans="1:27" x14ac:dyDescent="0.2">
      <c r="A36" s="42">
        <v>5</v>
      </c>
      <c r="B36" s="42">
        <v>2</v>
      </c>
      <c r="C36" s="42">
        <v>35</v>
      </c>
      <c r="D36" s="42">
        <v>0</v>
      </c>
      <c r="E36" s="42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42"/>
      <c r="X36" s="42"/>
      <c r="Y36" s="42"/>
      <c r="Z36" s="42"/>
      <c r="AA36" s="42"/>
    </row>
    <row r="37" spans="1:27" x14ac:dyDescent="0.2">
      <c r="A37" s="42">
        <v>6</v>
      </c>
      <c r="B37" s="42">
        <v>2</v>
      </c>
      <c r="C37" s="42">
        <v>36</v>
      </c>
      <c r="D37" s="42">
        <v>0</v>
      </c>
      <c r="E37" s="42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42"/>
      <c r="X37" s="42"/>
      <c r="Y37" s="42"/>
      <c r="Z37" s="42"/>
      <c r="AA37" s="42"/>
    </row>
    <row r="38" spans="1:27" x14ac:dyDescent="0.2">
      <c r="A38" s="42">
        <v>7</v>
      </c>
      <c r="B38" s="42">
        <v>2</v>
      </c>
      <c r="C38" s="42">
        <v>37</v>
      </c>
      <c r="D38" s="42">
        <v>1</v>
      </c>
      <c r="E38" s="42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42"/>
      <c r="X38" s="42"/>
      <c r="Y38" s="42"/>
      <c r="Z38" s="42"/>
      <c r="AA38" s="42"/>
    </row>
    <row r="39" spans="1:27" x14ac:dyDescent="0.2">
      <c r="A39" s="42">
        <v>8</v>
      </c>
      <c r="B39" s="42">
        <v>2</v>
      </c>
      <c r="C39" s="42">
        <v>38</v>
      </c>
      <c r="D39" s="42">
        <v>0</v>
      </c>
      <c r="E39" s="42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42"/>
      <c r="X39" s="42"/>
      <c r="Y39" s="42"/>
      <c r="Z39" s="42"/>
      <c r="AA39" s="42"/>
    </row>
    <row r="40" spans="1:27" x14ac:dyDescent="0.2">
      <c r="A40" s="42">
        <v>9</v>
      </c>
      <c r="B40" s="42">
        <v>2</v>
      </c>
      <c r="C40" s="42">
        <v>39</v>
      </c>
      <c r="D40" s="42">
        <v>1</v>
      </c>
      <c r="E40" s="42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42"/>
      <c r="X40" s="42"/>
      <c r="Y40" s="42"/>
      <c r="Z40" s="42"/>
      <c r="AA40" s="42"/>
    </row>
    <row r="41" spans="1:27" x14ac:dyDescent="0.2">
      <c r="A41" s="42">
        <v>10</v>
      </c>
      <c r="B41" s="42">
        <v>2</v>
      </c>
      <c r="C41" s="42">
        <v>40</v>
      </c>
      <c r="D41" s="42">
        <v>1</v>
      </c>
      <c r="E41" s="42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42"/>
      <c r="X41" s="42"/>
      <c r="Y41" s="42"/>
      <c r="Z41" s="42"/>
      <c r="AA41" s="42"/>
    </row>
    <row r="42" spans="1:27" x14ac:dyDescent="0.2">
      <c r="A42" s="42">
        <v>11</v>
      </c>
      <c r="B42" s="42">
        <v>2</v>
      </c>
      <c r="C42" s="42">
        <v>41</v>
      </c>
      <c r="D42" s="42">
        <v>1</v>
      </c>
      <c r="E42" s="42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42"/>
      <c r="X42" s="42"/>
      <c r="Y42" s="42"/>
      <c r="Z42" s="42"/>
      <c r="AA42" s="42"/>
    </row>
    <row r="43" spans="1:27" x14ac:dyDescent="0.2">
      <c r="A43" s="42">
        <v>12</v>
      </c>
      <c r="B43" s="42">
        <v>2</v>
      </c>
      <c r="C43" s="42">
        <v>42</v>
      </c>
      <c r="D43" s="42">
        <v>0</v>
      </c>
      <c r="E43" s="42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42"/>
      <c r="X43" s="42"/>
      <c r="Y43" s="42"/>
      <c r="Z43" s="42"/>
      <c r="AA43" s="42"/>
    </row>
    <row r="44" spans="1:27" x14ac:dyDescent="0.2">
      <c r="A44" s="42">
        <v>13</v>
      </c>
      <c r="B44" s="42">
        <v>2</v>
      </c>
      <c r="C44" s="42">
        <v>43</v>
      </c>
      <c r="D44" s="42">
        <v>0</v>
      </c>
      <c r="E44" s="42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42"/>
      <c r="X44" s="42"/>
      <c r="Y44" s="42"/>
      <c r="Z44" s="42"/>
      <c r="AA44" s="42"/>
    </row>
    <row r="45" spans="1:27" x14ac:dyDescent="0.2">
      <c r="A45" s="42">
        <v>14</v>
      </c>
      <c r="B45" s="42">
        <v>2</v>
      </c>
      <c r="C45" s="42">
        <v>44</v>
      </c>
      <c r="D45" s="42">
        <v>0</v>
      </c>
      <c r="E45" s="42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42"/>
      <c r="X45" s="42"/>
      <c r="Y45" s="42"/>
      <c r="Z45" s="42"/>
      <c r="AA45" s="42"/>
    </row>
    <row r="46" spans="1:27" x14ac:dyDescent="0.2">
      <c r="A46" s="42">
        <v>15</v>
      </c>
      <c r="B46" s="42">
        <v>2</v>
      </c>
      <c r="C46" s="42">
        <v>45</v>
      </c>
      <c r="D46" s="42">
        <v>1</v>
      </c>
      <c r="E46" s="42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42"/>
      <c r="X46" s="42"/>
      <c r="Y46" s="42"/>
      <c r="Z46" s="42"/>
      <c r="AA46" s="42"/>
    </row>
    <row r="47" spans="1:27" x14ac:dyDescent="0.2">
      <c r="A47" s="42">
        <v>16</v>
      </c>
      <c r="B47" s="42">
        <v>2</v>
      </c>
      <c r="C47" s="42">
        <v>46</v>
      </c>
      <c r="D47" s="42">
        <v>1</v>
      </c>
      <c r="E47" s="42"/>
      <c r="F47" s="75"/>
      <c r="G47" s="75"/>
      <c r="H47" s="75"/>
      <c r="I47" s="75"/>
      <c r="J47" s="75"/>
      <c r="K47" s="75"/>
      <c r="L47" s="75"/>
      <c r="M47" s="75"/>
      <c r="N47" s="75"/>
      <c r="O47" s="75"/>
      <c r="R47" s="75"/>
      <c r="S47" s="75"/>
      <c r="T47" s="75"/>
      <c r="U47" s="75"/>
      <c r="V47" s="75"/>
      <c r="W47" s="42"/>
      <c r="X47" s="42"/>
      <c r="Y47" s="42"/>
      <c r="Z47" s="42"/>
      <c r="AA47" s="42"/>
    </row>
    <row r="48" spans="1:27" x14ac:dyDescent="0.2">
      <c r="A48" s="42">
        <v>17</v>
      </c>
      <c r="B48" s="42">
        <v>2</v>
      </c>
      <c r="C48" s="42">
        <v>47</v>
      </c>
      <c r="D48" s="42">
        <v>0</v>
      </c>
      <c r="E48" s="42"/>
      <c r="F48" s="75"/>
      <c r="G48" s="75"/>
      <c r="H48" s="75"/>
      <c r="I48" s="75"/>
      <c r="J48" s="75"/>
      <c r="K48" s="75"/>
      <c r="L48" s="75"/>
      <c r="M48" s="75"/>
      <c r="N48" s="75"/>
      <c r="O48" s="75"/>
      <c r="R48" s="75"/>
      <c r="S48" s="75"/>
      <c r="T48" s="75"/>
      <c r="U48" s="75"/>
      <c r="V48" s="75"/>
      <c r="W48" s="42"/>
      <c r="X48" s="42"/>
      <c r="Y48" s="42"/>
      <c r="Z48" s="42"/>
      <c r="AA48" s="42"/>
    </row>
    <row r="49" spans="1:27" x14ac:dyDescent="0.2">
      <c r="A49" s="42">
        <v>18</v>
      </c>
      <c r="B49" s="42">
        <v>2</v>
      </c>
      <c r="C49" s="42">
        <v>48</v>
      </c>
      <c r="D49" s="42">
        <v>1</v>
      </c>
      <c r="E49" s="42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42"/>
      <c r="X49" s="42"/>
      <c r="Y49" s="42"/>
      <c r="Z49" s="42"/>
      <c r="AA49" s="42"/>
    </row>
    <row r="50" spans="1:27" x14ac:dyDescent="0.2">
      <c r="A50" s="42">
        <v>19</v>
      </c>
      <c r="B50" s="42">
        <v>2</v>
      </c>
      <c r="C50" s="42">
        <v>49</v>
      </c>
      <c r="D50" s="42">
        <v>1</v>
      </c>
      <c r="E50" s="42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42"/>
      <c r="X50" s="42"/>
      <c r="Y50" s="42"/>
      <c r="Z50" s="42"/>
      <c r="AA50" s="42"/>
    </row>
    <row r="51" spans="1:27" x14ac:dyDescent="0.2">
      <c r="A51" s="42">
        <v>20</v>
      </c>
      <c r="B51" s="42">
        <v>2</v>
      </c>
      <c r="C51" s="42">
        <v>50</v>
      </c>
      <c r="D51" s="42">
        <v>1</v>
      </c>
      <c r="E51" s="42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42"/>
      <c r="X51" s="42"/>
      <c r="Y51" s="42"/>
      <c r="Z51" s="42"/>
      <c r="AA51" s="42"/>
    </row>
    <row r="52" spans="1:27" x14ac:dyDescent="0.2">
      <c r="A52" s="42">
        <v>21</v>
      </c>
      <c r="B52" s="42">
        <v>2</v>
      </c>
      <c r="C52" s="42">
        <v>51</v>
      </c>
      <c r="D52" s="42">
        <v>1</v>
      </c>
      <c r="E52" s="42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42"/>
      <c r="X52" s="42"/>
      <c r="Y52" s="42"/>
      <c r="Z52" s="42"/>
      <c r="AA52" s="42"/>
    </row>
    <row r="53" spans="1:27" x14ac:dyDescent="0.2">
      <c r="A53" s="42">
        <v>22</v>
      </c>
      <c r="B53" s="42">
        <v>2</v>
      </c>
      <c r="C53" s="42">
        <v>52</v>
      </c>
      <c r="D53" s="42">
        <v>1</v>
      </c>
      <c r="E53" s="42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42"/>
      <c r="X53" s="42"/>
      <c r="Y53" s="42"/>
      <c r="Z53" s="42"/>
      <c r="AA53" s="42"/>
    </row>
    <row r="54" spans="1:27" x14ac:dyDescent="0.2">
      <c r="A54" s="42">
        <v>23</v>
      </c>
      <c r="B54" s="42">
        <v>2</v>
      </c>
      <c r="C54" s="42">
        <v>53</v>
      </c>
      <c r="D54" s="42">
        <v>0</v>
      </c>
      <c r="E54" s="42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42"/>
      <c r="X54" s="42"/>
      <c r="Y54" s="42"/>
      <c r="Z54" s="42"/>
      <c r="AA54" s="42"/>
    </row>
    <row r="55" spans="1:27" x14ac:dyDescent="0.2">
      <c r="A55" s="42">
        <v>24</v>
      </c>
      <c r="B55" s="42">
        <v>2</v>
      </c>
      <c r="C55" s="42">
        <v>54</v>
      </c>
      <c r="D55" s="42">
        <v>1</v>
      </c>
      <c r="E55" s="42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42"/>
      <c r="X55" s="42"/>
      <c r="Y55" s="42"/>
      <c r="Z55" s="42"/>
      <c r="AA55" s="42"/>
    </row>
    <row r="56" spans="1:27" x14ac:dyDescent="0.2">
      <c r="A56" s="42">
        <v>25</v>
      </c>
      <c r="B56" s="42">
        <v>2</v>
      </c>
      <c r="C56" s="42">
        <v>55</v>
      </c>
      <c r="D56" s="42">
        <v>1</v>
      </c>
      <c r="E56" s="42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 t="s">
        <v>115</v>
      </c>
      <c r="R56" s="75">
        <f>AVERAGE(18,18,20,19)</f>
        <v>18.75</v>
      </c>
      <c r="S56" s="75">
        <v>75</v>
      </c>
      <c r="T56" s="75"/>
      <c r="U56" s="75"/>
      <c r="V56" s="75"/>
      <c r="W56" s="42"/>
      <c r="X56" s="42"/>
      <c r="Y56" s="42"/>
      <c r="Z56" s="42"/>
      <c r="AA56" s="42"/>
    </row>
    <row r="57" spans="1:27" x14ac:dyDescent="0.2">
      <c r="A57" s="42">
        <v>26</v>
      </c>
      <c r="B57" s="42">
        <v>2</v>
      </c>
      <c r="C57" s="42">
        <v>56</v>
      </c>
      <c r="D57" s="42">
        <v>0</v>
      </c>
      <c r="E57" s="42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 t="s">
        <v>114</v>
      </c>
      <c r="R57" s="75">
        <f>AVERAGE(17,15,18,11,14,15)</f>
        <v>15</v>
      </c>
      <c r="S57" s="75">
        <v>90</v>
      </c>
      <c r="T57" s="75"/>
      <c r="U57" s="75"/>
      <c r="V57" s="75"/>
      <c r="W57" s="42"/>
      <c r="X57" s="42"/>
      <c r="Y57" s="42"/>
      <c r="Z57" s="42"/>
      <c r="AA57" s="42"/>
    </row>
    <row r="58" spans="1:27" x14ac:dyDescent="0.2">
      <c r="A58" s="42">
        <v>27</v>
      </c>
      <c r="B58" s="42">
        <v>2</v>
      </c>
      <c r="C58" s="42">
        <v>57</v>
      </c>
      <c r="D58" s="42">
        <v>1</v>
      </c>
      <c r="E58" s="42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42"/>
      <c r="X58" s="42"/>
      <c r="Y58" s="42"/>
      <c r="Z58" s="42"/>
      <c r="AA58" s="42"/>
    </row>
    <row r="59" spans="1:27" x14ac:dyDescent="0.2">
      <c r="A59" s="42">
        <v>28</v>
      </c>
      <c r="B59" s="42">
        <v>2</v>
      </c>
      <c r="C59" s="42">
        <v>58</v>
      </c>
      <c r="D59" s="42">
        <v>1</v>
      </c>
      <c r="E59" s="42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42"/>
      <c r="X59" s="42"/>
      <c r="Y59" s="42"/>
      <c r="Z59" s="42"/>
      <c r="AA59" s="42"/>
    </row>
    <row r="60" spans="1:27" x14ac:dyDescent="0.2">
      <c r="A60" s="42">
        <v>29</v>
      </c>
      <c r="B60" s="42">
        <v>2</v>
      </c>
      <c r="C60" s="42">
        <v>59</v>
      </c>
      <c r="D60" s="42">
        <v>1</v>
      </c>
      <c r="E60" s="42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42"/>
      <c r="X60" s="42"/>
      <c r="Y60" s="42"/>
      <c r="Z60" s="42"/>
      <c r="AA60" s="42"/>
    </row>
    <row r="61" spans="1:27" x14ac:dyDescent="0.2">
      <c r="A61" s="42">
        <v>30</v>
      </c>
      <c r="B61" s="42">
        <v>2</v>
      </c>
      <c r="C61" s="42">
        <v>60</v>
      </c>
      <c r="D61" s="42">
        <v>0</v>
      </c>
      <c r="E61" s="42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42"/>
      <c r="X61" s="42"/>
      <c r="Y61" s="42"/>
      <c r="Z61" s="42"/>
      <c r="AA61" s="42"/>
    </row>
    <row r="62" spans="1:27" x14ac:dyDescent="0.2">
      <c r="A62" s="42">
        <v>1</v>
      </c>
      <c r="B62" s="42">
        <v>3</v>
      </c>
      <c r="C62" s="42">
        <v>61</v>
      </c>
      <c r="D62" s="42">
        <v>0</v>
      </c>
      <c r="E62" s="42">
        <f>SUM(D62:D91)</f>
        <v>20</v>
      </c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42"/>
      <c r="X62" s="42"/>
      <c r="Y62" s="42"/>
      <c r="Z62" s="42"/>
      <c r="AA62" s="42"/>
    </row>
    <row r="63" spans="1:27" x14ac:dyDescent="0.2">
      <c r="A63" s="42">
        <v>2</v>
      </c>
      <c r="B63" s="42">
        <v>3</v>
      </c>
      <c r="C63" s="42">
        <v>62</v>
      </c>
      <c r="D63" s="42">
        <v>0</v>
      </c>
      <c r="E63" s="42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42"/>
      <c r="X63" s="42"/>
      <c r="Y63" s="42"/>
      <c r="Z63" s="42"/>
      <c r="AA63" s="42"/>
    </row>
    <row r="64" spans="1:27" x14ac:dyDescent="0.2">
      <c r="A64" s="42">
        <v>3</v>
      </c>
      <c r="B64" s="42">
        <v>3</v>
      </c>
      <c r="C64" s="42">
        <v>63</v>
      </c>
      <c r="D64" s="42">
        <v>1</v>
      </c>
      <c r="E64" s="42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42"/>
      <c r="X64" s="42"/>
      <c r="Y64" s="42"/>
      <c r="Z64" s="42"/>
      <c r="AA64" s="42"/>
    </row>
    <row r="65" spans="1:27" x14ac:dyDescent="0.2">
      <c r="A65" s="42">
        <v>4</v>
      </c>
      <c r="B65" s="42">
        <v>3</v>
      </c>
      <c r="C65" s="42">
        <v>64</v>
      </c>
      <c r="D65" s="42">
        <v>1</v>
      </c>
      <c r="E65" s="42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42"/>
      <c r="X65" s="42"/>
      <c r="Y65" s="42"/>
      <c r="Z65" s="42"/>
      <c r="AA65" s="42"/>
    </row>
    <row r="66" spans="1:27" x14ac:dyDescent="0.2">
      <c r="A66" s="42">
        <v>5</v>
      </c>
      <c r="B66" s="42">
        <v>3</v>
      </c>
      <c r="C66" s="42">
        <v>65</v>
      </c>
      <c r="D66" s="42">
        <v>0</v>
      </c>
      <c r="E66" s="42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42"/>
      <c r="X66" s="42"/>
      <c r="Y66" s="42"/>
      <c r="Z66" s="42"/>
      <c r="AA66" s="42"/>
    </row>
    <row r="67" spans="1:27" x14ac:dyDescent="0.2">
      <c r="A67" s="42">
        <v>6</v>
      </c>
      <c r="B67" s="42">
        <v>3</v>
      </c>
      <c r="C67" s="42">
        <v>66</v>
      </c>
      <c r="D67" s="42">
        <v>1</v>
      </c>
      <c r="E67" s="42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42"/>
      <c r="X67" s="42"/>
      <c r="Y67" s="42"/>
      <c r="Z67" s="42"/>
      <c r="AA67" s="42"/>
    </row>
    <row r="68" spans="1:27" x14ac:dyDescent="0.2">
      <c r="A68" s="42">
        <v>7</v>
      </c>
      <c r="B68" s="42">
        <v>3</v>
      </c>
      <c r="C68" s="42">
        <v>67</v>
      </c>
      <c r="D68" s="42">
        <v>1</v>
      </c>
      <c r="E68" s="42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42"/>
      <c r="X68" s="42"/>
      <c r="Y68" s="42"/>
      <c r="Z68" s="42"/>
      <c r="AA68" s="42"/>
    </row>
    <row r="69" spans="1:27" x14ac:dyDescent="0.2">
      <c r="A69" s="42">
        <v>8</v>
      </c>
      <c r="B69" s="42">
        <v>3</v>
      </c>
      <c r="C69" s="42">
        <v>68</v>
      </c>
      <c r="D69" s="42">
        <v>1</v>
      </c>
      <c r="E69" s="4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42"/>
      <c r="X69" s="42"/>
      <c r="Y69" s="42"/>
      <c r="Z69" s="42"/>
      <c r="AA69" s="42"/>
    </row>
    <row r="70" spans="1:27" x14ac:dyDescent="0.2">
      <c r="A70" s="42">
        <v>9</v>
      </c>
      <c r="B70" s="42">
        <v>3</v>
      </c>
      <c r="C70" s="42">
        <v>69</v>
      </c>
      <c r="D70" s="42">
        <v>1</v>
      </c>
      <c r="E70" s="42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42"/>
      <c r="X70" s="42"/>
      <c r="Y70" s="42"/>
      <c r="Z70" s="42"/>
      <c r="AA70" s="42"/>
    </row>
    <row r="71" spans="1:27" x14ac:dyDescent="0.2">
      <c r="A71" s="42">
        <v>10</v>
      </c>
      <c r="B71" s="42">
        <v>3</v>
      </c>
      <c r="C71" s="42">
        <v>70</v>
      </c>
      <c r="D71" s="42">
        <v>0</v>
      </c>
      <c r="E71" s="42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42"/>
      <c r="X71" s="42"/>
      <c r="Y71" s="42"/>
      <c r="Z71" s="42"/>
      <c r="AA71" s="42"/>
    </row>
    <row r="72" spans="1:27" x14ac:dyDescent="0.2">
      <c r="A72" s="42">
        <v>11</v>
      </c>
      <c r="B72" s="42">
        <v>3</v>
      </c>
      <c r="C72" s="42">
        <v>71</v>
      </c>
      <c r="D72" s="42">
        <v>1</v>
      </c>
      <c r="E72" s="4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42"/>
      <c r="X72" s="42"/>
      <c r="Y72" s="42"/>
      <c r="Z72" s="42"/>
      <c r="AA72" s="42"/>
    </row>
    <row r="73" spans="1:27" x14ac:dyDescent="0.2">
      <c r="A73" s="42">
        <v>12</v>
      </c>
      <c r="B73" s="42">
        <v>3</v>
      </c>
      <c r="C73" s="42">
        <v>72</v>
      </c>
      <c r="D73" s="42">
        <v>1</v>
      </c>
      <c r="E73" s="42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42"/>
      <c r="X73" s="42"/>
      <c r="Y73" s="42"/>
      <c r="Z73" s="42"/>
      <c r="AA73" s="42"/>
    </row>
    <row r="74" spans="1:27" x14ac:dyDescent="0.2">
      <c r="A74" s="42">
        <v>13</v>
      </c>
      <c r="B74" s="42">
        <v>3</v>
      </c>
      <c r="C74" s="42">
        <v>73</v>
      </c>
      <c r="D74" s="42">
        <v>1</v>
      </c>
      <c r="E74" s="42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42"/>
      <c r="X74" s="42"/>
      <c r="Y74" s="42"/>
      <c r="Z74" s="42"/>
      <c r="AA74" s="42"/>
    </row>
    <row r="75" spans="1:27" x14ac:dyDescent="0.2">
      <c r="A75" s="42">
        <v>14</v>
      </c>
      <c r="B75" s="42">
        <v>3</v>
      </c>
      <c r="C75" s="42">
        <v>74</v>
      </c>
      <c r="D75" s="42">
        <v>0</v>
      </c>
      <c r="E75" s="42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42"/>
      <c r="X75" s="42"/>
      <c r="Y75" s="42"/>
      <c r="Z75" s="42"/>
      <c r="AA75" s="42"/>
    </row>
    <row r="76" spans="1:27" x14ac:dyDescent="0.2">
      <c r="A76" s="42">
        <v>15</v>
      </c>
      <c r="B76" s="42">
        <v>3</v>
      </c>
      <c r="C76" s="42">
        <v>75</v>
      </c>
      <c r="D76" s="42">
        <v>0</v>
      </c>
      <c r="E76" s="42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42"/>
      <c r="X76" s="42"/>
      <c r="Y76" s="42"/>
      <c r="Z76" s="42"/>
      <c r="AA76" s="42"/>
    </row>
    <row r="77" spans="1:27" x14ac:dyDescent="0.2">
      <c r="A77" s="42">
        <v>16</v>
      </c>
      <c r="B77" s="42">
        <v>3</v>
      </c>
      <c r="C77" s="42">
        <v>76</v>
      </c>
      <c r="D77" s="42">
        <v>1</v>
      </c>
      <c r="E77" s="42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42"/>
      <c r="X77" s="42"/>
      <c r="Y77" s="42"/>
      <c r="Z77" s="42"/>
      <c r="AA77" s="42"/>
    </row>
    <row r="78" spans="1:27" x14ac:dyDescent="0.2">
      <c r="A78" s="42">
        <v>17</v>
      </c>
      <c r="B78" s="42">
        <v>3</v>
      </c>
      <c r="C78" s="42">
        <v>77</v>
      </c>
      <c r="D78" s="42">
        <v>1</v>
      </c>
      <c r="E78" s="42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42"/>
      <c r="X78" s="42"/>
      <c r="Y78" s="42"/>
      <c r="Z78" s="42"/>
      <c r="AA78" s="42"/>
    </row>
    <row r="79" spans="1:27" x14ac:dyDescent="0.2">
      <c r="A79" s="42">
        <v>18</v>
      </c>
      <c r="B79" s="42">
        <v>3</v>
      </c>
      <c r="C79" s="42">
        <v>78</v>
      </c>
      <c r="D79" s="42">
        <v>1</v>
      </c>
      <c r="E79" s="42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42"/>
      <c r="X79" s="42"/>
      <c r="Y79" s="42"/>
      <c r="Z79" s="42"/>
      <c r="AA79" s="42"/>
    </row>
    <row r="80" spans="1:27" x14ac:dyDescent="0.2">
      <c r="A80" s="42">
        <v>19</v>
      </c>
      <c r="B80" s="42">
        <v>3</v>
      </c>
      <c r="C80" s="42">
        <v>79</v>
      </c>
      <c r="D80" s="42">
        <v>0</v>
      </c>
      <c r="E80" s="42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42"/>
      <c r="X80" s="42"/>
      <c r="Y80" s="42"/>
      <c r="Z80" s="42"/>
      <c r="AA80" s="42"/>
    </row>
    <row r="81" spans="1:27" x14ac:dyDescent="0.2">
      <c r="A81" s="42">
        <v>20</v>
      </c>
      <c r="B81" s="42">
        <v>3</v>
      </c>
      <c r="C81" s="42">
        <v>80</v>
      </c>
      <c r="D81" s="42">
        <v>1</v>
      </c>
      <c r="E81" s="42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42"/>
      <c r="X81" s="42"/>
      <c r="Y81" s="42"/>
      <c r="Z81" s="42"/>
      <c r="AA81" s="42"/>
    </row>
    <row r="82" spans="1:27" x14ac:dyDescent="0.2">
      <c r="A82" s="42">
        <v>21</v>
      </c>
      <c r="B82" s="42">
        <v>3</v>
      </c>
      <c r="C82" s="42">
        <v>81</v>
      </c>
      <c r="D82" s="42">
        <v>1</v>
      </c>
      <c r="E82" s="42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42"/>
      <c r="X82" s="42"/>
      <c r="Y82" s="42"/>
      <c r="Z82" s="42"/>
      <c r="AA82" s="42"/>
    </row>
    <row r="83" spans="1:27" x14ac:dyDescent="0.2">
      <c r="A83" s="42">
        <v>22</v>
      </c>
      <c r="B83" s="42">
        <v>3</v>
      </c>
      <c r="C83" s="42">
        <v>82</v>
      </c>
      <c r="D83" s="42">
        <v>0</v>
      </c>
      <c r="E83" s="42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42"/>
      <c r="X83" s="42"/>
      <c r="Y83" s="42"/>
      <c r="Z83" s="42"/>
      <c r="AA83" s="42"/>
    </row>
    <row r="84" spans="1:27" x14ac:dyDescent="0.2">
      <c r="A84" s="42">
        <v>23</v>
      </c>
      <c r="B84" s="42">
        <v>3</v>
      </c>
      <c r="C84" s="42">
        <v>83</v>
      </c>
      <c r="D84" s="42">
        <v>1</v>
      </c>
      <c r="E84" s="42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42"/>
      <c r="X84" s="42"/>
      <c r="Y84" s="42"/>
      <c r="Z84" s="42"/>
      <c r="AA84" s="42"/>
    </row>
    <row r="85" spans="1:27" x14ac:dyDescent="0.2">
      <c r="A85" s="42">
        <v>24</v>
      </c>
      <c r="B85" s="42">
        <v>3</v>
      </c>
      <c r="C85" s="42">
        <v>84</v>
      </c>
      <c r="D85" s="42">
        <v>1</v>
      </c>
      <c r="E85" s="42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42"/>
      <c r="X85" s="42"/>
      <c r="Y85" s="42"/>
      <c r="Z85" s="42"/>
      <c r="AA85" s="42"/>
    </row>
    <row r="86" spans="1:27" x14ac:dyDescent="0.2">
      <c r="A86" s="42">
        <v>25</v>
      </c>
      <c r="B86" s="42">
        <v>3</v>
      </c>
      <c r="C86" s="42">
        <v>85</v>
      </c>
      <c r="D86" s="42">
        <v>1</v>
      </c>
      <c r="E86" s="42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42"/>
      <c r="X86" s="42"/>
      <c r="Y86" s="42"/>
      <c r="Z86" s="42"/>
      <c r="AA86" s="42"/>
    </row>
    <row r="87" spans="1:27" x14ac:dyDescent="0.2">
      <c r="A87" s="42">
        <v>26</v>
      </c>
      <c r="B87" s="42">
        <v>3</v>
      </c>
      <c r="C87" s="42">
        <v>86</v>
      </c>
      <c r="D87" s="42">
        <v>0</v>
      </c>
      <c r="E87" s="42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42"/>
      <c r="X87" s="42"/>
      <c r="Y87" s="42"/>
      <c r="Z87" s="42"/>
      <c r="AA87" s="42"/>
    </row>
    <row r="88" spans="1:27" x14ac:dyDescent="0.2">
      <c r="A88" s="42">
        <v>27</v>
      </c>
      <c r="B88" s="42">
        <v>3</v>
      </c>
      <c r="C88" s="42">
        <v>87</v>
      </c>
      <c r="D88" s="42">
        <v>1</v>
      </c>
      <c r="E88" s="42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42"/>
      <c r="X88" s="42"/>
      <c r="Y88" s="42"/>
      <c r="Z88" s="42"/>
      <c r="AA88" s="42"/>
    </row>
    <row r="89" spans="1:27" x14ac:dyDescent="0.2">
      <c r="A89" s="42">
        <v>28</v>
      </c>
      <c r="B89" s="42">
        <v>3</v>
      </c>
      <c r="C89" s="42">
        <v>88</v>
      </c>
      <c r="D89" s="42">
        <v>1</v>
      </c>
      <c r="E89" s="42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42"/>
      <c r="X89" s="42"/>
      <c r="Y89" s="42"/>
      <c r="Z89" s="42"/>
      <c r="AA89" s="42"/>
    </row>
    <row r="90" spans="1:27" x14ac:dyDescent="0.2">
      <c r="A90" s="42">
        <v>29</v>
      </c>
      <c r="B90" s="42">
        <v>3</v>
      </c>
      <c r="C90" s="42">
        <v>89</v>
      </c>
      <c r="D90" s="42">
        <v>1</v>
      </c>
      <c r="E90" s="42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42"/>
      <c r="X90" s="42"/>
      <c r="Y90" s="42"/>
      <c r="Z90" s="42"/>
      <c r="AA90" s="42"/>
    </row>
    <row r="91" spans="1:27" x14ac:dyDescent="0.2">
      <c r="A91" s="42">
        <v>30</v>
      </c>
      <c r="B91" s="42">
        <v>3</v>
      </c>
      <c r="C91" s="42">
        <v>90</v>
      </c>
      <c r="D91" s="42">
        <v>0</v>
      </c>
      <c r="E91" s="42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42"/>
      <c r="X91" s="42"/>
      <c r="Y91" s="42"/>
      <c r="Z91" s="42"/>
      <c r="AA91" s="42"/>
    </row>
    <row r="92" spans="1:27" x14ac:dyDescent="0.2">
      <c r="A92" s="42">
        <v>1</v>
      </c>
      <c r="B92" s="42">
        <v>4</v>
      </c>
      <c r="C92" s="42">
        <v>91</v>
      </c>
      <c r="D92" s="42">
        <v>0</v>
      </c>
      <c r="E92" s="42">
        <f>SUM(D92:D121)</f>
        <v>19</v>
      </c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42"/>
      <c r="X92" s="42"/>
      <c r="Y92" s="42"/>
      <c r="Z92" s="42"/>
      <c r="AA92" s="42"/>
    </row>
    <row r="93" spans="1:27" x14ac:dyDescent="0.2">
      <c r="A93" s="42">
        <v>2</v>
      </c>
      <c r="B93" s="42">
        <v>4</v>
      </c>
      <c r="C93" s="42">
        <v>92</v>
      </c>
      <c r="D93" s="42">
        <v>1</v>
      </c>
      <c r="E93" s="42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42"/>
      <c r="X93" s="42"/>
      <c r="Y93" s="42"/>
      <c r="Z93" s="42"/>
      <c r="AA93" s="42"/>
    </row>
    <row r="94" spans="1:27" x14ac:dyDescent="0.2">
      <c r="A94" s="42">
        <v>3</v>
      </c>
      <c r="B94" s="42">
        <v>4</v>
      </c>
      <c r="C94" s="42">
        <v>93</v>
      </c>
      <c r="D94" s="42">
        <v>1</v>
      </c>
      <c r="E94" s="42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42"/>
      <c r="X94" s="42"/>
      <c r="Y94" s="42"/>
      <c r="Z94" s="42"/>
      <c r="AA94" s="42"/>
    </row>
    <row r="95" spans="1:27" x14ac:dyDescent="0.2">
      <c r="A95" s="42">
        <v>4</v>
      </c>
      <c r="B95" s="42">
        <v>4</v>
      </c>
      <c r="C95" s="42">
        <v>94</v>
      </c>
      <c r="D95" s="42">
        <v>1</v>
      </c>
      <c r="E95" s="42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42"/>
      <c r="X95" s="42"/>
      <c r="Y95" s="42"/>
      <c r="Z95" s="42"/>
      <c r="AA95" s="42"/>
    </row>
    <row r="96" spans="1:27" x14ac:dyDescent="0.2">
      <c r="A96" s="42">
        <v>5</v>
      </c>
      <c r="B96" s="42">
        <v>4</v>
      </c>
      <c r="C96" s="42">
        <v>95</v>
      </c>
      <c r="D96" s="42">
        <v>1</v>
      </c>
      <c r="E96" s="42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42"/>
      <c r="X96" s="42"/>
      <c r="Y96" s="42"/>
      <c r="Z96" s="42"/>
      <c r="AA96" s="42"/>
    </row>
    <row r="97" spans="1:27" x14ac:dyDescent="0.2">
      <c r="A97" s="42">
        <v>6</v>
      </c>
      <c r="B97" s="42">
        <v>4</v>
      </c>
      <c r="C97" s="42">
        <v>96</v>
      </c>
      <c r="D97" s="42">
        <v>0</v>
      </c>
      <c r="E97" s="42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42"/>
      <c r="X97" s="42"/>
      <c r="Y97" s="42"/>
      <c r="Z97" s="42"/>
      <c r="AA97" s="42"/>
    </row>
    <row r="98" spans="1:27" x14ac:dyDescent="0.2">
      <c r="A98" s="42">
        <v>7</v>
      </c>
      <c r="B98" s="42">
        <v>4</v>
      </c>
      <c r="C98" s="42">
        <v>97</v>
      </c>
      <c r="D98" s="42">
        <v>0</v>
      </c>
      <c r="E98" s="42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42"/>
      <c r="X98" s="42"/>
      <c r="Y98" s="42"/>
      <c r="Z98" s="42"/>
      <c r="AA98" s="42"/>
    </row>
    <row r="99" spans="1:27" x14ac:dyDescent="0.2">
      <c r="A99" s="42">
        <v>8</v>
      </c>
      <c r="B99" s="42">
        <v>4</v>
      </c>
      <c r="C99" s="42">
        <v>98</v>
      </c>
      <c r="D99" s="42">
        <v>1</v>
      </c>
      <c r="E99" s="42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42"/>
      <c r="X99" s="42"/>
      <c r="Y99" s="42"/>
      <c r="Z99" s="42"/>
      <c r="AA99" s="42"/>
    </row>
    <row r="100" spans="1:27" x14ac:dyDescent="0.2">
      <c r="A100" s="42">
        <v>9</v>
      </c>
      <c r="B100" s="42">
        <v>4</v>
      </c>
      <c r="C100" s="42">
        <v>99</v>
      </c>
      <c r="D100" s="42">
        <v>1</v>
      </c>
      <c r="E100" s="42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42"/>
      <c r="X100" s="42"/>
      <c r="Y100" s="42"/>
      <c r="Z100" s="42"/>
      <c r="AA100" s="42"/>
    </row>
    <row r="101" spans="1:27" x14ac:dyDescent="0.2">
      <c r="A101" s="42">
        <v>10</v>
      </c>
      <c r="B101" s="42">
        <v>4</v>
      </c>
      <c r="C101" s="42">
        <v>100</v>
      </c>
      <c r="D101" s="42">
        <v>0</v>
      </c>
      <c r="E101" s="42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42"/>
      <c r="X101" s="42"/>
      <c r="Y101" s="42"/>
      <c r="Z101" s="42"/>
      <c r="AA101" s="42"/>
    </row>
    <row r="102" spans="1:27" x14ac:dyDescent="0.2">
      <c r="A102" s="42">
        <v>11</v>
      </c>
      <c r="B102" s="42">
        <v>4</v>
      </c>
      <c r="C102" s="42">
        <v>101</v>
      </c>
      <c r="D102" s="42">
        <v>0</v>
      </c>
      <c r="E102" s="42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42"/>
      <c r="X102" s="42"/>
      <c r="Y102" s="42"/>
      <c r="Z102" s="42"/>
      <c r="AA102" s="42"/>
    </row>
    <row r="103" spans="1:27" x14ac:dyDescent="0.2">
      <c r="A103" s="42">
        <v>12</v>
      </c>
      <c r="B103" s="42">
        <v>4</v>
      </c>
      <c r="C103" s="42">
        <v>102</v>
      </c>
      <c r="D103" s="42">
        <v>1</v>
      </c>
      <c r="E103" s="42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42"/>
      <c r="X103" s="42"/>
      <c r="Y103" s="42"/>
      <c r="Z103" s="42"/>
      <c r="AA103" s="42"/>
    </row>
    <row r="104" spans="1:27" x14ac:dyDescent="0.2">
      <c r="A104" s="42">
        <v>13</v>
      </c>
      <c r="B104" s="42">
        <v>4</v>
      </c>
      <c r="C104" s="42">
        <v>103</v>
      </c>
      <c r="D104" s="42">
        <v>1</v>
      </c>
      <c r="E104" s="42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42"/>
      <c r="X104" s="42"/>
      <c r="Y104" s="42"/>
      <c r="Z104" s="42"/>
      <c r="AA104" s="42"/>
    </row>
    <row r="105" spans="1:27" x14ac:dyDescent="0.2">
      <c r="A105" s="42">
        <v>14</v>
      </c>
      <c r="B105" s="42">
        <v>4</v>
      </c>
      <c r="C105" s="42">
        <v>104</v>
      </c>
      <c r="D105" s="42">
        <v>1</v>
      </c>
      <c r="E105" s="42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42"/>
      <c r="X105" s="42"/>
      <c r="Y105" s="42"/>
      <c r="Z105" s="42"/>
      <c r="AA105" s="42"/>
    </row>
    <row r="106" spans="1:27" x14ac:dyDescent="0.2">
      <c r="A106" s="42">
        <v>15</v>
      </c>
      <c r="B106" s="42">
        <v>4</v>
      </c>
      <c r="C106" s="42">
        <v>105</v>
      </c>
      <c r="D106" s="42">
        <v>1</v>
      </c>
      <c r="E106" s="42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42"/>
      <c r="X106" s="42"/>
      <c r="Y106" s="42"/>
      <c r="Z106" s="42"/>
      <c r="AA106" s="42"/>
    </row>
    <row r="107" spans="1:27" x14ac:dyDescent="0.2">
      <c r="A107" s="42">
        <v>16</v>
      </c>
      <c r="B107" s="42">
        <v>4</v>
      </c>
      <c r="C107" s="42">
        <v>106</v>
      </c>
      <c r="D107" s="42">
        <v>0</v>
      </c>
      <c r="E107" s="42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42"/>
      <c r="X107" s="42"/>
      <c r="Y107" s="42"/>
      <c r="Z107" s="42"/>
      <c r="AA107" s="42"/>
    </row>
    <row r="108" spans="1:27" x14ac:dyDescent="0.2">
      <c r="A108" s="42">
        <v>17</v>
      </c>
      <c r="B108" s="42">
        <v>4</v>
      </c>
      <c r="C108" s="42">
        <v>107</v>
      </c>
      <c r="D108" s="42">
        <v>0</v>
      </c>
      <c r="E108" s="42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42"/>
      <c r="X108" s="42"/>
      <c r="Y108" s="42"/>
      <c r="Z108" s="42"/>
      <c r="AA108" s="42"/>
    </row>
    <row r="109" spans="1:27" x14ac:dyDescent="0.2">
      <c r="A109" s="42">
        <v>18</v>
      </c>
      <c r="B109" s="42">
        <v>4</v>
      </c>
      <c r="C109" s="42">
        <v>108</v>
      </c>
      <c r="D109" s="42">
        <v>0</v>
      </c>
      <c r="E109" s="42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42"/>
      <c r="X109" s="42"/>
      <c r="Y109" s="42"/>
      <c r="Z109" s="42"/>
      <c r="AA109" s="42"/>
    </row>
    <row r="110" spans="1:27" x14ac:dyDescent="0.2">
      <c r="A110" s="42">
        <v>19</v>
      </c>
      <c r="B110" s="42">
        <v>4</v>
      </c>
      <c r="C110" s="42">
        <v>109</v>
      </c>
      <c r="D110" s="42">
        <v>1</v>
      </c>
      <c r="E110" s="42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42"/>
      <c r="X110" s="42"/>
      <c r="Y110" s="42"/>
      <c r="Z110" s="42"/>
      <c r="AA110" s="42"/>
    </row>
    <row r="111" spans="1:27" x14ac:dyDescent="0.2">
      <c r="A111" s="42">
        <v>20</v>
      </c>
      <c r="B111" s="42">
        <v>4</v>
      </c>
      <c r="C111" s="42">
        <v>110</v>
      </c>
      <c r="D111" s="42">
        <v>1</v>
      </c>
      <c r="E111" s="42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42"/>
      <c r="X111" s="42"/>
      <c r="Y111" s="42"/>
      <c r="Z111" s="42"/>
      <c r="AA111" s="42"/>
    </row>
    <row r="112" spans="1:27" x14ac:dyDescent="0.2">
      <c r="A112" s="42">
        <v>21</v>
      </c>
      <c r="B112" s="42">
        <v>4</v>
      </c>
      <c r="C112" s="42">
        <v>111</v>
      </c>
      <c r="D112" s="42">
        <v>1</v>
      </c>
      <c r="E112" s="42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42"/>
      <c r="X112" s="42"/>
      <c r="Y112" s="42"/>
      <c r="Z112" s="42"/>
      <c r="AA112" s="42"/>
    </row>
    <row r="113" spans="1:27" x14ac:dyDescent="0.2">
      <c r="A113" s="42">
        <v>22</v>
      </c>
      <c r="B113" s="42">
        <v>4</v>
      </c>
      <c r="C113" s="42">
        <v>112</v>
      </c>
      <c r="D113" s="42">
        <v>0</v>
      </c>
      <c r="E113" s="42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42"/>
      <c r="X113" s="42"/>
      <c r="Y113" s="42"/>
      <c r="Z113" s="42"/>
      <c r="AA113" s="42"/>
    </row>
    <row r="114" spans="1:27" x14ac:dyDescent="0.2">
      <c r="A114" s="42">
        <v>23</v>
      </c>
      <c r="B114" s="42">
        <v>4</v>
      </c>
      <c r="C114" s="42">
        <v>113</v>
      </c>
      <c r="D114" s="42">
        <v>1</v>
      </c>
      <c r="E114" s="42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42"/>
      <c r="X114" s="42"/>
      <c r="Y114" s="42"/>
      <c r="Z114" s="42"/>
      <c r="AA114" s="42"/>
    </row>
    <row r="115" spans="1:27" x14ac:dyDescent="0.2">
      <c r="A115" s="42">
        <v>24</v>
      </c>
      <c r="B115" s="42">
        <v>4</v>
      </c>
      <c r="C115" s="42">
        <v>114</v>
      </c>
      <c r="D115" s="42">
        <v>1</v>
      </c>
      <c r="E115" s="42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42"/>
      <c r="X115" s="42"/>
      <c r="Y115" s="42"/>
      <c r="Z115" s="42"/>
      <c r="AA115" s="42"/>
    </row>
    <row r="116" spans="1:27" x14ac:dyDescent="0.2">
      <c r="A116" s="42">
        <v>25</v>
      </c>
      <c r="B116" s="42">
        <v>4</v>
      </c>
      <c r="C116" s="42">
        <v>115</v>
      </c>
      <c r="D116" s="42">
        <v>0</v>
      </c>
      <c r="E116" s="42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42"/>
      <c r="X116" s="42"/>
      <c r="Y116" s="42"/>
      <c r="Z116" s="42"/>
      <c r="AA116" s="42"/>
    </row>
    <row r="117" spans="1:27" x14ac:dyDescent="0.2">
      <c r="A117" s="42">
        <v>26</v>
      </c>
      <c r="B117" s="42">
        <v>4</v>
      </c>
      <c r="C117" s="42">
        <v>116</v>
      </c>
      <c r="D117" s="42">
        <v>1</v>
      </c>
      <c r="E117" s="42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42"/>
      <c r="X117" s="42"/>
      <c r="Y117" s="42"/>
      <c r="Z117" s="42"/>
      <c r="AA117" s="42"/>
    </row>
    <row r="118" spans="1:27" x14ac:dyDescent="0.2">
      <c r="A118" s="42">
        <v>27</v>
      </c>
      <c r="B118" s="42">
        <v>4</v>
      </c>
      <c r="C118" s="42">
        <v>117</v>
      </c>
      <c r="D118" s="42">
        <v>1</v>
      </c>
      <c r="E118" s="42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42"/>
      <c r="X118" s="42"/>
      <c r="Y118" s="42"/>
      <c r="Z118" s="42"/>
      <c r="AA118" s="42"/>
    </row>
    <row r="119" spans="1:27" x14ac:dyDescent="0.2">
      <c r="A119" s="42">
        <v>28</v>
      </c>
      <c r="B119" s="42">
        <v>4</v>
      </c>
      <c r="C119" s="42">
        <v>118</v>
      </c>
      <c r="D119" s="42">
        <v>1</v>
      </c>
      <c r="E119" s="42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42"/>
      <c r="X119" s="42"/>
      <c r="Y119" s="42"/>
      <c r="Z119" s="42"/>
      <c r="AA119" s="42"/>
    </row>
    <row r="120" spans="1:27" x14ac:dyDescent="0.2">
      <c r="A120" s="42">
        <v>29</v>
      </c>
      <c r="B120" s="42">
        <v>4</v>
      </c>
      <c r="C120" s="42">
        <v>119</v>
      </c>
      <c r="D120" s="42">
        <v>1</v>
      </c>
      <c r="E120" s="42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42"/>
      <c r="X120" s="42"/>
      <c r="Y120" s="42"/>
      <c r="Z120" s="42"/>
      <c r="AA120" s="42"/>
    </row>
    <row r="121" spans="1:27" x14ac:dyDescent="0.2">
      <c r="A121" s="42">
        <v>30</v>
      </c>
      <c r="B121" s="42">
        <v>4</v>
      </c>
      <c r="C121" s="42">
        <v>120</v>
      </c>
      <c r="D121" s="42">
        <v>0</v>
      </c>
      <c r="E121" s="42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42"/>
      <c r="X121" s="42"/>
      <c r="Y121" s="42"/>
      <c r="Z121" s="42"/>
      <c r="AA121" s="42"/>
    </row>
    <row r="122" spans="1:27" x14ac:dyDescent="0.2">
      <c r="A122" s="42">
        <v>1</v>
      </c>
      <c r="B122" s="42">
        <v>5</v>
      </c>
      <c r="C122" s="42">
        <v>121</v>
      </c>
      <c r="D122" s="42">
        <v>1</v>
      </c>
      <c r="E122" s="42">
        <f>SUM(D122:D151)</f>
        <v>17</v>
      </c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42"/>
      <c r="X122" s="42"/>
      <c r="Y122" s="42"/>
      <c r="Z122" s="42"/>
      <c r="AA122" s="42"/>
    </row>
    <row r="123" spans="1:27" x14ac:dyDescent="0.2">
      <c r="A123" s="42">
        <v>2</v>
      </c>
      <c r="B123" s="42">
        <v>5</v>
      </c>
      <c r="C123" s="42">
        <v>122</v>
      </c>
      <c r="D123" s="42">
        <v>0</v>
      </c>
      <c r="E123" s="42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42"/>
      <c r="X123" s="42"/>
      <c r="Y123" s="42"/>
      <c r="Z123" s="42"/>
      <c r="AA123" s="42"/>
    </row>
    <row r="124" spans="1:27" x14ac:dyDescent="0.2">
      <c r="A124" s="42">
        <v>3</v>
      </c>
      <c r="B124" s="42">
        <v>5</v>
      </c>
      <c r="C124" s="42">
        <v>123</v>
      </c>
      <c r="D124" s="42">
        <v>1</v>
      </c>
      <c r="E124" s="42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42"/>
      <c r="X124" s="42"/>
      <c r="Y124" s="42"/>
      <c r="Z124" s="42"/>
      <c r="AA124" s="42"/>
    </row>
    <row r="125" spans="1:27" x14ac:dyDescent="0.2">
      <c r="A125" s="42">
        <v>4</v>
      </c>
      <c r="B125" s="42">
        <v>5</v>
      </c>
      <c r="C125" s="42">
        <v>124</v>
      </c>
      <c r="D125" s="42">
        <v>1</v>
      </c>
      <c r="E125" s="42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42"/>
      <c r="X125" s="42"/>
      <c r="Y125" s="42"/>
      <c r="Z125" s="42"/>
      <c r="AA125" s="42"/>
    </row>
    <row r="126" spans="1:27" x14ac:dyDescent="0.2">
      <c r="A126" s="42">
        <v>5</v>
      </c>
      <c r="B126" s="42">
        <v>5</v>
      </c>
      <c r="C126" s="42">
        <v>125</v>
      </c>
      <c r="D126" s="42">
        <v>1</v>
      </c>
      <c r="E126" s="42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42"/>
      <c r="X126" s="42"/>
      <c r="Y126" s="42"/>
      <c r="Z126" s="42"/>
      <c r="AA126" s="42"/>
    </row>
    <row r="127" spans="1:27" x14ac:dyDescent="0.2">
      <c r="A127" s="42">
        <v>6</v>
      </c>
      <c r="B127" s="42">
        <v>5</v>
      </c>
      <c r="C127" s="42">
        <v>126</v>
      </c>
      <c r="D127" s="42">
        <v>1</v>
      </c>
      <c r="E127" s="42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42"/>
      <c r="X127" s="42"/>
      <c r="Y127" s="42"/>
      <c r="Z127" s="42"/>
      <c r="AA127" s="42"/>
    </row>
    <row r="128" spans="1:27" x14ac:dyDescent="0.2">
      <c r="A128" s="42">
        <v>7</v>
      </c>
      <c r="B128" s="42">
        <v>5</v>
      </c>
      <c r="C128" s="42">
        <v>127</v>
      </c>
      <c r="D128" s="42">
        <v>1</v>
      </c>
      <c r="E128" s="42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42"/>
      <c r="X128" s="42"/>
      <c r="Y128" s="42"/>
      <c r="Z128" s="42"/>
      <c r="AA128" s="42"/>
    </row>
    <row r="129" spans="1:27" x14ac:dyDescent="0.2">
      <c r="A129" s="42">
        <v>8</v>
      </c>
      <c r="B129" s="42">
        <v>5</v>
      </c>
      <c r="C129" s="42">
        <v>128</v>
      </c>
      <c r="D129" s="42">
        <v>0</v>
      </c>
      <c r="E129" s="42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42"/>
      <c r="X129" s="42"/>
      <c r="Y129" s="42"/>
      <c r="Z129" s="42"/>
      <c r="AA129" s="42"/>
    </row>
    <row r="130" spans="1:27" x14ac:dyDescent="0.2">
      <c r="A130" s="42">
        <v>9</v>
      </c>
      <c r="B130" s="42">
        <v>5</v>
      </c>
      <c r="C130" s="42">
        <v>129</v>
      </c>
      <c r="D130" s="42">
        <v>0</v>
      </c>
      <c r="E130" s="42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42"/>
      <c r="X130" s="42"/>
      <c r="Y130" s="42"/>
      <c r="Z130" s="42"/>
      <c r="AA130" s="42"/>
    </row>
    <row r="131" spans="1:27" x14ac:dyDescent="0.2">
      <c r="A131" s="42">
        <v>10</v>
      </c>
      <c r="B131" s="42">
        <v>5</v>
      </c>
      <c r="C131" s="42">
        <v>130</v>
      </c>
      <c r="D131" s="42">
        <v>0</v>
      </c>
      <c r="E131" s="42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42"/>
      <c r="X131" s="42"/>
      <c r="Y131" s="42"/>
      <c r="Z131" s="42"/>
      <c r="AA131" s="42"/>
    </row>
    <row r="132" spans="1:27" x14ac:dyDescent="0.2">
      <c r="A132" s="42">
        <v>11</v>
      </c>
      <c r="B132" s="42">
        <v>5</v>
      </c>
      <c r="C132" s="42">
        <v>131</v>
      </c>
      <c r="D132" s="42">
        <v>1</v>
      </c>
      <c r="E132" s="42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42"/>
      <c r="X132" s="42"/>
      <c r="Y132" s="42"/>
      <c r="Z132" s="42"/>
      <c r="AA132" s="42"/>
    </row>
    <row r="133" spans="1:27" x14ac:dyDescent="0.2">
      <c r="A133" s="42">
        <v>12</v>
      </c>
      <c r="B133" s="42">
        <v>5</v>
      </c>
      <c r="C133" s="42">
        <v>132</v>
      </c>
      <c r="D133" s="42">
        <v>0</v>
      </c>
      <c r="E133" s="42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42"/>
      <c r="X133" s="42"/>
      <c r="Y133" s="42"/>
      <c r="Z133" s="42"/>
      <c r="AA133" s="42"/>
    </row>
    <row r="134" spans="1:27" x14ac:dyDescent="0.2">
      <c r="A134" s="42">
        <v>13</v>
      </c>
      <c r="B134" s="42">
        <v>5</v>
      </c>
      <c r="C134" s="42">
        <v>133</v>
      </c>
      <c r="D134" s="42">
        <v>1</v>
      </c>
      <c r="E134" s="42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42"/>
      <c r="X134" s="42"/>
      <c r="Y134" s="42"/>
      <c r="Z134" s="42"/>
      <c r="AA134" s="42"/>
    </row>
    <row r="135" spans="1:27" x14ac:dyDescent="0.2">
      <c r="A135" s="42">
        <v>14</v>
      </c>
      <c r="B135" s="42">
        <v>5</v>
      </c>
      <c r="C135" s="42">
        <v>134</v>
      </c>
      <c r="D135" s="42">
        <v>1</v>
      </c>
      <c r="E135" s="42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42"/>
      <c r="X135" s="42"/>
      <c r="Y135" s="42"/>
      <c r="Z135" s="42"/>
      <c r="AA135" s="42"/>
    </row>
    <row r="136" spans="1:27" x14ac:dyDescent="0.2">
      <c r="A136" s="42">
        <v>15</v>
      </c>
      <c r="B136" s="42">
        <v>5</v>
      </c>
      <c r="C136" s="42">
        <v>135</v>
      </c>
      <c r="D136" s="42">
        <v>1</v>
      </c>
      <c r="E136" s="42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42"/>
      <c r="X136" s="42"/>
      <c r="Y136" s="42"/>
      <c r="Z136" s="42"/>
      <c r="AA136" s="42"/>
    </row>
    <row r="137" spans="1:27" x14ac:dyDescent="0.2">
      <c r="A137" s="42">
        <v>16</v>
      </c>
      <c r="B137" s="42">
        <v>5</v>
      </c>
      <c r="C137" s="42">
        <v>136</v>
      </c>
      <c r="D137" s="42">
        <v>0</v>
      </c>
      <c r="E137" s="42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42"/>
      <c r="X137" s="42"/>
      <c r="Y137" s="42"/>
      <c r="Z137" s="42"/>
      <c r="AA137" s="42"/>
    </row>
    <row r="138" spans="1:27" x14ac:dyDescent="0.2">
      <c r="A138" s="42">
        <v>17</v>
      </c>
      <c r="B138" s="42">
        <v>5</v>
      </c>
      <c r="C138" s="42">
        <v>137</v>
      </c>
      <c r="D138" s="42">
        <v>1</v>
      </c>
      <c r="E138" s="42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42"/>
      <c r="X138" s="42"/>
      <c r="Y138" s="42"/>
      <c r="Z138" s="42"/>
      <c r="AA138" s="42"/>
    </row>
    <row r="139" spans="1:27" x14ac:dyDescent="0.2">
      <c r="A139" s="42">
        <v>18</v>
      </c>
      <c r="B139" s="42">
        <v>5</v>
      </c>
      <c r="C139" s="42">
        <v>138</v>
      </c>
      <c r="D139" s="42">
        <v>0</v>
      </c>
      <c r="E139" s="42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42"/>
      <c r="X139" s="42"/>
      <c r="Y139" s="42"/>
      <c r="Z139" s="42"/>
      <c r="AA139" s="42"/>
    </row>
    <row r="140" spans="1:27" x14ac:dyDescent="0.2">
      <c r="A140" s="42">
        <v>19</v>
      </c>
      <c r="B140" s="42">
        <v>5</v>
      </c>
      <c r="C140" s="42">
        <v>139</v>
      </c>
      <c r="D140" s="42">
        <v>0</v>
      </c>
      <c r="E140" s="42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42"/>
      <c r="X140" s="42"/>
      <c r="Y140" s="42"/>
      <c r="Z140" s="42"/>
      <c r="AA140" s="42"/>
    </row>
    <row r="141" spans="1:27" x14ac:dyDescent="0.2">
      <c r="A141" s="42">
        <v>20</v>
      </c>
      <c r="B141" s="42">
        <v>5</v>
      </c>
      <c r="C141" s="42">
        <v>140</v>
      </c>
      <c r="D141" s="42">
        <v>1</v>
      </c>
      <c r="E141" s="42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42"/>
      <c r="X141" s="42"/>
      <c r="Y141" s="42"/>
      <c r="Z141" s="42"/>
      <c r="AA141" s="42"/>
    </row>
    <row r="142" spans="1:27" x14ac:dyDescent="0.2">
      <c r="A142" s="42">
        <v>21</v>
      </c>
      <c r="B142" s="42">
        <v>5</v>
      </c>
      <c r="C142" s="42">
        <v>141</v>
      </c>
      <c r="D142" s="42">
        <v>0</v>
      </c>
      <c r="E142" s="42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42"/>
      <c r="X142" s="42"/>
      <c r="Y142" s="42"/>
      <c r="Z142" s="42"/>
      <c r="AA142" s="42"/>
    </row>
    <row r="143" spans="1:27" x14ac:dyDescent="0.2">
      <c r="A143" s="42">
        <v>22</v>
      </c>
      <c r="B143" s="42">
        <v>5</v>
      </c>
      <c r="C143" s="42">
        <v>142</v>
      </c>
      <c r="D143" s="42">
        <v>1</v>
      </c>
      <c r="E143" s="42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42"/>
      <c r="X143" s="42"/>
      <c r="Y143" s="42"/>
      <c r="Z143" s="42"/>
      <c r="AA143" s="42"/>
    </row>
    <row r="144" spans="1:27" x14ac:dyDescent="0.2">
      <c r="A144" s="42">
        <v>23</v>
      </c>
      <c r="B144" s="42">
        <v>5</v>
      </c>
      <c r="C144" s="42">
        <v>143</v>
      </c>
      <c r="D144" s="42">
        <v>0</v>
      </c>
      <c r="E144" s="42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42"/>
      <c r="X144" s="42"/>
      <c r="Y144" s="42"/>
      <c r="Z144" s="42"/>
      <c r="AA144" s="42"/>
    </row>
    <row r="145" spans="1:27" x14ac:dyDescent="0.2">
      <c r="A145" s="42">
        <v>24</v>
      </c>
      <c r="B145" s="42">
        <v>5</v>
      </c>
      <c r="C145" s="42">
        <v>144</v>
      </c>
      <c r="D145" s="42">
        <v>1</v>
      </c>
      <c r="E145" s="42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42"/>
      <c r="X145" s="42"/>
      <c r="Y145" s="42"/>
      <c r="Z145" s="42"/>
      <c r="AA145" s="42"/>
    </row>
    <row r="146" spans="1:27" x14ac:dyDescent="0.2">
      <c r="A146" s="42">
        <v>25</v>
      </c>
      <c r="B146" s="42">
        <v>5</v>
      </c>
      <c r="C146" s="42">
        <v>145</v>
      </c>
      <c r="D146" s="42">
        <v>1</v>
      </c>
      <c r="E146" s="42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42"/>
      <c r="X146" s="42"/>
      <c r="Y146" s="42"/>
      <c r="Z146" s="42"/>
      <c r="AA146" s="42"/>
    </row>
    <row r="147" spans="1:27" x14ac:dyDescent="0.2">
      <c r="A147" s="42">
        <v>26</v>
      </c>
      <c r="B147" s="42">
        <v>5</v>
      </c>
      <c r="C147" s="42">
        <v>146</v>
      </c>
      <c r="D147" s="42">
        <v>1</v>
      </c>
      <c r="E147" s="42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42"/>
      <c r="X147" s="42"/>
      <c r="Y147" s="42"/>
      <c r="Z147" s="42"/>
      <c r="AA147" s="42"/>
    </row>
    <row r="148" spans="1:27" x14ac:dyDescent="0.2">
      <c r="A148" s="42">
        <v>27</v>
      </c>
      <c r="B148" s="42">
        <v>5</v>
      </c>
      <c r="C148" s="42">
        <v>147</v>
      </c>
      <c r="D148" s="42">
        <v>0</v>
      </c>
      <c r="E148" s="42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42"/>
      <c r="X148" s="42"/>
      <c r="Y148" s="42"/>
      <c r="Z148" s="42"/>
      <c r="AA148" s="42"/>
    </row>
    <row r="149" spans="1:27" x14ac:dyDescent="0.2">
      <c r="A149" s="42">
        <v>28</v>
      </c>
      <c r="B149" s="42">
        <v>5</v>
      </c>
      <c r="C149" s="42">
        <v>148</v>
      </c>
      <c r="D149" s="42">
        <v>0</v>
      </c>
      <c r="E149" s="42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42"/>
      <c r="X149" s="42"/>
      <c r="Y149" s="42"/>
      <c r="Z149" s="42"/>
      <c r="AA149" s="42"/>
    </row>
    <row r="150" spans="1:27" x14ac:dyDescent="0.2">
      <c r="A150" s="42">
        <v>29</v>
      </c>
      <c r="B150" s="42">
        <v>5</v>
      </c>
      <c r="C150" s="42">
        <v>149</v>
      </c>
      <c r="D150" s="42">
        <v>1</v>
      </c>
      <c r="E150" s="42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42"/>
      <c r="X150" s="42"/>
      <c r="Y150" s="42"/>
      <c r="Z150" s="42"/>
      <c r="AA150" s="42"/>
    </row>
    <row r="151" spans="1:27" x14ac:dyDescent="0.2">
      <c r="A151" s="42">
        <v>30</v>
      </c>
      <c r="B151" s="42">
        <v>5</v>
      </c>
      <c r="C151" s="42">
        <v>150</v>
      </c>
      <c r="D151" s="42">
        <v>0</v>
      </c>
      <c r="E151" s="42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42"/>
      <c r="X151" s="42"/>
      <c r="Y151" s="42"/>
      <c r="Z151" s="42"/>
      <c r="AA151" s="42"/>
    </row>
    <row r="152" spans="1:27" x14ac:dyDescent="0.2">
      <c r="A152" s="42">
        <v>1</v>
      </c>
      <c r="B152" s="42">
        <v>6</v>
      </c>
      <c r="C152" s="42">
        <v>151</v>
      </c>
      <c r="D152" s="42">
        <v>0</v>
      </c>
      <c r="E152" s="42">
        <f>SUM(D152:D181)</f>
        <v>15</v>
      </c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42"/>
      <c r="X152" s="42"/>
      <c r="Y152" s="42"/>
      <c r="Z152" s="42"/>
      <c r="AA152" s="42"/>
    </row>
    <row r="153" spans="1:27" x14ac:dyDescent="0.2">
      <c r="A153" s="42">
        <v>2</v>
      </c>
      <c r="B153" s="42">
        <v>6</v>
      </c>
      <c r="C153" s="42">
        <v>152</v>
      </c>
      <c r="D153" s="42">
        <v>1</v>
      </c>
      <c r="E153" s="42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42"/>
      <c r="X153" s="42"/>
      <c r="Y153" s="42"/>
      <c r="Z153" s="42"/>
      <c r="AA153" s="42"/>
    </row>
    <row r="154" spans="1:27" x14ac:dyDescent="0.2">
      <c r="A154" s="42">
        <v>3</v>
      </c>
      <c r="B154" s="42">
        <v>6</v>
      </c>
      <c r="C154" s="42">
        <v>153</v>
      </c>
      <c r="D154" s="42">
        <v>0</v>
      </c>
      <c r="E154" s="42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42"/>
      <c r="X154" s="42"/>
      <c r="Y154" s="42"/>
      <c r="Z154" s="42"/>
      <c r="AA154" s="42"/>
    </row>
    <row r="155" spans="1:27" x14ac:dyDescent="0.2">
      <c r="A155" s="42">
        <v>4</v>
      </c>
      <c r="B155" s="42">
        <v>6</v>
      </c>
      <c r="C155" s="42">
        <v>154</v>
      </c>
      <c r="D155" s="42">
        <v>1</v>
      </c>
      <c r="E155" s="42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42"/>
      <c r="X155" s="42"/>
      <c r="Y155" s="42"/>
      <c r="Z155" s="42"/>
      <c r="AA155" s="42"/>
    </row>
    <row r="156" spans="1:27" x14ac:dyDescent="0.2">
      <c r="A156" s="42">
        <v>5</v>
      </c>
      <c r="B156" s="42">
        <v>6</v>
      </c>
      <c r="C156" s="42">
        <v>155</v>
      </c>
      <c r="D156" s="42">
        <v>1</v>
      </c>
      <c r="E156" s="42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42"/>
      <c r="X156" s="42"/>
      <c r="Y156" s="42"/>
      <c r="Z156" s="42"/>
      <c r="AA156" s="42"/>
    </row>
    <row r="157" spans="1:27" x14ac:dyDescent="0.2">
      <c r="A157" s="42">
        <v>6</v>
      </c>
      <c r="B157" s="42">
        <v>6</v>
      </c>
      <c r="C157" s="42">
        <v>156</v>
      </c>
      <c r="D157" s="42">
        <v>1</v>
      </c>
      <c r="E157" s="42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42"/>
      <c r="X157" s="42"/>
      <c r="Y157" s="42"/>
      <c r="Z157" s="42"/>
      <c r="AA157" s="42"/>
    </row>
    <row r="158" spans="1:27" x14ac:dyDescent="0.2">
      <c r="A158" s="42">
        <v>7</v>
      </c>
      <c r="B158" s="42">
        <v>6</v>
      </c>
      <c r="C158" s="42">
        <v>157</v>
      </c>
      <c r="D158" s="42">
        <v>0</v>
      </c>
      <c r="E158" s="42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42"/>
      <c r="X158" s="42"/>
      <c r="Y158" s="42"/>
      <c r="Z158" s="42"/>
      <c r="AA158" s="42"/>
    </row>
    <row r="159" spans="1:27" x14ac:dyDescent="0.2">
      <c r="A159" s="42">
        <v>8</v>
      </c>
      <c r="B159" s="42">
        <v>6</v>
      </c>
      <c r="C159" s="42">
        <v>158</v>
      </c>
      <c r="D159" s="42">
        <v>0</v>
      </c>
      <c r="E159" s="42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42"/>
      <c r="X159" s="42"/>
      <c r="Y159" s="42"/>
      <c r="Z159" s="42"/>
      <c r="AA159" s="42"/>
    </row>
    <row r="160" spans="1:27" x14ac:dyDescent="0.2">
      <c r="A160" s="42">
        <v>9</v>
      </c>
      <c r="B160" s="42">
        <v>6</v>
      </c>
      <c r="C160" s="42">
        <v>159</v>
      </c>
      <c r="D160" s="42">
        <v>0</v>
      </c>
      <c r="E160" s="42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42"/>
      <c r="X160" s="42"/>
      <c r="Y160" s="42"/>
      <c r="Z160" s="42"/>
      <c r="AA160" s="42"/>
    </row>
    <row r="161" spans="1:27" x14ac:dyDescent="0.2">
      <c r="A161" s="42">
        <v>10</v>
      </c>
      <c r="B161" s="42">
        <v>6</v>
      </c>
      <c r="C161" s="42">
        <v>160</v>
      </c>
      <c r="D161" s="42">
        <v>1</v>
      </c>
      <c r="E161" s="42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42"/>
      <c r="X161" s="42"/>
      <c r="Y161" s="42"/>
      <c r="Z161" s="42"/>
      <c r="AA161" s="42"/>
    </row>
    <row r="162" spans="1:27" x14ac:dyDescent="0.2">
      <c r="A162" s="42">
        <v>11</v>
      </c>
      <c r="B162" s="42">
        <v>6</v>
      </c>
      <c r="C162" s="42">
        <v>161</v>
      </c>
      <c r="D162" s="42">
        <v>1</v>
      </c>
      <c r="E162" s="42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42"/>
      <c r="X162" s="42"/>
      <c r="Y162" s="42"/>
      <c r="Z162" s="42"/>
      <c r="AA162" s="42"/>
    </row>
    <row r="163" spans="1:27" x14ac:dyDescent="0.2">
      <c r="A163" s="42">
        <v>12</v>
      </c>
      <c r="B163" s="42">
        <v>6</v>
      </c>
      <c r="C163" s="42">
        <v>162</v>
      </c>
      <c r="D163" s="42">
        <v>0</v>
      </c>
      <c r="E163" s="42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42"/>
      <c r="X163" s="42"/>
      <c r="Y163" s="42"/>
      <c r="Z163" s="42"/>
      <c r="AA163" s="42"/>
    </row>
    <row r="164" spans="1:27" x14ac:dyDescent="0.2">
      <c r="A164" s="42">
        <v>13</v>
      </c>
      <c r="B164" s="42">
        <v>6</v>
      </c>
      <c r="C164" s="42">
        <v>163</v>
      </c>
      <c r="D164" s="42">
        <v>1</v>
      </c>
      <c r="E164" s="42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42"/>
      <c r="X164" s="42"/>
      <c r="Y164" s="42"/>
      <c r="Z164" s="42"/>
      <c r="AA164" s="42"/>
    </row>
    <row r="165" spans="1:27" x14ac:dyDescent="0.2">
      <c r="A165" s="42">
        <v>14</v>
      </c>
      <c r="B165" s="42">
        <v>6</v>
      </c>
      <c r="C165" s="42">
        <v>164</v>
      </c>
      <c r="D165" s="42">
        <v>0</v>
      </c>
      <c r="E165" s="42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42"/>
      <c r="X165" s="42"/>
      <c r="Y165" s="42"/>
      <c r="Z165" s="42"/>
      <c r="AA165" s="42"/>
    </row>
    <row r="166" spans="1:27" x14ac:dyDescent="0.2">
      <c r="A166" s="42">
        <v>15</v>
      </c>
      <c r="B166" s="42">
        <v>6</v>
      </c>
      <c r="C166" s="42">
        <v>165</v>
      </c>
      <c r="D166" s="42">
        <v>0</v>
      </c>
      <c r="E166" s="42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42"/>
      <c r="X166" s="42"/>
      <c r="Y166" s="42"/>
      <c r="Z166" s="42"/>
      <c r="AA166" s="42"/>
    </row>
    <row r="167" spans="1:27" x14ac:dyDescent="0.2">
      <c r="A167" s="42">
        <v>16</v>
      </c>
      <c r="B167" s="42">
        <v>6</v>
      </c>
      <c r="C167" s="42">
        <v>166</v>
      </c>
      <c r="D167" s="42">
        <v>1</v>
      </c>
      <c r="E167" s="42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42"/>
      <c r="X167" s="42"/>
      <c r="Y167" s="42"/>
      <c r="Z167" s="42"/>
      <c r="AA167" s="42"/>
    </row>
    <row r="168" spans="1:27" x14ac:dyDescent="0.2">
      <c r="A168" s="42">
        <v>17</v>
      </c>
      <c r="B168" s="42">
        <v>6</v>
      </c>
      <c r="C168" s="42">
        <v>167</v>
      </c>
      <c r="D168" s="42">
        <v>0</v>
      </c>
      <c r="E168" s="42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42"/>
      <c r="X168" s="42"/>
      <c r="Y168" s="42"/>
      <c r="Z168" s="42"/>
      <c r="AA168" s="42"/>
    </row>
    <row r="169" spans="1:27" x14ac:dyDescent="0.2">
      <c r="A169" s="42">
        <v>18</v>
      </c>
      <c r="B169" s="42">
        <v>6</v>
      </c>
      <c r="C169" s="42">
        <v>168</v>
      </c>
      <c r="D169" s="42">
        <v>0</v>
      </c>
      <c r="E169" s="42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42"/>
      <c r="X169" s="42"/>
      <c r="Y169" s="42"/>
      <c r="Z169" s="42"/>
      <c r="AA169" s="42"/>
    </row>
    <row r="170" spans="1:27" x14ac:dyDescent="0.2">
      <c r="A170" s="42">
        <v>19</v>
      </c>
      <c r="B170" s="42">
        <v>6</v>
      </c>
      <c r="C170" s="42">
        <v>169</v>
      </c>
      <c r="D170" s="42">
        <v>0</v>
      </c>
      <c r="E170" s="42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42"/>
      <c r="X170" s="42"/>
      <c r="Y170" s="42"/>
      <c r="Z170" s="42"/>
      <c r="AA170" s="42"/>
    </row>
    <row r="171" spans="1:27" x14ac:dyDescent="0.2">
      <c r="A171" s="42">
        <v>20</v>
      </c>
      <c r="B171" s="42">
        <v>6</v>
      </c>
      <c r="C171" s="42">
        <v>170</v>
      </c>
      <c r="D171" s="42">
        <v>1</v>
      </c>
      <c r="E171" s="42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42"/>
      <c r="X171" s="42"/>
      <c r="Y171" s="42"/>
      <c r="Z171" s="42"/>
      <c r="AA171" s="42"/>
    </row>
    <row r="172" spans="1:27" x14ac:dyDescent="0.2">
      <c r="A172" s="42">
        <v>21</v>
      </c>
      <c r="B172" s="42">
        <v>6</v>
      </c>
      <c r="C172" s="42">
        <v>171</v>
      </c>
      <c r="D172" s="42">
        <v>0</v>
      </c>
      <c r="E172" s="42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42"/>
      <c r="X172" s="42"/>
      <c r="Y172" s="42"/>
      <c r="Z172" s="42"/>
      <c r="AA172" s="42"/>
    </row>
    <row r="173" spans="1:27" x14ac:dyDescent="0.2">
      <c r="A173" s="42">
        <v>22</v>
      </c>
      <c r="B173" s="42">
        <v>6</v>
      </c>
      <c r="C173" s="42">
        <v>172</v>
      </c>
      <c r="D173" s="42">
        <v>0</v>
      </c>
      <c r="E173" s="42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42"/>
      <c r="X173" s="42"/>
      <c r="Y173" s="42"/>
      <c r="Z173" s="42"/>
      <c r="AA173" s="42"/>
    </row>
    <row r="174" spans="1:27" x14ac:dyDescent="0.2">
      <c r="A174" s="42">
        <v>23</v>
      </c>
      <c r="B174" s="42">
        <v>6</v>
      </c>
      <c r="C174" s="42">
        <v>173</v>
      </c>
      <c r="D174" s="42">
        <v>0</v>
      </c>
      <c r="E174" s="42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42"/>
      <c r="X174" s="42"/>
      <c r="Y174" s="42"/>
      <c r="Z174" s="42"/>
      <c r="AA174" s="42"/>
    </row>
    <row r="175" spans="1:27" x14ac:dyDescent="0.2">
      <c r="A175" s="42">
        <v>24</v>
      </c>
      <c r="B175" s="42">
        <v>6</v>
      </c>
      <c r="C175" s="42">
        <v>174</v>
      </c>
      <c r="D175" s="42">
        <v>1</v>
      </c>
      <c r="E175" s="42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42"/>
      <c r="X175" s="42"/>
      <c r="Y175" s="42"/>
      <c r="Z175" s="42"/>
      <c r="AA175" s="42"/>
    </row>
    <row r="176" spans="1:27" x14ac:dyDescent="0.2">
      <c r="A176" s="42">
        <v>25</v>
      </c>
      <c r="B176" s="42">
        <v>6</v>
      </c>
      <c r="C176" s="42">
        <v>175</v>
      </c>
      <c r="D176" s="42">
        <v>1</v>
      </c>
      <c r="E176" s="42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42"/>
      <c r="X176" s="42"/>
      <c r="Y176" s="42"/>
      <c r="Z176" s="42"/>
      <c r="AA176" s="42"/>
    </row>
    <row r="177" spans="1:27" x14ac:dyDescent="0.2">
      <c r="A177" s="42">
        <v>26</v>
      </c>
      <c r="B177" s="42">
        <v>6</v>
      </c>
      <c r="C177" s="42">
        <v>176</v>
      </c>
      <c r="D177" s="42">
        <v>1</v>
      </c>
      <c r="E177" s="42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42"/>
      <c r="X177" s="42"/>
      <c r="Y177" s="42"/>
      <c r="Z177" s="42"/>
      <c r="AA177" s="42"/>
    </row>
    <row r="178" spans="1:27" x14ac:dyDescent="0.2">
      <c r="A178" s="42">
        <v>27</v>
      </c>
      <c r="B178" s="42">
        <v>6</v>
      </c>
      <c r="C178" s="42">
        <v>177</v>
      </c>
      <c r="D178" s="42">
        <v>1</v>
      </c>
      <c r="E178" s="42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42"/>
      <c r="X178" s="42"/>
      <c r="Y178" s="42"/>
      <c r="Z178" s="42"/>
      <c r="AA178" s="42"/>
    </row>
    <row r="179" spans="1:27" x14ac:dyDescent="0.2">
      <c r="A179" s="42">
        <v>28</v>
      </c>
      <c r="B179" s="42">
        <v>6</v>
      </c>
      <c r="C179" s="42">
        <v>178</v>
      </c>
      <c r="D179" s="42">
        <v>0</v>
      </c>
      <c r="E179" s="42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42"/>
      <c r="X179" s="42"/>
      <c r="Y179" s="42"/>
      <c r="Z179" s="42"/>
      <c r="AA179" s="42"/>
    </row>
    <row r="180" spans="1:27" x14ac:dyDescent="0.2">
      <c r="A180" s="42">
        <v>29</v>
      </c>
      <c r="B180" s="42">
        <v>6</v>
      </c>
      <c r="C180" s="42">
        <v>179</v>
      </c>
      <c r="D180" s="42">
        <v>1</v>
      </c>
      <c r="E180" s="42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42"/>
      <c r="X180" s="42"/>
      <c r="Y180" s="42"/>
      <c r="Z180" s="42"/>
      <c r="AA180" s="42"/>
    </row>
    <row r="181" spans="1:27" x14ac:dyDescent="0.2">
      <c r="A181" s="42">
        <v>30</v>
      </c>
      <c r="B181" s="42">
        <v>6</v>
      </c>
      <c r="C181" s="42">
        <v>180</v>
      </c>
      <c r="D181" s="42">
        <v>1</v>
      </c>
      <c r="E181" s="42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42"/>
      <c r="X181" s="42"/>
      <c r="Y181" s="42"/>
      <c r="Z181" s="42"/>
      <c r="AA181" s="42"/>
    </row>
    <row r="182" spans="1:27" x14ac:dyDescent="0.2">
      <c r="A182" s="42">
        <v>1</v>
      </c>
      <c r="B182" s="42">
        <v>7</v>
      </c>
      <c r="C182" s="42">
        <v>181</v>
      </c>
      <c r="D182" s="42">
        <v>1</v>
      </c>
      <c r="E182" s="42">
        <f>SUM(D182:D211)</f>
        <v>18</v>
      </c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42"/>
      <c r="X182" s="42"/>
      <c r="Y182" s="42"/>
      <c r="Z182" s="42"/>
      <c r="AA182" s="42"/>
    </row>
    <row r="183" spans="1:27" x14ac:dyDescent="0.2">
      <c r="A183" s="42">
        <v>2</v>
      </c>
      <c r="B183" s="42">
        <v>7</v>
      </c>
      <c r="C183" s="42">
        <v>182</v>
      </c>
      <c r="D183" s="42">
        <v>1</v>
      </c>
      <c r="E183" s="42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42"/>
      <c r="X183" s="42"/>
      <c r="Y183" s="42"/>
      <c r="Z183" s="42"/>
      <c r="AA183" s="42"/>
    </row>
    <row r="184" spans="1:27" x14ac:dyDescent="0.2">
      <c r="A184" s="42">
        <v>3</v>
      </c>
      <c r="B184" s="42">
        <v>7</v>
      </c>
      <c r="C184" s="42">
        <v>183</v>
      </c>
      <c r="D184" s="42">
        <v>1</v>
      </c>
      <c r="E184" s="42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42"/>
      <c r="X184" s="42"/>
      <c r="Y184" s="42"/>
      <c r="Z184" s="42"/>
      <c r="AA184" s="42"/>
    </row>
    <row r="185" spans="1:27" x14ac:dyDescent="0.2">
      <c r="A185" s="42">
        <v>4</v>
      </c>
      <c r="B185" s="42">
        <v>7</v>
      </c>
      <c r="C185" s="42">
        <v>184</v>
      </c>
      <c r="D185" s="42">
        <v>0</v>
      </c>
      <c r="E185" s="42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42"/>
      <c r="X185" s="42"/>
      <c r="Y185" s="42"/>
      <c r="Z185" s="42"/>
      <c r="AA185" s="42"/>
    </row>
    <row r="186" spans="1:27" x14ac:dyDescent="0.2">
      <c r="A186" s="42">
        <v>5</v>
      </c>
      <c r="B186" s="42">
        <v>7</v>
      </c>
      <c r="C186" s="42">
        <v>185</v>
      </c>
      <c r="D186" s="42">
        <v>1</v>
      </c>
      <c r="E186" s="42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42"/>
      <c r="X186" s="42"/>
      <c r="Y186" s="42"/>
      <c r="Z186" s="42"/>
      <c r="AA186" s="42"/>
    </row>
    <row r="187" spans="1:27" x14ac:dyDescent="0.2">
      <c r="A187" s="42">
        <v>6</v>
      </c>
      <c r="B187" s="42">
        <v>7</v>
      </c>
      <c r="C187" s="42">
        <v>186</v>
      </c>
      <c r="D187" s="42">
        <v>0</v>
      </c>
      <c r="E187" s="42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42"/>
      <c r="X187" s="42"/>
      <c r="Y187" s="42"/>
      <c r="Z187" s="42"/>
      <c r="AA187" s="42"/>
    </row>
    <row r="188" spans="1:27" x14ac:dyDescent="0.2">
      <c r="A188" s="42">
        <v>7</v>
      </c>
      <c r="B188" s="42">
        <v>7</v>
      </c>
      <c r="C188" s="42">
        <v>187</v>
      </c>
      <c r="D188" s="42">
        <v>1</v>
      </c>
      <c r="E188" s="42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42"/>
      <c r="X188" s="42"/>
      <c r="Y188" s="42"/>
      <c r="Z188" s="42"/>
      <c r="AA188" s="42"/>
    </row>
    <row r="189" spans="1:27" x14ac:dyDescent="0.2">
      <c r="A189" s="42">
        <v>8</v>
      </c>
      <c r="B189" s="42">
        <v>7</v>
      </c>
      <c r="C189" s="42">
        <v>188</v>
      </c>
      <c r="D189" s="42">
        <v>0</v>
      </c>
      <c r="E189" s="42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42"/>
      <c r="X189" s="42"/>
      <c r="Y189" s="42"/>
      <c r="Z189" s="42"/>
      <c r="AA189" s="42"/>
    </row>
    <row r="190" spans="1:27" x14ac:dyDescent="0.2">
      <c r="A190" s="42">
        <v>9</v>
      </c>
      <c r="B190" s="42">
        <v>7</v>
      </c>
      <c r="C190" s="42">
        <v>189</v>
      </c>
      <c r="D190" s="42">
        <v>0</v>
      </c>
      <c r="E190" s="42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42"/>
      <c r="X190" s="42"/>
      <c r="Y190" s="42"/>
      <c r="Z190" s="42"/>
      <c r="AA190" s="42"/>
    </row>
    <row r="191" spans="1:27" x14ac:dyDescent="0.2">
      <c r="A191" s="42">
        <v>10</v>
      </c>
      <c r="B191" s="42">
        <v>7</v>
      </c>
      <c r="C191" s="42">
        <v>190</v>
      </c>
      <c r="D191" s="42">
        <v>1</v>
      </c>
      <c r="E191" s="42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42"/>
      <c r="X191" s="42"/>
      <c r="Y191" s="42"/>
      <c r="Z191" s="42"/>
      <c r="AA191" s="42"/>
    </row>
    <row r="192" spans="1:27" x14ac:dyDescent="0.2">
      <c r="A192" s="42">
        <v>11</v>
      </c>
      <c r="B192" s="42">
        <v>7</v>
      </c>
      <c r="C192" s="42">
        <v>191</v>
      </c>
      <c r="D192" s="42">
        <v>1</v>
      </c>
      <c r="E192" s="42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42"/>
      <c r="X192" s="42"/>
      <c r="Y192" s="42"/>
      <c r="Z192" s="42"/>
      <c r="AA192" s="42"/>
    </row>
    <row r="193" spans="1:27" x14ac:dyDescent="0.2">
      <c r="A193" s="42">
        <v>12</v>
      </c>
      <c r="B193" s="42">
        <v>7</v>
      </c>
      <c r="C193" s="42">
        <v>192</v>
      </c>
      <c r="D193" s="42">
        <v>1</v>
      </c>
      <c r="E193" s="42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42"/>
      <c r="X193" s="42"/>
      <c r="Y193" s="42"/>
      <c r="Z193" s="42"/>
      <c r="AA193" s="42"/>
    </row>
    <row r="194" spans="1:27" x14ac:dyDescent="0.2">
      <c r="A194" s="42">
        <v>13</v>
      </c>
      <c r="B194" s="42">
        <v>7</v>
      </c>
      <c r="C194" s="42">
        <v>193</v>
      </c>
      <c r="D194" s="42">
        <v>1</v>
      </c>
      <c r="E194" s="42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42"/>
      <c r="X194" s="42"/>
      <c r="Y194" s="42"/>
      <c r="Z194" s="42"/>
      <c r="AA194" s="42"/>
    </row>
    <row r="195" spans="1:27" x14ac:dyDescent="0.2">
      <c r="A195" s="42">
        <v>14</v>
      </c>
      <c r="B195" s="42">
        <v>7</v>
      </c>
      <c r="C195" s="42">
        <v>194</v>
      </c>
      <c r="D195" s="42">
        <v>1</v>
      </c>
      <c r="E195" s="42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42"/>
      <c r="X195" s="42"/>
      <c r="Y195" s="42"/>
      <c r="Z195" s="42"/>
      <c r="AA195" s="42"/>
    </row>
    <row r="196" spans="1:27" x14ac:dyDescent="0.2">
      <c r="A196" s="42">
        <v>15</v>
      </c>
      <c r="B196" s="42">
        <v>7</v>
      </c>
      <c r="C196" s="42">
        <v>195</v>
      </c>
      <c r="D196" s="42">
        <v>1</v>
      </c>
      <c r="E196" s="42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42"/>
      <c r="X196" s="42"/>
      <c r="Y196" s="42"/>
      <c r="Z196" s="42"/>
      <c r="AA196" s="42"/>
    </row>
    <row r="197" spans="1:27" x14ac:dyDescent="0.2">
      <c r="A197" s="42">
        <v>16</v>
      </c>
      <c r="B197" s="42">
        <v>7</v>
      </c>
      <c r="C197" s="42">
        <v>196</v>
      </c>
      <c r="D197" s="42">
        <v>0</v>
      </c>
      <c r="E197" s="42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42"/>
      <c r="X197" s="42"/>
      <c r="Y197" s="42"/>
      <c r="Z197" s="42"/>
      <c r="AA197" s="42"/>
    </row>
    <row r="198" spans="1:27" x14ac:dyDescent="0.2">
      <c r="A198" s="42">
        <v>17</v>
      </c>
      <c r="B198" s="42">
        <v>7</v>
      </c>
      <c r="C198" s="42">
        <v>197</v>
      </c>
      <c r="D198" s="42">
        <v>0</v>
      </c>
      <c r="E198" s="42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42"/>
      <c r="X198" s="42"/>
      <c r="Y198" s="42"/>
      <c r="Z198" s="42"/>
      <c r="AA198" s="42"/>
    </row>
    <row r="199" spans="1:27" x14ac:dyDescent="0.2">
      <c r="A199" s="42">
        <v>18</v>
      </c>
      <c r="B199" s="42">
        <v>7</v>
      </c>
      <c r="C199" s="42">
        <v>198</v>
      </c>
      <c r="D199" s="42">
        <v>0</v>
      </c>
      <c r="E199" s="42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42"/>
      <c r="X199" s="42"/>
      <c r="Y199" s="42"/>
      <c r="Z199" s="42"/>
      <c r="AA199" s="42"/>
    </row>
    <row r="200" spans="1:27" x14ac:dyDescent="0.2">
      <c r="A200" s="42">
        <v>19</v>
      </c>
      <c r="B200" s="42">
        <v>7</v>
      </c>
      <c r="C200" s="42">
        <v>199</v>
      </c>
      <c r="D200" s="42">
        <v>1</v>
      </c>
      <c r="E200" s="42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42"/>
      <c r="X200" s="42"/>
      <c r="Y200" s="42"/>
      <c r="Z200" s="42"/>
      <c r="AA200" s="42"/>
    </row>
    <row r="201" spans="1:27" x14ac:dyDescent="0.2">
      <c r="A201" s="42">
        <v>20</v>
      </c>
      <c r="B201" s="42">
        <v>7</v>
      </c>
      <c r="C201" s="42">
        <v>200</v>
      </c>
      <c r="D201" s="42">
        <v>1</v>
      </c>
      <c r="E201" s="42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42"/>
      <c r="X201" s="42"/>
      <c r="Y201" s="42"/>
      <c r="Z201" s="42"/>
      <c r="AA201" s="42"/>
    </row>
    <row r="202" spans="1:27" x14ac:dyDescent="0.2">
      <c r="A202" s="42">
        <v>21</v>
      </c>
      <c r="B202" s="42">
        <v>7</v>
      </c>
      <c r="C202" s="42">
        <v>201</v>
      </c>
      <c r="D202" s="42">
        <v>0</v>
      </c>
      <c r="E202" s="42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42"/>
      <c r="X202" s="42"/>
      <c r="Y202" s="42"/>
      <c r="Z202" s="42"/>
      <c r="AA202" s="42"/>
    </row>
    <row r="203" spans="1:27" x14ac:dyDescent="0.2">
      <c r="A203" s="42">
        <v>22</v>
      </c>
      <c r="B203" s="42">
        <v>7</v>
      </c>
      <c r="C203" s="42">
        <v>202</v>
      </c>
      <c r="D203" s="42">
        <v>1</v>
      </c>
      <c r="E203" s="42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42"/>
      <c r="X203" s="42"/>
      <c r="Y203" s="42"/>
      <c r="Z203" s="42"/>
      <c r="AA203" s="42"/>
    </row>
    <row r="204" spans="1:27" x14ac:dyDescent="0.2">
      <c r="A204" s="42">
        <v>23</v>
      </c>
      <c r="B204" s="42">
        <v>7</v>
      </c>
      <c r="C204" s="42">
        <v>203</v>
      </c>
      <c r="D204" s="42">
        <v>1</v>
      </c>
      <c r="E204" s="42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42"/>
      <c r="X204" s="42"/>
      <c r="Y204" s="42"/>
      <c r="Z204" s="42"/>
      <c r="AA204" s="42"/>
    </row>
    <row r="205" spans="1:27" x14ac:dyDescent="0.2">
      <c r="A205" s="42">
        <v>24</v>
      </c>
      <c r="B205" s="42">
        <v>7</v>
      </c>
      <c r="C205" s="42">
        <v>204</v>
      </c>
      <c r="D205" s="42">
        <v>1</v>
      </c>
      <c r="E205" s="42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42"/>
      <c r="X205" s="42"/>
      <c r="Y205" s="42"/>
      <c r="Z205" s="42"/>
      <c r="AA205" s="42"/>
    </row>
    <row r="206" spans="1:27" x14ac:dyDescent="0.2">
      <c r="A206" s="42">
        <v>25</v>
      </c>
      <c r="B206" s="42">
        <v>7</v>
      </c>
      <c r="C206" s="42">
        <v>205</v>
      </c>
      <c r="D206" s="42">
        <v>0</v>
      </c>
      <c r="E206" s="42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42"/>
      <c r="X206" s="42"/>
      <c r="Y206" s="42"/>
      <c r="Z206" s="42"/>
      <c r="AA206" s="42"/>
    </row>
    <row r="207" spans="1:27" x14ac:dyDescent="0.2">
      <c r="A207" s="42">
        <v>26</v>
      </c>
      <c r="B207" s="42">
        <v>7</v>
      </c>
      <c r="C207" s="42">
        <v>206</v>
      </c>
      <c r="D207" s="42">
        <v>1</v>
      </c>
      <c r="E207" s="42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42"/>
      <c r="X207" s="42"/>
      <c r="Y207" s="42"/>
      <c r="Z207" s="42"/>
      <c r="AA207" s="42"/>
    </row>
    <row r="208" spans="1:27" x14ac:dyDescent="0.2">
      <c r="A208" s="42">
        <v>27</v>
      </c>
      <c r="B208" s="42">
        <v>7</v>
      </c>
      <c r="C208" s="42">
        <v>207</v>
      </c>
      <c r="D208" s="42">
        <v>0</v>
      </c>
      <c r="E208" s="42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42"/>
      <c r="X208" s="42"/>
      <c r="Y208" s="42"/>
      <c r="Z208" s="42"/>
      <c r="AA208" s="42"/>
    </row>
    <row r="209" spans="1:27" x14ac:dyDescent="0.2">
      <c r="A209" s="42">
        <v>28</v>
      </c>
      <c r="B209" s="42">
        <v>7</v>
      </c>
      <c r="C209" s="42">
        <v>208</v>
      </c>
      <c r="D209" s="42">
        <v>0</v>
      </c>
      <c r="E209" s="42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42"/>
      <c r="X209" s="42"/>
      <c r="Y209" s="42"/>
      <c r="Z209" s="42"/>
      <c r="AA209" s="42"/>
    </row>
    <row r="210" spans="1:27" x14ac:dyDescent="0.2">
      <c r="A210" s="42">
        <v>29</v>
      </c>
      <c r="B210" s="42">
        <v>7</v>
      </c>
      <c r="C210" s="42">
        <v>209</v>
      </c>
      <c r="D210" s="42">
        <v>1</v>
      </c>
      <c r="E210" s="42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42"/>
      <c r="X210" s="42"/>
      <c r="Y210" s="42"/>
      <c r="Z210" s="42"/>
      <c r="AA210" s="42"/>
    </row>
    <row r="211" spans="1:27" x14ac:dyDescent="0.2">
      <c r="A211" s="42">
        <v>30</v>
      </c>
      <c r="B211" s="42">
        <v>7</v>
      </c>
      <c r="C211" s="42">
        <v>210</v>
      </c>
      <c r="D211" s="42">
        <v>0</v>
      </c>
      <c r="E211" s="42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42"/>
      <c r="X211" s="42"/>
      <c r="Y211" s="42"/>
      <c r="Z211" s="42"/>
      <c r="AA211" s="42"/>
    </row>
    <row r="212" spans="1:27" x14ac:dyDescent="0.2">
      <c r="A212" s="42">
        <v>1</v>
      </c>
      <c r="B212" s="42">
        <v>8</v>
      </c>
      <c r="C212" s="42">
        <v>211</v>
      </c>
      <c r="D212" s="42">
        <v>0</v>
      </c>
      <c r="E212" s="42">
        <f>SUM(D212:D241)</f>
        <v>11</v>
      </c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42"/>
      <c r="X212" s="42"/>
      <c r="Y212" s="42"/>
      <c r="Z212" s="42"/>
      <c r="AA212" s="42"/>
    </row>
    <row r="213" spans="1:27" x14ac:dyDescent="0.2">
      <c r="A213" s="42">
        <v>2</v>
      </c>
      <c r="B213" s="42">
        <v>8</v>
      </c>
      <c r="C213" s="42">
        <v>212</v>
      </c>
      <c r="D213" s="42">
        <v>0</v>
      </c>
      <c r="E213" s="42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42"/>
      <c r="X213" s="42"/>
      <c r="Y213" s="42"/>
      <c r="Z213" s="42"/>
      <c r="AA213" s="42"/>
    </row>
    <row r="214" spans="1:27" x14ac:dyDescent="0.2">
      <c r="A214" s="42">
        <v>3</v>
      </c>
      <c r="B214" s="42">
        <v>8</v>
      </c>
      <c r="C214" s="42">
        <v>213</v>
      </c>
      <c r="D214" s="42">
        <v>0</v>
      </c>
      <c r="E214" s="42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42"/>
      <c r="X214" s="42"/>
      <c r="Y214" s="42"/>
      <c r="Z214" s="42"/>
      <c r="AA214" s="42"/>
    </row>
    <row r="215" spans="1:27" x14ac:dyDescent="0.2">
      <c r="A215" s="42">
        <v>4</v>
      </c>
      <c r="B215" s="42">
        <v>8</v>
      </c>
      <c r="C215" s="42">
        <v>214</v>
      </c>
      <c r="D215" s="42">
        <v>0</v>
      </c>
      <c r="E215" s="42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42"/>
      <c r="X215" s="42"/>
      <c r="Y215" s="42"/>
      <c r="Z215" s="42"/>
      <c r="AA215" s="42"/>
    </row>
    <row r="216" spans="1:27" x14ac:dyDescent="0.2">
      <c r="A216" s="42">
        <v>5</v>
      </c>
      <c r="B216" s="42">
        <v>8</v>
      </c>
      <c r="C216" s="42">
        <v>215</v>
      </c>
      <c r="D216" s="42">
        <v>1</v>
      </c>
      <c r="E216" s="42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42"/>
      <c r="X216" s="42"/>
      <c r="Y216" s="42"/>
      <c r="Z216" s="42"/>
      <c r="AA216" s="42"/>
    </row>
    <row r="217" spans="1:27" x14ac:dyDescent="0.2">
      <c r="A217" s="42">
        <v>6</v>
      </c>
      <c r="B217" s="42">
        <v>8</v>
      </c>
      <c r="C217" s="42">
        <v>216</v>
      </c>
      <c r="D217" s="42">
        <v>1</v>
      </c>
      <c r="E217" s="42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42"/>
      <c r="X217" s="42"/>
      <c r="Y217" s="42"/>
      <c r="Z217" s="42"/>
      <c r="AA217" s="42"/>
    </row>
    <row r="218" spans="1:27" x14ac:dyDescent="0.2">
      <c r="A218" s="42">
        <v>7</v>
      </c>
      <c r="B218" s="42">
        <v>8</v>
      </c>
      <c r="C218" s="42">
        <v>217</v>
      </c>
      <c r="D218" s="42">
        <v>0</v>
      </c>
      <c r="E218" s="42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42"/>
      <c r="X218" s="42"/>
      <c r="Y218" s="42"/>
      <c r="Z218" s="42"/>
      <c r="AA218" s="42"/>
    </row>
    <row r="219" spans="1:27" x14ac:dyDescent="0.2">
      <c r="A219" s="42">
        <v>8</v>
      </c>
      <c r="B219" s="42">
        <v>8</v>
      </c>
      <c r="C219" s="42">
        <v>218</v>
      </c>
      <c r="D219" s="42">
        <v>1</v>
      </c>
      <c r="E219" s="42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42"/>
      <c r="X219" s="42"/>
      <c r="Y219" s="42"/>
      <c r="Z219" s="42"/>
      <c r="AA219" s="42"/>
    </row>
    <row r="220" spans="1:27" x14ac:dyDescent="0.2">
      <c r="A220" s="42">
        <v>9</v>
      </c>
      <c r="B220" s="42">
        <v>8</v>
      </c>
      <c r="C220" s="42">
        <v>219</v>
      </c>
      <c r="D220" s="42">
        <v>0</v>
      </c>
      <c r="E220" s="42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42"/>
      <c r="X220" s="42"/>
      <c r="Y220" s="42"/>
      <c r="Z220" s="42"/>
      <c r="AA220" s="42"/>
    </row>
    <row r="221" spans="1:27" x14ac:dyDescent="0.2">
      <c r="A221" s="42">
        <v>10</v>
      </c>
      <c r="B221" s="42">
        <v>8</v>
      </c>
      <c r="C221" s="42">
        <v>220</v>
      </c>
      <c r="D221" s="42">
        <v>1</v>
      </c>
      <c r="E221" s="42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42"/>
      <c r="X221" s="42"/>
      <c r="Y221" s="42"/>
      <c r="Z221" s="42"/>
      <c r="AA221" s="42"/>
    </row>
    <row r="222" spans="1:27" x14ac:dyDescent="0.2">
      <c r="A222" s="42">
        <v>11</v>
      </c>
      <c r="B222" s="42">
        <v>8</v>
      </c>
      <c r="C222" s="42">
        <v>221</v>
      </c>
      <c r="D222" s="42">
        <v>0</v>
      </c>
      <c r="E222" s="42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42"/>
      <c r="X222" s="42"/>
      <c r="Y222" s="42"/>
      <c r="Z222" s="42"/>
      <c r="AA222" s="42"/>
    </row>
    <row r="223" spans="1:27" x14ac:dyDescent="0.2">
      <c r="A223" s="42">
        <v>12</v>
      </c>
      <c r="B223" s="42">
        <v>8</v>
      </c>
      <c r="C223" s="42">
        <v>222</v>
      </c>
      <c r="D223" s="42">
        <v>0</v>
      </c>
      <c r="E223" s="42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42"/>
      <c r="X223" s="42"/>
      <c r="Y223" s="42"/>
      <c r="Z223" s="42"/>
      <c r="AA223" s="42"/>
    </row>
    <row r="224" spans="1:27" x14ac:dyDescent="0.2">
      <c r="A224" s="42">
        <v>13</v>
      </c>
      <c r="B224" s="42">
        <v>8</v>
      </c>
      <c r="C224" s="42">
        <v>223</v>
      </c>
      <c r="D224" s="42">
        <v>1</v>
      </c>
      <c r="E224" s="42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42"/>
      <c r="X224" s="42"/>
      <c r="Y224" s="42"/>
      <c r="Z224" s="42"/>
      <c r="AA224" s="42"/>
    </row>
    <row r="225" spans="1:27" x14ac:dyDescent="0.2">
      <c r="A225" s="42">
        <v>14</v>
      </c>
      <c r="B225" s="42">
        <v>8</v>
      </c>
      <c r="C225" s="42">
        <v>224</v>
      </c>
      <c r="D225" s="42">
        <v>0</v>
      </c>
      <c r="E225" s="42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42"/>
      <c r="X225" s="42"/>
      <c r="Y225" s="42"/>
      <c r="Z225" s="42"/>
      <c r="AA225" s="42"/>
    </row>
    <row r="226" spans="1:27" x14ac:dyDescent="0.2">
      <c r="A226" s="42">
        <v>15</v>
      </c>
      <c r="B226" s="42">
        <v>8</v>
      </c>
      <c r="C226" s="42">
        <v>225</v>
      </c>
      <c r="D226" s="42">
        <v>0</v>
      </c>
      <c r="E226" s="42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42"/>
      <c r="X226" s="42"/>
      <c r="Y226" s="42"/>
      <c r="Z226" s="42"/>
      <c r="AA226" s="42"/>
    </row>
    <row r="227" spans="1:27" x14ac:dyDescent="0.2">
      <c r="A227" s="42">
        <v>16</v>
      </c>
      <c r="B227" s="42">
        <v>8</v>
      </c>
      <c r="C227" s="42">
        <v>226</v>
      </c>
      <c r="D227" s="42">
        <v>1</v>
      </c>
      <c r="E227" s="42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42"/>
      <c r="X227" s="42"/>
      <c r="Y227" s="42"/>
      <c r="Z227" s="42"/>
      <c r="AA227" s="42"/>
    </row>
    <row r="228" spans="1:27" x14ac:dyDescent="0.2">
      <c r="A228" s="42">
        <v>17</v>
      </c>
      <c r="B228" s="42">
        <v>8</v>
      </c>
      <c r="C228" s="42">
        <v>227</v>
      </c>
      <c r="D228" s="42">
        <v>0</v>
      </c>
      <c r="E228" s="42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42"/>
      <c r="X228" s="42"/>
      <c r="Y228" s="42"/>
      <c r="Z228" s="42"/>
      <c r="AA228" s="42"/>
    </row>
    <row r="229" spans="1:27" x14ac:dyDescent="0.2">
      <c r="A229" s="42">
        <v>18</v>
      </c>
      <c r="B229" s="42">
        <v>8</v>
      </c>
      <c r="C229" s="42">
        <v>228</v>
      </c>
      <c r="D229" s="42">
        <v>1</v>
      </c>
      <c r="E229" s="42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42"/>
      <c r="X229" s="42"/>
      <c r="Y229" s="42"/>
      <c r="Z229" s="42"/>
      <c r="AA229" s="42"/>
    </row>
    <row r="230" spans="1:27" x14ac:dyDescent="0.2">
      <c r="A230" s="42">
        <v>19</v>
      </c>
      <c r="B230" s="42">
        <v>8</v>
      </c>
      <c r="C230" s="42">
        <v>229</v>
      </c>
      <c r="D230" s="42">
        <v>0</v>
      </c>
      <c r="E230" s="42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42"/>
      <c r="X230" s="42"/>
      <c r="Y230" s="42"/>
      <c r="Z230" s="42"/>
      <c r="AA230" s="42"/>
    </row>
    <row r="231" spans="1:27" x14ac:dyDescent="0.2">
      <c r="A231" s="42">
        <v>20</v>
      </c>
      <c r="B231" s="42">
        <v>8</v>
      </c>
      <c r="C231" s="42">
        <v>230</v>
      </c>
      <c r="D231" s="42">
        <v>0</v>
      </c>
      <c r="E231" s="42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42"/>
      <c r="X231" s="42"/>
      <c r="Y231" s="42"/>
      <c r="Z231" s="42"/>
      <c r="AA231" s="42"/>
    </row>
    <row r="232" spans="1:27" x14ac:dyDescent="0.2">
      <c r="A232" s="42">
        <v>21</v>
      </c>
      <c r="B232" s="42">
        <v>8</v>
      </c>
      <c r="C232" s="42">
        <v>231</v>
      </c>
      <c r="D232" s="42">
        <v>0</v>
      </c>
      <c r="E232" s="42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42"/>
      <c r="X232" s="42"/>
      <c r="Y232" s="42"/>
      <c r="Z232" s="42"/>
      <c r="AA232" s="42"/>
    </row>
    <row r="233" spans="1:27" x14ac:dyDescent="0.2">
      <c r="A233" s="42">
        <v>22</v>
      </c>
      <c r="B233" s="42">
        <v>8</v>
      </c>
      <c r="C233" s="42">
        <v>232</v>
      </c>
      <c r="D233" s="42">
        <v>1</v>
      </c>
      <c r="E233" s="42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42"/>
      <c r="X233" s="42"/>
      <c r="Y233" s="42"/>
      <c r="Z233" s="42"/>
      <c r="AA233" s="42"/>
    </row>
    <row r="234" spans="1:27" x14ac:dyDescent="0.2">
      <c r="A234" s="42">
        <v>23</v>
      </c>
      <c r="B234" s="42">
        <v>8</v>
      </c>
      <c r="C234" s="42">
        <v>233</v>
      </c>
      <c r="D234" s="42">
        <v>0</v>
      </c>
      <c r="E234" s="42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42"/>
      <c r="X234" s="42"/>
      <c r="Y234" s="42"/>
      <c r="Z234" s="42"/>
      <c r="AA234" s="42"/>
    </row>
    <row r="235" spans="1:27" x14ac:dyDescent="0.2">
      <c r="A235" s="42">
        <v>24</v>
      </c>
      <c r="B235" s="42">
        <v>8</v>
      </c>
      <c r="C235" s="42">
        <v>234</v>
      </c>
      <c r="D235" s="42">
        <v>0</v>
      </c>
      <c r="E235" s="42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42"/>
      <c r="X235" s="42"/>
      <c r="Y235" s="42"/>
      <c r="Z235" s="42"/>
      <c r="AA235" s="42"/>
    </row>
    <row r="236" spans="1:27" x14ac:dyDescent="0.2">
      <c r="A236" s="42">
        <v>25</v>
      </c>
      <c r="B236" s="42">
        <v>8</v>
      </c>
      <c r="C236" s="42">
        <v>235</v>
      </c>
      <c r="D236" s="42">
        <v>0</v>
      </c>
      <c r="E236" s="42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42"/>
      <c r="X236" s="42"/>
      <c r="Y236" s="42"/>
      <c r="Z236" s="42"/>
      <c r="AA236" s="42"/>
    </row>
    <row r="237" spans="1:27" x14ac:dyDescent="0.2">
      <c r="A237" s="42">
        <v>26</v>
      </c>
      <c r="B237" s="42">
        <v>8</v>
      </c>
      <c r="C237" s="42">
        <v>236</v>
      </c>
      <c r="D237" s="42">
        <v>0</v>
      </c>
      <c r="E237" s="42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42"/>
      <c r="X237" s="42"/>
      <c r="Y237" s="42"/>
      <c r="Z237" s="42"/>
      <c r="AA237" s="42"/>
    </row>
    <row r="238" spans="1:27" x14ac:dyDescent="0.2">
      <c r="A238" s="42">
        <v>27</v>
      </c>
      <c r="B238" s="42">
        <v>8</v>
      </c>
      <c r="C238" s="42">
        <v>237</v>
      </c>
      <c r="D238" s="42">
        <v>0</v>
      </c>
      <c r="E238" s="42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42"/>
      <c r="X238" s="42"/>
      <c r="Y238" s="42"/>
      <c r="Z238" s="42"/>
      <c r="AA238" s="42"/>
    </row>
    <row r="239" spans="1:27" x14ac:dyDescent="0.2">
      <c r="A239" s="42">
        <v>28</v>
      </c>
      <c r="B239" s="42">
        <v>8</v>
      </c>
      <c r="C239" s="42">
        <v>238</v>
      </c>
      <c r="D239" s="42">
        <v>1</v>
      </c>
      <c r="E239" s="42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42"/>
      <c r="X239" s="42"/>
      <c r="Y239" s="42"/>
      <c r="Z239" s="42"/>
      <c r="AA239" s="42"/>
    </row>
    <row r="240" spans="1:27" x14ac:dyDescent="0.2">
      <c r="A240" s="42">
        <v>29</v>
      </c>
      <c r="B240" s="42">
        <v>8</v>
      </c>
      <c r="C240" s="42">
        <v>239</v>
      </c>
      <c r="D240" s="42">
        <v>1</v>
      </c>
      <c r="E240" s="42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42"/>
      <c r="X240" s="42"/>
      <c r="Y240" s="42"/>
      <c r="Z240" s="42"/>
      <c r="AA240" s="42"/>
    </row>
    <row r="241" spans="1:27" x14ac:dyDescent="0.2">
      <c r="A241" s="42">
        <v>30</v>
      </c>
      <c r="B241" s="42">
        <v>8</v>
      </c>
      <c r="C241" s="42">
        <v>240</v>
      </c>
      <c r="D241" s="42">
        <v>1</v>
      </c>
      <c r="E241" s="42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42"/>
      <c r="X241" s="42"/>
      <c r="Y241" s="42"/>
      <c r="Z241" s="42"/>
      <c r="AA241" s="42"/>
    </row>
    <row r="242" spans="1:27" x14ac:dyDescent="0.2">
      <c r="A242" s="42">
        <v>1</v>
      </c>
      <c r="B242" s="42">
        <v>9</v>
      </c>
      <c r="C242" s="42">
        <v>241</v>
      </c>
      <c r="D242" s="42">
        <v>1</v>
      </c>
      <c r="E242" s="42">
        <f>SUM(D242:D271)</f>
        <v>14</v>
      </c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42"/>
      <c r="X242" s="42"/>
      <c r="Y242" s="42"/>
      <c r="Z242" s="42"/>
      <c r="AA242" s="42"/>
    </row>
    <row r="243" spans="1:27" x14ac:dyDescent="0.2">
      <c r="A243" s="42">
        <v>2</v>
      </c>
      <c r="B243" s="42">
        <v>9</v>
      </c>
      <c r="C243" s="42">
        <v>242</v>
      </c>
      <c r="D243" s="42">
        <v>0</v>
      </c>
      <c r="E243" s="42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42"/>
      <c r="X243" s="42"/>
      <c r="Y243" s="42"/>
      <c r="Z243" s="42"/>
      <c r="AA243" s="42"/>
    </row>
    <row r="244" spans="1:27" x14ac:dyDescent="0.2">
      <c r="A244" s="42">
        <v>3</v>
      </c>
      <c r="B244" s="42">
        <v>9</v>
      </c>
      <c r="C244" s="42">
        <v>243</v>
      </c>
      <c r="D244" s="42">
        <v>0</v>
      </c>
      <c r="E244" s="42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42"/>
      <c r="X244" s="42"/>
      <c r="Y244" s="42"/>
      <c r="Z244" s="42"/>
      <c r="AA244" s="42"/>
    </row>
    <row r="245" spans="1:27" x14ac:dyDescent="0.2">
      <c r="A245" s="42">
        <v>4</v>
      </c>
      <c r="B245" s="42">
        <v>9</v>
      </c>
      <c r="C245" s="42">
        <v>244</v>
      </c>
      <c r="D245" s="42">
        <v>1</v>
      </c>
      <c r="E245" s="42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42"/>
      <c r="X245" s="42"/>
      <c r="Y245" s="42"/>
      <c r="Z245" s="42"/>
      <c r="AA245" s="42"/>
    </row>
    <row r="246" spans="1:27" x14ac:dyDescent="0.2">
      <c r="A246" s="42">
        <v>5</v>
      </c>
      <c r="B246" s="42">
        <v>9</v>
      </c>
      <c r="C246" s="42">
        <v>245</v>
      </c>
      <c r="D246" s="42">
        <v>1</v>
      </c>
      <c r="E246" s="42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42"/>
      <c r="X246" s="42"/>
      <c r="Y246" s="42"/>
      <c r="Z246" s="42"/>
      <c r="AA246" s="42"/>
    </row>
    <row r="247" spans="1:27" x14ac:dyDescent="0.2">
      <c r="A247" s="42">
        <v>6</v>
      </c>
      <c r="B247" s="42">
        <v>9</v>
      </c>
      <c r="C247" s="42">
        <v>246</v>
      </c>
      <c r="D247" s="42">
        <v>1</v>
      </c>
      <c r="E247" s="42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42"/>
      <c r="X247" s="42"/>
      <c r="Y247" s="42"/>
      <c r="Z247" s="42"/>
      <c r="AA247" s="42"/>
    </row>
    <row r="248" spans="1:27" x14ac:dyDescent="0.2">
      <c r="A248" s="42">
        <v>7</v>
      </c>
      <c r="B248" s="42">
        <v>9</v>
      </c>
      <c r="C248" s="42">
        <v>247</v>
      </c>
      <c r="D248" s="42">
        <v>1</v>
      </c>
      <c r="E248" s="42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42"/>
      <c r="X248" s="42"/>
      <c r="Y248" s="42"/>
      <c r="Z248" s="42"/>
      <c r="AA248" s="42"/>
    </row>
    <row r="249" spans="1:27" x14ac:dyDescent="0.2">
      <c r="A249" s="42">
        <v>8</v>
      </c>
      <c r="B249" s="42">
        <v>9</v>
      </c>
      <c r="C249" s="42">
        <v>248</v>
      </c>
      <c r="D249" s="42">
        <v>1</v>
      </c>
      <c r="E249" s="42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42"/>
      <c r="X249" s="42"/>
      <c r="Y249" s="42"/>
      <c r="Z249" s="42"/>
      <c r="AA249" s="42"/>
    </row>
    <row r="250" spans="1:27" x14ac:dyDescent="0.2">
      <c r="A250" s="42">
        <v>9</v>
      </c>
      <c r="B250" s="42">
        <v>9</v>
      </c>
      <c r="C250" s="42">
        <v>249</v>
      </c>
      <c r="D250" s="42">
        <v>0</v>
      </c>
      <c r="E250" s="42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42"/>
      <c r="X250" s="42"/>
      <c r="Y250" s="42"/>
      <c r="Z250" s="42"/>
      <c r="AA250" s="42"/>
    </row>
    <row r="251" spans="1:27" x14ac:dyDescent="0.2">
      <c r="A251" s="42">
        <v>10</v>
      </c>
      <c r="B251" s="42">
        <v>9</v>
      </c>
      <c r="C251" s="42">
        <v>250</v>
      </c>
      <c r="D251" s="42">
        <v>0</v>
      </c>
      <c r="E251" s="42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42"/>
      <c r="X251" s="42"/>
      <c r="Y251" s="42"/>
      <c r="Z251" s="42"/>
      <c r="AA251" s="42"/>
    </row>
    <row r="252" spans="1:27" x14ac:dyDescent="0.2">
      <c r="A252" s="42">
        <v>11</v>
      </c>
      <c r="B252" s="42">
        <v>9</v>
      </c>
      <c r="C252" s="42">
        <v>251</v>
      </c>
      <c r="D252" s="42">
        <v>0</v>
      </c>
      <c r="E252" s="42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42"/>
      <c r="X252" s="42"/>
      <c r="Y252" s="42"/>
      <c r="Z252" s="42"/>
      <c r="AA252" s="42"/>
    </row>
    <row r="253" spans="1:27" x14ac:dyDescent="0.2">
      <c r="A253" s="42">
        <v>12</v>
      </c>
      <c r="B253" s="42">
        <v>9</v>
      </c>
      <c r="C253" s="42">
        <v>252</v>
      </c>
      <c r="D253" s="42">
        <v>1</v>
      </c>
      <c r="E253" s="42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42"/>
      <c r="X253" s="42"/>
      <c r="Y253" s="42"/>
      <c r="Z253" s="42"/>
      <c r="AA253" s="42"/>
    </row>
    <row r="254" spans="1:27" x14ac:dyDescent="0.2">
      <c r="A254" s="42">
        <v>13</v>
      </c>
      <c r="B254" s="42">
        <v>9</v>
      </c>
      <c r="C254" s="42">
        <v>253</v>
      </c>
      <c r="D254" s="42">
        <v>1</v>
      </c>
      <c r="E254" s="42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42"/>
      <c r="X254" s="42"/>
      <c r="Y254" s="42"/>
      <c r="Z254" s="42"/>
      <c r="AA254" s="42"/>
    </row>
    <row r="255" spans="1:27" x14ac:dyDescent="0.2">
      <c r="A255" s="42">
        <v>14</v>
      </c>
      <c r="B255" s="42">
        <v>9</v>
      </c>
      <c r="C255" s="42">
        <v>254</v>
      </c>
      <c r="D255" s="42">
        <v>0</v>
      </c>
      <c r="E255" s="42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42"/>
      <c r="X255" s="42"/>
      <c r="Y255" s="42"/>
      <c r="Z255" s="42"/>
      <c r="AA255" s="42"/>
    </row>
    <row r="256" spans="1:27" x14ac:dyDescent="0.2">
      <c r="A256" s="42">
        <v>15</v>
      </c>
      <c r="B256" s="42">
        <v>9</v>
      </c>
      <c r="C256" s="42">
        <v>255</v>
      </c>
      <c r="D256" s="42">
        <v>0</v>
      </c>
      <c r="E256" s="42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42"/>
      <c r="X256" s="42"/>
      <c r="Y256" s="42"/>
      <c r="Z256" s="42"/>
      <c r="AA256" s="42"/>
    </row>
    <row r="257" spans="1:27" x14ac:dyDescent="0.2">
      <c r="A257" s="42">
        <v>16</v>
      </c>
      <c r="B257" s="42">
        <v>9</v>
      </c>
      <c r="C257" s="42">
        <v>256</v>
      </c>
      <c r="D257" s="42">
        <v>0</v>
      </c>
      <c r="E257" s="42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42"/>
      <c r="X257" s="42"/>
      <c r="Y257" s="42"/>
      <c r="Z257" s="42"/>
      <c r="AA257" s="42"/>
    </row>
    <row r="258" spans="1:27" x14ac:dyDescent="0.2">
      <c r="A258" s="42">
        <v>17</v>
      </c>
      <c r="B258" s="42">
        <v>9</v>
      </c>
      <c r="C258" s="42">
        <v>257</v>
      </c>
      <c r="D258" s="42">
        <v>1</v>
      </c>
      <c r="E258" s="42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42"/>
      <c r="X258" s="42"/>
      <c r="Y258" s="42"/>
      <c r="Z258" s="42"/>
      <c r="AA258" s="42"/>
    </row>
    <row r="259" spans="1:27" x14ac:dyDescent="0.2">
      <c r="A259" s="42">
        <v>18</v>
      </c>
      <c r="B259" s="42">
        <v>9</v>
      </c>
      <c r="C259" s="42">
        <v>258</v>
      </c>
      <c r="D259" s="42">
        <v>0</v>
      </c>
      <c r="E259" s="42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42"/>
      <c r="X259" s="42"/>
      <c r="Y259" s="42"/>
      <c r="Z259" s="42"/>
      <c r="AA259" s="42"/>
    </row>
    <row r="260" spans="1:27" x14ac:dyDescent="0.2">
      <c r="A260" s="42">
        <v>19</v>
      </c>
      <c r="B260" s="42">
        <v>9</v>
      </c>
      <c r="C260" s="42">
        <v>259</v>
      </c>
      <c r="D260" s="42">
        <v>0</v>
      </c>
      <c r="E260" s="42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42"/>
      <c r="X260" s="42"/>
      <c r="Y260" s="42"/>
      <c r="Z260" s="42"/>
      <c r="AA260" s="42"/>
    </row>
    <row r="261" spans="1:27" x14ac:dyDescent="0.2">
      <c r="A261" s="42">
        <v>20</v>
      </c>
      <c r="B261" s="42">
        <v>9</v>
      </c>
      <c r="C261" s="42">
        <v>260</v>
      </c>
      <c r="D261" s="42">
        <v>1</v>
      </c>
      <c r="E261" s="42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42"/>
      <c r="X261" s="42"/>
      <c r="Y261" s="42"/>
      <c r="Z261" s="42"/>
      <c r="AA261" s="42"/>
    </row>
    <row r="262" spans="1:27" x14ac:dyDescent="0.2">
      <c r="A262" s="42">
        <v>21</v>
      </c>
      <c r="B262" s="42">
        <v>9</v>
      </c>
      <c r="C262" s="42">
        <v>261</v>
      </c>
      <c r="D262" s="42">
        <v>0</v>
      </c>
      <c r="E262" s="42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42"/>
      <c r="X262" s="42"/>
      <c r="Y262" s="42"/>
      <c r="Z262" s="42"/>
      <c r="AA262" s="42"/>
    </row>
    <row r="263" spans="1:27" x14ac:dyDescent="0.2">
      <c r="A263" s="42">
        <v>22</v>
      </c>
      <c r="B263" s="42">
        <v>9</v>
      </c>
      <c r="C263" s="42">
        <v>262</v>
      </c>
      <c r="D263" s="42">
        <v>0</v>
      </c>
      <c r="E263" s="42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42"/>
      <c r="X263" s="42"/>
      <c r="Y263" s="42"/>
      <c r="Z263" s="42"/>
      <c r="AA263" s="42"/>
    </row>
    <row r="264" spans="1:27" x14ac:dyDescent="0.2">
      <c r="A264" s="42">
        <v>23</v>
      </c>
      <c r="B264" s="42">
        <v>9</v>
      </c>
      <c r="C264" s="42">
        <v>263</v>
      </c>
      <c r="D264" s="42">
        <v>0</v>
      </c>
      <c r="E264" s="42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42"/>
      <c r="X264" s="42"/>
      <c r="Y264" s="42"/>
      <c r="Z264" s="42"/>
      <c r="AA264" s="42"/>
    </row>
    <row r="265" spans="1:27" x14ac:dyDescent="0.2">
      <c r="A265" s="42">
        <v>24</v>
      </c>
      <c r="B265" s="42">
        <v>9</v>
      </c>
      <c r="C265" s="42">
        <v>264</v>
      </c>
      <c r="D265" s="42">
        <v>1</v>
      </c>
      <c r="E265" s="42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42"/>
      <c r="X265" s="42"/>
      <c r="Y265" s="42"/>
      <c r="Z265" s="42"/>
      <c r="AA265" s="42"/>
    </row>
    <row r="266" spans="1:27" x14ac:dyDescent="0.2">
      <c r="A266" s="42">
        <v>25</v>
      </c>
      <c r="B266" s="42">
        <v>9</v>
      </c>
      <c r="C266" s="42">
        <v>265</v>
      </c>
      <c r="D266" s="42">
        <v>0</v>
      </c>
      <c r="E266" s="42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42"/>
      <c r="X266" s="42"/>
      <c r="Y266" s="42"/>
      <c r="Z266" s="42"/>
      <c r="AA266" s="42"/>
    </row>
    <row r="267" spans="1:27" x14ac:dyDescent="0.2">
      <c r="A267" s="42">
        <v>26</v>
      </c>
      <c r="B267" s="42">
        <v>9</v>
      </c>
      <c r="C267" s="42">
        <v>266</v>
      </c>
      <c r="D267" s="42">
        <v>0</v>
      </c>
      <c r="E267" s="42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42"/>
      <c r="X267" s="42"/>
      <c r="Y267" s="42"/>
      <c r="Z267" s="42"/>
      <c r="AA267" s="42"/>
    </row>
    <row r="268" spans="1:27" x14ac:dyDescent="0.2">
      <c r="A268" s="42">
        <v>27</v>
      </c>
      <c r="B268" s="42">
        <v>9</v>
      </c>
      <c r="C268" s="42">
        <v>267</v>
      </c>
      <c r="D268" s="42">
        <v>1</v>
      </c>
      <c r="E268" s="42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42"/>
      <c r="X268" s="42"/>
      <c r="Y268" s="42"/>
      <c r="Z268" s="42"/>
      <c r="AA268" s="42"/>
    </row>
    <row r="269" spans="1:27" x14ac:dyDescent="0.2">
      <c r="A269" s="42">
        <v>28</v>
      </c>
      <c r="B269" s="42">
        <v>9</v>
      </c>
      <c r="C269" s="42">
        <v>268</v>
      </c>
      <c r="D269" s="42">
        <v>1</v>
      </c>
      <c r="E269" s="42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42"/>
      <c r="X269" s="42"/>
      <c r="Y269" s="42"/>
      <c r="Z269" s="42"/>
      <c r="AA269" s="42"/>
    </row>
    <row r="270" spans="1:27" x14ac:dyDescent="0.2">
      <c r="A270" s="42">
        <v>29</v>
      </c>
      <c r="B270" s="42">
        <v>9</v>
      </c>
      <c r="C270" s="42">
        <v>269</v>
      </c>
      <c r="D270" s="42">
        <v>0</v>
      </c>
      <c r="E270" s="42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42"/>
      <c r="X270" s="42"/>
      <c r="Y270" s="42"/>
      <c r="Z270" s="42"/>
      <c r="AA270" s="42"/>
    </row>
    <row r="271" spans="1:27" x14ac:dyDescent="0.2">
      <c r="A271" s="42">
        <v>30</v>
      </c>
      <c r="B271" s="42">
        <v>9</v>
      </c>
      <c r="C271" s="42">
        <v>270</v>
      </c>
      <c r="D271" s="42">
        <v>1</v>
      </c>
      <c r="E271" s="42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42"/>
      <c r="X271" s="42"/>
      <c r="Y271" s="42"/>
      <c r="Z271" s="42"/>
      <c r="AA271" s="42"/>
    </row>
    <row r="272" spans="1:27" x14ac:dyDescent="0.2">
      <c r="A272" s="42">
        <v>1</v>
      </c>
      <c r="B272" s="42">
        <v>10</v>
      </c>
      <c r="C272" s="42">
        <v>271</v>
      </c>
      <c r="D272" s="42">
        <v>0</v>
      </c>
      <c r="E272" s="42">
        <f>SUM(D272:D301)</f>
        <v>15</v>
      </c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42"/>
      <c r="X272" s="42"/>
      <c r="Y272" s="42"/>
      <c r="Z272" s="42"/>
      <c r="AA272" s="42"/>
    </row>
    <row r="273" spans="1:27" x14ac:dyDescent="0.2">
      <c r="A273" s="42">
        <v>2</v>
      </c>
      <c r="B273" s="42">
        <v>10</v>
      </c>
      <c r="C273" s="42">
        <v>272</v>
      </c>
      <c r="D273" s="42">
        <v>1</v>
      </c>
      <c r="E273" s="42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42"/>
      <c r="X273" s="42"/>
      <c r="Y273" s="42"/>
      <c r="Z273" s="42"/>
      <c r="AA273" s="42"/>
    </row>
    <row r="274" spans="1:27" x14ac:dyDescent="0.2">
      <c r="A274" s="42">
        <v>3</v>
      </c>
      <c r="B274" s="42">
        <v>10</v>
      </c>
      <c r="C274" s="42">
        <v>273</v>
      </c>
      <c r="D274" s="42">
        <v>0</v>
      </c>
      <c r="E274" s="42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42"/>
      <c r="X274" s="42"/>
      <c r="Y274" s="42"/>
      <c r="Z274" s="42"/>
      <c r="AA274" s="42"/>
    </row>
    <row r="275" spans="1:27" x14ac:dyDescent="0.2">
      <c r="A275" s="42">
        <v>4</v>
      </c>
      <c r="B275" s="42">
        <v>10</v>
      </c>
      <c r="C275" s="42">
        <v>274</v>
      </c>
      <c r="D275" s="42">
        <v>1</v>
      </c>
      <c r="E275" s="42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42"/>
      <c r="X275" s="42"/>
      <c r="Y275" s="42"/>
      <c r="Z275" s="42"/>
      <c r="AA275" s="42"/>
    </row>
    <row r="276" spans="1:27" x14ac:dyDescent="0.2">
      <c r="A276" s="42">
        <v>5</v>
      </c>
      <c r="B276" s="42">
        <v>10</v>
      </c>
      <c r="C276" s="42">
        <v>275</v>
      </c>
      <c r="D276" s="42">
        <v>0</v>
      </c>
      <c r="E276" s="42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42"/>
      <c r="X276" s="42"/>
      <c r="Y276" s="42"/>
      <c r="Z276" s="42"/>
      <c r="AA276" s="42"/>
    </row>
    <row r="277" spans="1:27" x14ac:dyDescent="0.2">
      <c r="A277" s="42">
        <v>6</v>
      </c>
      <c r="B277" s="42">
        <v>10</v>
      </c>
      <c r="C277" s="42">
        <v>276</v>
      </c>
      <c r="D277" s="42">
        <v>1</v>
      </c>
      <c r="E277" s="42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42"/>
      <c r="X277" s="42"/>
      <c r="Y277" s="42"/>
      <c r="Z277" s="42"/>
      <c r="AA277" s="42"/>
    </row>
    <row r="278" spans="1:27" x14ac:dyDescent="0.2">
      <c r="A278" s="42">
        <v>7</v>
      </c>
      <c r="B278" s="42">
        <v>10</v>
      </c>
      <c r="C278" s="42">
        <v>277</v>
      </c>
      <c r="D278" s="42">
        <v>1</v>
      </c>
      <c r="E278" s="42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42"/>
      <c r="X278" s="42"/>
      <c r="Y278" s="42"/>
      <c r="Z278" s="42"/>
      <c r="AA278" s="42"/>
    </row>
    <row r="279" spans="1:27" x14ac:dyDescent="0.2">
      <c r="A279" s="42">
        <v>8</v>
      </c>
      <c r="B279" s="42">
        <v>10</v>
      </c>
      <c r="C279" s="42">
        <v>278</v>
      </c>
      <c r="D279" s="42">
        <v>1</v>
      </c>
      <c r="E279" s="42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42"/>
      <c r="X279" s="42"/>
      <c r="Y279" s="42"/>
      <c r="Z279" s="42"/>
      <c r="AA279" s="42"/>
    </row>
    <row r="280" spans="1:27" x14ac:dyDescent="0.2">
      <c r="A280" s="42">
        <v>9</v>
      </c>
      <c r="B280" s="42">
        <v>10</v>
      </c>
      <c r="C280" s="42">
        <v>279</v>
      </c>
      <c r="D280" s="42">
        <v>0</v>
      </c>
      <c r="E280" s="42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42"/>
      <c r="X280" s="42"/>
      <c r="Y280" s="42"/>
      <c r="Z280" s="42"/>
      <c r="AA280" s="42"/>
    </row>
    <row r="281" spans="1:27" x14ac:dyDescent="0.2">
      <c r="A281" s="42">
        <v>10</v>
      </c>
      <c r="B281" s="42">
        <v>10</v>
      </c>
      <c r="C281" s="42">
        <v>280</v>
      </c>
      <c r="D281" s="42">
        <v>1</v>
      </c>
      <c r="E281" s="42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42"/>
      <c r="X281" s="42"/>
      <c r="Y281" s="42"/>
      <c r="Z281" s="42"/>
      <c r="AA281" s="42"/>
    </row>
    <row r="282" spans="1:27" x14ac:dyDescent="0.2">
      <c r="A282" s="42">
        <v>11</v>
      </c>
      <c r="B282" s="42">
        <v>10</v>
      </c>
      <c r="C282" s="42">
        <v>281</v>
      </c>
      <c r="D282" s="42">
        <v>1</v>
      </c>
      <c r="E282" s="42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42"/>
      <c r="X282" s="42"/>
      <c r="Y282" s="42"/>
      <c r="Z282" s="42"/>
      <c r="AA282" s="42"/>
    </row>
    <row r="283" spans="1:27" x14ac:dyDescent="0.2">
      <c r="A283" s="42">
        <v>12</v>
      </c>
      <c r="B283" s="42">
        <v>10</v>
      </c>
      <c r="C283" s="42">
        <v>282</v>
      </c>
      <c r="D283" s="42">
        <v>1</v>
      </c>
      <c r="E283" s="42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42"/>
      <c r="X283" s="42"/>
      <c r="Y283" s="42"/>
      <c r="Z283" s="42"/>
      <c r="AA283" s="42"/>
    </row>
    <row r="284" spans="1:27" x14ac:dyDescent="0.2">
      <c r="A284" s="42">
        <v>13</v>
      </c>
      <c r="B284" s="42">
        <v>10</v>
      </c>
      <c r="C284" s="42">
        <v>283</v>
      </c>
      <c r="D284" s="42">
        <v>0</v>
      </c>
      <c r="E284" s="42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42"/>
      <c r="X284" s="42"/>
      <c r="Y284" s="42"/>
      <c r="Z284" s="42"/>
      <c r="AA284" s="42"/>
    </row>
    <row r="285" spans="1:27" x14ac:dyDescent="0.2">
      <c r="A285" s="42">
        <v>14</v>
      </c>
      <c r="B285" s="42">
        <v>10</v>
      </c>
      <c r="C285" s="42">
        <v>284</v>
      </c>
      <c r="D285" s="42">
        <v>0</v>
      </c>
      <c r="E285" s="42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42"/>
      <c r="X285" s="42"/>
      <c r="Y285" s="42"/>
      <c r="Z285" s="42"/>
      <c r="AA285" s="42"/>
    </row>
    <row r="286" spans="1:27" x14ac:dyDescent="0.2">
      <c r="A286" s="42">
        <v>15</v>
      </c>
      <c r="B286" s="42">
        <v>10</v>
      </c>
      <c r="C286" s="42">
        <v>285</v>
      </c>
      <c r="D286" s="42">
        <v>1</v>
      </c>
      <c r="E286" s="42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42"/>
      <c r="X286" s="42"/>
      <c r="Y286" s="42"/>
      <c r="Z286" s="42"/>
      <c r="AA286" s="42"/>
    </row>
    <row r="287" spans="1:27" x14ac:dyDescent="0.2">
      <c r="A287" s="42">
        <v>16</v>
      </c>
      <c r="B287" s="42">
        <v>10</v>
      </c>
      <c r="C287" s="42">
        <v>286</v>
      </c>
      <c r="D287" s="42">
        <v>0</v>
      </c>
      <c r="E287" s="42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42"/>
      <c r="X287" s="42"/>
      <c r="Y287" s="42"/>
      <c r="Z287" s="42"/>
      <c r="AA287" s="42"/>
    </row>
    <row r="288" spans="1:27" x14ac:dyDescent="0.2">
      <c r="A288" s="42">
        <v>17</v>
      </c>
      <c r="B288" s="42">
        <v>10</v>
      </c>
      <c r="C288" s="42">
        <v>287</v>
      </c>
      <c r="D288" s="42">
        <v>1</v>
      </c>
      <c r="E288" s="42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42"/>
      <c r="X288" s="42"/>
      <c r="Y288" s="42"/>
      <c r="Z288" s="42"/>
      <c r="AA288" s="42"/>
    </row>
    <row r="289" spans="1:27" x14ac:dyDescent="0.2">
      <c r="A289" s="42">
        <v>18</v>
      </c>
      <c r="B289" s="42">
        <v>10</v>
      </c>
      <c r="C289" s="42">
        <v>288</v>
      </c>
      <c r="D289" s="42">
        <v>0</v>
      </c>
      <c r="E289" s="42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42"/>
      <c r="X289" s="42"/>
      <c r="Y289" s="42"/>
      <c r="Z289" s="42"/>
      <c r="AA289" s="42"/>
    </row>
    <row r="290" spans="1:27" x14ac:dyDescent="0.2">
      <c r="A290" s="42">
        <v>19</v>
      </c>
      <c r="B290" s="42">
        <v>10</v>
      </c>
      <c r="C290" s="42">
        <v>289</v>
      </c>
      <c r="D290" s="42">
        <v>0</v>
      </c>
      <c r="E290" s="42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42"/>
      <c r="X290" s="42"/>
      <c r="Y290" s="42"/>
      <c r="Z290" s="42"/>
      <c r="AA290" s="42"/>
    </row>
    <row r="291" spans="1:27" x14ac:dyDescent="0.2">
      <c r="A291" s="42">
        <v>20</v>
      </c>
      <c r="B291" s="42">
        <v>10</v>
      </c>
      <c r="C291" s="42">
        <v>290</v>
      </c>
      <c r="D291" s="42">
        <v>0</v>
      </c>
      <c r="E291" s="42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42"/>
      <c r="X291" s="42"/>
      <c r="Y291" s="42"/>
      <c r="Z291" s="42"/>
      <c r="AA291" s="42"/>
    </row>
    <row r="292" spans="1:27" x14ac:dyDescent="0.2">
      <c r="A292" s="42">
        <v>21</v>
      </c>
      <c r="B292" s="42">
        <v>10</v>
      </c>
      <c r="C292" s="42">
        <v>291</v>
      </c>
      <c r="D292" s="42">
        <v>1</v>
      </c>
      <c r="E292" s="42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42"/>
      <c r="X292" s="42"/>
      <c r="Y292" s="42"/>
      <c r="Z292" s="42"/>
      <c r="AA292" s="42"/>
    </row>
    <row r="293" spans="1:27" x14ac:dyDescent="0.2">
      <c r="A293" s="42">
        <v>22</v>
      </c>
      <c r="B293" s="42">
        <v>10</v>
      </c>
      <c r="C293" s="42">
        <v>292</v>
      </c>
      <c r="D293" s="42">
        <v>1</v>
      </c>
      <c r="E293" s="42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42"/>
      <c r="X293" s="42"/>
      <c r="Y293" s="42"/>
      <c r="Z293" s="42"/>
      <c r="AA293" s="42"/>
    </row>
    <row r="294" spans="1:27" x14ac:dyDescent="0.2">
      <c r="A294" s="42">
        <v>23</v>
      </c>
      <c r="B294" s="42">
        <v>10</v>
      </c>
      <c r="C294" s="42">
        <v>293</v>
      </c>
      <c r="D294" s="42">
        <v>0</v>
      </c>
      <c r="E294" s="42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42"/>
      <c r="X294" s="42"/>
      <c r="Y294" s="42"/>
      <c r="Z294" s="42"/>
      <c r="AA294" s="42"/>
    </row>
    <row r="295" spans="1:27" x14ac:dyDescent="0.2">
      <c r="A295" s="42">
        <v>24</v>
      </c>
      <c r="B295" s="42">
        <v>10</v>
      </c>
      <c r="C295" s="42">
        <v>294</v>
      </c>
      <c r="D295" s="42">
        <v>0</v>
      </c>
      <c r="E295" s="42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42"/>
      <c r="X295" s="42"/>
      <c r="Y295" s="42"/>
      <c r="Z295" s="42"/>
      <c r="AA295" s="42"/>
    </row>
    <row r="296" spans="1:27" x14ac:dyDescent="0.2">
      <c r="A296" s="42">
        <v>25</v>
      </c>
      <c r="B296" s="42">
        <v>10</v>
      </c>
      <c r="C296" s="42">
        <v>295</v>
      </c>
      <c r="D296" s="42">
        <v>1</v>
      </c>
      <c r="E296" s="42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42"/>
      <c r="X296" s="42"/>
      <c r="Y296" s="42"/>
      <c r="Z296" s="42"/>
      <c r="AA296" s="42"/>
    </row>
    <row r="297" spans="1:27" x14ac:dyDescent="0.2">
      <c r="A297" s="42">
        <v>26</v>
      </c>
      <c r="B297" s="42">
        <v>10</v>
      </c>
      <c r="C297" s="42">
        <v>296</v>
      </c>
      <c r="D297" s="42">
        <v>1</v>
      </c>
      <c r="E297" s="42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42"/>
      <c r="X297" s="42"/>
      <c r="Y297" s="42"/>
      <c r="Z297" s="42"/>
      <c r="AA297" s="42"/>
    </row>
    <row r="298" spans="1:27" x14ac:dyDescent="0.2">
      <c r="A298" s="42">
        <v>27</v>
      </c>
      <c r="B298" s="42">
        <v>10</v>
      </c>
      <c r="C298" s="42">
        <v>297</v>
      </c>
      <c r="D298" s="42">
        <v>0</v>
      </c>
      <c r="E298" s="42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42"/>
      <c r="X298" s="42"/>
      <c r="Y298" s="42"/>
      <c r="Z298" s="42"/>
      <c r="AA298" s="42"/>
    </row>
    <row r="299" spans="1:27" x14ac:dyDescent="0.2">
      <c r="A299" s="42">
        <v>28</v>
      </c>
      <c r="B299" s="42">
        <v>10</v>
      </c>
      <c r="C299" s="42">
        <v>298</v>
      </c>
      <c r="D299" s="42">
        <v>0</v>
      </c>
      <c r="E299" s="42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42"/>
      <c r="X299" s="42"/>
      <c r="Y299" s="42"/>
      <c r="Z299" s="42"/>
      <c r="AA299" s="42"/>
    </row>
    <row r="300" spans="1:27" x14ac:dyDescent="0.2">
      <c r="A300" s="42">
        <v>29</v>
      </c>
      <c r="B300" s="42">
        <v>10</v>
      </c>
      <c r="C300" s="42">
        <v>299</v>
      </c>
      <c r="D300" s="42">
        <v>0</v>
      </c>
      <c r="E300" s="42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42"/>
      <c r="X300" s="42"/>
      <c r="Y300" s="42"/>
      <c r="Z300" s="42"/>
      <c r="AA300" s="42"/>
    </row>
    <row r="301" spans="1:27" x14ac:dyDescent="0.2">
      <c r="A301" s="42">
        <v>30</v>
      </c>
      <c r="B301" s="42">
        <v>10</v>
      </c>
      <c r="C301" s="42">
        <v>300</v>
      </c>
      <c r="D301" s="42">
        <v>1</v>
      </c>
      <c r="E301" s="42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42"/>
      <c r="X301" s="42"/>
      <c r="Y301" s="42"/>
      <c r="Z301" s="42"/>
      <c r="AA301" s="42"/>
    </row>
    <row r="302" spans="1:27" x14ac:dyDescent="0.2">
      <c r="A302" s="42"/>
      <c r="B302" s="42"/>
      <c r="C302" s="42"/>
      <c r="D302" s="42"/>
      <c r="E302" s="42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42"/>
      <c r="X302" s="42"/>
      <c r="Y302" s="42"/>
      <c r="Z302" s="42"/>
      <c r="AA302" s="42"/>
    </row>
    <row r="303" spans="1:27" x14ac:dyDescent="0.2">
      <c r="A303" s="42"/>
      <c r="B303" s="42"/>
      <c r="C303" s="42"/>
      <c r="D303" s="42"/>
      <c r="E303" s="42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42"/>
      <c r="X303" s="42"/>
      <c r="Y303" s="42"/>
      <c r="Z303" s="42"/>
      <c r="AA303" s="42"/>
    </row>
    <row r="304" spans="1:27" x14ac:dyDescent="0.2">
      <c r="A304" s="42"/>
      <c r="B304" s="42"/>
      <c r="C304" s="42"/>
      <c r="D304" s="42"/>
      <c r="E304" s="42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42"/>
      <c r="X304" s="42"/>
      <c r="Y304" s="42"/>
      <c r="Z304" s="42"/>
      <c r="AA304" s="42"/>
    </row>
    <row r="305" spans="1:27" x14ac:dyDescent="0.2">
      <c r="A305" s="42"/>
      <c r="B305" s="42"/>
      <c r="C305" s="42"/>
      <c r="D305" s="42"/>
      <c r="E305" s="42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42"/>
      <c r="X305" s="42"/>
      <c r="Y305" s="42"/>
      <c r="Z305" s="42"/>
      <c r="AA305" s="42"/>
    </row>
    <row r="306" spans="1:27" x14ac:dyDescent="0.2">
      <c r="A306" s="42"/>
      <c r="B306" s="42"/>
      <c r="C306" s="42"/>
      <c r="D306" s="42"/>
      <c r="E306" s="42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42"/>
      <c r="X306" s="42"/>
      <c r="Y306" s="42"/>
      <c r="Z306" s="42"/>
      <c r="AA306" s="42"/>
    </row>
    <row r="307" spans="1:27" x14ac:dyDescent="0.2">
      <c r="A307" s="42"/>
      <c r="B307" s="42"/>
      <c r="C307" s="42"/>
      <c r="D307" s="42"/>
      <c r="E307" s="42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42"/>
      <c r="X307" s="42"/>
      <c r="Y307" s="42"/>
      <c r="Z307" s="42"/>
      <c r="AA307" s="42"/>
    </row>
    <row r="308" spans="1:27" x14ac:dyDescent="0.2">
      <c r="A308" s="42"/>
      <c r="B308" s="42"/>
      <c r="C308" s="42"/>
      <c r="D308" s="42"/>
      <c r="E308" s="42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42"/>
      <c r="X308" s="42"/>
      <c r="Y308" s="42"/>
      <c r="Z308" s="42"/>
      <c r="AA308" s="42"/>
    </row>
    <row r="309" spans="1:27" x14ac:dyDescent="0.2">
      <c r="A309" s="42"/>
      <c r="B309" s="42"/>
      <c r="C309" s="42"/>
      <c r="D309" s="42"/>
      <c r="E309" s="42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42"/>
      <c r="X309" s="42"/>
      <c r="Y309" s="42"/>
      <c r="Z309" s="42"/>
      <c r="AA309" s="42"/>
    </row>
    <row r="310" spans="1:27" x14ac:dyDescent="0.2">
      <c r="A310" s="42"/>
      <c r="B310" s="42"/>
      <c r="C310" s="42"/>
      <c r="D310" s="42"/>
      <c r="E310" s="42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42"/>
      <c r="X310" s="42"/>
      <c r="Y310" s="42"/>
      <c r="Z310" s="42"/>
      <c r="AA310" s="42"/>
    </row>
    <row r="311" spans="1:27" x14ac:dyDescent="0.2">
      <c r="A311" s="42"/>
      <c r="B311" s="42"/>
      <c r="C311" s="42"/>
      <c r="D311" s="42"/>
      <c r="E311" s="42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42"/>
      <c r="X311" s="42"/>
      <c r="Y311" s="42"/>
      <c r="Z311" s="42"/>
      <c r="AA311" s="42"/>
    </row>
    <row r="312" spans="1:27" x14ac:dyDescent="0.2">
      <c r="A312" s="42"/>
      <c r="B312" s="42"/>
      <c r="C312" s="42"/>
      <c r="D312" s="42"/>
      <c r="E312" s="42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42"/>
      <c r="X312" s="42"/>
      <c r="Y312" s="42"/>
      <c r="Z312" s="42"/>
      <c r="AA312" s="42"/>
    </row>
    <row r="313" spans="1:27" x14ac:dyDescent="0.2">
      <c r="A313" s="42"/>
      <c r="B313" s="42"/>
      <c r="C313" s="42"/>
      <c r="D313" s="42"/>
      <c r="E313" s="42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42"/>
      <c r="X313" s="42"/>
      <c r="Y313" s="42"/>
      <c r="Z313" s="42"/>
      <c r="AA313" s="42"/>
    </row>
    <row r="314" spans="1:27" x14ac:dyDescent="0.2">
      <c r="A314" s="42"/>
      <c r="B314" s="42"/>
      <c r="C314" s="42"/>
      <c r="D314" s="42"/>
      <c r="E314" s="42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42"/>
      <c r="X314" s="42"/>
      <c r="Y314" s="42"/>
      <c r="Z314" s="42"/>
      <c r="AA314" s="42"/>
    </row>
    <row r="315" spans="1:27" x14ac:dyDescent="0.2">
      <c r="A315" s="42"/>
      <c r="B315" s="42"/>
      <c r="C315" s="42"/>
      <c r="D315" s="42"/>
      <c r="E315" s="42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42"/>
      <c r="X315" s="42"/>
      <c r="Y315" s="42"/>
      <c r="Z315" s="42"/>
      <c r="AA315" s="42"/>
    </row>
    <row r="316" spans="1:27" x14ac:dyDescent="0.2">
      <c r="A316" s="42"/>
      <c r="B316" s="42"/>
      <c r="C316" s="42"/>
      <c r="D316" s="42"/>
      <c r="E316" s="42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42"/>
      <c r="X316" s="42"/>
      <c r="Y316" s="42"/>
      <c r="Z316" s="42"/>
      <c r="AA316" s="42"/>
    </row>
    <row r="317" spans="1:27" x14ac:dyDescent="0.2">
      <c r="A317" s="42"/>
      <c r="B317" s="42"/>
      <c r="C317" s="42"/>
      <c r="D317" s="42"/>
      <c r="E317" s="42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42"/>
      <c r="X317" s="42"/>
      <c r="Y317" s="42"/>
      <c r="Z317" s="42"/>
      <c r="AA317" s="42"/>
    </row>
    <row r="318" spans="1:27" x14ac:dyDescent="0.2">
      <c r="A318" s="42"/>
      <c r="B318" s="42"/>
      <c r="C318" s="42"/>
      <c r="D318" s="42"/>
      <c r="E318" s="42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42"/>
      <c r="X318" s="42"/>
      <c r="Y318" s="42"/>
      <c r="Z318" s="42"/>
      <c r="AA318" s="42"/>
    </row>
    <row r="319" spans="1:27" x14ac:dyDescent="0.2">
      <c r="A319" s="42"/>
      <c r="B319" s="42"/>
      <c r="C319" s="42"/>
      <c r="D319" s="42"/>
      <c r="E319" s="42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42"/>
      <c r="X319" s="42"/>
      <c r="Y319" s="42"/>
      <c r="Z319" s="42"/>
      <c r="AA319" s="42"/>
    </row>
    <row r="320" spans="1:27" x14ac:dyDescent="0.2">
      <c r="A320" s="42"/>
      <c r="B320" s="42"/>
      <c r="C320" s="42"/>
      <c r="D320" s="42"/>
      <c r="E320" s="42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42"/>
      <c r="X320" s="42"/>
      <c r="Y320" s="42"/>
      <c r="Z320" s="42"/>
      <c r="AA320" s="42"/>
    </row>
    <row r="321" spans="1:27" x14ac:dyDescent="0.2">
      <c r="A321" s="42"/>
      <c r="B321" s="42"/>
      <c r="C321" s="42"/>
      <c r="D321" s="42"/>
      <c r="E321" s="42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42"/>
      <c r="X321" s="42"/>
      <c r="Y321" s="42"/>
      <c r="Z321" s="42"/>
      <c r="AA321" s="42"/>
    </row>
    <row r="322" spans="1:27" x14ac:dyDescent="0.2">
      <c r="A322" s="42"/>
      <c r="B322" s="42"/>
      <c r="C322" s="42"/>
      <c r="D322" s="42"/>
      <c r="E322" s="42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42"/>
      <c r="X322" s="42"/>
      <c r="Y322" s="42"/>
      <c r="Z322" s="42"/>
      <c r="AA322" s="42"/>
    </row>
    <row r="323" spans="1:27" x14ac:dyDescent="0.2">
      <c r="A323" s="42"/>
      <c r="B323" s="42"/>
      <c r="C323" s="42"/>
      <c r="D323" s="42"/>
      <c r="E323" s="42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42"/>
      <c r="X323" s="42"/>
      <c r="Y323" s="42"/>
      <c r="Z323" s="42"/>
      <c r="AA323" s="42"/>
    </row>
    <row r="324" spans="1:27" x14ac:dyDescent="0.2">
      <c r="A324" s="42"/>
      <c r="B324" s="42"/>
      <c r="C324" s="42"/>
      <c r="D324" s="42"/>
      <c r="E324" s="42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42"/>
      <c r="X324" s="42"/>
      <c r="Y324" s="42"/>
      <c r="Z324" s="42"/>
      <c r="AA324" s="42"/>
    </row>
    <row r="325" spans="1:27" x14ac:dyDescent="0.2">
      <c r="A325" s="42"/>
      <c r="B325" s="42"/>
      <c r="C325" s="42"/>
      <c r="D325" s="42"/>
      <c r="E325" s="42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42"/>
      <c r="X325" s="42"/>
      <c r="Y325" s="42"/>
      <c r="Z325" s="42"/>
      <c r="AA325" s="42"/>
    </row>
    <row r="326" spans="1:27" x14ac:dyDescent="0.2">
      <c r="A326" s="42"/>
      <c r="B326" s="42"/>
      <c r="C326" s="42"/>
      <c r="D326" s="42"/>
      <c r="E326" s="42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42"/>
      <c r="X326" s="42"/>
      <c r="Y326" s="42"/>
      <c r="Z326" s="42"/>
      <c r="AA326" s="42"/>
    </row>
    <row r="327" spans="1:27" x14ac:dyDescent="0.2">
      <c r="A327" s="42"/>
      <c r="B327" s="42"/>
      <c r="C327" s="42"/>
      <c r="D327" s="42"/>
      <c r="E327" s="42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42"/>
      <c r="X327" s="42"/>
      <c r="Y327" s="42"/>
      <c r="Z327" s="42"/>
      <c r="AA327" s="42"/>
    </row>
    <row r="328" spans="1:27" x14ac:dyDescent="0.2">
      <c r="A328" s="42"/>
      <c r="B328" s="42"/>
      <c r="C328" s="42"/>
      <c r="D328" s="42"/>
      <c r="E328" s="42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42"/>
      <c r="X328" s="42"/>
      <c r="Y328" s="42"/>
      <c r="Z328" s="42"/>
      <c r="AA328" s="42"/>
    </row>
    <row r="329" spans="1:27" x14ac:dyDescent="0.2">
      <c r="A329" s="42"/>
      <c r="B329" s="42"/>
      <c r="C329" s="42"/>
      <c r="D329" s="42"/>
      <c r="E329" s="42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42"/>
      <c r="X329" s="42"/>
      <c r="Y329" s="42"/>
      <c r="Z329" s="42"/>
      <c r="AA329" s="42"/>
    </row>
    <row r="330" spans="1:27" x14ac:dyDescent="0.2">
      <c r="A330" s="42"/>
      <c r="B330" s="42"/>
      <c r="C330" s="42"/>
      <c r="D330" s="42"/>
      <c r="E330" s="42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42"/>
      <c r="X330" s="42"/>
      <c r="Y330" s="42"/>
      <c r="Z330" s="42"/>
      <c r="AA330" s="42"/>
    </row>
    <row r="331" spans="1:27" x14ac:dyDescent="0.2">
      <c r="A331" s="42"/>
      <c r="B331" s="42"/>
      <c r="C331" s="42"/>
      <c r="D331" s="42"/>
      <c r="E331" s="42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42"/>
      <c r="X331" s="42"/>
      <c r="Y331" s="42"/>
      <c r="Z331" s="42"/>
      <c r="AA331" s="42"/>
    </row>
    <row r="332" spans="1:27" x14ac:dyDescent="0.2">
      <c r="A332" s="42"/>
      <c r="B332" s="42"/>
      <c r="C332" s="42"/>
      <c r="D332" s="42"/>
      <c r="E332" s="42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42"/>
      <c r="X332" s="42"/>
      <c r="Y332" s="42"/>
      <c r="Z332" s="42"/>
      <c r="AA332" s="42"/>
    </row>
    <row r="333" spans="1:27" x14ac:dyDescent="0.2">
      <c r="A333" s="42"/>
      <c r="B333" s="42"/>
      <c r="C333" s="42"/>
      <c r="D333" s="42"/>
      <c r="E333" s="42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42"/>
      <c r="X333" s="42"/>
      <c r="Y333" s="42"/>
      <c r="Z333" s="42"/>
      <c r="AA333" s="42"/>
    </row>
    <row r="334" spans="1:27" x14ac:dyDescent="0.2">
      <c r="A334" s="42"/>
      <c r="B334" s="42"/>
      <c r="C334" s="42"/>
      <c r="D334" s="42"/>
      <c r="E334" s="42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42"/>
      <c r="X334" s="42"/>
      <c r="Y334" s="42"/>
      <c r="Z334" s="42"/>
      <c r="AA334" s="42"/>
    </row>
    <row r="335" spans="1:27" x14ac:dyDescent="0.2">
      <c r="A335" s="42"/>
      <c r="B335" s="42"/>
      <c r="C335" s="42"/>
      <c r="D335" s="42"/>
      <c r="E335" s="42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42"/>
      <c r="X335" s="42"/>
      <c r="Y335" s="42"/>
      <c r="Z335" s="42"/>
      <c r="AA335" s="42"/>
    </row>
    <row r="336" spans="1:27" x14ac:dyDescent="0.2">
      <c r="A336" s="42"/>
      <c r="B336" s="42"/>
      <c r="C336" s="42"/>
      <c r="D336" s="42"/>
      <c r="E336" s="42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42"/>
      <c r="X336" s="42"/>
      <c r="Y336" s="42"/>
      <c r="Z336" s="42"/>
      <c r="AA336" s="42"/>
    </row>
    <row r="337" spans="1:27" x14ac:dyDescent="0.2">
      <c r="A337" s="42"/>
      <c r="B337" s="42"/>
      <c r="C337" s="42"/>
      <c r="D337" s="42"/>
      <c r="E337" s="42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42"/>
      <c r="X337" s="42"/>
      <c r="Y337" s="42"/>
      <c r="Z337" s="42"/>
      <c r="AA337" s="42"/>
    </row>
    <row r="338" spans="1:27" x14ac:dyDescent="0.2">
      <c r="A338" s="42"/>
      <c r="B338" s="42"/>
      <c r="C338" s="42"/>
      <c r="D338" s="42"/>
      <c r="E338" s="42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42"/>
      <c r="X338" s="42"/>
      <c r="Y338" s="42"/>
      <c r="Z338" s="42"/>
      <c r="AA338" s="42"/>
    </row>
    <row r="339" spans="1:27" x14ac:dyDescent="0.2">
      <c r="A339" s="42"/>
      <c r="B339" s="42"/>
      <c r="C339" s="42"/>
      <c r="D339" s="42"/>
      <c r="E339" s="42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42"/>
      <c r="X339" s="42"/>
      <c r="Y339" s="42"/>
      <c r="Z339" s="42"/>
      <c r="AA339" s="42"/>
    </row>
    <row r="340" spans="1:27" x14ac:dyDescent="0.2">
      <c r="A340" s="42"/>
      <c r="B340" s="42"/>
      <c r="C340" s="42"/>
      <c r="D340" s="42"/>
      <c r="E340" s="42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42"/>
      <c r="X340" s="42"/>
      <c r="Y340" s="42"/>
      <c r="Z340" s="42"/>
      <c r="AA340" s="42"/>
    </row>
    <row r="341" spans="1:27" x14ac:dyDescent="0.2">
      <c r="A341" s="42"/>
      <c r="B341" s="42"/>
      <c r="C341" s="42"/>
      <c r="D341" s="42"/>
      <c r="E341" s="42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42"/>
      <c r="X341" s="42"/>
      <c r="Y341" s="42"/>
      <c r="Z341" s="42"/>
      <c r="AA341" s="42"/>
    </row>
    <row r="342" spans="1:27" x14ac:dyDescent="0.2">
      <c r="A342" s="42"/>
      <c r="B342" s="42"/>
      <c r="C342" s="42"/>
      <c r="D342" s="42"/>
      <c r="E342" s="42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42"/>
      <c r="X342" s="42"/>
      <c r="Y342" s="42"/>
      <c r="Z342" s="42"/>
      <c r="AA342" s="42"/>
    </row>
    <row r="343" spans="1:27" x14ac:dyDescent="0.2">
      <c r="A343" s="42"/>
      <c r="B343" s="42"/>
      <c r="C343" s="42"/>
      <c r="D343" s="42"/>
      <c r="E343" s="42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42"/>
      <c r="X343" s="42"/>
      <c r="Y343" s="42"/>
      <c r="Z343" s="42"/>
      <c r="AA343" s="42"/>
    </row>
    <row r="344" spans="1:27" x14ac:dyDescent="0.2">
      <c r="A344" s="42"/>
      <c r="B344" s="42"/>
      <c r="C344" s="42"/>
      <c r="D344" s="42"/>
      <c r="E344" s="42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42"/>
      <c r="X344" s="42"/>
      <c r="Y344" s="42"/>
      <c r="Z344" s="42"/>
      <c r="AA344" s="42"/>
    </row>
    <row r="345" spans="1:27" x14ac:dyDescent="0.2">
      <c r="A345" s="42"/>
      <c r="B345" s="42"/>
      <c r="C345" s="42"/>
      <c r="D345" s="42"/>
      <c r="E345" s="42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42"/>
      <c r="X345" s="42"/>
      <c r="Y345" s="42"/>
      <c r="Z345" s="42"/>
      <c r="AA345" s="42"/>
    </row>
    <row r="346" spans="1:27" x14ac:dyDescent="0.2">
      <c r="A346" s="42"/>
      <c r="B346" s="42"/>
      <c r="C346" s="42"/>
      <c r="D346" s="42"/>
      <c r="E346" s="42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42"/>
      <c r="X346" s="42"/>
      <c r="Y346" s="42"/>
      <c r="Z346" s="42"/>
      <c r="AA346" s="42"/>
    </row>
    <row r="347" spans="1:27" x14ac:dyDescent="0.2">
      <c r="A347" s="42"/>
      <c r="B347" s="42"/>
      <c r="C347" s="42"/>
      <c r="D347" s="42"/>
      <c r="E347" s="42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42"/>
      <c r="X347" s="42"/>
      <c r="Y347" s="42"/>
      <c r="Z347" s="42"/>
      <c r="AA347" s="42"/>
    </row>
    <row r="348" spans="1:27" x14ac:dyDescent="0.2">
      <c r="A348" s="42"/>
      <c r="B348" s="42"/>
      <c r="C348" s="42"/>
      <c r="D348" s="42"/>
      <c r="E348" s="42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42"/>
      <c r="X348" s="42"/>
      <c r="Y348" s="42"/>
      <c r="Z348" s="42"/>
      <c r="AA348" s="42"/>
    </row>
    <row r="349" spans="1:27" x14ac:dyDescent="0.2">
      <c r="A349" s="42"/>
      <c r="B349" s="42"/>
      <c r="C349" s="42"/>
      <c r="D349" s="42"/>
      <c r="E349" s="42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42"/>
      <c r="X349" s="42"/>
      <c r="Y349" s="42"/>
      <c r="Z349" s="42"/>
      <c r="AA349" s="42"/>
    </row>
    <row r="350" spans="1:27" x14ac:dyDescent="0.2">
      <c r="A350" s="42"/>
      <c r="B350" s="42"/>
      <c r="C350" s="42"/>
      <c r="D350" s="42"/>
      <c r="E350" s="42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42"/>
      <c r="X350" s="42"/>
      <c r="Y350" s="42"/>
      <c r="Z350" s="42"/>
      <c r="AA350" s="42"/>
    </row>
    <row r="351" spans="1:27" x14ac:dyDescent="0.2">
      <c r="A351" s="42"/>
      <c r="B351" s="42"/>
      <c r="C351" s="42"/>
      <c r="D351" s="42"/>
      <c r="E351" s="42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42"/>
      <c r="X351" s="42"/>
      <c r="Y351" s="42"/>
      <c r="Z351" s="42"/>
      <c r="AA351" s="42"/>
    </row>
    <row r="352" spans="1:27" x14ac:dyDescent="0.2">
      <c r="A352" s="42"/>
      <c r="B352" s="42"/>
      <c r="C352" s="42"/>
      <c r="D352" s="42"/>
      <c r="E352" s="42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42"/>
      <c r="X352" s="42"/>
      <c r="Y352" s="42"/>
      <c r="Z352" s="42"/>
      <c r="AA352" s="42"/>
    </row>
    <row r="353" spans="1:27" x14ac:dyDescent="0.2">
      <c r="A353" s="42"/>
      <c r="B353" s="42"/>
      <c r="C353" s="42"/>
      <c r="D353" s="42"/>
      <c r="E353" s="42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42"/>
      <c r="X353" s="42"/>
      <c r="Y353" s="42"/>
      <c r="Z353" s="42"/>
      <c r="AA353" s="42"/>
    </row>
    <row r="354" spans="1:27" x14ac:dyDescent="0.2">
      <c r="A354" s="42"/>
      <c r="B354" s="42"/>
      <c r="C354" s="42"/>
      <c r="D354" s="42"/>
      <c r="E354" s="42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42"/>
      <c r="X354" s="42"/>
      <c r="Y354" s="42"/>
      <c r="Z354" s="42"/>
      <c r="AA354" s="42"/>
    </row>
    <row r="355" spans="1:27" x14ac:dyDescent="0.2">
      <c r="A355" s="42"/>
      <c r="B355" s="42"/>
      <c r="C355" s="42"/>
      <c r="D355" s="42"/>
      <c r="E355" s="42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42"/>
      <c r="X355" s="42"/>
      <c r="Y355" s="42"/>
      <c r="Z355" s="42"/>
      <c r="AA355" s="42"/>
    </row>
    <row r="356" spans="1:27" x14ac:dyDescent="0.2">
      <c r="A356" s="42"/>
      <c r="B356" s="42"/>
      <c r="C356" s="42"/>
      <c r="D356" s="42"/>
      <c r="E356" s="42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42"/>
      <c r="X356" s="42"/>
      <c r="Y356" s="42"/>
      <c r="Z356" s="42"/>
      <c r="AA356" s="42"/>
    </row>
    <row r="357" spans="1:27" x14ac:dyDescent="0.2">
      <c r="A357" s="42"/>
      <c r="B357" s="42"/>
      <c r="C357" s="42"/>
      <c r="D357" s="42"/>
      <c r="E357" s="42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42"/>
      <c r="X357" s="42"/>
      <c r="Y357" s="42"/>
      <c r="Z357" s="42"/>
      <c r="AA357" s="42"/>
    </row>
    <row r="358" spans="1:27" x14ac:dyDescent="0.2">
      <c r="A358" s="42"/>
      <c r="B358" s="42"/>
      <c r="C358" s="42"/>
      <c r="D358" s="42"/>
      <c r="E358" s="42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42"/>
      <c r="X358" s="42"/>
      <c r="Y358" s="42"/>
      <c r="Z358" s="42"/>
      <c r="AA358" s="42"/>
    </row>
    <row r="359" spans="1:27" x14ac:dyDescent="0.2">
      <c r="A359" s="42"/>
      <c r="B359" s="42"/>
      <c r="C359" s="42"/>
      <c r="D359" s="42"/>
      <c r="E359" s="42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42"/>
      <c r="X359" s="42"/>
      <c r="Y359" s="42"/>
      <c r="Z359" s="42"/>
      <c r="AA359" s="42"/>
    </row>
    <row r="360" spans="1:27" x14ac:dyDescent="0.2">
      <c r="A360" s="42"/>
      <c r="B360" s="42"/>
      <c r="C360" s="42"/>
      <c r="D360" s="42"/>
      <c r="E360" s="42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42"/>
      <c r="X360" s="42"/>
      <c r="Y360" s="42"/>
      <c r="Z360" s="42"/>
      <c r="AA360" s="42"/>
    </row>
    <row r="361" spans="1:27" x14ac:dyDescent="0.2">
      <c r="A361" s="42"/>
      <c r="B361" s="42"/>
      <c r="C361" s="42"/>
      <c r="D361" s="42"/>
      <c r="E361" s="42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42"/>
      <c r="X361" s="42"/>
      <c r="Y361" s="42"/>
      <c r="Z361" s="42"/>
      <c r="AA361" s="42"/>
    </row>
    <row r="362" spans="1:27" x14ac:dyDescent="0.2">
      <c r="A362" s="42"/>
      <c r="B362" s="42"/>
      <c r="C362" s="42"/>
      <c r="D362" s="42"/>
      <c r="E362" s="42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42"/>
      <c r="X362" s="42"/>
      <c r="Y362" s="42"/>
      <c r="Z362" s="42"/>
      <c r="AA362" s="42"/>
    </row>
    <row r="363" spans="1:27" x14ac:dyDescent="0.2">
      <c r="A363" s="42"/>
      <c r="B363" s="42"/>
      <c r="C363" s="42"/>
      <c r="D363" s="42"/>
      <c r="E363" s="42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42"/>
      <c r="X363" s="42"/>
      <c r="Y363" s="42"/>
      <c r="Z363" s="42"/>
      <c r="AA363" s="42"/>
    </row>
    <row r="364" spans="1:27" x14ac:dyDescent="0.2">
      <c r="A364" s="42"/>
      <c r="B364" s="42"/>
      <c r="C364" s="42"/>
      <c r="D364" s="42"/>
      <c r="E364" s="42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42"/>
      <c r="X364" s="42"/>
      <c r="Y364" s="42"/>
      <c r="Z364" s="42"/>
      <c r="AA364" s="42"/>
    </row>
    <row r="365" spans="1:27" x14ac:dyDescent="0.2">
      <c r="A365" s="42"/>
      <c r="B365" s="42"/>
      <c r="C365" s="42"/>
      <c r="D365" s="42"/>
      <c r="E365" s="42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42"/>
      <c r="X365" s="42"/>
      <c r="Y365" s="42"/>
      <c r="Z365" s="42"/>
      <c r="AA365" s="42"/>
    </row>
    <row r="366" spans="1:27" x14ac:dyDescent="0.2">
      <c r="A366" s="42"/>
      <c r="B366" s="42"/>
      <c r="C366" s="42"/>
      <c r="D366" s="42"/>
      <c r="E366" s="42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42"/>
      <c r="X366" s="42"/>
      <c r="Y366" s="42"/>
      <c r="Z366" s="42"/>
      <c r="AA366" s="42"/>
    </row>
    <row r="367" spans="1:27" x14ac:dyDescent="0.2">
      <c r="A367" s="42"/>
      <c r="B367" s="42"/>
      <c r="C367" s="42"/>
      <c r="D367" s="42"/>
      <c r="E367" s="42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42"/>
      <c r="X367" s="42"/>
      <c r="Y367" s="42"/>
      <c r="Z367" s="42"/>
      <c r="AA367" s="42"/>
    </row>
    <row r="368" spans="1:27" x14ac:dyDescent="0.2">
      <c r="A368" s="42"/>
      <c r="B368" s="42"/>
      <c r="C368" s="42"/>
      <c r="D368" s="42"/>
      <c r="E368" s="42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42"/>
      <c r="X368" s="42"/>
      <c r="Y368" s="42"/>
      <c r="Z368" s="42"/>
      <c r="AA368" s="42"/>
    </row>
    <row r="369" spans="1:27" x14ac:dyDescent="0.2">
      <c r="A369" s="42"/>
      <c r="B369" s="42"/>
      <c r="C369" s="42"/>
      <c r="D369" s="42"/>
      <c r="E369" s="42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42"/>
      <c r="X369" s="42"/>
      <c r="Y369" s="42"/>
      <c r="Z369" s="42"/>
      <c r="AA369" s="42"/>
    </row>
    <row r="370" spans="1:27" x14ac:dyDescent="0.2">
      <c r="A370" s="42"/>
      <c r="B370" s="42"/>
      <c r="C370" s="42"/>
      <c r="D370" s="42"/>
      <c r="E370" s="42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42"/>
      <c r="X370" s="42"/>
      <c r="Y370" s="42"/>
      <c r="Z370" s="42"/>
      <c r="AA370" s="42"/>
    </row>
    <row r="371" spans="1:27" x14ac:dyDescent="0.2">
      <c r="A371" s="42"/>
      <c r="B371" s="42"/>
      <c r="C371" s="42"/>
      <c r="D371" s="42"/>
      <c r="E371" s="42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42"/>
      <c r="X371" s="42"/>
      <c r="Y371" s="42"/>
      <c r="Z371" s="42"/>
      <c r="AA371" s="42"/>
    </row>
    <row r="372" spans="1:27" x14ac:dyDescent="0.2">
      <c r="A372" s="42"/>
      <c r="B372" s="42"/>
      <c r="C372" s="42"/>
      <c r="D372" s="42"/>
      <c r="E372" s="42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42"/>
      <c r="X372" s="42"/>
      <c r="Y372" s="42"/>
      <c r="Z372" s="42"/>
      <c r="AA372" s="42"/>
    </row>
    <row r="373" spans="1:27" x14ac:dyDescent="0.2">
      <c r="A373" s="42"/>
      <c r="B373" s="42"/>
      <c r="C373" s="42"/>
      <c r="D373" s="42"/>
      <c r="E373" s="42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42"/>
      <c r="X373" s="42"/>
      <c r="Y373" s="42"/>
      <c r="Z373" s="42"/>
      <c r="AA373" s="42"/>
    </row>
    <row r="374" spans="1:27" x14ac:dyDescent="0.2">
      <c r="A374" s="42"/>
      <c r="B374" s="42"/>
      <c r="C374" s="42"/>
      <c r="D374" s="42"/>
      <c r="E374" s="42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42"/>
      <c r="X374" s="42"/>
      <c r="Y374" s="42"/>
      <c r="Z374" s="42"/>
      <c r="AA374" s="42"/>
    </row>
    <row r="375" spans="1:27" x14ac:dyDescent="0.2">
      <c r="A375" s="42"/>
      <c r="B375" s="42"/>
      <c r="C375" s="42"/>
      <c r="D375" s="42"/>
      <c r="E375" s="42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42"/>
      <c r="X375" s="42"/>
      <c r="Y375" s="42"/>
      <c r="Z375" s="42"/>
      <c r="AA375" s="42"/>
    </row>
    <row r="376" spans="1:27" x14ac:dyDescent="0.2">
      <c r="A376" s="42"/>
      <c r="B376" s="42"/>
      <c r="C376" s="42"/>
      <c r="D376" s="42"/>
      <c r="E376" s="42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42"/>
      <c r="X376" s="42"/>
      <c r="Y376" s="42"/>
      <c r="Z376" s="42"/>
      <c r="AA376" s="42"/>
    </row>
    <row r="377" spans="1:27" x14ac:dyDescent="0.2">
      <c r="A377" s="42"/>
      <c r="B377" s="42"/>
      <c r="C377" s="42"/>
      <c r="D377" s="42"/>
      <c r="E377" s="42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42"/>
      <c r="X377" s="42"/>
      <c r="Y377" s="42"/>
      <c r="Z377" s="42"/>
      <c r="AA377" s="42"/>
    </row>
    <row r="378" spans="1:27" x14ac:dyDescent="0.2">
      <c r="A378" s="42"/>
      <c r="B378" s="42"/>
      <c r="C378" s="42"/>
      <c r="D378" s="42"/>
      <c r="E378" s="42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42"/>
      <c r="X378" s="42"/>
      <c r="Y378" s="42"/>
      <c r="Z378" s="42"/>
      <c r="AA378" s="42"/>
    </row>
    <row r="379" spans="1:27" x14ac:dyDescent="0.2">
      <c r="A379" s="42"/>
      <c r="B379" s="42"/>
      <c r="C379" s="42"/>
      <c r="D379" s="42"/>
      <c r="E379" s="42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42"/>
      <c r="X379" s="42"/>
      <c r="Y379" s="42"/>
      <c r="Z379" s="42"/>
      <c r="AA379" s="42"/>
    </row>
    <row r="380" spans="1:27" x14ac:dyDescent="0.2">
      <c r="A380" s="42"/>
      <c r="B380" s="42"/>
      <c r="C380" s="42"/>
      <c r="D380" s="42"/>
      <c r="E380" s="42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42"/>
      <c r="X380" s="42"/>
      <c r="Y380" s="42"/>
      <c r="Z380" s="42"/>
      <c r="AA380" s="42"/>
    </row>
    <row r="381" spans="1:27" x14ac:dyDescent="0.2">
      <c r="A381" s="42"/>
      <c r="B381" s="42"/>
      <c r="C381" s="42"/>
      <c r="D381" s="42"/>
      <c r="E381" s="42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42"/>
      <c r="X381" s="42"/>
      <c r="Y381" s="42"/>
      <c r="Z381" s="42"/>
      <c r="AA381" s="42"/>
    </row>
    <row r="382" spans="1:27" x14ac:dyDescent="0.2">
      <c r="A382" s="42"/>
      <c r="B382" s="42"/>
      <c r="C382" s="42"/>
      <c r="D382" s="42"/>
      <c r="E382" s="42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42"/>
      <c r="X382" s="42"/>
      <c r="Y382" s="42"/>
      <c r="Z382" s="42"/>
      <c r="AA382" s="42"/>
    </row>
    <row r="383" spans="1:27" x14ac:dyDescent="0.2">
      <c r="A383" s="42"/>
      <c r="B383" s="42"/>
      <c r="C383" s="42"/>
      <c r="D383" s="42"/>
      <c r="E383" s="42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42"/>
      <c r="X383" s="42"/>
      <c r="Y383" s="42"/>
      <c r="Z383" s="42"/>
      <c r="AA383" s="42"/>
    </row>
    <row r="384" spans="1:27" x14ac:dyDescent="0.2">
      <c r="A384" s="42"/>
      <c r="B384" s="42"/>
      <c r="C384" s="42"/>
      <c r="D384" s="42"/>
      <c r="E384" s="42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42"/>
      <c r="X384" s="42"/>
      <c r="Y384" s="42"/>
      <c r="Z384" s="42"/>
      <c r="AA384" s="42"/>
    </row>
    <row r="385" spans="1:27" x14ac:dyDescent="0.2">
      <c r="A385" s="42"/>
      <c r="B385" s="42"/>
      <c r="C385" s="42"/>
      <c r="D385" s="42"/>
      <c r="E385" s="42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42"/>
      <c r="X385" s="42"/>
      <c r="Y385" s="42"/>
      <c r="Z385" s="42"/>
      <c r="AA385" s="42"/>
    </row>
    <row r="386" spans="1:27" x14ac:dyDescent="0.2">
      <c r="A386" s="42"/>
      <c r="B386" s="42"/>
      <c r="C386" s="42"/>
      <c r="D386" s="42"/>
      <c r="E386" s="42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42"/>
      <c r="X386" s="42"/>
      <c r="Y386" s="42"/>
      <c r="Z386" s="42"/>
      <c r="AA386" s="42"/>
    </row>
    <row r="387" spans="1:27" x14ac:dyDescent="0.2">
      <c r="A387" s="42"/>
      <c r="B387" s="42"/>
      <c r="C387" s="42"/>
      <c r="D387" s="42"/>
      <c r="E387" s="42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42"/>
      <c r="X387" s="42"/>
      <c r="Y387" s="42"/>
      <c r="Z387" s="42"/>
      <c r="AA387" s="42"/>
    </row>
    <row r="388" spans="1:27" x14ac:dyDescent="0.2">
      <c r="A388" s="42"/>
      <c r="B388" s="42"/>
      <c r="C388" s="42"/>
      <c r="D388" s="42"/>
      <c r="E388" s="42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42"/>
      <c r="X388" s="42"/>
      <c r="Y388" s="42"/>
      <c r="Z388" s="42"/>
      <c r="AA388" s="42"/>
    </row>
    <row r="389" spans="1:27" x14ac:dyDescent="0.2">
      <c r="A389" s="42"/>
      <c r="B389" s="42"/>
      <c r="C389" s="42"/>
      <c r="D389" s="42"/>
      <c r="E389" s="42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42"/>
      <c r="X389" s="42"/>
      <c r="Y389" s="42"/>
      <c r="Z389" s="42"/>
      <c r="AA389" s="42"/>
    </row>
    <row r="390" spans="1:27" x14ac:dyDescent="0.2">
      <c r="A390" s="42"/>
      <c r="B390" s="42"/>
      <c r="C390" s="42"/>
      <c r="D390" s="42"/>
      <c r="E390" s="42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42"/>
      <c r="X390" s="42"/>
      <c r="Y390" s="42"/>
      <c r="Z390" s="42"/>
      <c r="AA390" s="42"/>
    </row>
    <row r="391" spans="1:27" x14ac:dyDescent="0.2">
      <c r="A391" s="42"/>
      <c r="B391" s="42"/>
      <c r="C391" s="42"/>
      <c r="D391" s="42"/>
      <c r="E391" s="42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42"/>
      <c r="X391" s="42"/>
      <c r="Y391" s="42"/>
      <c r="Z391" s="42"/>
      <c r="AA391" s="42"/>
    </row>
    <row r="392" spans="1:27" x14ac:dyDescent="0.2">
      <c r="A392" s="42"/>
      <c r="B392" s="42"/>
      <c r="C392" s="42"/>
      <c r="D392" s="42"/>
      <c r="E392" s="42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42"/>
      <c r="X392" s="42"/>
      <c r="Y392" s="42"/>
      <c r="Z392" s="42"/>
      <c r="AA392" s="42"/>
    </row>
    <row r="393" spans="1:27" x14ac:dyDescent="0.2">
      <c r="A393" s="42"/>
      <c r="B393" s="42"/>
      <c r="C393" s="42"/>
      <c r="D393" s="42"/>
      <c r="E393" s="42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42"/>
      <c r="X393" s="42"/>
      <c r="Y393" s="42"/>
      <c r="Z393" s="42"/>
      <c r="AA393" s="42"/>
    </row>
    <row r="394" spans="1:27" x14ac:dyDescent="0.2">
      <c r="A394" s="42"/>
      <c r="B394" s="42"/>
      <c r="C394" s="42"/>
      <c r="D394" s="42"/>
      <c r="E394" s="42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42"/>
      <c r="X394" s="42"/>
      <c r="Y394" s="42"/>
      <c r="Z394" s="42"/>
      <c r="AA394" s="42"/>
    </row>
    <row r="395" spans="1:27" x14ac:dyDescent="0.2">
      <c r="A395" s="42"/>
      <c r="B395" s="42"/>
      <c r="C395" s="42"/>
      <c r="D395" s="42"/>
      <c r="E395" s="42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42"/>
      <c r="X395" s="42"/>
      <c r="Y395" s="42"/>
      <c r="Z395" s="42"/>
      <c r="AA395" s="42"/>
    </row>
    <row r="396" spans="1:27" x14ac:dyDescent="0.2">
      <c r="A396" s="42"/>
      <c r="B396" s="42"/>
      <c r="C396" s="42"/>
      <c r="D396" s="42"/>
      <c r="E396" s="42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42"/>
      <c r="X396" s="42"/>
      <c r="Y396" s="42"/>
      <c r="Z396" s="42"/>
      <c r="AA396" s="42"/>
    </row>
    <row r="397" spans="1:27" x14ac:dyDescent="0.2">
      <c r="A397" s="42"/>
      <c r="B397" s="42"/>
      <c r="C397" s="42"/>
      <c r="D397" s="42"/>
      <c r="E397" s="42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42"/>
      <c r="X397" s="42"/>
      <c r="Y397" s="42"/>
      <c r="Z397" s="42"/>
      <c r="AA397" s="42"/>
    </row>
    <row r="398" spans="1:27" x14ac:dyDescent="0.2">
      <c r="A398" s="42"/>
      <c r="B398" s="42"/>
      <c r="C398" s="42"/>
      <c r="D398" s="42"/>
      <c r="E398" s="42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42"/>
      <c r="X398" s="42"/>
      <c r="Y398" s="42"/>
      <c r="Z398" s="42"/>
      <c r="AA398" s="42"/>
    </row>
    <row r="399" spans="1:27" x14ac:dyDescent="0.2">
      <c r="A399" s="42"/>
      <c r="B399" s="42"/>
      <c r="C399" s="42"/>
      <c r="D399" s="42"/>
      <c r="E399" s="42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42"/>
      <c r="X399" s="42"/>
      <c r="Y399" s="42"/>
      <c r="Z399" s="42"/>
      <c r="AA399" s="42"/>
    </row>
    <row r="400" spans="1:27" x14ac:dyDescent="0.2">
      <c r="A400" s="42"/>
      <c r="B400" s="42"/>
      <c r="C400" s="42"/>
      <c r="D400" s="42"/>
      <c r="E400" s="42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42"/>
      <c r="X400" s="42"/>
      <c r="Y400" s="42"/>
      <c r="Z400" s="42"/>
      <c r="AA400" s="42"/>
    </row>
    <row r="401" spans="1:27" x14ac:dyDescent="0.2">
      <c r="A401" s="42"/>
      <c r="B401" s="42"/>
      <c r="C401" s="42"/>
      <c r="D401" s="42"/>
      <c r="E401" s="42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42"/>
      <c r="X401" s="42"/>
      <c r="Y401" s="42"/>
      <c r="Z401" s="42"/>
      <c r="AA401" s="42"/>
    </row>
    <row r="402" spans="1:27" x14ac:dyDescent="0.2">
      <c r="A402" s="42"/>
      <c r="B402" s="42"/>
      <c r="C402" s="42"/>
      <c r="D402" s="42"/>
      <c r="E402" s="42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42"/>
      <c r="X402" s="42"/>
      <c r="Y402" s="42"/>
      <c r="Z402" s="42"/>
      <c r="AA402" s="42"/>
    </row>
    <row r="403" spans="1:27" x14ac:dyDescent="0.2">
      <c r="A403" s="42"/>
      <c r="B403" s="42"/>
      <c r="C403" s="42"/>
      <c r="D403" s="42"/>
      <c r="E403" s="42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42"/>
      <c r="X403" s="42"/>
      <c r="Y403" s="42"/>
      <c r="Z403" s="42"/>
      <c r="AA403" s="42"/>
    </row>
    <row r="404" spans="1:27" x14ac:dyDescent="0.2">
      <c r="A404" s="42"/>
      <c r="B404" s="42"/>
      <c r="C404" s="42"/>
      <c r="D404" s="42"/>
      <c r="E404" s="42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42"/>
      <c r="X404" s="42"/>
      <c r="Y404" s="42"/>
      <c r="Z404" s="42"/>
      <c r="AA404" s="42"/>
    </row>
    <row r="405" spans="1:27" x14ac:dyDescent="0.2">
      <c r="A405" s="42"/>
      <c r="B405" s="42"/>
      <c r="C405" s="42"/>
      <c r="D405" s="42"/>
      <c r="E405" s="42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42"/>
      <c r="X405" s="42"/>
      <c r="Y405" s="42"/>
      <c r="Z405" s="42"/>
      <c r="AA405" s="42"/>
    </row>
    <row r="406" spans="1:27" x14ac:dyDescent="0.2">
      <c r="A406" s="42"/>
      <c r="B406" s="42"/>
      <c r="C406" s="42"/>
      <c r="D406" s="42"/>
      <c r="E406" s="42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42"/>
      <c r="X406" s="42"/>
      <c r="Y406" s="42"/>
      <c r="Z406" s="42"/>
      <c r="AA406" s="42"/>
    </row>
    <row r="407" spans="1:27" x14ac:dyDescent="0.2">
      <c r="A407" s="42"/>
      <c r="B407" s="42"/>
      <c r="C407" s="42"/>
      <c r="D407" s="42"/>
      <c r="E407" s="42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42"/>
      <c r="X407" s="42"/>
      <c r="Y407" s="42"/>
      <c r="Z407" s="42"/>
      <c r="AA407" s="42"/>
    </row>
    <row r="408" spans="1:27" x14ac:dyDescent="0.2">
      <c r="A408" s="42"/>
      <c r="B408" s="42"/>
      <c r="C408" s="42"/>
      <c r="D408" s="42"/>
      <c r="E408" s="42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42"/>
      <c r="X408" s="42"/>
      <c r="Y408" s="42"/>
      <c r="Z408" s="42"/>
      <c r="AA408" s="42"/>
    </row>
    <row r="409" spans="1:27" x14ac:dyDescent="0.2">
      <c r="A409" s="42"/>
      <c r="B409" s="42"/>
      <c r="C409" s="42"/>
      <c r="D409" s="42"/>
      <c r="E409" s="42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42"/>
      <c r="X409" s="42"/>
      <c r="Y409" s="42"/>
      <c r="Z409" s="42"/>
      <c r="AA409" s="42"/>
    </row>
    <row r="410" spans="1:27" x14ac:dyDescent="0.2">
      <c r="A410" s="42"/>
      <c r="B410" s="42"/>
      <c r="C410" s="42"/>
      <c r="D410" s="42"/>
      <c r="E410" s="42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42"/>
      <c r="X410" s="42"/>
      <c r="Y410" s="42"/>
      <c r="Z410" s="42"/>
      <c r="AA410" s="42"/>
    </row>
    <row r="411" spans="1:27" x14ac:dyDescent="0.2">
      <c r="A411" s="42"/>
      <c r="B411" s="42"/>
      <c r="C411" s="42"/>
      <c r="D411" s="42"/>
      <c r="E411" s="42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42"/>
      <c r="X411" s="42"/>
      <c r="Y411" s="42"/>
      <c r="Z411" s="42"/>
      <c r="AA411" s="42"/>
    </row>
    <row r="412" spans="1:27" x14ac:dyDescent="0.2">
      <c r="A412" s="42"/>
      <c r="B412" s="42"/>
      <c r="C412" s="42"/>
      <c r="D412" s="42"/>
      <c r="E412" s="42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42"/>
      <c r="X412" s="42"/>
      <c r="Y412" s="42"/>
      <c r="Z412" s="42"/>
      <c r="AA412" s="42"/>
    </row>
    <row r="413" spans="1:27" x14ac:dyDescent="0.2">
      <c r="A413" s="42"/>
      <c r="B413" s="42"/>
      <c r="C413" s="42"/>
      <c r="D413" s="42"/>
      <c r="E413" s="42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42"/>
      <c r="X413" s="42"/>
      <c r="Y413" s="42"/>
      <c r="Z413" s="42"/>
      <c r="AA413" s="42"/>
    </row>
    <row r="414" spans="1:27" x14ac:dyDescent="0.2">
      <c r="A414" s="42"/>
      <c r="B414" s="42"/>
      <c r="C414" s="42"/>
      <c r="D414" s="42"/>
      <c r="E414" s="42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42"/>
      <c r="X414" s="42"/>
      <c r="Y414" s="42"/>
      <c r="Z414" s="42"/>
      <c r="AA414" s="42"/>
    </row>
    <row r="415" spans="1:27" x14ac:dyDescent="0.2">
      <c r="A415" s="42"/>
      <c r="B415" s="42"/>
      <c r="C415" s="42"/>
      <c r="D415" s="42"/>
      <c r="E415" s="42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42"/>
      <c r="X415" s="42"/>
      <c r="Y415" s="42"/>
      <c r="Z415" s="42"/>
      <c r="AA415" s="42"/>
    </row>
    <row r="416" spans="1:27" x14ac:dyDescent="0.2">
      <c r="A416" s="42"/>
      <c r="B416" s="42"/>
      <c r="C416" s="42"/>
      <c r="D416" s="42"/>
      <c r="E416" s="42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42"/>
      <c r="X416" s="42"/>
      <c r="Y416" s="42"/>
      <c r="Z416" s="42"/>
      <c r="AA416" s="42"/>
    </row>
    <row r="417" spans="1:27" x14ac:dyDescent="0.2">
      <c r="A417" s="42"/>
      <c r="B417" s="42"/>
      <c r="C417" s="42"/>
      <c r="D417" s="42"/>
      <c r="E417" s="42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42"/>
      <c r="X417" s="42"/>
      <c r="Y417" s="42"/>
      <c r="Z417" s="42"/>
      <c r="AA417" s="42"/>
    </row>
    <row r="418" spans="1:27" x14ac:dyDescent="0.2">
      <c r="A418" s="42"/>
      <c r="B418" s="42"/>
      <c r="C418" s="42"/>
      <c r="D418" s="42"/>
      <c r="E418" s="42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42"/>
      <c r="X418" s="42"/>
      <c r="Y418" s="42"/>
      <c r="Z418" s="42"/>
      <c r="AA418" s="42"/>
    </row>
    <row r="419" spans="1:27" x14ac:dyDescent="0.2">
      <c r="A419" s="42"/>
      <c r="B419" s="42"/>
      <c r="C419" s="42"/>
      <c r="D419" s="42"/>
      <c r="E419" s="42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42"/>
      <c r="X419" s="42"/>
      <c r="Y419" s="42"/>
      <c r="Z419" s="42"/>
      <c r="AA419" s="42"/>
    </row>
    <row r="420" spans="1:27" x14ac:dyDescent="0.2">
      <c r="A420" s="42"/>
      <c r="B420" s="42"/>
      <c r="C420" s="42"/>
      <c r="D420" s="42"/>
      <c r="E420" s="42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42"/>
      <c r="X420" s="42"/>
      <c r="Y420" s="42"/>
      <c r="Z420" s="42"/>
      <c r="AA420" s="42"/>
    </row>
    <row r="421" spans="1:27" x14ac:dyDescent="0.2">
      <c r="A421" s="42"/>
      <c r="B421" s="42"/>
      <c r="C421" s="42"/>
      <c r="D421" s="42"/>
      <c r="E421" s="42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42"/>
      <c r="X421" s="42"/>
      <c r="Y421" s="42"/>
      <c r="Z421" s="42"/>
      <c r="AA421" s="42"/>
    </row>
    <row r="422" spans="1:27" x14ac:dyDescent="0.2">
      <c r="A422" s="42"/>
      <c r="B422" s="42"/>
      <c r="C422" s="42"/>
      <c r="D422" s="42"/>
      <c r="E422" s="42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42"/>
      <c r="X422" s="42"/>
      <c r="Y422" s="42"/>
      <c r="Z422" s="42"/>
      <c r="AA422" s="42"/>
    </row>
    <row r="423" spans="1:27" x14ac:dyDescent="0.2">
      <c r="A423" s="42"/>
      <c r="B423" s="42"/>
      <c r="C423" s="42"/>
      <c r="D423" s="42"/>
      <c r="E423" s="42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42"/>
      <c r="X423" s="42"/>
      <c r="Y423" s="42"/>
      <c r="Z423" s="42"/>
      <c r="AA423" s="42"/>
    </row>
    <row r="424" spans="1:27" x14ac:dyDescent="0.2">
      <c r="A424" s="42"/>
      <c r="B424" s="42"/>
      <c r="C424" s="42"/>
      <c r="D424" s="42"/>
      <c r="E424" s="42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42"/>
      <c r="X424" s="42"/>
      <c r="Y424" s="42"/>
      <c r="Z424" s="42"/>
      <c r="AA424" s="42"/>
    </row>
    <row r="425" spans="1:27" x14ac:dyDescent="0.2">
      <c r="A425" s="42"/>
      <c r="B425" s="42"/>
      <c r="C425" s="42"/>
      <c r="D425" s="42"/>
      <c r="E425" s="42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42"/>
      <c r="X425" s="42"/>
      <c r="Y425" s="42"/>
      <c r="Z425" s="42"/>
      <c r="AA425" s="42"/>
    </row>
    <row r="426" spans="1:27" x14ac:dyDescent="0.2">
      <c r="A426" s="42"/>
      <c r="B426" s="42"/>
      <c r="C426" s="42"/>
      <c r="D426" s="42"/>
      <c r="E426" s="42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42"/>
      <c r="X426" s="42"/>
      <c r="Y426" s="42"/>
      <c r="Z426" s="42"/>
      <c r="AA426" s="42"/>
    </row>
    <row r="427" spans="1:27" x14ac:dyDescent="0.2">
      <c r="A427" s="42"/>
      <c r="B427" s="42"/>
      <c r="C427" s="42"/>
      <c r="D427" s="42"/>
      <c r="E427" s="42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42"/>
      <c r="X427" s="42"/>
      <c r="Y427" s="42"/>
      <c r="Z427" s="42"/>
      <c r="AA427" s="42"/>
    </row>
    <row r="428" spans="1:27" x14ac:dyDescent="0.2">
      <c r="A428" s="42"/>
      <c r="B428" s="42"/>
      <c r="C428" s="42"/>
      <c r="D428" s="42"/>
      <c r="E428" s="42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42"/>
      <c r="X428" s="42"/>
      <c r="Y428" s="42"/>
      <c r="Z428" s="42"/>
      <c r="AA428" s="42"/>
    </row>
    <row r="429" spans="1:27" x14ac:dyDescent="0.2">
      <c r="A429" s="42"/>
      <c r="B429" s="42"/>
      <c r="C429" s="42"/>
      <c r="D429" s="42"/>
      <c r="E429" s="42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42"/>
      <c r="X429" s="42"/>
      <c r="Y429" s="42"/>
      <c r="Z429" s="42"/>
      <c r="AA429" s="42"/>
    </row>
    <row r="430" spans="1:27" x14ac:dyDescent="0.2">
      <c r="A430" s="42"/>
      <c r="B430" s="42"/>
      <c r="C430" s="42"/>
      <c r="D430" s="42"/>
      <c r="E430" s="42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42"/>
      <c r="X430" s="42"/>
      <c r="Y430" s="42"/>
      <c r="Z430" s="42"/>
      <c r="AA430" s="42"/>
    </row>
    <row r="431" spans="1:27" x14ac:dyDescent="0.2">
      <c r="A431" s="42"/>
      <c r="B431" s="42"/>
      <c r="C431" s="42"/>
      <c r="D431" s="42"/>
      <c r="E431" s="42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42"/>
      <c r="X431" s="42"/>
      <c r="Y431" s="42"/>
      <c r="Z431" s="42"/>
      <c r="AA431" s="42"/>
    </row>
    <row r="432" spans="1:27" x14ac:dyDescent="0.2">
      <c r="A432" s="42"/>
      <c r="B432" s="42"/>
      <c r="C432" s="42"/>
      <c r="D432" s="42"/>
      <c r="E432" s="42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42"/>
      <c r="X432" s="42"/>
      <c r="Y432" s="42"/>
      <c r="Z432" s="42"/>
      <c r="AA432" s="42"/>
    </row>
    <row r="433" spans="1:27" x14ac:dyDescent="0.2">
      <c r="A433" s="42"/>
      <c r="B433" s="42"/>
      <c r="C433" s="42"/>
      <c r="D433" s="42"/>
      <c r="E433" s="42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42"/>
      <c r="X433" s="42"/>
      <c r="Y433" s="42"/>
      <c r="Z433" s="42"/>
      <c r="AA433" s="42"/>
    </row>
    <row r="434" spans="1:27" x14ac:dyDescent="0.2">
      <c r="A434" s="42"/>
      <c r="B434" s="42"/>
      <c r="C434" s="42"/>
      <c r="D434" s="42"/>
      <c r="E434" s="42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42"/>
      <c r="X434" s="42"/>
      <c r="Y434" s="42"/>
      <c r="Z434" s="42"/>
      <c r="AA434" s="42"/>
    </row>
    <row r="435" spans="1:27" x14ac:dyDescent="0.2">
      <c r="A435" s="42"/>
      <c r="B435" s="42"/>
      <c r="C435" s="42"/>
      <c r="D435" s="42"/>
      <c r="E435" s="42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42"/>
      <c r="X435" s="42"/>
      <c r="Y435" s="42"/>
      <c r="Z435" s="42"/>
      <c r="AA435" s="42"/>
    </row>
    <row r="436" spans="1:27" x14ac:dyDescent="0.2">
      <c r="A436" s="42"/>
      <c r="B436" s="42"/>
      <c r="C436" s="42"/>
      <c r="D436" s="42"/>
      <c r="E436" s="42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42"/>
      <c r="X436" s="42"/>
      <c r="Y436" s="42"/>
      <c r="Z436" s="42"/>
      <c r="AA436" s="42"/>
    </row>
    <row r="437" spans="1:27" x14ac:dyDescent="0.2">
      <c r="A437" s="42"/>
      <c r="B437" s="42"/>
      <c r="C437" s="42"/>
      <c r="D437" s="42"/>
      <c r="E437" s="42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42"/>
      <c r="X437" s="42"/>
      <c r="Y437" s="42"/>
      <c r="Z437" s="42"/>
      <c r="AA437" s="42"/>
    </row>
    <row r="438" spans="1:27" x14ac:dyDescent="0.2">
      <c r="A438" s="42"/>
      <c r="B438" s="42"/>
      <c r="C438" s="42"/>
      <c r="D438" s="42"/>
      <c r="E438" s="42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42"/>
      <c r="X438" s="42"/>
      <c r="Y438" s="42"/>
      <c r="Z438" s="42"/>
      <c r="AA438" s="42"/>
    </row>
    <row r="439" spans="1:27" x14ac:dyDescent="0.2">
      <c r="A439" s="42"/>
      <c r="B439" s="42"/>
      <c r="C439" s="42"/>
      <c r="D439" s="42"/>
      <c r="E439" s="42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42"/>
      <c r="X439" s="42"/>
      <c r="Y439" s="42"/>
      <c r="Z439" s="42"/>
      <c r="AA439" s="42"/>
    </row>
    <row r="440" spans="1:27" x14ac:dyDescent="0.2">
      <c r="A440" s="42"/>
      <c r="B440" s="42"/>
      <c r="C440" s="42"/>
      <c r="D440" s="42"/>
      <c r="E440" s="42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42"/>
      <c r="X440" s="42"/>
      <c r="Y440" s="42"/>
      <c r="Z440" s="42"/>
      <c r="AA440" s="42"/>
    </row>
    <row r="441" spans="1:27" x14ac:dyDescent="0.2">
      <c r="A441" s="42"/>
      <c r="B441" s="42"/>
      <c r="C441" s="42"/>
      <c r="D441" s="42"/>
      <c r="E441" s="42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42"/>
      <c r="X441" s="42"/>
      <c r="Y441" s="42"/>
      <c r="Z441" s="42"/>
      <c r="AA441" s="42"/>
    </row>
    <row r="442" spans="1:27" x14ac:dyDescent="0.2">
      <c r="A442" s="42"/>
      <c r="B442" s="42"/>
      <c r="C442" s="42"/>
      <c r="D442" s="42"/>
      <c r="E442" s="42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42"/>
      <c r="X442" s="42"/>
      <c r="Y442" s="42"/>
      <c r="Z442" s="42"/>
      <c r="AA442" s="42"/>
    </row>
    <row r="443" spans="1:27" x14ac:dyDescent="0.2">
      <c r="A443" s="42"/>
      <c r="B443" s="42"/>
      <c r="C443" s="42"/>
      <c r="D443" s="42"/>
      <c r="E443" s="42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42"/>
      <c r="X443" s="42"/>
      <c r="Y443" s="42"/>
      <c r="Z443" s="42"/>
      <c r="AA443" s="42"/>
    </row>
    <row r="444" spans="1:27" x14ac:dyDescent="0.2">
      <c r="A444" s="42"/>
      <c r="B444" s="42"/>
      <c r="C444" s="42"/>
      <c r="D444" s="42"/>
      <c r="E444" s="42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42"/>
      <c r="X444" s="42"/>
      <c r="Y444" s="42"/>
      <c r="Z444" s="42"/>
      <c r="AA444" s="42"/>
    </row>
    <row r="445" spans="1:27" x14ac:dyDescent="0.2">
      <c r="A445" s="42"/>
      <c r="B445" s="42"/>
      <c r="C445" s="42"/>
      <c r="D445" s="42"/>
      <c r="E445" s="42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42"/>
      <c r="X445" s="42"/>
      <c r="Y445" s="42"/>
      <c r="Z445" s="42"/>
      <c r="AA445" s="42"/>
    </row>
    <row r="446" spans="1:27" x14ac:dyDescent="0.2">
      <c r="A446" s="42"/>
      <c r="B446" s="42"/>
      <c r="C446" s="42"/>
      <c r="D446" s="42"/>
      <c r="E446" s="42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42"/>
      <c r="X446" s="42"/>
      <c r="Y446" s="42"/>
      <c r="Z446" s="42"/>
      <c r="AA446" s="42"/>
    </row>
    <row r="447" spans="1:27" x14ac:dyDescent="0.2">
      <c r="A447" s="42"/>
      <c r="B447" s="42"/>
      <c r="C447" s="42"/>
      <c r="D447" s="42"/>
      <c r="E447" s="42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42"/>
      <c r="X447" s="42"/>
      <c r="Y447" s="42"/>
      <c r="Z447" s="42"/>
      <c r="AA447" s="42"/>
    </row>
    <row r="448" spans="1:27" x14ac:dyDescent="0.2">
      <c r="A448" s="42"/>
      <c r="B448" s="42"/>
      <c r="C448" s="42"/>
      <c r="D448" s="42"/>
      <c r="E448" s="42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42"/>
      <c r="X448" s="42"/>
      <c r="Y448" s="42"/>
      <c r="Z448" s="42"/>
      <c r="AA448" s="42"/>
    </row>
    <row r="449" spans="1:27" x14ac:dyDescent="0.2">
      <c r="A449" s="42"/>
      <c r="B449" s="42"/>
      <c r="C449" s="42"/>
      <c r="D449" s="42"/>
      <c r="E449" s="42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42"/>
      <c r="X449" s="42"/>
      <c r="Y449" s="42"/>
      <c r="Z449" s="42"/>
      <c r="AA449" s="42"/>
    </row>
    <row r="450" spans="1:27" x14ac:dyDescent="0.2">
      <c r="A450" s="42"/>
      <c r="B450" s="42"/>
      <c r="C450" s="42"/>
      <c r="D450" s="42"/>
      <c r="E450" s="42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42"/>
      <c r="X450" s="42"/>
      <c r="Y450" s="42"/>
      <c r="Z450" s="42"/>
      <c r="AA450" s="42"/>
    </row>
    <row r="451" spans="1:27" x14ac:dyDescent="0.2">
      <c r="A451" s="42"/>
      <c r="B451" s="42"/>
      <c r="C451" s="42"/>
      <c r="D451" s="42"/>
      <c r="E451" s="42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42"/>
      <c r="X451" s="42"/>
      <c r="Y451" s="42"/>
      <c r="Z451" s="42"/>
      <c r="AA451" s="42"/>
    </row>
    <row r="452" spans="1:27" x14ac:dyDescent="0.2">
      <c r="A452" s="42"/>
      <c r="B452" s="42"/>
      <c r="C452" s="42"/>
      <c r="D452" s="42"/>
      <c r="E452" s="42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42"/>
      <c r="X452" s="42"/>
      <c r="Y452" s="42"/>
      <c r="Z452" s="42"/>
      <c r="AA452" s="42"/>
    </row>
    <row r="453" spans="1:27" x14ac:dyDescent="0.2">
      <c r="A453" s="42"/>
      <c r="B453" s="42"/>
      <c r="C453" s="42"/>
      <c r="D453" s="42"/>
      <c r="E453" s="42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42"/>
      <c r="X453" s="42"/>
      <c r="Y453" s="42"/>
      <c r="Z453" s="42"/>
      <c r="AA453" s="42"/>
    </row>
    <row r="454" spans="1:27" x14ac:dyDescent="0.2">
      <c r="A454" s="42"/>
      <c r="B454" s="42"/>
      <c r="C454" s="42"/>
      <c r="D454" s="42"/>
      <c r="E454" s="42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42"/>
      <c r="X454" s="42"/>
      <c r="Y454" s="42"/>
      <c r="Z454" s="42"/>
      <c r="AA454" s="42"/>
    </row>
    <row r="455" spans="1:27" x14ac:dyDescent="0.2">
      <c r="A455" s="42"/>
      <c r="B455" s="42"/>
      <c r="C455" s="42"/>
      <c r="D455" s="42"/>
      <c r="E455" s="42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42"/>
      <c r="X455" s="42"/>
      <c r="Y455" s="42"/>
      <c r="Z455" s="42"/>
      <c r="AA455" s="42"/>
    </row>
    <row r="456" spans="1:27" x14ac:dyDescent="0.2">
      <c r="A456" s="42"/>
      <c r="B456" s="42"/>
      <c r="C456" s="42"/>
      <c r="D456" s="42"/>
      <c r="E456" s="42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42"/>
      <c r="X456" s="42"/>
      <c r="Y456" s="42"/>
      <c r="Z456" s="42"/>
      <c r="AA456" s="42"/>
    </row>
    <row r="457" spans="1:27" x14ac:dyDescent="0.2">
      <c r="A457" s="42"/>
      <c r="B457" s="42"/>
      <c r="C457" s="42"/>
      <c r="D457" s="42"/>
      <c r="E457" s="42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42"/>
      <c r="X457" s="42"/>
      <c r="Y457" s="42"/>
      <c r="Z457" s="42"/>
      <c r="AA457" s="42"/>
    </row>
    <row r="458" spans="1:27" x14ac:dyDescent="0.2">
      <c r="A458" s="42"/>
      <c r="B458" s="42"/>
      <c r="C458" s="42"/>
      <c r="D458" s="42"/>
      <c r="E458" s="42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42"/>
      <c r="X458" s="42"/>
      <c r="Y458" s="42"/>
      <c r="Z458" s="42"/>
      <c r="AA458" s="42"/>
    </row>
    <row r="459" spans="1:27" x14ac:dyDescent="0.2">
      <c r="A459" s="42"/>
      <c r="B459" s="42"/>
      <c r="C459" s="42"/>
      <c r="D459" s="42"/>
      <c r="E459" s="42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42"/>
      <c r="X459" s="42"/>
      <c r="Y459" s="42"/>
      <c r="Z459" s="42"/>
      <c r="AA459" s="42"/>
    </row>
    <row r="460" spans="1:27" x14ac:dyDescent="0.2">
      <c r="A460" s="42"/>
      <c r="B460" s="42"/>
      <c r="C460" s="42"/>
      <c r="D460" s="42"/>
      <c r="E460" s="42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42"/>
      <c r="X460" s="42"/>
      <c r="Y460" s="42"/>
      <c r="Z460" s="42"/>
      <c r="AA460" s="42"/>
    </row>
    <row r="461" spans="1:27" x14ac:dyDescent="0.2">
      <c r="A461" s="42"/>
      <c r="B461" s="42"/>
      <c r="C461" s="42"/>
      <c r="D461" s="42"/>
      <c r="E461" s="42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42"/>
      <c r="X461" s="42"/>
      <c r="Y461" s="42"/>
      <c r="Z461" s="42"/>
      <c r="AA461" s="42"/>
    </row>
    <row r="462" spans="1:27" x14ac:dyDescent="0.2">
      <c r="A462" s="42"/>
      <c r="B462" s="42"/>
      <c r="C462" s="42"/>
      <c r="D462" s="42"/>
      <c r="E462" s="42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42"/>
      <c r="X462" s="42"/>
      <c r="Y462" s="42"/>
      <c r="Z462" s="42"/>
      <c r="AA462" s="42"/>
    </row>
    <row r="463" spans="1:27" x14ac:dyDescent="0.2">
      <c r="A463" s="42"/>
      <c r="B463" s="42"/>
      <c r="C463" s="42"/>
      <c r="D463" s="42"/>
      <c r="E463" s="42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42"/>
      <c r="X463" s="42"/>
      <c r="Y463" s="42"/>
      <c r="Z463" s="42"/>
      <c r="AA463" s="42"/>
    </row>
    <row r="464" spans="1:27" x14ac:dyDescent="0.2">
      <c r="A464" s="42"/>
      <c r="B464" s="42"/>
      <c r="C464" s="42"/>
      <c r="D464" s="42"/>
      <c r="E464" s="42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42"/>
      <c r="X464" s="42"/>
      <c r="Y464" s="42"/>
      <c r="Z464" s="42"/>
      <c r="AA464" s="42"/>
    </row>
    <row r="465" spans="1:27" x14ac:dyDescent="0.2">
      <c r="A465" s="42"/>
      <c r="B465" s="42"/>
      <c r="C465" s="42"/>
      <c r="D465" s="42"/>
      <c r="E465" s="42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42"/>
      <c r="X465" s="42"/>
      <c r="Y465" s="42"/>
      <c r="Z465" s="42"/>
      <c r="AA465" s="42"/>
    </row>
    <row r="466" spans="1:27" x14ac:dyDescent="0.2">
      <c r="A466" s="42"/>
      <c r="B466" s="42"/>
      <c r="C466" s="42"/>
      <c r="D466" s="42"/>
      <c r="E466" s="42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42"/>
      <c r="X466" s="42"/>
      <c r="Y466" s="42"/>
      <c r="Z466" s="42"/>
      <c r="AA466" s="42"/>
    </row>
    <row r="467" spans="1:27" x14ac:dyDescent="0.2">
      <c r="A467" s="42"/>
      <c r="B467" s="42"/>
      <c r="C467" s="42"/>
      <c r="D467" s="42"/>
      <c r="E467" s="42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42"/>
      <c r="X467" s="42"/>
      <c r="Y467" s="42"/>
      <c r="Z467" s="42"/>
      <c r="AA467" s="42"/>
    </row>
    <row r="468" spans="1:27" x14ac:dyDescent="0.2">
      <c r="A468" s="42"/>
      <c r="B468" s="42"/>
      <c r="C468" s="42"/>
      <c r="D468" s="42"/>
      <c r="E468" s="42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42"/>
      <c r="X468" s="42"/>
      <c r="Y468" s="42"/>
      <c r="Z468" s="42"/>
      <c r="AA468" s="42"/>
    </row>
    <row r="469" spans="1:27" x14ac:dyDescent="0.2">
      <c r="A469" s="42"/>
      <c r="B469" s="42"/>
      <c r="C469" s="42"/>
      <c r="D469" s="42"/>
      <c r="E469" s="42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42"/>
      <c r="X469" s="42"/>
      <c r="Y469" s="42"/>
      <c r="Z469" s="42"/>
      <c r="AA469" s="42"/>
    </row>
    <row r="470" spans="1:27" x14ac:dyDescent="0.2">
      <c r="A470" s="42"/>
      <c r="B470" s="42"/>
      <c r="C470" s="42"/>
      <c r="D470" s="42"/>
      <c r="E470" s="42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42"/>
      <c r="X470" s="42"/>
      <c r="Y470" s="42"/>
      <c r="Z470" s="42"/>
      <c r="AA470" s="42"/>
    </row>
    <row r="471" spans="1:27" x14ac:dyDescent="0.2">
      <c r="A471" s="42"/>
      <c r="B471" s="42"/>
      <c r="C471" s="42"/>
      <c r="D471" s="42"/>
      <c r="E471" s="42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42"/>
      <c r="X471" s="42"/>
      <c r="Y471" s="42"/>
      <c r="Z471" s="42"/>
      <c r="AA471" s="42"/>
    </row>
    <row r="472" spans="1:27" x14ac:dyDescent="0.2">
      <c r="A472" s="42"/>
      <c r="B472" s="42"/>
      <c r="C472" s="42"/>
      <c r="D472" s="42"/>
      <c r="E472" s="42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42"/>
      <c r="X472" s="42"/>
      <c r="Y472" s="42"/>
      <c r="Z472" s="42"/>
      <c r="AA472" s="42"/>
    </row>
    <row r="473" spans="1:27" x14ac:dyDescent="0.2">
      <c r="A473" s="42"/>
      <c r="B473" s="42"/>
      <c r="C473" s="42"/>
      <c r="D473" s="42"/>
      <c r="E473" s="42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42"/>
      <c r="X473" s="42"/>
      <c r="Y473" s="42"/>
      <c r="Z473" s="42"/>
      <c r="AA473" s="42"/>
    </row>
    <row r="474" spans="1:27" x14ac:dyDescent="0.2">
      <c r="A474" s="42"/>
      <c r="B474" s="42"/>
      <c r="C474" s="42"/>
      <c r="D474" s="42"/>
      <c r="E474" s="42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42"/>
      <c r="X474" s="42"/>
      <c r="Y474" s="42"/>
      <c r="Z474" s="42"/>
      <c r="AA474" s="42"/>
    </row>
    <row r="475" spans="1:27" x14ac:dyDescent="0.2">
      <c r="A475" s="42"/>
      <c r="B475" s="42"/>
      <c r="C475" s="42"/>
      <c r="D475" s="42"/>
      <c r="E475" s="42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42"/>
      <c r="X475" s="42"/>
      <c r="Y475" s="42"/>
      <c r="Z475" s="42"/>
      <c r="AA475" s="42"/>
    </row>
    <row r="476" spans="1:27" x14ac:dyDescent="0.2">
      <c r="A476" s="42"/>
      <c r="B476" s="42"/>
      <c r="C476" s="42"/>
      <c r="D476" s="42"/>
      <c r="E476" s="42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42"/>
      <c r="X476" s="42"/>
      <c r="Y476" s="42"/>
      <c r="Z476" s="42"/>
      <c r="AA476" s="42"/>
    </row>
    <row r="477" spans="1:27" x14ac:dyDescent="0.2">
      <c r="A477" s="42"/>
      <c r="B477" s="42"/>
      <c r="C477" s="42"/>
      <c r="D477" s="42"/>
      <c r="E477" s="42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42"/>
      <c r="X477" s="42"/>
      <c r="Y477" s="42"/>
      <c r="Z477" s="42"/>
      <c r="AA477" s="42"/>
    </row>
    <row r="478" spans="1:27" x14ac:dyDescent="0.2">
      <c r="A478" s="42"/>
      <c r="B478" s="42"/>
      <c r="C478" s="42"/>
      <c r="D478" s="42"/>
      <c r="E478" s="42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42"/>
      <c r="X478" s="42"/>
      <c r="Y478" s="42"/>
      <c r="Z478" s="42"/>
      <c r="AA478" s="42"/>
    </row>
    <row r="479" spans="1:27" x14ac:dyDescent="0.2">
      <c r="A479" s="42"/>
      <c r="B479" s="42"/>
      <c r="C479" s="42"/>
      <c r="D479" s="42"/>
      <c r="E479" s="42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42"/>
      <c r="X479" s="42"/>
      <c r="Y479" s="42"/>
      <c r="Z479" s="42"/>
      <c r="AA479" s="42"/>
    </row>
    <row r="480" spans="1:27" x14ac:dyDescent="0.2">
      <c r="A480" s="42"/>
      <c r="B480" s="42"/>
      <c r="C480" s="42"/>
      <c r="D480" s="42"/>
      <c r="E480" s="42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42"/>
      <c r="X480" s="42"/>
      <c r="Y480" s="42"/>
      <c r="Z480" s="42"/>
      <c r="AA480" s="42"/>
    </row>
    <row r="481" spans="1:27" x14ac:dyDescent="0.2">
      <c r="A481" s="42"/>
      <c r="B481" s="42"/>
      <c r="C481" s="42"/>
      <c r="D481" s="42"/>
      <c r="E481" s="42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42"/>
      <c r="X481" s="42"/>
      <c r="Y481" s="42"/>
      <c r="Z481" s="42"/>
      <c r="AA481" s="42"/>
    </row>
    <row r="482" spans="1:27" x14ac:dyDescent="0.2">
      <c r="A482" s="42"/>
      <c r="B482" s="42"/>
      <c r="C482" s="42"/>
      <c r="D482" s="42"/>
      <c r="E482" s="42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42"/>
      <c r="X482" s="42"/>
      <c r="Y482" s="42"/>
      <c r="Z482" s="42"/>
      <c r="AA482" s="42"/>
    </row>
    <row r="483" spans="1:27" x14ac:dyDescent="0.2">
      <c r="A483" s="42"/>
      <c r="B483" s="42"/>
      <c r="C483" s="42"/>
      <c r="D483" s="42"/>
      <c r="E483" s="42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42"/>
      <c r="X483" s="42"/>
      <c r="Y483" s="42"/>
      <c r="Z483" s="42"/>
      <c r="AA483" s="42"/>
    </row>
    <row r="484" spans="1:27" x14ac:dyDescent="0.2">
      <c r="A484" s="42"/>
      <c r="B484" s="42"/>
      <c r="C484" s="42"/>
      <c r="D484" s="42"/>
      <c r="E484" s="42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42"/>
      <c r="X484" s="42"/>
      <c r="Y484" s="42"/>
      <c r="Z484" s="42"/>
      <c r="AA484" s="42"/>
    </row>
    <row r="485" spans="1:27" x14ac:dyDescent="0.2">
      <c r="A485" s="42"/>
      <c r="B485" s="42"/>
      <c r="C485" s="42"/>
      <c r="D485" s="42"/>
      <c r="E485" s="42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42"/>
      <c r="X485" s="42"/>
      <c r="Y485" s="42"/>
      <c r="Z485" s="42"/>
      <c r="AA485" s="42"/>
    </row>
    <row r="486" spans="1:27" x14ac:dyDescent="0.2">
      <c r="A486" s="42"/>
      <c r="B486" s="42"/>
      <c r="C486" s="42"/>
      <c r="D486" s="42"/>
      <c r="E486" s="42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42"/>
      <c r="X486" s="42"/>
      <c r="Y486" s="42"/>
      <c r="Z486" s="42"/>
      <c r="AA486" s="42"/>
    </row>
    <row r="487" spans="1:27" x14ac:dyDescent="0.2">
      <c r="A487" s="42"/>
      <c r="B487" s="42"/>
      <c r="C487" s="42"/>
      <c r="D487" s="42"/>
      <c r="E487" s="42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42"/>
      <c r="X487" s="42"/>
      <c r="Y487" s="42"/>
      <c r="Z487" s="42"/>
      <c r="AA487" s="42"/>
    </row>
    <row r="488" spans="1:27" x14ac:dyDescent="0.2">
      <c r="A488" s="42"/>
      <c r="B488" s="42"/>
      <c r="C488" s="42"/>
      <c r="D488" s="42"/>
      <c r="E488" s="42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42"/>
      <c r="X488" s="42"/>
      <c r="Y488" s="42"/>
      <c r="Z488" s="42"/>
      <c r="AA488" s="42"/>
    </row>
    <row r="489" spans="1:27" x14ac:dyDescent="0.2">
      <c r="A489" s="42"/>
      <c r="B489" s="42"/>
      <c r="C489" s="42"/>
      <c r="D489" s="42"/>
      <c r="E489" s="42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42"/>
      <c r="X489" s="42"/>
      <c r="Y489" s="42"/>
      <c r="Z489" s="42"/>
      <c r="AA489" s="42"/>
    </row>
    <row r="490" spans="1:27" x14ac:dyDescent="0.2">
      <c r="A490" s="42"/>
      <c r="B490" s="42"/>
      <c r="C490" s="42"/>
      <c r="D490" s="42"/>
      <c r="E490" s="42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42"/>
      <c r="X490" s="42"/>
      <c r="Y490" s="42"/>
      <c r="Z490" s="42"/>
      <c r="AA490" s="42"/>
    </row>
    <row r="491" spans="1:27" x14ac:dyDescent="0.2">
      <c r="A491" s="42"/>
      <c r="B491" s="42"/>
      <c r="C491" s="42"/>
      <c r="D491" s="42"/>
      <c r="E491" s="42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42"/>
      <c r="X491" s="42"/>
      <c r="Y491" s="42"/>
      <c r="Z491" s="42"/>
      <c r="AA491" s="42"/>
    </row>
    <row r="492" spans="1:27" x14ac:dyDescent="0.2">
      <c r="A492" s="42"/>
      <c r="B492" s="42"/>
      <c r="C492" s="42"/>
      <c r="D492" s="42"/>
      <c r="E492" s="42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42"/>
      <c r="X492" s="42"/>
      <c r="Y492" s="42"/>
      <c r="Z492" s="42"/>
      <c r="AA492" s="42"/>
    </row>
    <row r="493" spans="1:27" x14ac:dyDescent="0.2">
      <c r="A493" s="42"/>
      <c r="B493" s="42"/>
      <c r="C493" s="42"/>
      <c r="D493" s="42"/>
      <c r="E493" s="42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42"/>
      <c r="X493" s="42"/>
      <c r="Y493" s="42"/>
      <c r="Z493" s="42"/>
      <c r="AA493" s="42"/>
    </row>
    <row r="494" spans="1:27" x14ac:dyDescent="0.2">
      <c r="A494" s="42"/>
      <c r="B494" s="42"/>
      <c r="C494" s="42"/>
      <c r="D494" s="42"/>
      <c r="E494" s="42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42"/>
      <c r="X494" s="42"/>
      <c r="Y494" s="42"/>
      <c r="Z494" s="42"/>
      <c r="AA494" s="42"/>
    </row>
    <row r="495" spans="1:27" x14ac:dyDescent="0.2">
      <c r="A495" s="42"/>
      <c r="B495" s="42"/>
      <c r="C495" s="42"/>
      <c r="D495" s="42"/>
      <c r="E495" s="42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42"/>
      <c r="X495" s="42"/>
      <c r="Y495" s="42"/>
      <c r="Z495" s="42"/>
      <c r="AA495" s="42"/>
    </row>
    <row r="496" spans="1:27" x14ac:dyDescent="0.2">
      <c r="A496" s="42"/>
      <c r="B496" s="42"/>
      <c r="C496" s="42"/>
      <c r="D496" s="42"/>
      <c r="E496" s="42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42"/>
      <c r="X496" s="42"/>
      <c r="Y496" s="42"/>
      <c r="Z496" s="42"/>
      <c r="AA496" s="42"/>
    </row>
    <row r="497" spans="1:27" x14ac:dyDescent="0.2">
      <c r="A497" s="42"/>
      <c r="B497" s="42"/>
      <c r="C497" s="42"/>
      <c r="D497" s="42"/>
      <c r="E497" s="42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42"/>
      <c r="X497" s="42"/>
      <c r="Y497" s="42"/>
      <c r="Z497" s="42"/>
      <c r="AA497" s="42"/>
    </row>
    <row r="498" spans="1:27" x14ac:dyDescent="0.2">
      <c r="A498" s="42"/>
      <c r="B498" s="42"/>
      <c r="C498" s="42"/>
      <c r="D498" s="42"/>
      <c r="E498" s="42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42"/>
      <c r="X498" s="42"/>
      <c r="Y498" s="42"/>
      <c r="Z498" s="42"/>
      <c r="AA498" s="42"/>
    </row>
    <row r="499" spans="1:27" x14ac:dyDescent="0.2">
      <c r="A499" s="42"/>
      <c r="B499" s="42"/>
      <c r="C499" s="42"/>
      <c r="D499" s="42"/>
      <c r="E499" s="42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42"/>
      <c r="X499" s="42"/>
      <c r="Y499" s="42"/>
      <c r="Z499" s="42"/>
      <c r="AA499" s="42"/>
    </row>
    <row r="500" spans="1:27" x14ac:dyDescent="0.2">
      <c r="A500" s="42"/>
      <c r="B500" s="42"/>
      <c r="C500" s="42"/>
      <c r="D500" s="42"/>
      <c r="E500" s="42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42"/>
      <c r="X500" s="42"/>
      <c r="Y500" s="42"/>
      <c r="Z500" s="42"/>
      <c r="AA500" s="42"/>
    </row>
    <row r="501" spans="1:27" x14ac:dyDescent="0.2">
      <c r="A501" s="42"/>
      <c r="B501" s="42"/>
      <c r="C501" s="42"/>
      <c r="D501" s="42"/>
      <c r="E501" s="42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42"/>
      <c r="X501" s="42"/>
      <c r="Y501" s="42"/>
      <c r="Z501" s="42"/>
      <c r="AA501" s="42"/>
    </row>
    <row r="502" spans="1:27" x14ac:dyDescent="0.2">
      <c r="A502" s="42"/>
      <c r="B502" s="42"/>
      <c r="C502" s="42"/>
      <c r="D502" s="42"/>
      <c r="E502" s="42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42"/>
      <c r="X502" s="42"/>
      <c r="Y502" s="42"/>
      <c r="Z502" s="42"/>
      <c r="AA502" s="42"/>
    </row>
    <row r="503" spans="1:27" x14ac:dyDescent="0.2">
      <c r="A503" s="42"/>
      <c r="B503" s="42"/>
      <c r="C503" s="42"/>
      <c r="D503" s="42"/>
      <c r="E503" s="42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42"/>
      <c r="X503" s="42"/>
      <c r="Y503" s="42"/>
      <c r="Z503" s="42"/>
      <c r="AA503" s="42"/>
    </row>
    <row r="504" spans="1:27" x14ac:dyDescent="0.2">
      <c r="A504" s="42"/>
      <c r="B504" s="42"/>
      <c r="C504" s="42"/>
      <c r="D504" s="42"/>
      <c r="E504" s="42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42"/>
      <c r="X504" s="42"/>
      <c r="Y504" s="42"/>
      <c r="Z504" s="42"/>
      <c r="AA504" s="42"/>
    </row>
    <row r="505" spans="1:27" x14ac:dyDescent="0.2">
      <c r="A505" s="42"/>
      <c r="B505" s="42"/>
      <c r="C505" s="42"/>
      <c r="D505" s="42"/>
      <c r="E505" s="42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42"/>
      <c r="X505" s="42"/>
      <c r="Y505" s="42"/>
      <c r="Z505" s="42"/>
      <c r="AA505" s="42"/>
    </row>
    <row r="506" spans="1:27" x14ac:dyDescent="0.2">
      <c r="A506" s="42"/>
      <c r="B506" s="42"/>
      <c r="C506" s="42"/>
      <c r="D506" s="42"/>
      <c r="E506" s="42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42"/>
      <c r="X506" s="42"/>
      <c r="Y506" s="42"/>
      <c r="Z506" s="42"/>
      <c r="AA506" s="42"/>
    </row>
    <row r="507" spans="1:27" x14ac:dyDescent="0.2">
      <c r="A507" s="42"/>
      <c r="B507" s="42"/>
      <c r="C507" s="42"/>
      <c r="D507" s="42"/>
      <c r="E507" s="42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42"/>
      <c r="X507" s="42"/>
      <c r="Y507" s="42"/>
      <c r="Z507" s="42"/>
      <c r="AA507" s="42"/>
    </row>
    <row r="508" spans="1:27" x14ac:dyDescent="0.2">
      <c r="A508" s="42"/>
      <c r="B508" s="42"/>
      <c r="C508" s="42"/>
      <c r="D508" s="42"/>
      <c r="E508" s="42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42"/>
      <c r="X508" s="42"/>
      <c r="Y508" s="42"/>
      <c r="Z508" s="42"/>
      <c r="AA508" s="42"/>
    </row>
    <row r="509" spans="1:27" x14ac:dyDescent="0.2">
      <c r="A509" s="42"/>
      <c r="B509" s="42"/>
      <c r="C509" s="42"/>
      <c r="D509" s="42"/>
      <c r="E509" s="42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42"/>
      <c r="X509" s="42"/>
      <c r="Y509" s="42"/>
      <c r="Z509" s="42"/>
      <c r="AA509" s="42"/>
    </row>
    <row r="510" spans="1:27" x14ac:dyDescent="0.2">
      <c r="A510" s="42"/>
      <c r="B510" s="42"/>
      <c r="C510" s="42"/>
      <c r="D510" s="42"/>
      <c r="E510" s="42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42"/>
      <c r="X510" s="42"/>
      <c r="Y510" s="42"/>
      <c r="Z510" s="42"/>
      <c r="AA510" s="42"/>
    </row>
    <row r="511" spans="1:27" x14ac:dyDescent="0.2">
      <c r="A511" s="42"/>
      <c r="B511" s="42"/>
      <c r="C511" s="42"/>
      <c r="D511" s="42"/>
      <c r="E511" s="42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42"/>
      <c r="X511" s="42"/>
      <c r="Y511" s="42"/>
      <c r="Z511" s="42"/>
      <c r="AA511" s="42"/>
    </row>
    <row r="512" spans="1:27" x14ac:dyDescent="0.2">
      <c r="A512" s="42"/>
      <c r="B512" s="42"/>
      <c r="C512" s="42"/>
      <c r="D512" s="42"/>
      <c r="E512" s="42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42"/>
      <c r="X512" s="42"/>
      <c r="Y512" s="42"/>
      <c r="Z512" s="42"/>
      <c r="AA512" s="42"/>
    </row>
    <row r="513" spans="1:27" x14ac:dyDescent="0.2">
      <c r="A513" s="42"/>
      <c r="B513" s="42"/>
      <c r="C513" s="42"/>
      <c r="D513" s="42"/>
      <c r="E513" s="42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42"/>
      <c r="X513" s="42"/>
      <c r="Y513" s="42"/>
      <c r="Z513" s="42"/>
      <c r="AA513" s="42"/>
    </row>
    <row r="514" spans="1:27" x14ac:dyDescent="0.2">
      <c r="A514" s="42"/>
      <c r="B514" s="42"/>
      <c r="C514" s="42"/>
      <c r="D514" s="42"/>
      <c r="E514" s="42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42"/>
      <c r="X514" s="42"/>
      <c r="Y514" s="42"/>
      <c r="Z514" s="42"/>
      <c r="AA514" s="42"/>
    </row>
    <row r="515" spans="1:27" x14ac:dyDescent="0.2">
      <c r="A515" s="42"/>
      <c r="B515" s="42"/>
      <c r="C515" s="42"/>
      <c r="D515" s="42"/>
      <c r="E515" s="42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42"/>
      <c r="X515" s="42"/>
      <c r="Y515" s="42"/>
      <c r="Z515" s="42"/>
      <c r="AA515" s="42"/>
    </row>
    <row r="516" spans="1:27" x14ac:dyDescent="0.2">
      <c r="A516" s="42"/>
      <c r="B516" s="42"/>
      <c r="C516" s="42"/>
      <c r="D516" s="42"/>
      <c r="E516" s="42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42"/>
      <c r="X516" s="42"/>
      <c r="Y516" s="42"/>
      <c r="Z516" s="42"/>
      <c r="AA516" s="42"/>
    </row>
    <row r="517" spans="1:27" x14ac:dyDescent="0.2">
      <c r="A517" s="42"/>
      <c r="B517" s="42"/>
      <c r="C517" s="42"/>
      <c r="D517" s="42"/>
      <c r="E517" s="42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42"/>
      <c r="X517" s="42"/>
      <c r="Y517" s="42"/>
      <c r="Z517" s="42"/>
      <c r="AA517" s="42"/>
    </row>
    <row r="518" spans="1:27" x14ac:dyDescent="0.2">
      <c r="A518" s="42"/>
      <c r="B518" s="42"/>
      <c r="C518" s="42"/>
      <c r="D518" s="42"/>
      <c r="E518" s="42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42"/>
      <c r="X518" s="42"/>
      <c r="Y518" s="42"/>
      <c r="Z518" s="42"/>
      <c r="AA518" s="42"/>
    </row>
    <row r="519" spans="1:27" x14ac:dyDescent="0.2">
      <c r="A519" s="42"/>
      <c r="B519" s="42"/>
      <c r="C519" s="42"/>
      <c r="D519" s="42"/>
      <c r="E519" s="42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42"/>
      <c r="X519" s="42"/>
      <c r="Y519" s="42"/>
      <c r="Z519" s="42"/>
      <c r="AA519" s="42"/>
    </row>
    <row r="520" spans="1:27" x14ac:dyDescent="0.2">
      <c r="A520" s="42"/>
      <c r="B520" s="42"/>
      <c r="C520" s="42"/>
      <c r="D520" s="42"/>
      <c r="E520" s="42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42"/>
      <c r="X520" s="42"/>
      <c r="Y520" s="42"/>
      <c r="Z520" s="42"/>
      <c r="AA520" s="42"/>
    </row>
    <row r="521" spans="1:27" x14ac:dyDescent="0.2">
      <c r="A521" s="42"/>
      <c r="B521" s="42"/>
      <c r="C521" s="42"/>
      <c r="D521" s="42"/>
      <c r="E521" s="42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42"/>
      <c r="X521" s="42"/>
      <c r="Y521" s="42"/>
      <c r="Z521" s="42"/>
      <c r="AA521" s="42"/>
    </row>
    <row r="522" spans="1:27" x14ac:dyDescent="0.2">
      <c r="A522" s="42"/>
      <c r="B522" s="42"/>
      <c r="C522" s="42"/>
      <c r="D522" s="42"/>
      <c r="E522" s="42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42"/>
      <c r="X522" s="42"/>
      <c r="Y522" s="42"/>
      <c r="Z522" s="42"/>
      <c r="AA522" s="42"/>
    </row>
    <row r="523" spans="1:27" x14ac:dyDescent="0.2">
      <c r="A523" s="42"/>
      <c r="B523" s="42"/>
      <c r="C523" s="42"/>
      <c r="D523" s="42"/>
      <c r="E523" s="42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42"/>
      <c r="X523" s="42"/>
      <c r="Y523" s="42"/>
      <c r="Z523" s="42"/>
      <c r="AA523" s="42"/>
    </row>
    <row r="524" spans="1:27" x14ac:dyDescent="0.2">
      <c r="A524" s="42"/>
      <c r="B524" s="42"/>
      <c r="C524" s="42"/>
      <c r="D524" s="42"/>
      <c r="E524" s="42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42"/>
      <c r="X524" s="42"/>
      <c r="Y524" s="42"/>
      <c r="Z524" s="42"/>
      <c r="AA524" s="42"/>
    </row>
    <row r="525" spans="1:27" x14ac:dyDescent="0.2">
      <c r="A525" s="42"/>
      <c r="B525" s="42"/>
      <c r="C525" s="42"/>
      <c r="D525" s="42"/>
      <c r="E525" s="42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42"/>
      <c r="X525" s="42"/>
      <c r="Y525" s="42"/>
      <c r="Z525" s="42"/>
      <c r="AA525" s="42"/>
    </row>
    <row r="526" spans="1:27" x14ac:dyDescent="0.2">
      <c r="A526" s="42"/>
      <c r="B526" s="42"/>
      <c r="C526" s="42"/>
      <c r="D526" s="42"/>
      <c r="E526" s="42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42"/>
      <c r="X526" s="42"/>
      <c r="Y526" s="42"/>
      <c r="Z526" s="42"/>
      <c r="AA526" s="42"/>
    </row>
    <row r="527" spans="1:27" x14ac:dyDescent="0.2">
      <c r="A527" s="42"/>
      <c r="B527" s="42"/>
      <c r="C527" s="42"/>
      <c r="D527" s="42"/>
      <c r="E527" s="42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42"/>
      <c r="X527" s="42"/>
      <c r="Y527" s="42"/>
      <c r="Z527" s="42"/>
      <c r="AA527" s="42"/>
    </row>
    <row r="528" spans="1:27" x14ac:dyDescent="0.2">
      <c r="A528" s="42"/>
      <c r="B528" s="42"/>
      <c r="C528" s="42"/>
      <c r="D528" s="42"/>
      <c r="E528" s="42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42"/>
      <c r="X528" s="42"/>
      <c r="Y528" s="42"/>
      <c r="Z528" s="42"/>
      <c r="AA528" s="42"/>
    </row>
    <row r="529" spans="1:27" x14ac:dyDescent="0.2">
      <c r="A529" s="42"/>
      <c r="B529" s="42"/>
      <c r="C529" s="42"/>
      <c r="D529" s="42"/>
      <c r="E529" s="42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42"/>
      <c r="X529" s="42"/>
      <c r="Y529" s="42"/>
      <c r="Z529" s="42"/>
      <c r="AA529" s="42"/>
    </row>
    <row r="530" spans="1:27" x14ac:dyDescent="0.2">
      <c r="A530" s="42"/>
      <c r="B530" s="42"/>
      <c r="C530" s="42"/>
      <c r="D530" s="42"/>
      <c r="E530" s="42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42"/>
      <c r="X530" s="42"/>
      <c r="Y530" s="42"/>
      <c r="Z530" s="42"/>
      <c r="AA530" s="42"/>
    </row>
    <row r="531" spans="1:27" x14ac:dyDescent="0.2">
      <c r="A531" s="42"/>
      <c r="B531" s="42"/>
      <c r="C531" s="42"/>
      <c r="D531" s="42"/>
      <c r="E531" s="42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42"/>
      <c r="X531" s="42"/>
      <c r="Y531" s="42"/>
      <c r="Z531" s="42"/>
      <c r="AA531" s="42"/>
    </row>
    <row r="532" spans="1:27" x14ac:dyDescent="0.2">
      <c r="A532" s="42"/>
      <c r="B532" s="42"/>
      <c r="C532" s="42"/>
      <c r="D532" s="42"/>
      <c r="E532" s="42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42"/>
      <c r="X532" s="42"/>
      <c r="Y532" s="42"/>
      <c r="Z532" s="42"/>
      <c r="AA532" s="42"/>
    </row>
    <row r="533" spans="1:27" x14ac:dyDescent="0.2">
      <c r="A533" s="42"/>
      <c r="B533" s="42"/>
      <c r="C533" s="42"/>
      <c r="D533" s="42"/>
      <c r="E533" s="42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42"/>
      <c r="X533" s="42"/>
      <c r="Y533" s="42"/>
      <c r="Z533" s="42"/>
      <c r="AA533" s="42"/>
    </row>
    <row r="534" spans="1:27" x14ac:dyDescent="0.2">
      <c r="A534" s="42"/>
      <c r="B534" s="42"/>
      <c r="C534" s="42"/>
      <c r="D534" s="42"/>
      <c r="E534" s="42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42"/>
      <c r="X534" s="42"/>
      <c r="Y534" s="42"/>
      <c r="Z534" s="42"/>
      <c r="AA534" s="42"/>
    </row>
    <row r="535" spans="1:27" x14ac:dyDescent="0.2">
      <c r="A535" s="42"/>
      <c r="B535" s="42"/>
      <c r="C535" s="42"/>
      <c r="D535" s="42"/>
      <c r="E535" s="42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42"/>
      <c r="X535" s="42"/>
      <c r="Y535" s="42"/>
      <c r="Z535" s="42"/>
      <c r="AA535" s="42"/>
    </row>
    <row r="536" spans="1:27" x14ac:dyDescent="0.2">
      <c r="A536" s="42"/>
      <c r="B536" s="42"/>
      <c r="C536" s="42"/>
      <c r="D536" s="42"/>
      <c r="E536" s="42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42"/>
      <c r="X536" s="42"/>
      <c r="Y536" s="42"/>
      <c r="Z536" s="42"/>
      <c r="AA536" s="42"/>
    </row>
    <row r="537" spans="1:27" x14ac:dyDescent="0.2">
      <c r="A537" s="42"/>
      <c r="B537" s="42"/>
      <c r="C537" s="42"/>
      <c r="D537" s="42"/>
      <c r="E537" s="42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42"/>
      <c r="X537" s="42"/>
      <c r="Y537" s="42"/>
      <c r="Z537" s="42"/>
      <c r="AA537" s="42"/>
    </row>
    <row r="538" spans="1:27" x14ac:dyDescent="0.2">
      <c r="A538" s="42"/>
      <c r="B538" s="42"/>
      <c r="C538" s="42"/>
      <c r="D538" s="42"/>
      <c r="E538" s="42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42"/>
      <c r="X538" s="42"/>
      <c r="Y538" s="42"/>
      <c r="Z538" s="42"/>
      <c r="AA538" s="42"/>
    </row>
    <row r="539" spans="1:27" x14ac:dyDescent="0.2">
      <c r="A539" s="42"/>
      <c r="B539" s="42"/>
      <c r="C539" s="42"/>
      <c r="D539" s="42"/>
      <c r="E539" s="42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42"/>
      <c r="X539" s="42"/>
      <c r="Y539" s="42"/>
      <c r="Z539" s="42"/>
      <c r="AA539" s="42"/>
    </row>
    <row r="540" spans="1:27" x14ac:dyDescent="0.2">
      <c r="A540" s="42"/>
      <c r="B540" s="42"/>
      <c r="C540" s="42"/>
      <c r="D540" s="42"/>
      <c r="E540" s="42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42"/>
      <c r="X540" s="42"/>
      <c r="Y540" s="42"/>
      <c r="Z540" s="42"/>
      <c r="AA540" s="42"/>
    </row>
    <row r="541" spans="1:27" x14ac:dyDescent="0.2">
      <c r="A541" s="42"/>
      <c r="B541" s="42"/>
      <c r="C541" s="42"/>
      <c r="D541" s="42"/>
      <c r="E541" s="42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42"/>
      <c r="X541" s="42"/>
      <c r="Y541" s="42"/>
      <c r="Z541" s="42"/>
      <c r="AA541" s="42"/>
    </row>
    <row r="542" spans="1:27" x14ac:dyDescent="0.2">
      <c r="A542" s="42"/>
      <c r="B542" s="42"/>
      <c r="C542" s="42"/>
      <c r="D542" s="42"/>
      <c r="E542" s="42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42"/>
      <c r="X542" s="42"/>
      <c r="Y542" s="42"/>
      <c r="Z542" s="42"/>
      <c r="AA542" s="42"/>
    </row>
    <row r="543" spans="1:27" x14ac:dyDescent="0.2">
      <c r="A543" s="42"/>
      <c r="B543" s="42"/>
      <c r="C543" s="42"/>
      <c r="D543" s="42"/>
      <c r="E543" s="42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42"/>
      <c r="X543" s="42"/>
      <c r="Y543" s="42"/>
      <c r="Z543" s="42"/>
      <c r="AA543" s="42"/>
    </row>
    <row r="544" spans="1:27" x14ac:dyDescent="0.2">
      <c r="A544" s="42"/>
      <c r="B544" s="42"/>
      <c r="C544" s="42"/>
      <c r="D544" s="42"/>
      <c r="E544" s="42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42"/>
      <c r="X544" s="42"/>
      <c r="Y544" s="42"/>
      <c r="Z544" s="42"/>
      <c r="AA544" s="42"/>
    </row>
    <row r="545" spans="1:27" x14ac:dyDescent="0.2">
      <c r="A545" s="42"/>
      <c r="B545" s="42"/>
      <c r="C545" s="42"/>
      <c r="D545" s="42"/>
      <c r="E545" s="42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42"/>
      <c r="X545" s="42"/>
      <c r="Y545" s="42"/>
      <c r="Z545" s="42"/>
      <c r="AA545" s="42"/>
    </row>
    <row r="546" spans="1:27" x14ac:dyDescent="0.2">
      <c r="A546" s="42"/>
      <c r="B546" s="42"/>
      <c r="C546" s="42"/>
      <c r="D546" s="42"/>
      <c r="E546" s="42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42"/>
      <c r="X546" s="42"/>
      <c r="Y546" s="42"/>
      <c r="Z546" s="42"/>
      <c r="AA546" s="42"/>
    </row>
    <row r="547" spans="1:27" x14ac:dyDescent="0.2">
      <c r="A547" s="42"/>
      <c r="B547" s="42"/>
      <c r="C547" s="42"/>
      <c r="D547" s="42"/>
      <c r="E547" s="42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42"/>
      <c r="X547" s="42"/>
      <c r="Y547" s="42"/>
      <c r="Z547" s="42"/>
      <c r="AA547" s="42"/>
    </row>
    <row r="548" spans="1:27" x14ac:dyDescent="0.2">
      <c r="A548" s="42"/>
      <c r="B548" s="42"/>
      <c r="C548" s="42"/>
      <c r="D548" s="42"/>
      <c r="E548" s="42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42"/>
      <c r="X548" s="42"/>
      <c r="Y548" s="42"/>
      <c r="Z548" s="42"/>
      <c r="AA548" s="42"/>
    </row>
    <row r="549" spans="1:27" x14ac:dyDescent="0.2">
      <c r="A549" s="42"/>
      <c r="B549" s="42"/>
      <c r="C549" s="42"/>
      <c r="D549" s="42"/>
      <c r="E549" s="42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42"/>
      <c r="X549" s="42"/>
      <c r="Y549" s="42"/>
      <c r="Z549" s="42"/>
      <c r="AA549" s="42"/>
    </row>
    <row r="550" spans="1:27" x14ac:dyDescent="0.2">
      <c r="A550" s="42"/>
      <c r="B550" s="42"/>
      <c r="C550" s="42"/>
      <c r="D550" s="42"/>
      <c r="E550" s="42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42"/>
      <c r="X550" s="42"/>
      <c r="Y550" s="42"/>
      <c r="Z550" s="42"/>
      <c r="AA550" s="42"/>
    </row>
    <row r="551" spans="1:27" x14ac:dyDescent="0.2">
      <c r="A551" s="42"/>
      <c r="B551" s="42"/>
      <c r="C551" s="42"/>
      <c r="D551" s="42"/>
      <c r="E551" s="42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42"/>
      <c r="X551" s="42"/>
      <c r="Y551" s="42"/>
      <c r="Z551" s="42"/>
      <c r="AA551" s="42"/>
    </row>
    <row r="552" spans="1:27" x14ac:dyDescent="0.2">
      <c r="A552" s="42"/>
      <c r="B552" s="42"/>
      <c r="C552" s="42"/>
      <c r="D552" s="42"/>
      <c r="E552" s="42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42"/>
      <c r="X552" s="42"/>
      <c r="Y552" s="42"/>
      <c r="Z552" s="42"/>
      <c r="AA552" s="42"/>
    </row>
    <row r="553" spans="1:27" x14ac:dyDescent="0.2">
      <c r="A553" s="42"/>
      <c r="B553" s="42"/>
      <c r="C553" s="42"/>
      <c r="D553" s="42"/>
      <c r="E553" s="42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42"/>
      <c r="X553" s="42"/>
      <c r="Y553" s="42"/>
      <c r="Z553" s="42"/>
      <c r="AA553" s="42"/>
    </row>
    <row r="554" spans="1:27" x14ac:dyDescent="0.2">
      <c r="A554" s="42"/>
      <c r="B554" s="42"/>
      <c r="C554" s="42"/>
      <c r="D554" s="42"/>
      <c r="E554" s="42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42"/>
      <c r="X554" s="42"/>
      <c r="Y554" s="42"/>
      <c r="Z554" s="42"/>
      <c r="AA554" s="42"/>
    </row>
    <row r="555" spans="1:27" x14ac:dyDescent="0.2">
      <c r="A555" s="42"/>
      <c r="B555" s="42"/>
      <c r="C555" s="42"/>
      <c r="D555" s="42"/>
      <c r="E555" s="42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42"/>
      <c r="X555" s="42"/>
      <c r="Y555" s="42"/>
      <c r="Z555" s="42"/>
      <c r="AA555" s="42"/>
    </row>
    <row r="556" spans="1:27" x14ac:dyDescent="0.2">
      <c r="A556" s="42"/>
      <c r="B556" s="42"/>
      <c r="C556" s="42"/>
      <c r="D556" s="42"/>
      <c r="E556" s="42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42"/>
      <c r="X556" s="42"/>
      <c r="Y556" s="42"/>
      <c r="Z556" s="42"/>
      <c r="AA556" s="42"/>
    </row>
    <row r="557" spans="1:27" x14ac:dyDescent="0.2">
      <c r="A557" s="42"/>
      <c r="B557" s="42"/>
      <c r="C557" s="42"/>
      <c r="D557" s="42"/>
      <c r="E557" s="42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42"/>
      <c r="X557" s="42"/>
      <c r="Y557" s="42"/>
      <c r="Z557" s="42"/>
      <c r="AA557" s="42"/>
    </row>
    <row r="558" spans="1:27" x14ac:dyDescent="0.2">
      <c r="A558" s="42"/>
      <c r="B558" s="42"/>
      <c r="C558" s="42"/>
      <c r="D558" s="42"/>
      <c r="E558" s="42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42"/>
      <c r="X558" s="42"/>
      <c r="Y558" s="42"/>
      <c r="Z558" s="42"/>
      <c r="AA558" s="42"/>
    </row>
    <row r="559" spans="1:27" x14ac:dyDescent="0.2">
      <c r="A559" s="42"/>
      <c r="B559" s="42"/>
      <c r="C559" s="42"/>
      <c r="D559" s="42"/>
      <c r="E559" s="42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42"/>
      <c r="X559" s="42"/>
      <c r="Y559" s="42"/>
      <c r="Z559" s="42"/>
      <c r="AA559" s="42"/>
    </row>
    <row r="560" spans="1:27" x14ac:dyDescent="0.2">
      <c r="A560" s="42"/>
      <c r="B560" s="42"/>
      <c r="C560" s="42"/>
      <c r="D560" s="42"/>
      <c r="E560" s="42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42"/>
      <c r="X560" s="42"/>
      <c r="Y560" s="42"/>
      <c r="Z560" s="42"/>
      <c r="AA560" s="42"/>
    </row>
    <row r="561" spans="1:27" x14ac:dyDescent="0.2">
      <c r="A561" s="42"/>
      <c r="B561" s="42"/>
      <c r="C561" s="42"/>
      <c r="D561" s="42"/>
      <c r="E561" s="42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42"/>
      <c r="X561" s="42"/>
      <c r="Y561" s="42"/>
      <c r="Z561" s="42"/>
      <c r="AA561" s="42"/>
    </row>
    <row r="562" spans="1:27" x14ac:dyDescent="0.2">
      <c r="A562" s="42"/>
      <c r="B562" s="42"/>
      <c r="C562" s="42"/>
      <c r="D562" s="42"/>
      <c r="E562" s="42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42"/>
      <c r="X562" s="42"/>
      <c r="Y562" s="42"/>
      <c r="Z562" s="42"/>
      <c r="AA562" s="42"/>
    </row>
    <row r="563" spans="1:27" x14ac:dyDescent="0.2">
      <c r="A563" s="42"/>
      <c r="B563" s="42"/>
      <c r="C563" s="42"/>
      <c r="D563" s="42"/>
      <c r="E563" s="42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42"/>
      <c r="X563" s="42"/>
      <c r="Y563" s="42"/>
      <c r="Z563" s="42"/>
      <c r="AA563" s="42"/>
    </row>
    <row r="564" spans="1:27" x14ac:dyDescent="0.2">
      <c r="A564" s="42"/>
      <c r="B564" s="42"/>
      <c r="C564" s="42"/>
      <c r="D564" s="42"/>
      <c r="E564" s="42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42"/>
      <c r="X564" s="42"/>
      <c r="Y564" s="42"/>
      <c r="Z564" s="42"/>
      <c r="AA564" s="42"/>
    </row>
    <row r="565" spans="1:27" x14ac:dyDescent="0.2">
      <c r="A565" s="42"/>
      <c r="B565" s="42"/>
      <c r="C565" s="42"/>
      <c r="D565" s="42"/>
      <c r="E565" s="42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42"/>
      <c r="X565" s="42"/>
      <c r="Y565" s="42"/>
      <c r="Z565" s="42"/>
      <c r="AA565" s="42"/>
    </row>
    <row r="566" spans="1:27" x14ac:dyDescent="0.2">
      <c r="A566" s="42"/>
      <c r="B566" s="42"/>
      <c r="C566" s="42"/>
      <c r="D566" s="42"/>
      <c r="E566" s="42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42"/>
      <c r="X566" s="42"/>
      <c r="Y566" s="42"/>
      <c r="Z566" s="42"/>
      <c r="AA566" s="42"/>
    </row>
    <row r="567" spans="1:27" x14ac:dyDescent="0.2">
      <c r="A567" s="42"/>
      <c r="B567" s="42"/>
      <c r="C567" s="42"/>
      <c r="D567" s="42"/>
      <c r="E567" s="42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42"/>
      <c r="X567" s="42"/>
      <c r="Y567" s="42"/>
      <c r="Z567" s="42"/>
      <c r="AA567" s="42"/>
    </row>
    <row r="568" spans="1:27" x14ac:dyDescent="0.2">
      <c r="A568" s="42"/>
      <c r="B568" s="42"/>
      <c r="C568" s="42"/>
      <c r="D568" s="42"/>
      <c r="E568" s="42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42"/>
      <c r="X568" s="42"/>
      <c r="Y568" s="42"/>
      <c r="Z568" s="42"/>
      <c r="AA568" s="42"/>
    </row>
    <row r="569" spans="1:27" x14ac:dyDescent="0.2">
      <c r="A569" s="42"/>
      <c r="B569" s="42"/>
      <c r="C569" s="42"/>
      <c r="D569" s="42"/>
      <c r="E569" s="42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42"/>
      <c r="X569" s="42"/>
      <c r="Y569" s="42"/>
      <c r="Z569" s="42"/>
      <c r="AA569" s="42"/>
    </row>
    <row r="570" spans="1:27" x14ac:dyDescent="0.2">
      <c r="A570" s="42"/>
      <c r="B570" s="42"/>
      <c r="C570" s="42"/>
      <c r="D570" s="42"/>
      <c r="E570" s="42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42"/>
      <c r="X570" s="42"/>
      <c r="Y570" s="42"/>
      <c r="Z570" s="42"/>
      <c r="AA570" s="42"/>
    </row>
    <row r="571" spans="1:27" x14ac:dyDescent="0.2">
      <c r="A571" s="42"/>
      <c r="B571" s="42"/>
      <c r="C571" s="42"/>
      <c r="D571" s="42"/>
      <c r="E571" s="42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42"/>
      <c r="X571" s="42"/>
      <c r="Y571" s="42"/>
      <c r="Z571" s="42"/>
      <c r="AA571" s="42"/>
    </row>
    <row r="572" spans="1:27" x14ac:dyDescent="0.2">
      <c r="A572" s="42"/>
      <c r="B572" s="42"/>
      <c r="C572" s="42"/>
      <c r="D572" s="42"/>
      <c r="E572" s="42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42"/>
      <c r="X572" s="42"/>
      <c r="Y572" s="42"/>
      <c r="Z572" s="42"/>
      <c r="AA572" s="42"/>
    </row>
    <row r="573" spans="1:27" x14ac:dyDescent="0.2">
      <c r="A573" s="42"/>
      <c r="B573" s="42"/>
      <c r="C573" s="42"/>
      <c r="D573" s="42"/>
      <c r="E573" s="42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42"/>
      <c r="X573" s="42"/>
      <c r="Y573" s="42"/>
      <c r="Z573" s="42"/>
      <c r="AA573" s="42"/>
    </row>
    <row r="574" spans="1:27" x14ac:dyDescent="0.2">
      <c r="A574" s="42"/>
      <c r="B574" s="42"/>
      <c r="C574" s="42"/>
      <c r="D574" s="42"/>
      <c r="E574" s="42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42"/>
      <c r="X574" s="42"/>
      <c r="Y574" s="42"/>
      <c r="Z574" s="42"/>
      <c r="AA574" s="42"/>
    </row>
    <row r="575" spans="1:27" x14ac:dyDescent="0.2">
      <c r="A575" s="42"/>
      <c r="B575" s="42"/>
      <c r="C575" s="42"/>
      <c r="D575" s="42"/>
      <c r="E575" s="42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42"/>
      <c r="X575" s="42"/>
      <c r="Y575" s="42"/>
      <c r="Z575" s="42"/>
      <c r="AA575" s="42"/>
    </row>
    <row r="576" spans="1:27" x14ac:dyDescent="0.2">
      <c r="A576" s="42"/>
      <c r="B576" s="42"/>
      <c r="C576" s="42"/>
      <c r="D576" s="42"/>
      <c r="E576" s="42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42"/>
      <c r="X576" s="42"/>
      <c r="Y576" s="42"/>
      <c r="Z576" s="42"/>
      <c r="AA576" s="42"/>
    </row>
    <row r="577" spans="1:27" x14ac:dyDescent="0.2">
      <c r="A577" s="42"/>
      <c r="B577" s="42"/>
      <c r="C577" s="42"/>
      <c r="D577" s="42"/>
      <c r="E577" s="42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42"/>
      <c r="X577" s="42"/>
      <c r="Y577" s="42"/>
      <c r="Z577" s="42"/>
      <c r="AA577" s="42"/>
    </row>
    <row r="578" spans="1:27" x14ac:dyDescent="0.2">
      <c r="A578" s="42"/>
      <c r="B578" s="42"/>
      <c r="C578" s="42"/>
      <c r="D578" s="42"/>
      <c r="E578" s="42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42"/>
      <c r="X578" s="42"/>
      <c r="Y578" s="42"/>
      <c r="Z578" s="42"/>
      <c r="AA578" s="42"/>
    </row>
    <row r="579" spans="1:27" x14ac:dyDescent="0.2">
      <c r="A579" s="42"/>
      <c r="B579" s="42"/>
      <c r="C579" s="42"/>
      <c r="D579" s="42"/>
      <c r="E579" s="42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42"/>
      <c r="X579" s="42"/>
      <c r="Y579" s="42"/>
      <c r="Z579" s="42"/>
      <c r="AA579" s="42"/>
    </row>
    <row r="580" spans="1:27" x14ac:dyDescent="0.2">
      <c r="A580" s="42"/>
      <c r="B580" s="42"/>
      <c r="C580" s="42"/>
      <c r="D580" s="42"/>
      <c r="E580" s="42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42"/>
      <c r="X580" s="42"/>
      <c r="Y580" s="42"/>
      <c r="Z580" s="42"/>
      <c r="AA580" s="42"/>
    </row>
    <row r="581" spans="1:27" x14ac:dyDescent="0.2">
      <c r="A581" s="42"/>
      <c r="B581" s="42"/>
      <c r="C581" s="42"/>
      <c r="D581" s="42"/>
      <c r="E581" s="42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42"/>
      <c r="X581" s="42"/>
      <c r="Y581" s="42"/>
      <c r="Z581" s="42"/>
      <c r="AA581" s="42"/>
    </row>
    <row r="582" spans="1:27" x14ac:dyDescent="0.2">
      <c r="A582" s="42"/>
      <c r="B582" s="42"/>
      <c r="C582" s="42"/>
      <c r="D582" s="42"/>
      <c r="E582" s="42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42"/>
      <c r="X582" s="42"/>
      <c r="Y582" s="42"/>
      <c r="Z582" s="42"/>
      <c r="AA582" s="42"/>
    </row>
    <row r="583" spans="1:27" x14ac:dyDescent="0.2">
      <c r="A583" s="42"/>
      <c r="B583" s="42"/>
      <c r="C583" s="42"/>
      <c r="D583" s="42"/>
      <c r="E583" s="42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42"/>
      <c r="X583" s="42"/>
      <c r="Y583" s="42"/>
      <c r="Z583" s="42"/>
      <c r="AA583" s="42"/>
    </row>
    <row r="584" spans="1:27" x14ac:dyDescent="0.2">
      <c r="A584" s="42"/>
      <c r="B584" s="42"/>
      <c r="C584" s="42"/>
      <c r="D584" s="42"/>
      <c r="E584" s="42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42"/>
      <c r="X584" s="42"/>
      <c r="Y584" s="42"/>
      <c r="Z584" s="42"/>
      <c r="AA584" s="42"/>
    </row>
    <row r="585" spans="1:27" x14ac:dyDescent="0.2">
      <c r="A585" s="42"/>
      <c r="B585" s="42"/>
      <c r="C585" s="42"/>
      <c r="D585" s="42"/>
      <c r="E585" s="42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42"/>
      <c r="X585" s="42"/>
      <c r="Y585" s="42"/>
      <c r="Z585" s="42"/>
      <c r="AA585" s="42"/>
    </row>
    <row r="586" spans="1:27" x14ac:dyDescent="0.2">
      <c r="A586" s="42"/>
      <c r="B586" s="42"/>
      <c r="C586" s="42"/>
      <c r="D586" s="42"/>
      <c r="E586" s="42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42"/>
      <c r="X586" s="42"/>
      <c r="Y586" s="42"/>
      <c r="Z586" s="42"/>
      <c r="AA586" s="42"/>
    </row>
    <row r="587" spans="1:27" x14ac:dyDescent="0.2">
      <c r="A587" s="42"/>
      <c r="B587" s="42"/>
      <c r="C587" s="42"/>
      <c r="D587" s="42"/>
      <c r="E587" s="42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42"/>
      <c r="X587" s="42"/>
      <c r="Y587" s="42"/>
      <c r="Z587" s="42"/>
      <c r="AA587" s="42"/>
    </row>
    <row r="588" spans="1:27" x14ac:dyDescent="0.2">
      <c r="A588" s="42"/>
      <c r="B588" s="42"/>
      <c r="C588" s="42"/>
      <c r="D588" s="42"/>
      <c r="E588" s="42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42"/>
      <c r="X588" s="42"/>
      <c r="Y588" s="42"/>
      <c r="Z588" s="42"/>
      <c r="AA588" s="42"/>
    </row>
    <row r="589" spans="1:27" x14ac:dyDescent="0.2">
      <c r="A589" s="42"/>
      <c r="B589" s="42"/>
      <c r="C589" s="42"/>
      <c r="D589" s="42"/>
      <c r="E589" s="42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42"/>
      <c r="X589" s="42"/>
      <c r="Y589" s="42"/>
      <c r="Z589" s="42"/>
      <c r="AA589" s="42"/>
    </row>
    <row r="590" spans="1:27" x14ac:dyDescent="0.2">
      <c r="A590" s="42"/>
      <c r="B590" s="42"/>
      <c r="C590" s="42"/>
      <c r="D590" s="42"/>
      <c r="E590" s="42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42"/>
      <c r="X590" s="42"/>
      <c r="Y590" s="42"/>
      <c r="Z590" s="42"/>
      <c r="AA590" s="42"/>
    </row>
    <row r="591" spans="1:27" x14ac:dyDescent="0.2">
      <c r="A591" s="42"/>
      <c r="B591" s="42"/>
      <c r="C591" s="42"/>
      <c r="D591" s="42"/>
      <c r="E591" s="42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42"/>
      <c r="X591" s="42"/>
      <c r="Y591" s="42"/>
      <c r="Z591" s="42"/>
      <c r="AA591" s="42"/>
    </row>
    <row r="592" spans="1:27" x14ac:dyDescent="0.2">
      <c r="A592" s="42"/>
      <c r="B592" s="42"/>
      <c r="C592" s="42"/>
      <c r="D592" s="42"/>
      <c r="E592" s="42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42"/>
      <c r="X592" s="42"/>
      <c r="Y592" s="42"/>
      <c r="Z592" s="42"/>
      <c r="AA592" s="42"/>
    </row>
    <row r="593" spans="1:27" x14ac:dyDescent="0.2">
      <c r="A593" s="42"/>
      <c r="B593" s="42"/>
      <c r="C593" s="42"/>
      <c r="D593" s="42"/>
      <c r="E593" s="42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42"/>
      <c r="X593" s="42"/>
      <c r="Y593" s="42"/>
      <c r="Z593" s="42"/>
      <c r="AA593" s="42"/>
    </row>
    <row r="594" spans="1:27" x14ac:dyDescent="0.2">
      <c r="A594" s="42"/>
      <c r="B594" s="42"/>
      <c r="C594" s="42"/>
      <c r="D594" s="42"/>
      <c r="E594" s="42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42"/>
      <c r="X594" s="42"/>
      <c r="Y594" s="42"/>
      <c r="Z594" s="42"/>
      <c r="AA594" s="42"/>
    </row>
    <row r="595" spans="1:27" x14ac:dyDescent="0.2">
      <c r="A595" s="42"/>
      <c r="B595" s="42"/>
      <c r="C595" s="42"/>
      <c r="D595" s="42"/>
      <c r="E595" s="42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42"/>
      <c r="X595" s="42"/>
      <c r="Y595" s="42"/>
      <c r="Z595" s="42"/>
      <c r="AA595" s="42"/>
    </row>
    <row r="596" spans="1:27" x14ac:dyDescent="0.2">
      <c r="A596" s="42"/>
      <c r="B596" s="42"/>
      <c r="C596" s="42"/>
      <c r="D596" s="42"/>
      <c r="E596" s="42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42"/>
      <c r="X596" s="42"/>
      <c r="Y596" s="42"/>
      <c r="Z596" s="42"/>
      <c r="AA596" s="42"/>
    </row>
    <row r="597" spans="1:27" x14ac:dyDescent="0.2">
      <c r="A597" s="42"/>
      <c r="B597" s="42"/>
      <c r="C597" s="42"/>
      <c r="D597" s="42"/>
      <c r="E597" s="42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42"/>
      <c r="X597" s="42"/>
      <c r="Y597" s="42"/>
      <c r="Z597" s="42"/>
      <c r="AA597" s="42"/>
    </row>
    <row r="598" spans="1:27" x14ac:dyDescent="0.2">
      <c r="A598" s="42"/>
      <c r="B598" s="42"/>
      <c r="C598" s="42"/>
      <c r="D598" s="42"/>
      <c r="E598" s="42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42"/>
      <c r="X598" s="42"/>
      <c r="Y598" s="42"/>
      <c r="Z598" s="42"/>
      <c r="AA598" s="42"/>
    </row>
    <row r="599" spans="1:27" x14ac:dyDescent="0.2">
      <c r="A599" s="42"/>
      <c r="B599" s="42"/>
      <c r="C599" s="42"/>
      <c r="D599" s="42"/>
      <c r="E599" s="42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42"/>
      <c r="X599" s="42"/>
      <c r="Y599" s="42"/>
      <c r="Z599" s="42"/>
      <c r="AA599" s="42"/>
    </row>
    <row r="600" spans="1:27" x14ac:dyDescent="0.2">
      <c r="A600" s="42"/>
      <c r="B600" s="42"/>
      <c r="C600" s="42"/>
      <c r="D600" s="42"/>
      <c r="E600" s="42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42"/>
      <c r="X600" s="42"/>
      <c r="Y600" s="42"/>
      <c r="Z600" s="42"/>
      <c r="AA600" s="42"/>
    </row>
    <row r="601" spans="1:27" x14ac:dyDescent="0.2">
      <c r="A601" s="42"/>
      <c r="B601" s="42"/>
      <c r="C601" s="42"/>
      <c r="D601" s="42"/>
      <c r="E601" s="42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42"/>
      <c r="X601" s="42"/>
      <c r="Y601" s="42"/>
      <c r="Z601" s="42"/>
      <c r="AA601" s="42"/>
    </row>
    <row r="602" spans="1:27" x14ac:dyDescent="0.2">
      <c r="A602" s="42"/>
      <c r="B602" s="42"/>
      <c r="C602" s="42"/>
      <c r="D602" s="42"/>
      <c r="E602" s="42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42"/>
      <c r="X602" s="42"/>
      <c r="Y602" s="42"/>
      <c r="Z602" s="42"/>
      <c r="AA602" s="42"/>
    </row>
    <row r="603" spans="1:27" x14ac:dyDescent="0.2">
      <c r="A603" s="42"/>
      <c r="B603" s="42"/>
      <c r="C603" s="42"/>
      <c r="D603" s="42"/>
      <c r="E603" s="42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42"/>
      <c r="X603" s="42"/>
      <c r="Y603" s="42"/>
      <c r="Z603" s="42"/>
      <c r="AA603" s="42"/>
    </row>
    <row r="604" spans="1:27" x14ac:dyDescent="0.2">
      <c r="A604" s="42"/>
      <c r="B604" s="42"/>
      <c r="C604" s="42"/>
      <c r="D604" s="42"/>
      <c r="E604" s="42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42"/>
      <c r="X604" s="42"/>
      <c r="Y604" s="42"/>
      <c r="Z604" s="42"/>
      <c r="AA604" s="42"/>
    </row>
    <row r="605" spans="1:27" x14ac:dyDescent="0.2">
      <c r="A605" s="42"/>
      <c r="B605" s="42"/>
      <c r="C605" s="42"/>
      <c r="D605" s="42"/>
      <c r="E605" s="42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42"/>
      <c r="X605" s="42"/>
      <c r="Y605" s="42"/>
      <c r="Z605" s="42"/>
      <c r="AA605" s="42"/>
    </row>
    <row r="606" spans="1:27" x14ac:dyDescent="0.2">
      <c r="A606" s="42"/>
      <c r="B606" s="42"/>
      <c r="C606" s="42"/>
      <c r="D606" s="42"/>
      <c r="E606" s="42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42"/>
      <c r="X606" s="42"/>
      <c r="Y606" s="42"/>
      <c r="Z606" s="42"/>
      <c r="AA606" s="42"/>
    </row>
    <row r="607" spans="1:27" x14ac:dyDescent="0.2">
      <c r="A607" s="42"/>
      <c r="B607" s="42"/>
      <c r="C607" s="42"/>
      <c r="D607" s="42"/>
      <c r="E607" s="42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42"/>
      <c r="X607" s="42"/>
      <c r="Y607" s="42"/>
      <c r="Z607" s="42"/>
      <c r="AA607" s="42"/>
    </row>
    <row r="608" spans="1:27" x14ac:dyDescent="0.2">
      <c r="A608" s="42"/>
      <c r="B608" s="42"/>
      <c r="C608" s="42"/>
      <c r="D608" s="42"/>
      <c r="E608" s="42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42"/>
      <c r="X608" s="42"/>
      <c r="Y608" s="42"/>
      <c r="Z608" s="42"/>
      <c r="AA608" s="42"/>
    </row>
    <row r="609" spans="1:27" x14ac:dyDescent="0.2">
      <c r="A609" s="42"/>
      <c r="B609" s="42"/>
      <c r="C609" s="42"/>
      <c r="D609" s="42"/>
      <c r="E609" s="42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42"/>
      <c r="X609" s="42"/>
      <c r="Y609" s="42"/>
      <c r="Z609" s="42"/>
      <c r="AA609" s="42"/>
    </row>
    <row r="610" spans="1:27" x14ac:dyDescent="0.2">
      <c r="A610" s="42"/>
      <c r="B610" s="42"/>
      <c r="C610" s="42"/>
      <c r="D610" s="42"/>
      <c r="E610" s="42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42"/>
      <c r="X610" s="42"/>
      <c r="Y610" s="42"/>
      <c r="Z610" s="42"/>
      <c r="AA610" s="42"/>
    </row>
    <row r="611" spans="1:27" x14ac:dyDescent="0.2">
      <c r="A611" s="42"/>
      <c r="B611" s="42"/>
      <c r="C611" s="42"/>
      <c r="D611" s="42"/>
      <c r="E611" s="42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42"/>
      <c r="X611" s="42"/>
      <c r="Y611" s="42"/>
      <c r="Z611" s="42"/>
      <c r="AA611" s="42"/>
    </row>
    <row r="612" spans="1:27" x14ac:dyDescent="0.2">
      <c r="A612" s="42"/>
      <c r="B612" s="42"/>
      <c r="C612" s="42"/>
      <c r="D612" s="42"/>
      <c r="E612" s="42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42"/>
      <c r="X612" s="42"/>
      <c r="Y612" s="42"/>
      <c r="Z612" s="42"/>
      <c r="AA612" s="42"/>
    </row>
    <row r="613" spans="1:27" x14ac:dyDescent="0.2">
      <c r="A613" s="42"/>
      <c r="B613" s="42"/>
      <c r="C613" s="42"/>
      <c r="D613" s="42"/>
      <c r="E613" s="42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42"/>
      <c r="X613" s="42"/>
      <c r="Y613" s="42"/>
      <c r="Z613" s="42"/>
      <c r="AA613" s="42"/>
    </row>
    <row r="614" spans="1:27" x14ac:dyDescent="0.2">
      <c r="A614" s="42"/>
      <c r="B614" s="42"/>
      <c r="C614" s="42"/>
      <c r="D614" s="42"/>
      <c r="E614" s="42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42"/>
      <c r="X614" s="42"/>
      <c r="Y614" s="42"/>
      <c r="Z614" s="42"/>
      <c r="AA614" s="42"/>
    </row>
    <row r="615" spans="1:27" x14ac:dyDescent="0.2">
      <c r="A615" s="42"/>
      <c r="B615" s="42"/>
      <c r="C615" s="42"/>
      <c r="D615" s="42"/>
      <c r="E615" s="42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42"/>
      <c r="X615" s="42"/>
      <c r="Y615" s="42"/>
      <c r="Z615" s="42"/>
      <c r="AA615" s="42"/>
    </row>
    <row r="616" spans="1:27" x14ac:dyDescent="0.2">
      <c r="A616" s="42"/>
      <c r="B616" s="42"/>
      <c r="C616" s="42"/>
      <c r="D616" s="42"/>
      <c r="E616" s="42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42"/>
      <c r="X616" s="42"/>
      <c r="Y616" s="42"/>
      <c r="Z616" s="42"/>
      <c r="AA616" s="42"/>
    </row>
    <row r="617" spans="1:27" x14ac:dyDescent="0.2">
      <c r="A617" s="42"/>
      <c r="B617" s="42"/>
      <c r="C617" s="42"/>
      <c r="D617" s="42"/>
      <c r="E617" s="42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42"/>
      <c r="X617" s="42"/>
      <c r="Y617" s="42"/>
      <c r="Z617" s="42"/>
      <c r="AA617" s="42"/>
    </row>
    <row r="618" spans="1:27" x14ac:dyDescent="0.2">
      <c r="A618" s="42"/>
      <c r="B618" s="42"/>
      <c r="C618" s="42"/>
      <c r="D618" s="42"/>
      <c r="E618" s="42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42"/>
      <c r="X618" s="42"/>
      <c r="Y618" s="42"/>
      <c r="Z618" s="42"/>
      <c r="AA618" s="42"/>
    </row>
    <row r="619" spans="1:27" x14ac:dyDescent="0.2">
      <c r="A619" s="42"/>
      <c r="B619" s="42"/>
      <c r="C619" s="42"/>
      <c r="D619" s="42"/>
      <c r="E619" s="42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42"/>
      <c r="X619" s="42"/>
      <c r="Y619" s="42"/>
      <c r="Z619" s="42"/>
      <c r="AA619" s="42"/>
    </row>
    <row r="620" spans="1:27" x14ac:dyDescent="0.2">
      <c r="A620" s="42"/>
      <c r="B620" s="42"/>
      <c r="C620" s="42"/>
      <c r="D620" s="42"/>
      <c r="E620" s="42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42"/>
      <c r="X620" s="42"/>
      <c r="Y620" s="42"/>
      <c r="Z620" s="42"/>
      <c r="AA620" s="42"/>
    </row>
    <row r="621" spans="1:27" x14ac:dyDescent="0.2">
      <c r="A621" s="42"/>
      <c r="B621" s="42"/>
      <c r="C621" s="42"/>
      <c r="D621" s="42"/>
      <c r="E621" s="42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42"/>
      <c r="X621" s="42"/>
      <c r="Y621" s="42"/>
      <c r="Z621" s="42"/>
      <c r="AA621" s="42"/>
    </row>
    <row r="622" spans="1:27" x14ac:dyDescent="0.2">
      <c r="A622" s="42"/>
      <c r="B622" s="42"/>
      <c r="C622" s="42"/>
      <c r="D622" s="42"/>
      <c r="E622" s="42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42"/>
      <c r="X622" s="42"/>
      <c r="Y622" s="42"/>
      <c r="Z622" s="42"/>
      <c r="AA622" s="42"/>
    </row>
    <row r="623" spans="1:27" x14ac:dyDescent="0.2">
      <c r="A623" s="42"/>
      <c r="B623" s="42"/>
      <c r="C623" s="42"/>
      <c r="D623" s="42"/>
      <c r="E623" s="42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42"/>
      <c r="X623" s="42"/>
      <c r="Y623" s="42"/>
      <c r="Z623" s="42"/>
      <c r="AA623" s="42"/>
    </row>
    <row r="624" spans="1:27" x14ac:dyDescent="0.2">
      <c r="A624" s="42"/>
      <c r="B624" s="42"/>
      <c r="C624" s="42"/>
      <c r="D624" s="42"/>
      <c r="E624" s="42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42"/>
      <c r="X624" s="42"/>
      <c r="Y624" s="42"/>
      <c r="Z624" s="42"/>
      <c r="AA624" s="42"/>
    </row>
    <row r="625" spans="1:27" x14ac:dyDescent="0.2">
      <c r="A625" s="42"/>
      <c r="B625" s="42"/>
      <c r="C625" s="42"/>
      <c r="D625" s="42"/>
      <c r="E625" s="42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42"/>
      <c r="X625" s="42"/>
      <c r="Y625" s="42"/>
      <c r="Z625" s="42"/>
      <c r="AA625" s="42"/>
    </row>
    <row r="626" spans="1:27" x14ac:dyDescent="0.2">
      <c r="A626" s="42"/>
      <c r="B626" s="42"/>
      <c r="C626" s="42"/>
      <c r="D626" s="42"/>
      <c r="E626" s="42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42"/>
      <c r="X626" s="42"/>
      <c r="Y626" s="42"/>
      <c r="Z626" s="42"/>
      <c r="AA626" s="42"/>
    </row>
    <row r="627" spans="1:27" x14ac:dyDescent="0.2">
      <c r="A627" s="42"/>
      <c r="B627" s="42"/>
      <c r="C627" s="42"/>
      <c r="D627" s="42"/>
      <c r="E627" s="42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42"/>
      <c r="X627" s="42"/>
      <c r="Y627" s="42"/>
      <c r="Z627" s="42"/>
      <c r="AA627" s="42"/>
    </row>
    <row r="628" spans="1:27" x14ac:dyDescent="0.2">
      <c r="A628" s="42"/>
      <c r="B628" s="42"/>
      <c r="C628" s="42"/>
      <c r="D628" s="42"/>
      <c r="E628" s="42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42"/>
      <c r="X628" s="42"/>
      <c r="Y628" s="42"/>
      <c r="Z628" s="42"/>
      <c r="AA628" s="42"/>
    </row>
    <row r="629" spans="1:27" x14ac:dyDescent="0.2">
      <c r="A629" s="42"/>
      <c r="B629" s="42"/>
      <c r="C629" s="42"/>
      <c r="D629" s="42"/>
      <c r="E629" s="42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42"/>
      <c r="X629" s="42"/>
      <c r="Y629" s="42"/>
      <c r="Z629" s="42"/>
      <c r="AA629" s="42"/>
    </row>
    <row r="630" spans="1:27" x14ac:dyDescent="0.2">
      <c r="A630" s="42"/>
      <c r="B630" s="42"/>
      <c r="C630" s="42"/>
      <c r="D630" s="42"/>
      <c r="E630" s="42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42"/>
      <c r="X630" s="42"/>
      <c r="Y630" s="42"/>
      <c r="Z630" s="42"/>
      <c r="AA630" s="42"/>
    </row>
    <row r="631" spans="1:27" x14ac:dyDescent="0.2">
      <c r="A631" s="42"/>
      <c r="B631" s="42"/>
      <c r="C631" s="42"/>
      <c r="D631" s="42"/>
      <c r="E631" s="42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42"/>
      <c r="X631" s="42"/>
      <c r="Y631" s="42"/>
      <c r="Z631" s="42"/>
      <c r="AA631" s="42"/>
    </row>
    <row r="632" spans="1:27" x14ac:dyDescent="0.2">
      <c r="A632" s="42"/>
      <c r="B632" s="42"/>
      <c r="C632" s="42"/>
      <c r="D632" s="42"/>
      <c r="E632" s="42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42"/>
      <c r="X632" s="42"/>
      <c r="Y632" s="42"/>
      <c r="Z632" s="42"/>
      <c r="AA632" s="42"/>
    </row>
    <row r="633" spans="1:27" x14ac:dyDescent="0.2">
      <c r="A633" s="42"/>
      <c r="B633" s="42"/>
      <c r="C633" s="42"/>
      <c r="D633" s="42"/>
      <c r="E633" s="42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42"/>
      <c r="X633" s="42"/>
      <c r="Y633" s="42"/>
      <c r="Z633" s="42"/>
      <c r="AA633" s="42"/>
    </row>
    <row r="634" spans="1:27" x14ac:dyDescent="0.2">
      <c r="A634" s="42"/>
      <c r="B634" s="42"/>
      <c r="C634" s="42"/>
      <c r="D634" s="42"/>
      <c r="E634" s="42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42"/>
      <c r="X634" s="42"/>
      <c r="Y634" s="42"/>
      <c r="Z634" s="42"/>
      <c r="AA634" s="42"/>
    </row>
    <row r="635" spans="1:27" x14ac:dyDescent="0.2">
      <c r="A635" s="42"/>
      <c r="B635" s="42"/>
      <c r="C635" s="42"/>
      <c r="D635" s="42"/>
      <c r="E635" s="42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42"/>
      <c r="X635" s="42"/>
      <c r="Y635" s="42"/>
      <c r="Z635" s="42"/>
      <c r="AA635" s="42"/>
    </row>
    <row r="636" spans="1:27" x14ac:dyDescent="0.2">
      <c r="A636" s="42"/>
      <c r="B636" s="42"/>
      <c r="C636" s="42"/>
      <c r="D636" s="42"/>
      <c r="E636" s="42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42"/>
      <c r="X636" s="42"/>
      <c r="Y636" s="42"/>
      <c r="Z636" s="42"/>
      <c r="AA636" s="42"/>
    </row>
    <row r="637" spans="1:27" x14ac:dyDescent="0.2">
      <c r="A637" s="42"/>
      <c r="B637" s="42"/>
      <c r="C637" s="42"/>
      <c r="D637" s="42"/>
      <c r="E637" s="42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42"/>
      <c r="X637" s="42"/>
      <c r="Y637" s="42"/>
      <c r="Z637" s="42"/>
      <c r="AA637" s="42"/>
    </row>
    <row r="638" spans="1:27" x14ac:dyDescent="0.2">
      <c r="A638" s="42"/>
      <c r="B638" s="42"/>
      <c r="C638" s="42"/>
      <c r="D638" s="42"/>
      <c r="E638" s="42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42"/>
      <c r="X638" s="42"/>
      <c r="Y638" s="42"/>
      <c r="Z638" s="42"/>
      <c r="AA638" s="42"/>
    </row>
    <row r="639" spans="1:27" x14ac:dyDescent="0.2">
      <c r="A639" s="42"/>
      <c r="B639" s="42"/>
      <c r="C639" s="42"/>
      <c r="D639" s="42"/>
      <c r="E639" s="42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42"/>
      <c r="X639" s="42"/>
      <c r="Y639" s="42"/>
      <c r="Z639" s="42"/>
      <c r="AA639" s="42"/>
    </row>
    <row r="640" spans="1:27" x14ac:dyDescent="0.2">
      <c r="A640" s="42"/>
      <c r="B640" s="42"/>
      <c r="C640" s="42"/>
      <c r="D640" s="42"/>
      <c r="E640" s="42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42"/>
      <c r="X640" s="42"/>
      <c r="Y640" s="42"/>
      <c r="Z640" s="42"/>
      <c r="AA640" s="42"/>
    </row>
    <row r="641" spans="1:27" x14ac:dyDescent="0.2">
      <c r="A641" s="42"/>
      <c r="B641" s="42"/>
      <c r="C641" s="42"/>
      <c r="D641" s="42"/>
      <c r="E641" s="42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42"/>
      <c r="X641" s="42"/>
      <c r="Y641" s="42"/>
      <c r="Z641" s="42"/>
      <c r="AA641" s="42"/>
    </row>
    <row r="642" spans="1:27" x14ac:dyDescent="0.2">
      <c r="A642" s="42"/>
      <c r="B642" s="42"/>
      <c r="C642" s="42"/>
      <c r="D642" s="42"/>
      <c r="E642" s="42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42"/>
      <c r="X642" s="42"/>
      <c r="Y642" s="42"/>
      <c r="Z642" s="42"/>
      <c r="AA642" s="42"/>
    </row>
    <row r="643" spans="1:27" x14ac:dyDescent="0.2">
      <c r="A643" s="42"/>
      <c r="B643" s="42"/>
      <c r="C643" s="42"/>
      <c r="D643" s="42"/>
      <c r="E643" s="42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42"/>
      <c r="X643" s="42"/>
      <c r="Y643" s="42"/>
      <c r="Z643" s="42"/>
      <c r="AA643" s="42"/>
    </row>
    <row r="644" spans="1:27" x14ac:dyDescent="0.2">
      <c r="A644" s="42"/>
      <c r="B644" s="42"/>
      <c r="C644" s="42"/>
      <c r="D644" s="42"/>
      <c r="E644" s="42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42"/>
      <c r="X644" s="42"/>
      <c r="Y644" s="42"/>
      <c r="Z644" s="42"/>
      <c r="AA644" s="42"/>
    </row>
    <row r="645" spans="1:27" x14ac:dyDescent="0.2">
      <c r="A645" s="42"/>
      <c r="B645" s="42"/>
      <c r="C645" s="42"/>
      <c r="D645" s="42"/>
      <c r="E645" s="42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42"/>
      <c r="X645" s="42"/>
      <c r="Y645" s="42"/>
      <c r="Z645" s="42"/>
      <c r="AA645" s="42"/>
    </row>
    <row r="646" spans="1:27" x14ac:dyDescent="0.2">
      <c r="A646" s="42"/>
      <c r="B646" s="42"/>
      <c r="C646" s="42"/>
      <c r="D646" s="42"/>
      <c r="E646" s="42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42"/>
      <c r="X646" s="42"/>
      <c r="Y646" s="42"/>
      <c r="Z646" s="42"/>
      <c r="AA646" s="42"/>
    </row>
    <row r="647" spans="1:27" x14ac:dyDescent="0.2">
      <c r="A647" s="42"/>
      <c r="B647" s="42"/>
      <c r="C647" s="42"/>
      <c r="D647" s="42"/>
      <c r="E647" s="42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42"/>
      <c r="X647" s="42"/>
      <c r="Y647" s="42"/>
      <c r="Z647" s="42"/>
      <c r="AA647" s="42"/>
    </row>
    <row r="648" spans="1:27" x14ac:dyDescent="0.2">
      <c r="A648" s="42"/>
      <c r="B648" s="42"/>
      <c r="C648" s="42"/>
      <c r="D648" s="42"/>
      <c r="E648" s="42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42"/>
      <c r="X648" s="42"/>
      <c r="Y648" s="42"/>
      <c r="Z648" s="42"/>
      <c r="AA648" s="42"/>
    </row>
    <row r="649" spans="1:27" x14ac:dyDescent="0.2">
      <c r="A649" s="42"/>
      <c r="B649" s="42"/>
      <c r="C649" s="42"/>
      <c r="D649" s="42"/>
      <c r="E649" s="42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42"/>
      <c r="X649" s="42"/>
      <c r="Y649" s="42"/>
      <c r="Z649" s="42"/>
      <c r="AA649" s="42"/>
    </row>
    <row r="650" spans="1:27" x14ac:dyDescent="0.2">
      <c r="A650" s="42"/>
      <c r="B650" s="42"/>
      <c r="C650" s="42"/>
      <c r="D650" s="42"/>
      <c r="E650" s="42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42"/>
      <c r="X650" s="42"/>
      <c r="Y650" s="42"/>
      <c r="Z650" s="42"/>
      <c r="AA650" s="42"/>
    </row>
    <row r="651" spans="1:27" x14ac:dyDescent="0.2">
      <c r="A651" s="42"/>
      <c r="B651" s="42"/>
      <c r="C651" s="42"/>
      <c r="D651" s="42"/>
      <c r="E651" s="42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42"/>
      <c r="X651" s="42"/>
      <c r="Y651" s="42"/>
      <c r="Z651" s="42"/>
      <c r="AA651" s="42"/>
    </row>
    <row r="652" spans="1:27" x14ac:dyDescent="0.2">
      <c r="A652" s="42"/>
      <c r="B652" s="42"/>
      <c r="C652" s="42"/>
      <c r="D652" s="42"/>
      <c r="E652" s="42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42"/>
      <c r="X652" s="42"/>
      <c r="Y652" s="42"/>
      <c r="Z652" s="42"/>
      <c r="AA652" s="42"/>
    </row>
    <row r="653" spans="1:27" x14ac:dyDescent="0.2">
      <c r="A653" s="42"/>
      <c r="B653" s="42"/>
      <c r="C653" s="42"/>
      <c r="D653" s="42"/>
      <c r="E653" s="42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42"/>
      <c r="X653" s="42"/>
      <c r="Y653" s="42"/>
      <c r="Z653" s="42"/>
      <c r="AA653" s="42"/>
    </row>
    <row r="654" spans="1:27" x14ac:dyDescent="0.2">
      <c r="A654" s="42"/>
      <c r="B654" s="42"/>
      <c r="C654" s="42"/>
      <c r="D654" s="42"/>
      <c r="E654" s="42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42"/>
      <c r="X654" s="42"/>
      <c r="Y654" s="42"/>
      <c r="Z654" s="42"/>
      <c r="AA654" s="42"/>
    </row>
    <row r="655" spans="1:27" x14ac:dyDescent="0.2">
      <c r="A655" s="42"/>
      <c r="B655" s="42"/>
      <c r="C655" s="42"/>
      <c r="D655" s="42"/>
      <c r="E655" s="42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42"/>
      <c r="X655" s="42"/>
      <c r="Y655" s="42"/>
      <c r="Z655" s="42"/>
      <c r="AA655" s="42"/>
    </row>
    <row r="656" spans="1:27" x14ac:dyDescent="0.2">
      <c r="A656" s="42"/>
      <c r="B656" s="42"/>
      <c r="C656" s="42"/>
      <c r="D656" s="42"/>
      <c r="E656" s="42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42"/>
      <c r="X656" s="42"/>
      <c r="Y656" s="42"/>
      <c r="Z656" s="42"/>
      <c r="AA656" s="42"/>
    </row>
    <row r="657" spans="1:27" x14ac:dyDescent="0.2">
      <c r="A657" s="42"/>
      <c r="B657" s="42"/>
      <c r="C657" s="42"/>
      <c r="D657" s="42"/>
      <c r="E657" s="42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42"/>
      <c r="X657" s="42"/>
      <c r="Y657" s="42"/>
      <c r="Z657" s="42"/>
      <c r="AA657" s="42"/>
    </row>
    <row r="658" spans="1:27" x14ac:dyDescent="0.2">
      <c r="A658" s="42"/>
      <c r="B658" s="42"/>
      <c r="C658" s="42"/>
      <c r="D658" s="42"/>
      <c r="E658" s="42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42"/>
      <c r="X658" s="42"/>
      <c r="Y658" s="42"/>
      <c r="Z658" s="42"/>
      <c r="AA658" s="42"/>
    </row>
    <row r="659" spans="1:27" x14ac:dyDescent="0.2">
      <c r="A659" s="42"/>
      <c r="B659" s="42"/>
      <c r="C659" s="42"/>
      <c r="D659" s="42"/>
      <c r="E659" s="42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42"/>
      <c r="X659" s="42"/>
      <c r="Y659" s="42"/>
      <c r="Z659" s="42"/>
      <c r="AA659" s="42"/>
    </row>
    <row r="660" spans="1:27" x14ac:dyDescent="0.2">
      <c r="A660" s="42"/>
      <c r="B660" s="42"/>
      <c r="C660" s="42"/>
      <c r="D660" s="42"/>
      <c r="E660" s="42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42"/>
      <c r="X660" s="42"/>
      <c r="Y660" s="42"/>
      <c r="Z660" s="42"/>
      <c r="AA660" s="42"/>
    </row>
    <row r="661" spans="1:27" x14ac:dyDescent="0.2">
      <c r="A661" s="42"/>
      <c r="B661" s="42"/>
      <c r="C661" s="42"/>
      <c r="D661" s="42"/>
      <c r="E661" s="42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42"/>
      <c r="X661" s="42"/>
      <c r="Y661" s="42"/>
      <c r="Z661" s="42"/>
      <c r="AA661" s="42"/>
    </row>
    <row r="662" spans="1:27" x14ac:dyDescent="0.2">
      <c r="A662" s="42"/>
      <c r="B662" s="42"/>
      <c r="C662" s="42"/>
      <c r="D662" s="42"/>
      <c r="E662" s="42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42"/>
      <c r="X662" s="42"/>
      <c r="Y662" s="42"/>
      <c r="Z662" s="42"/>
      <c r="AA662" s="42"/>
    </row>
    <row r="663" spans="1:27" x14ac:dyDescent="0.2">
      <c r="A663" s="42"/>
      <c r="B663" s="42"/>
      <c r="C663" s="42"/>
      <c r="D663" s="42"/>
      <c r="E663" s="42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42"/>
      <c r="X663" s="42"/>
      <c r="Y663" s="42"/>
      <c r="Z663" s="42"/>
      <c r="AA663" s="42"/>
    </row>
    <row r="664" spans="1:27" x14ac:dyDescent="0.2">
      <c r="A664" s="42"/>
      <c r="B664" s="42"/>
      <c r="C664" s="42"/>
      <c r="D664" s="42"/>
      <c r="E664" s="42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42"/>
      <c r="X664" s="42"/>
      <c r="Y664" s="42"/>
      <c r="Z664" s="42"/>
      <c r="AA664" s="42"/>
    </row>
    <row r="665" spans="1:27" x14ac:dyDescent="0.2">
      <c r="A665" s="42"/>
      <c r="B665" s="42"/>
      <c r="C665" s="42"/>
      <c r="D665" s="42"/>
      <c r="E665" s="42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42"/>
      <c r="X665" s="42"/>
      <c r="Y665" s="42"/>
      <c r="Z665" s="42"/>
      <c r="AA665" s="42"/>
    </row>
    <row r="666" spans="1:27" x14ac:dyDescent="0.2">
      <c r="A666" s="42"/>
      <c r="B666" s="42"/>
      <c r="C666" s="42"/>
      <c r="D666" s="42"/>
      <c r="E666" s="42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42"/>
      <c r="X666" s="42"/>
      <c r="Y666" s="42"/>
      <c r="Z666" s="42"/>
      <c r="AA666" s="42"/>
    </row>
    <row r="667" spans="1:27" x14ac:dyDescent="0.2">
      <c r="A667" s="42"/>
      <c r="B667" s="42"/>
      <c r="C667" s="42"/>
      <c r="D667" s="42"/>
      <c r="E667" s="42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42"/>
      <c r="X667" s="42"/>
      <c r="Y667" s="42"/>
      <c r="Z667" s="42"/>
      <c r="AA667" s="42"/>
    </row>
    <row r="668" spans="1:27" x14ac:dyDescent="0.2">
      <c r="A668" s="42"/>
      <c r="B668" s="42"/>
      <c r="C668" s="42"/>
      <c r="D668" s="42"/>
      <c r="E668" s="42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42"/>
      <c r="X668" s="42"/>
      <c r="Y668" s="42"/>
      <c r="Z668" s="42"/>
      <c r="AA668" s="42"/>
    </row>
    <row r="669" spans="1:27" x14ac:dyDescent="0.2">
      <c r="A669" s="42"/>
      <c r="B669" s="42"/>
      <c r="C669" s="42"/>
      <c r="D669" s="42"/>
      <c r="E669" s="42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42"/>
      <c r="X669" s="42"/>
      <c r="Y669" s="42"/>
      <c r="Z669" s="42"/>
      <c r="AA669" s="42"/>
    </row>
    <row r="670" spans="1:27" x14ac:dyDescent="0.2">
      <c r="A670" s="42"/>
      <c r="B670" s="42"/>
      <c r="C670" s="42"/>
      <c r="D670" s="42"/>
      <c r="E670" s="42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42"/>
      <c r="X670" s="42"/>
      <c r="Y670" s="42"/>
      <c r="Z670" s="42"/>
      <c r="AA670" s="42"/>
    </row>
    <row r="671" spans="1:27" x14ac:dyDescent="0.2">
      <c r="A671" s="42"/>
      <c r="B671" s="42"/>
      <c r="C671" s="42"/>
      <c r="D671" s="42"/>
      <c r="E671" s="42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42"/>
      <c r="X671" s="42"/>
      <c r="Y671" s="42"/>
      <c r="Z671" s="42"/>
      <c r="AA671" s="42"/>
    </row>
    <row r="672" spans="1:27" x14ac:dyDescent="0.2">
      <c r="A672" s="42"/>
      <c r="B672" s="42"/>
      <c r="C672" s="42"/>
      <c r="D672" s="42"/>
      <c r="E672" s="42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42"/>
      <c r="X672" s="42"/>
      <c r="Y672" s="42"/>
      <c r="Z672" s="42"/>
      <c r="AA672" s="42"/>
    </row>
    <row r="673" spans="1:27" x14ac:dyDescent="0.2">
      <c r="A673" s="42"/>
      <c r="B673" s="42"/>
      <c r="C673" s="42"/>
      <c r="D673" s="42"/>
      <c r="E673" s="42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42"/>
      <c r="X673" s="42"/>
      <c r="Y673" s="42"/>
      <c r="Z673" s="42"/>
      <c r="AA673" s="42"/>
    </row>
    <row r="674" spans="1:27" x14ac:dyDescent="0.2">
      <c r="A674" s="42"/>
      <c r="B674" s="42"/>
      <c r="C674" s="42"/>
      <c r="D674" s="42"/>
      <c r="E674" s="42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42"/>
      <c r="X674" s="42"/>
      <c r="Y674" s="42"/>
      <c r="Z674" s="42"/>
      <c r="AA674" s="42"/>
    </row>
    <row r="675" spans="1:27" x14ac:dyDescent="0.2">
      <c r="A675" s="42"/>
      <c r="B675" s="42"/>
      <c r="C675" s="42"/>
      <c r="D675" s="42"/>
      <c r="E675" s="42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42"/>
      <c r="X675" s="42"/>
      <c r="Y675" s="42"/>
      <c r="Z675" s="42"/>
      <c r="AA675" s="42"/>
    </row>
    <row r="676" spans="1:27" x14ac:dyDescent="0.2">
      <c r="A676" s="42"/>
      <c r="B676" s="42"/>
      <c r="C676" s="42"/>
      <c r="D676" s="42"/>
      <c r="E676" s="42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42"/>
      <c r="X676" s="42"/>
      <c r="Y676" s="42"/>
      <c r="Z676" s="42"/>
      <c r="AA676" s="42"/>
    </row>
    <row r="677" spans="1:27" x14ac:dyDescent="0.2">
      <c r="A677" s="42"/>
      <c r="B677" s="42"/>
      <c r="C677" s="42"/>
      <c r="D677" s="42"/>
      <c r="E677" s="42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42"/>
      <c r="X677" s="42"/>
      <c r="Y677" s="42"/>
      <c r="Z677" s="42"/>
      <c r="AA677" s="42"/>
    </row>
    <row r="678" spans="1:27" x14ac:dyDescent="0.2">
      <c r="A678" s="42"/>
      <c r="B678" s="42"/>
      <c r="C678" s="42"/>
      <c r="D678" s="42"/>
      <c r="E678" s="42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42"/>
      <c r="X678" s="42"/>
      <c r="Y678" s="42"/>
      <c r="Z678" s="42"/>
      <c r="AA678" s="42"/>
    </row>
    <row r="679" spans="1:27" x14ac:dyDescent="0.2">
      <c r="A679" s="42"/>
      <c r="B679" s="42"/>
      <c r="C679" s="42"/>
      <c r="D679" s="42"/>
      <c r="E679" s="42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42"/>
      <c r="X679" s="42"/>
      <c r="Y679" s="42"/>
      <c r="Z679" s="42"/>
      <c r="AA679" s="42"/>
    </row>
    <row r="680" spans="1:27" x14ac:dyDescent="0.2">
      <c r="A680" s="42"/>
      <c r="B680" s="42"/>
      <c r="C680" s="42"/>
      <c r="D680" s="42"/>
      <c r="E680" s="42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42"/>
      <c r="X680" s="42"/>
      <c r="Y680" s="42"/>
      <c r="Z680" s="42"/>
      <c r="AA680" s="42"/>
    </row>
    <row r="681" spans="1:27" x14ac:dyDescent="0.2">
      <c r="A681" s="42"/>
      <c r="B681" s="42"/>
      <c r="C681" s="42"/>
      <c r="D681" s="42"/>
      <c r="E681" s="42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42"/>
      <c r="X681" s="42"/>
      <c r="Y681" s="42"/>
      <c r="Z681" s="42"/>
      <c r="AA681" s="42"/>
    </row>
    <row r="682" spans="1:27" x14ac:dyDescent="0.2">
      <c r="A682" s="42"/>
      <c r="B682" s="42"/>
      <c r="C682" s="42"/>
      <c r="D682" s="42"/>
      <c r="E682" s="42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42"/>
      <c r="X682" s="42"/>
      <c r="Y682" s="42"/>
      <c r="Z682" s="42"/>
      <c r="AA682" s="42"/>
    </row>
    <row r="683" spans="1:27" x14ac:dyDescent="0.2">
      <c r="A683" s="42"/>
      <c r="B683" s="42"/>
      <c r="C683" s="42"/>
      <c r="D683" s="42"/>
      <c r="E683" s="42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42"/>
      <c r="X683" s="42"/>
      <c r="Y683" s="42"/>
      <c r="Z683" s="42"/>
      <c r="AA683" s="42"/>
    </row>
    <row r="684" spans="1:27" x14ac:dyDescent="0.2">
      <c r="A684" s="42"/>
      <c r="B684" s="42"/>
      <c r="C684" s="42"/>
      <c r="D684" s="42"/>
      <c r="E684" s="42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42"/>
      <c r="X684" s="42"/>
      <c r="Y684" s="42"/>
      <c r="Z684" s="42"/>
      <c r="AA684" s="42"/>
    </row>
    <row r="685" spans="1:27" x14ac:dyDescent="0.2">
      <c r="A685" s="42"/>
      <c r="B685" s="42"/>
      <c r="C685" s="42"/>
      <c r="D685" s="42"/>
      <c r="E685" s="42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42"/>
      <c r="X685" s="42"/>
      <c r="Y685" s="42"/>
      <c r="Z685" s="42"/>
      <c r="AA685" s="42"/>
    </row>
    <row r="686" spans="1:27" x14ac:dyDescent="0.2">
      <c r="A686" s="42"/>
      <c r="B686" s="42"/>
      <c r="C686" s="42"/>
      <c r="D686" s="42"/>
      <c r="E686" s="42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42"/>
      <c r="X686" s="42"/>
      <c r="Y686" s="42"/>
      <c r="Z686" s="42"/>
      <c r="AA686" s="42"/>
    </row>
    <row r="687" spans="1:27" x14ac:dyDescent="0.2">
      <c r="A687" s="42"/>
      <c r="B687" s="42"/>
      <c r="C687" s="42"/>
      <c r="D687" s="42"/>
      <c r="E687" s="42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42"/>
      <c r="X687" s="42"/>
      <c r="Y687" s="42"/>
      <c r="Z687" s="42"/>
      <c r="AA687" s="42"/>
    </row>
    <row r="688" spans="1:27" x14ac:dyDescent="0.2">
      <c r="A688" s="42"/>
      <c r="B688" s="42"/>
      <c r="C688" s="42"/>
      <c r="D688" s="42"/>
      <c r="E688" s="42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42"/>
      <c r="X688" s="42"/>
      <c r="Y688" s="42"/>
      <c r="Z688" s="42"/>
      <c r="AA688" s="42"/>
    </row>
    <row r="689" spans="1:27" x14ac:dyDescent="0.2">
      <c r="A689" s="42"/>
      <c r="B689" s="42"/>
      <c r="C689" s="42"/>
      <c r="D689" s="42"/>
      <c r="E689" s="42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42"/>
      <c r="X689" s="42"/>
      <c r="Y689" s="42"/>
      <c r="Z689" s="42"/>
      <c r="AA689" s="42"/>
    </row>
    <row r="690" spans="1:27" x14ac:dyDescent="0.2">
      <c r="A690" s="42"/>
      <c r="B690" s="42"/>
      <c r="C690" s="42"/>
      <c r="D690" s="42"/>
      <c r="E690" s="42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42"/>
      <c r="X690" s="42"/>
      <c r="Y690" s="42"/>
      <c r="Z690" s="42"/>
      <c r="AA690" s="42"/>
    </row>
    <row r="691" spans="1:27" x14ac:dyDescent="0.2">
      <c r="A691" s="42"/>
      <c r="B691" s="42"/>
      <c r="C691" s="42"/>
      <c r="D691" s="42"/>
      <c r="E691" s="42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42"/>
      <c r="X691" s="42"/>
      <c r="Y691" s="42"/>
      <c r="Z691" s="42"/>
      <c r="AA691" s="42"/>
    </row>
    <row r="692" spans="1:27" x14ac:dyDescent="0.2">
      <c r="A692" s="42"/>
      <c r="B692" s="42"/>
      <c r="C692" s="42"/>
      <c r="D692" s="42"/>
      <c r="E692" s="42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42"/>
      <c r="X692" s="42"/>
      <c r="Y692" s="42"/>
      <c r="Z692" s="42"/>
      <c r="AA692" s="42"/>
    </row>
    <row r="693" spans="1:27" x14ac:dyDescent="0.2">
      <c r="A693" s="42"/>
      <c r="B693" s="42"/>
      <c r="C693" s="42"/>
      <c r="D693" s="42"/>
      <c r="E693" s="42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42"/>
      <c r="X693" s="42"/>
      <c r="Y693" s="42"/>
      <c r="Z693" s="42"/>
      <c r="AA693" s="42"/>
    </row>
    <row r="694" spans="1:27" x14ac:dyDescent="0.2">
      <c r="A694" s="42"/>
      <c r="B694" s="42"/>
      <c r="C694" s="42"/>
      <c r="D694" s="42"/>
      <c r="E694" s="42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42"/>
      <c r="X694" s="42"/>
      <c r="Y694" s="42"/>
      <c r="Z694" s="42"/>
      <c r="AA694" s="42"/>
    </row>
    <row r="695" spans="1:27" x14ac:dyDescent="0.2">
      <c r="A695" s="42"/>
      <c r="B695" s="42"/>
      <c r="C695" s="42"/>
      <c r="D695" s="42"/>
      <c r="E695" s="42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42"/>
      <c r="X695" s="42"/>
      <c r="Y695" s="42"/>
      <c r="Z695" s="42"/>
      <c r="AA695" s="42"/>
    </row>
    <row r="696" spans="1:27" x14ac:dyDescent="0.2">
      <c r="A696" s="42"/>
      <c r="B696" s="42"/>
      <c r="C696" s="42"/>
      <c r="D696" s="42"/>
      <c r="E696" s="42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42"/>
      <c r="X696" s="42"/>
      <c r="Y696" s="42"/>
      <c r="Z696" s="42"/>
      <c r="AA696" s="42"/>
    </row>
    <row r="697" spans="1:27" x14ac:dyDescent="0.2">
      <c r="A697" s="42"/>
      <c r="B697" s="42"/>
      <c r="C697" s="42"/>
      <c r="D697" s="42"/>
      <c r="E697" s="42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42"/>
      <c r="X697" s="42"/>
      <c r="Y697" s="42"/>
      <c r="Z697" s="42"/>
      <c r="AA697" s="42"/>
    </row>
    <row r="698" spans="1:27" x14ac:dyDescent="0.2">
      <c r="A698" s="42"/>
      <c r="B698" s="42"/>
      <c r="C698" s="42"/>
      <c r="D698" s="42"/>
      <c r="E698" s="42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42"/>
      <c r="X698" s="42"/>
      <c r="Y698" s="42"/>
      <c r="Z698" s="42"/>
      <c r="AA698" s="42"/>
    </row>
    <row r="699" spans="1:27" x14ac:dyDescent="0.2">
      <c r="A699" s="42"/>
      <c r="B699" s="42"/>
      <c r="C699" s="42"/>
      <c r="D699" s="42"/>
      <c r="E699" s="42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42"/>
      <c r="X699" s="42"/>
      <c r="Y699" s="42"/>
      <c r="Z699" s="42"/>
      <c r="AA699" s="42"/>
    </row>
    <row r="700" spans="1:27" x14ac:dyDescent="0.2">
      <c r="A700" s="42"/>
      <c r="B700" s="42"/>
      <c r="C700" s="42"/>
      <c r="D700" s="42"/>
      <c r="E700" s="42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42"/>
      <c r="X700" s="42"/>
      <c r="Y700" s="42"/>
      <c r="Z700" s="42"/>
      <c r="AA700" s="42"/>
    </row>
    <row r="701" spans="1:27" x14ac:dyDescent="0.2">
      <c r="A701" s="42"/>
      <c r="B701" s="42"/>
      <c r="C701" s="42"/>
      <c r="D701" s="42"/>
      <c r="E701" s="42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42"/>
      <c r="X701" s="42"/>
      <c r="Y701" s="42"/>
      <c r="Z701" s="42"/>
      <c r="AA701" s="42"/>
    </row>
    <row r="702" spans="1:27" x14ac:dyDescent="0.2">
      <c r="A702" s="42"/>
      <c r="B702" s="42"/>
      <c r="C702" s="42"/>
      <c r="D702" s="42"/>
      <c r="E702" s="42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42"/>
      <c r="X702" s="42"/>
      <c r="Y702" s="42"/>
      <c r="Z702" s="42"/>
      <c r="AA702" s="42"/>
    </row>
    <row r="703" spans="1:27" x14ac:dyDescent="0.2">
      <c r="A703" s="42"/>
      <c r="B703" s="42"/>
      <c r="C703" s="42"/>
      <c r="D703" s="42"/>
      <c r="E703" s="42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42"/>
      <c r="X703" s="42"/>
      <c r="Y703" s="42"/>
      <c r="Z703" s="42"/>
      <c r="AA703" s="42"/>
    </row>
    <row r="704" spans="1:27" x14ac:dyDescent="0.2">
      <c r="A704" s="42"/>
      <c r="B704" s="42"/>
      <c r="C704" s="42"/>
      <c r="D704" s="42"/>
      <c r="E704" s="42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42"/>
      <c r="X704" s="42"/>
      <c r="Y704" s="42"/>
      <c r="Z704" s="42"/>
      <c r="AA704" s="42"/>
    </row>
    <row r="705" spans="1:27" x14ac:dyDescent="0.2">
      <c r="A705" s="42"/>
      <c r="B705" s="42"/>
      <c r="C705" s="42"/>
      <c r="D705" s="42"/>
      <c r="E705" s="42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42"/>
      <c r="X705" s="42"/>
      <c r="Y705" s="42"/>
      <c r="Z705" s="42"/>
      <c r="AA705" s="42"/>
    </row>
    <row r="706" spans="1:27" x14ac:dyDescent="0.2">
      <c r="A706" s="42"/>
      <c r="B706" s="42"/>
      <c r="C706" s="42"/>
      <c r="D706" s="42"/>
      <c r="E706" s="42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42"/>
      <c r="X706" s="42"/>
      <c r="Y706" s="42"/>
      <c r="Z706" s="42"/>
      <c r="AA706" s="42"/>
    </row>
    <row r="707" spans="1:27" x14ac:dyDescent="0.2">
      <c r="A707" s="42"/>
      <c r="B707" s="42"/>
      <c r="C707" s="42"/>
      <c r="D707" s="42"/>
      <c r="E707" s="42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42"/>
      <c r="X707" s="42"/>
      <c r="Y707" s="42"/>
      <c r="Z707" s="42"/>
      <c r="AA707" s="42"/>
    </row>
    <row r="708" spans="1:27" x14ac:dyDescent="0.2">
      <c r="A708" s="42"/>
      <c r="B708" s="42"/>
      <c r="C708" s="42"/>
      <c r="D708" s="42"/>
      <c r="E708" s="42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42"/>
      <c r="X708" s="42"/>
      <c r="Y708" s="42"/>
      <c r="Z708" s="42"/>
      <c r="AA708" s="42"/>
    </row>
    <row r="709" spans="1:27" x14ac:dyDescent="0.2">
      <c r="A709" s="42"/>
      <c r="B709" s="42"/>
      <c r="C709" s="42"/>
      <c r="D709" s="42"/>
      <c r="E709" s="42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42"/>
      <c r="X709" s="42"/>
      <c r="Y709" s="42"/>
      <c r="Z709" s="42"/>
      <c r="AA709" s="42"/>
    </row>
    <row r="710" spans="1:27" x14ac:dyDescent="0.2">
      <c r="A710" s="42"/>
      <c r="B710" s="42"/>
      <c r="C710" s="42"/>
      <c r="D710" s="42"/>
      <c r="E710" s="42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42"/>
      <c r="X710" s="42"/>
      <c r="Y710" s="42"/>
      <c r="Z710" s="42"/>
      <c r="AA710" s="42"/>
    </row>
    <row r="711" spans="1:27" x14ac:dyDescent="0.2">
      <c r="A711" s="42"/>
      <c r="B711" s="42"/>
      <c r="C711" s="42"/>
      <c r="D711" s="42"/>
      <c r="E711" s="42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42"/>
      <c r="X711" s="42"/>
      <c r="Y711" s="42"/>
      <c r="Z711" s="42"/>
      <c r="AA711" s="42"/>
    </row>
    <row r="712" spans="1:27" x14ac:dyDescent="0.2">
      <c r="A712" s="42"/>
      <c r="B712" s="42"/>
      <c r="C712" s="42"/>
      <c r="D712" s="42"/>
      <c r="E712" s="42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42"/>
      <c r="X712" s="42"/>
      <c r="Y712" s="42"/>
      <c r="Z712" s="42"/>
      <c r="AA712" s="42"/>
    </row>
    <row r="713" spans="1:27" x14ac:dyDescent="0.2">
      <c r="A713" s="42"/>
      <c r="B713" s="42"/>
      <c r="C713" s="42"/>
      <c r="D713" s="42"/>
      <c r="E713" s="42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42"/>
      <c r="X713" s="42"/>
      <c r="Y713" s="42"/>
      <c r="Z713" s="42"/>
      <c r="AA713" s="42"/>
    </row>
    <row r="714" spans="1:27" x14ac:dyDescent="0.2">
      <c r="A714" s="42"/>
      <c r="B714" s="42"/>
      <c r="C714" s="42"/>
      <c r="D714" s="42"/>
      <c r="E714" s="42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42"/>
      <c r="X714" s="42"/>
      <c r="Y714" s="42"/>
      <c r="Z714" s="42"/>
      <c r="AA714" s="42"/>
    </row>
    <row r="715" spans="1:27" x14ac:dyDescent="0.2">
      <c r="A715" s="42"/>
      <c r="B715" s="42"/>
      <c r="C715" s="42"/>
      <c r="D715" s="42"/>
      <c r="E715" s="42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42"/>
      <c r="X715" s="42"/>
      <c r="Y715" s="42"/>
      <c r="Z715" s="42"/>
      <c r="AA715" s="42"/>
    </row>
    <row r="716" spans="1:27" x14ac:dyDescent="0.2">
      <c r="A716" s="42"/>
      <c r="B716" s="42"/>
      <c r="C716" s="42"/>
      <c r="D716" s="42"/>
      <c r="E716" s="42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42"/>
      <c r="X716" s="42"/>
      <c r="Y716" s="42"/>
      <c r="Z716" s="42"/>
      <c r="AA716" s="42"/>
    </row>
    <row r="717" spans="1:27" x14ac:dyDescent="0.2">
      <c r="A717" s="42"/>
      <c r="B717" s="42"/>
      <c r="C717" s="42"/>
      <c r="D717" s="42"/>
      <c r="E717" s="42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42"/>
      <c r="X717" s="42"/>
      <c r="Y717" s="42"/>
      <c r="Z717" s="42"/>
      <c r="AA717" s="42"/>
    </row>
    <row r="718" spans="1:27" x14ac:dyDescent="0.2">
      <c r="A718" s="42"/>
      <c r="B718" s="42"/>
      <c r="C718" s="42"/>
      <c r="D718" s="42"/>
      <c r="E718" s="42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42"/>
      <c r="X718" s="42"/>
      <c r="Y718" s="42"/>
      <c r="Z718" s="42"/>
      <c r="AA718" s="42"/>
    </row>
    <row r="719" spans="1:27" x14ac:dyDescent="0.2">
      <c r="A719" s="42"/>
      <c r="B719" s="42"/>
      <c r="C719" s="42"/>
      <c r="D719" s="42"/>
      <c r="E719" s="42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42"/>
      <c r="X719" s="42"/>
      <c r="Y719" s="42"/>
      <c r="Z719" s="42"/>
      <c r="AA719" s="42"/>
    </row>
    <row r="720" spans="1:27" x14ac:dyDescent="0.2">
      <c r="A720" s="42"/>
      <c r="B720" s="42"/>
      <c r="C720" s="42"/>
      <c r="D720" s="42"/>
      <c r="E720" s="42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42"/>
      <c r="X720" s="42"/>
      <c r="Y720" s="42"/>
      <c r="Z720" s="42"/>
      <c r="AA720" s="42"/>
    </row>
    <row r="721" spans="1:27" x14ac:dyDescent="0.2">
      <c r="A721" s="42"/>
      <c r="B721" s="42"/>
      <c r="C721" s="42"/>
      <c r="D721" s="42"/>
      <c r="E721" s="42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42"/>
      <c r="X721" s="42"/>
      <c r="Y721" s="42"/>
      <c r="Z721" s="42"/>
      <c r="AA721" s="42"/>
    </row>
    <row r="722" spans="1:27" x14ac:dyDescent="0.2">
      <c r="A722" s="42"/>
      <c r="B722" s="42"/>
      <c r="C722" s="42"/>
      <c r="D722" s="42"/>
      <c r="E722" s="42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42"/>
      <c r="X722" s="42"/>
      <c r="Y722" s="42"/>
      <c r="Z722" s="42"/>
      <c r="AA722" s="42"/>
    </row>
    <row r="723" spans="1:27" x14ac:dyDescent="0.2">
      <c r="A723" s="42"/>
      <c r="B723" s="42"/>
      <c r="C723" s="42"/>
      <c r="D723" s="42"/>
      <c r="E723" s="42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42"/>
      <c r="X723" s="42"/>
      <c r="Y723" s="42"/>
      <c r="Z723" s="42"/>
      <c r="AA723" s="42"/>
    </row>
    <row r="724" spans="1:27" x14ac:dyDescent="0.2">
      <c r="A724" s="42"/>
      <c r="B724" s="42"/>
      <c r="C724" s="42"/>
      <c r="D724" s="42"/>
      <c r="E724" s="42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42"/>
      <c r="X724" s="42"/>
      <c r="Y724" s="42"/>
      <c r="Z724" s="42"/>
      <c r="AA724" s="42"/>
    </row>
    <row r="725" spans="1:27" x14ac:dyDescent="0.2">
      <c r="A725" s="42"/>
      <c r="B725" s="42"/>
      <c r="C725" s="42"/>
      <c r="D725" s="42"/>
      <c r="E725" s="42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42"/>
      <c r="X725" s="42"/>
      <c r="Y725" s="42"/>
      <c r="Z725" s="42"/>
      <c r="AA725" s="42"/>
    </row>
    <row r="726" spans="1:27" x14ac:dyDescent="0.2">
      <c r="A726" s="42"/>
      <c r="B726" s="42"/>
      <c r="C726" s="42"/>
      <c r="D726" s="42"/>
      <c r="E726" s="42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42"/>
      <c r="X726" s="42"/>
      <c r="Y726" s="42"/>
      <c r="Z726" s="42"/>
      <c r="AA726" s="42"/>
    </row>
    <row r="727" spans="1:27" x14ac:dyDescent="0.2">
      <c r="A727" s="42"/>
      <c r="B727" s="42"/>
      <c r="C727" s="42"/>
      <c r="D727" s="42"/>
      <c r="E727" s="42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42"/>
      <c r="X727" s="42"/>
      <c r="Y727" s="42"/>
      <c r="Z727" s="42"/>
      <c r="AA727" s="42"/>
    </row>
    <row r="728" spans="1:27" x14ac:dyDescent="0.2">
      <c r="A728" s="42"/>
      <c r="B728" s="42"/>
      <c r="C728" s="42"/>
      <c r="D728" s="42"/>
      <c r="E728" s="42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42"/>
      <c r="X728" s="42"/>
      <c r="Y728" s="42"/>
      <c r="Z728" s="42"/>
      <c r="AA728" s="42"/>
    </row>
    <row r="729" spans="1:27" x14ac:dyDescent="0.2">
      <c r="A729" s="42"/>
      <c r="B729" s="42"/>
      <c r="C729" s="42"/>
      <c r="D729" s="42"/>
      <c r="E729" s="42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42"/>
      <c r="X729" s="42"/>
      <c r="Y729" s="42"/>
      <c r="Z729" s="42"/>
      <c r="AA729" s="42"/>
    </row>
    <row r="730" spans="1:27" x14ac:dyDescent="0.2">
      <c r="A730" s="42"/>
      <c r="B730" s="42"/>
      <c r="C730" s="42"/>
      <c r="D730" s="42"/>
      <c r="E730" s="42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42"/>
      <c r="X730" s="42"/>
      <c r="Y730" s="42"/>
      <c r="Z730" s="42"/>
      <c r="AA730" s="42"/>
    </row>
    <row r="731" spans="1:27" x14ac:dyDescent="0.2">
      <c r="A731" s="42"/>
      <c r="B731" s="42"/>
      <c r="C731" s="42"/>
      <c r="D731" s="42"/>
      <c r="E731" s="42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42"/>
      <c r="X731" s="42"/>
      <c r="Y731" s="42"/>
      <c r="Z731" s="42"/>
      <c r="AA731" s="42"/>
    </row>
    <row r="732" spans="1:27" x14ac:dyDescent="0.2">
      <c r="A732" s="42"/>
      <c r="B732" s="42"/>
      <c r="C732" s="42"/>
      <c r="D732" s="42"/>
      <c r="E732" s="42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42"/>
      <c r="X732" s="42"/>
      <c r="Y732" s="42"/>
      <c r="Z732" s="42"/>
      <c r="AA732" s="42"/>
    </row>
    <row r="733" spans="1:27" x14ac:dyDescent="0.2">
      <c r="A733" s="42"/>
      <c r="B733" s="42"/>
      <c r="C733" s="42"/>
      <c r="D733" s="42"/>
      <c r="E733" s="42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42"/>
      <c r="X733" s="42"/>
      <c r="Y733" s="42"/>
      <c r="Z733" s="42"/>
      <c r="AA733" s="42"/>
    </row>
    <row r="734" spans="1:27" x14ac:dyDescent="0.2">
      <c r="A734" s="42"/>
      <c r="B734" s="42"/>
      <c r="C734" s="42"/>
      <c r="D734" s="42"/>
      <c r="E734" s="42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42"/>
      <c r="X734" s="42"/>
      <c r="Y734" s="42"/>
      <c r="Z734" s="42"/>
      <c r="AA734" s="42"/>
    </row>
    <row r="735" spans="1:27" x14ac:dyDescent="0.2">
      <c r="A735" s="42"/>
      <c r="B735" s="42"/>
      <c r="C735" s="42"/>
      <c r="D735" s="42"/>
      <c r="E735" s="42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42"/>
      <c r="X735" s="42"/>
      <c r="Y735" s="42"/>
      <c r="Z735" s="42"/>
      <c r="AA735" s="42"/>
    </row>
    <row r="736" spans="1:27" x14ac:dyDescent="0.2">
      <c r="A736" s="42"/>
      <c r="B736" s="42"/>
      <c r="C736" s="42"/>
      <c r="D736" s="42"/>
      <c r="E736" s="42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42"/>
      <c r="X736" s="42"/>
      <c r="Y736" s="42"/>
      <c r="Z736" s="42"/>
      <c r="AA736" s="42"/>
    </row>
    <row r="737" spans="1:27" x14ac:dyDescent="0.2">
      <c r="A737" s="42"/>
      <c r="B737" s="42"/>
      <c r="C737" s="42"/>
      <c r="D737" s="42"/>
      <c r="E737" s="42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42"/>
      <c r="X737" s="42"/>
      <c r="Y737" s="42"/>
      <c r="Z737" s="42"/>
      <c r="AA737" s="42"/>
    </row>
    <row r="738" spans="1:27" x14ac:dyDescent="0.2">
      <c r="A738" s="42"/>
      <c r="B738" s="42"/>
      <c r="C738" s="42"/>
      <c r="D738" s="42"/>
      <c r="E738" s="42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42"/>
      <c r="X738" s="42"/>
      <c r="Y738" s="42"/>
      <c r="Z738" s="42"/>
      <c r="AA738" s="42"/>
    </row>
    <row r="739" spans="1:27" x14ac:dyDescent="0.2">
      <c r="A739" s="42"/>
      <c r="B739" s="42"/>
      <c r="C739" s="42"/>
      <c r="D739" s="42"/>
      <c r="E739" s="42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42"/>
      <c r="X739" s="42"/>
      <c r="Y739" s="42"/>
      <c r="Z739" s="42"/>
      <c r="AA739" s="42"/>
    </row>
    <row r="740" spans="1:27" x14ac:dyDescent="0.2">
      <c r="A740" s="42"/>
      <c r="B740" s="42"/>
      <c r="C740" s="42"/>
      <c r="D740" s="42"/>
      <c r="E740" s="42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42"/>
      <c r="X740" s="42"/>
      <c r="Y740" s="42"/>
      <c r="Z740" s="42"/>
      <c r="AA740" s="42"/>
    </row>
    <row r="741" spans="1:27" x14ac:dyDescent="0.2">
      <c r="A741" s="42"/>
      <c r="B741" s="42"/>
      <c r="C741" s="42"/>
      <c r="D741" s="42"/>
      <c r="E741" s="42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42"/>
      <c r="X741" s="42"/>
      <c r="Y741" s="42"/>
      <c r="Z741" s="42"/>
      <c r="AA741" s="42"/>
    </row>
    <row r="742" spans="1:27" x14ac:dyDescent="0.2">
      <c r="A742" s="42"/>
      <c r="B742" s="42"/>
      <c r="C742" s="42"/>
      <c r="D742" s="42"/>
      <c r="E742" s="42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42"/>
      <c r="X742" s="42"/>
      <c r="Y742" s="42"/>
      <c r="Z742" s="42"/>
      <c r="AA742" s="42"/>
    </row>
    <row r="743" spans="1:27" x14ac:dyDescent="0.2">
      <c r="A743" s="42"/>
      <c r="B743" s="42"/>
      <c r="C743" s="42"/>
      <c r="D743" s="42"/>
      <c r="E743" s="42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42"/>
      <c r="X743" s="42"/>
      <c r="Y743" s="42"/>
      <c r="Z743" s="42"/>
      <c r="AA743" s="42"/>
    </row>
    <row r="744" spans="1:27" x14ac:dyDescent="0.2">
      <c r="A744" s="42"/>
      <c r="B744" s="42"/>
      <c r="C744" s="42"/>
      <c r="D744" s="42"/>
      <c r="E744" s="42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42"/>
      <c r="X744" s="42"/>
      <c r="Y744" s="42"/>
      <c r="Z744" s="42"/>
      <c r="AA744" s="42"/>
    </row>
    <row r="745" spans="1:27" x14ac:dyDescent="0.2">
      <c r="A745" s="42"/>
      <c r="B745" s="42"/>
      <c r="C745" s="42"/>
      <c r="D745" s="42"/>
      <c r="E745" s="42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42"/>
      <c r="X745" s="42"/>
      <c r="Y745" s="42"/>
      <c r="Z745" s="42"/>
      <c r="AA745" s="42"/>
    </row>
    <row r="746" spans="1:27" x14ac:dyDescent="0.2">
      <c r="A746" s="42"/>
      <c r="B746" s="42"/>
      <c r="C746" s="42"/>
      <c r="D746" s="42"/>
      <c r="E746" s="42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42"/>
      <c r="X746" s="42"/>
      <c r="Y746" s="42"/>
      <c r="Z746" s="42"/>
      <c r="AA746" s="42"/>
    </row>
    <row r="747" spans="1:27" x14ac:dyDescent="0.2">
      <c r="A747" s="42"/>
      <c r="B747" s="42"/>
      <c r="C747" s="42"/>
      <c r="D747" s="42"/>
      <c r="E747" s="42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42"/>
      <c r="X747" s="42"/>
      <c r="Y747" s="42"/>
      <c r="Z747" s="42"/>
      <c r="AA747" s="42"/>
    </row>
    <row r="748" spans="1:27" x14ac:dyDescent="0.2">
      <c r="A748" s="42"/>
      <c r="B748" s="42"/>
      <c r="C748" s="42"/>
      <c r="D748" s="42"/>
      <c r="E748" s="42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42"/>
      <c r="X748" s="42"/>
      <c r="Y748" s="42"/>
      <c r="Z748" s="42"/>
      <c r="AA748" s="42"/>
    </row>
    <row r="749" spans="1:27" x14ac:dyDescent="0.2">
      <c r="A749" s="42"/>
      <c r="B749" s="42"/>
      <c r="C749" s="42"/>
      <c r="D749" s="42"/>
      <c r="E749" s="42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42"/>
      <c r="X749" s="42"/>
      <c r="Y749" s="42"/>
      <c r="Z749" s="42"/>
      <c r="AA749" s="42"/>
    </row>
    <row r="750" spans="1:27" x14ac:dyDescent="0.2">
      <c r="A750" s="42"/>
      <c r="B750" s="42"/>
      <c r="C750" s="42"/>
      <c r="D750" s="42"/>
      <c r="E750" s="42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42"/>
      <c r="X750" s="42"/>
      <c r="Y750" s="42"/>
      <c r="Z750" s="42"/>
      <c r="AA750" s="42"/>
    </row>
    <row r="751" spans="1:27" x14ac:dyDescent="0.2">
      <c r="A751" s="42"/>
      <c r="B751" s="42"/>
      <c r="C751" s="42"/>
      <c r="D751" s="42"/>
      <c r="E751" s="42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42"/>
      <c r="X751" s="42"/>
      <c r="Y751" s="42"/>
      <c r="Z751" s="42"/>
      <c r="AA751" s="42"/>
    </row>
    <row r="752" spans="1:27" x14ac:dyDescent="0.2">
      <c r="A752" s="42"/>
      <c r="B752" s="42"/>
      <c r="C752" s="42"/>
      <c r="D752" s="42"/>
      <c r="E752" s="42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42"/>
      <c r="X752" s="42"/>
      <c r="Y752" s="42"/>
      <c r="Z752" s="42"/>
      <c r="AA752" s="42"/>
    </row>
    <row r="753" spans="1:27" x14ac:dyDescent="0.2">
      <c r="A753" s="42"/>
      <c r="B753" s="42"/>
      <c r="C753" s="42"/>
      <c r="D753" s="42"/>
      <c r="E753" s="42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42"/>
      <c r="X753" s="42"/>
      <c r="Y753" s="42"/>
      <c r="Z753" s="42"/>
      <c r="AA753" s="42"/>
    </row>
    <row r="754" spans="1:27" x14ac:dyDescent="0.2">
      <c r="A754" s="42"/>
      <c r="B754" s="42"/>
      <c r="C754" s="42"/>
      <c r="D754" s="42"/>
      <c r="E754" s="42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42"/>
      <c r="X754" s="42"/>
      <c r="Y754" s="42"/>
      <c r="Z754" s="42"/>
      <c r="AA754" s="42"/>
    </row>
    <row r="755" spans="1:27" x14ac:dyDescent="0.2">
      <c r="A755" s="42"/>
      <c r="B755" s="42"/>
      <c r="C755" s="42"/>
      <c r="D755" s="42"/>
      <c r="E755" s="42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42"/>
      <c r="X755" s="42"/>
      <c r="Y755" s="42"/>
      <c r="Z755" s="42"/>
      <c r="AA755" s="42"/>
    </row>
    <row r="756" spans="1:27" x14ac:dyDescent="0.2">
      <c r="A756" s="42"/>
      <c r="B756" s="42"/>
      <c r="C756" s="42"/>
      <c r="D756" s="42"/>
      <c r="E756" s="42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42"/>
      <c r="X756" s="42"/>
      <c r="Y756" s="42"/>
      <c r="Z756" s="42"/>
      <c r="AA756" s="42"/>
    </row>
    <row r="757" spans="1:27" x14ac:dyDescent="0.2">
      <c r="A757" s="42"/>
      <c r="B757" s="42"/>
      <c r="C757" s="42"/>
      <c r="D757" s="42"/>
      <c r="E757" s="42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42"/>
      <c r="X757" s="42"/>
      <c r="Y757" s="42"/>
      <c r="Z757" s="42"/>
      <c r="AA757" s="42"/>
    </row>
    <row r="758" spans="1:27" x14ac:dyDescent="0.2">
      <c r="A758" s="42"/>
      <c r="B758" s="42"/>
      <c r="C758" s="42"/>
      <c r="D758" s="42"/>
      <c r="E758" s="42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42"/>
      <c r="X758" s="42"/>
      <c r="Y758" s="42"/>
      <c r="Z758" s="42"/>
      <c r="AA758" s="42"/>
    </row>
    <row r="759" spans="1:27" x14ac:dyDescent="0.2">
      <c r="A759" s="42"/>
      <c r="B759" s="42"/>
      <c r="C759" s="42"/>
      <c r="D759" s="42"/>
      <c r="E759" s="42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42"/>
      <c r="X759" s="42"/>
      <c r="Y759" s="42"/>
      <c r="Z759" s="42"/>
      <c r="AA759" s="42"/>
    </row>
    <row r="760" spans="1:27" x14ac:dyDescent="0.2">
      <c r="A760" s="42"/>
      <c r="B760" s="42"/>
      <c r="C760" s="42"/>
      <c r="D760" s="42"/>
      <c r="E760" s="42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42"/>
      <c r="X760" s="42"/>
      <c r="Y760" s="42"/>
      <c r="Z760" s="42"/>
      <c r="AA760" s="42"/>
    </row>
    <row r="761" spans="1:27" x14ac:dyDescent="0.2">
      <c r="A761" s="42"/>
      <c r="B761" s="42"/>
      <c r="C761" s="42"/>
      <c r="D761" s="42"/>
      <c r="E761" s="42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42"/>
      <c r="X761" s="42"/>
      <c r="Y761" s="42"/>
      <c r="Z761" s="42"/>
      <c r="AA761" s="42"/>
    </row>
    <row r="762" spans="1:27" x14ac:dyDescent="0.2">
      <c r="A762" s="42"/>
      <c r="B762" s="42"/>
      <c r="C762" s="42"/>
      <c r="D762" s="42"/>
      <c r="E762" s="42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42"/>
      <c r="X762" s="42"/>
      <c r="Y762" s="42"/>
      <c r="Z762" s="42"/>
      <c r="AA762" s="42"/>
    </row>
    <row r="763" spans="1:27" x14ac:dyDescent="0.2">
      <c r="A763" s="42"/>
      <c r="B763" s="42"/>
      <c r="C763" s="42"/>
      <c r="D763" s="42"/>
      <c r="E763" s="42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42"/>
      <c r="X763" s="42"/>
      <c r="Y763" s="42"/>
      <c r="Z763" s="42"/>
      <c r="AA763" s="42"/>
    </row>
    <row r="764" spans="1:27" x14ac:dyDescent="0.2">
      <c r="A764" s="42"/>
      <c r="B764" s="42"/>
      <c r="C764" s="42"/>
      <c r="D764" s="42"/>
      <c r="E764" s="42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42"/>
      <c r="X764" s="42"/>
      <c r="Y764" s="42"/>
      <c r="Z764" s="42"/>
      <c r="AA764" s="42"/>
    </row>
    <row r="765" spans="1:27" x14ac:dyDescent="0.2">
      <c r="A765" s="42"/>
      <c r="B765" s="42"/>
      <c r="C765" s="42"/>
      <c r="D765" s="42"/>
      <c r="E765" s="42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42"/>
      <c r="X765" s="42"/>
      <c r="Y765" s="42"/>
      <c r="Z765" s="42"/>
      <c r="AA765" s="42"/>
    </row>
    <row r="766" spans="1:27" x14ac:dyDescent="0.2">
      <c r="A766" s="42"/>
      <c r="B766" s="42"/>
      <c r="C766" s="42"/>
      <c r="D766" s="42"/>
      <c r="E766" s="42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42"/>
      <c r="X766" s="42"/>
      <c r="Y766" s="42"/>
      <c r="Z766" s="42"/>
      <c r="AA766" s="42"/>
    </row>
    <row r="767" spans="1:27" x14ac:dyDescent="0.2">
      <c r="A767" s="42"/>
      <c r="B767" s="42"/>
      <c r="C767" s="42"/>
      <c r="D767" s="42"/>
      <c r="E767" s="42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42"/>
      <c r="X767" s="42"/>
      <c r="Y767" s="42"/>
      <c r="Z767" s="42"/>
      <c r="AA767" s="42"/>
    </row>
    <row r="768" spans="1:27" x14ac:dyDescent="0.2">
      <c r="A768" s="42"/>
      <c r="B768" s="42"/>
      <c r="C768" s="42"/>
      <c r="D768" s="42"/>
      <c r="E768" s="42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42"/>
      <c r="X768" s="42"/>
      <c r="Y768" s="42"/>
      <c r="Z768" s="42"/>
      <c r="AA768" s="42"/>
    </row>
    <row r="769" spans="1:27" x14ac:dyDescent="0.2">
      <c r="A769" s="42"/>
      <c r="B769" s="42"/>
      <c r="C769" s="42"/>
      <c r="D769" s="42"/>
      <c r="E769" s="42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42"/>
      <c r="X769" s="42"/>
      <c r="Y769" s="42"/>
      <c r="Z769" s="42"/>
      <c r="AA769" s="42"/>
    </row>
    <row r="770" spans="1:27" x14ac:dyDescent="0.2">
      <c r="A770" s="42"/>
      <c r="B770" s="42"/>
      <c r="C770" s="42"/>
      <c r="D770" s="42"/>
      <c r="E770" s="42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42"/>
      <c r="X770" s="42"/>
      <c r="Y770" s="42"/>
      <c r="Z770" s="42"/>
      <c r="AA770" s="42"/>
    </row>
    <row r="771" spans="1:27" x14ac:dyDescent="0.2">
      <c r="A771" s="42"/>
      <c r="B771" s="42"/>
      <c r="C771" s="42"/>
      <c r="D771" s="42"/>
      <c r="E771" s="42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42"/>
      <c r="X771" s="42"/>
      <c r="Y771" s="42"/>
      <c r="Z771" s="42"/>
      <c r="AA771" s="42"/>
    </row>
    <row r="772" spans="1:27" x14ac:dyDescent="0.2">
      <c r="A772" s="42"/>
      <c r="B772" s="42"/>
      <c r="C772" s="42"/>
      <c r="D772" s="42"/>
      <c r="E772" s="42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42"/>
      <c r="X772" s="42"/>
      <c r="Y772" s="42"/>
      <c r="Z772" s="42"/>
      <c r="AA772" s="42"/>
    </row>
    <row r="773" spans="1:27" x14ac:dyDescent="0.2">
      <c r="A773" s="42"/>
      <c r="B773" s="42"/>
      <c r="C773" s="42"/>
      <c r="D773" s="42"/>
      <c r="E773" s="42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42"/>
      <c r="X773" s="42"/>
      <c r="Y773" s="42"/>
      <c r="Z773" s="42"/>
      <c r="AA773" s="42"/>
    </row>
    <row r="774" spans="1:27" x14ac:dyDescent="0.2">
      <c r="A774" s="42"/>
      <c r="B774" s="42"/>
      <c r="C774" s="42"/>
      <c r="D774" s="42"/>
      <c r="E774" s="42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42"/>
      <c r="X774" s="42"/>
      <c r="Y774" s="42"/>
      <c r="Z774" s="42"/>
      <c r="AA774" s="42"/>
    </row>
    <row r="775" spans="1:27" x14ac:dyDescent="0.2">
      <c r="A775" s="42"/>
      <c r="B775" s="42"/>
      <c r="C775" s="42"/>
      <c r="D775" s="42"/>
      <c r="E775" s="42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42"/>
      <c r="X775" s="42"/>
      <c r="Y775" s="42"/>
      <c r="Z775" s="42"/>
      <c r="AA775" s="42"/>
    </row>
    <row r="776" spans="1:27" x14ac:dyDescent="0.2">
      <c r="A776" s="42"/>
      <c r="B776" s="42"/>
      <c r="C776" s="42"/>
      <c r="D776" s="42"/>
      <c r="E776" s="42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42"/>
      <c r="X776" s="42"/>
      <c r="Y776" s="42"/>
      <c r="Z776" s="42"/>
      <c r="AA776" s="42"/>
    </row>
    <row r="777" spans="1:27" x14ac:dyDescent="0.2">
      <c r="A777" s="42"/>
      <c r="B777" s="42"/>
      <c r="C777" s="42"/>
      <c r="D777" s="42"/>
      <c r="E777" s="42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42"/>
      <c r="X777" s="42"/>
      <c r="Y777" s="42"/>
      <c r="Z777" s="42"/>
      <c r="AA777" s="42"/>
    </row>
    <row r="778" spans="1:27" x14ac:dyDescent="0.2">
      <c r="A778" s="42"/>
      <c r="B778" s="42"/>
      <c r="C778" s="42"/>
      <c r="D778" s="42"/>
      <c r="E778" s="42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42"/>
      <c r="X778" s="42"/>
      <c r="Y778" s="42"/>
      <c r="Z778" s="42"/>
      <c r="AA778" s="42"/>
    </row>
    <row r="779" spans="1:27" x14ac:dyDescent="0.2">
      <c r="A779" s="42"/>
      <c r="B779" s="42"/>
      <c r="C779" s="42"/>
      <c r="D779" s="42"/>
      <c r="E779" s="42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42"/>
      <c r="X779" s="42"/>
      <c r="Y779" s="42"/>
      <c r="Z779" s="42"/>
      <c r="AA779" s="42"/>
    </row>
    <row r="780" spans="1:27" x14ac:dyDescent="0.2">
      <c r="A780" s="42"/>
      <c r="B780" s="42"/>
      <c r="C780" s="42"/>
      <c r="D780" s="42"/>
      <c r="E780" s="42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42"/>
      <c r="X780" s="42"/>
      <c r="Y780" s="42"/>
      <c r="Z780" s="42"/>
      <c r="AA780" s="42"/>
    </row>
    <row r="781" spans="1:27" x14ac:dyDescent="0.2">
      <c r="A781" s="42"/>
      <c r="B781" s="42"/>
      <c r="C781" s="42"/>
      <c r="D781" s="42"/>
      <c r="E781" s="42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42"/>
      <c r="X781" s="42"/>
      <c r="Y781" s="42"/>
      <c r="Z781" s="42"/>
      <c r="AA781" s="42"/>
    </row>
    <row r="782" spans="1:27" x14ac:dyDescent="0.2">
      <c r="A782" s="42"/>
      <c r="B782" s="42"/>
      <c r="C782" s="42"/>
      <c r="D782" s="42"/>
      <c r="E782" s="42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42"/>
      <c r="X782" s="42"/>
      <c r="Y782" s="42"/>
      <c r="Z782" s="42"/>
      <c r="AA782" s="42"/>
    </row>
    <row r="783" spans="1:27" x14ac:dyDescent="0.2">
      <c r="A783" s="42"/>
      <c r="B783" s="42"/>
      <c r="C783" s="42"/>
      <c r="D783" s="42"/>
      <c r="E783" s="42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42"/>
      <c r="X783" s="42"/>
      <c r="Y783" s="42"/>
      <c r="Z783" s="42"/>
      <c r="AA783" s="42"/>
    </row>
    <row r="784" spans="1:27" x14ac:dyDescent="0.2">
      <c r="A784" s="42"/>
      <c r="B784" s="42"/>
      <c r="C784" s="42"/>
      <c r="D784" s="42"/>
      <c r="E784" s="42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42"/>
      <c r="X784" s="42"/>
      <c r="Y784" s="42"/>
      <c r="Z784" s="42"/>
      <c r="AA784" s="42"/>
    </row>
    <row r="785" spans="1:27" x14ac:dyDescent="0.2">
      <c r="A785" s="42"/>
      <c r="B785" s="42"/>
      <c r="C785" s="42"/>
      <c r="D785" s="42"/>
      <c r="E785" s="42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42"/>
      <c r="X785" s="42"/>
      <c r="Y785" s="42"/>
      <c r="Z785" s="42"/>
      <c r="AA785" s="42"/>
    </row>
    <row r="786" spans="1:27" x14ac:dyDescent="0.2">
      <c r="A786" s="42"/>
      <c r="B786" s="42"/>
      <c r="C786" s="42"/>
      <c r="D786" s="42"/>
      <c r="E786" s="42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42"/>
      <c r="X786" s="42"/>
      <c r="Y786" s="42"/>
      <c r="Z786" s="42"/>
      <c r="AA786" s="42"/>
    </row>
    <row r="787" spans="1:27" x14ac:dyDescent="0.2">
      <c r="A787" s="42"/>
      <c r="B787" s="42"/>
      <c r="C787" s="42"/>
      <c r="D787" s="42"/>
      <c r="E787" s="42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42"/>
      <c r="X787" s="42"/>
      <c r="Y787" s="42"/>
      <c r="Z787" s="42"/>
      <c r="AA787" s="42"/>
    </row>
    <row r="788" spans="1:27" x14ac:dyDescent="0.2">
      <c r="A788" s="42"/>
      <c r="B788" s="42"/>
      <c r="C788" s="42"/>
      <c r="D788" s="42"/>
      <c r="E788" s="42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42"/>
      <c r="X788" s="42"/>
      <c r="Y788" s="42"/>
      <c r="Z788" s="42"/>
      <c r="AA788" s="42"/>
    </row>
    <row r="789" spans="1:27" x14ac:dyDescent="0.2">
      <c r="A789" s="42"/>
      <c r="B789" s="42"/>
      <c r="C789" s="42"/>
      <c r="D789" s="42"/>
      <c r="E789" s="42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42"/>
      <c r="X789" s="42"/>
      <c r="Y789" s="42"/>
      <c r="Z789" s="42"/>
      <c r="AA789" s="42"/>
    </row>
    <row r="790" spans="1:27" x14ac:dyDescent="0.2">
      <c r="A790" s="42"/>
      <c r="B790" s="42"/>
      <c r="C790" s="42"/>
      <c r="D790" s="42"/>
      <c r="E790" s="42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42"/>
      <c r="X790" s="42"/>
      <c r="Y790" s="42"/>
      <c r="Z790" s="42"/>
      <c r="AA790" s="42"/>
    </row>
    <row r="791" spans="1:27" x14ac:dyDescent="0.2">
      <c r="A791" s="42"/>
      <c r="B791" s="42"/>
      <c r="C791" s="42"/>
      <c r="D791" s="42"/>
      <c r="E791" s="42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42"/>
      <c r="X791" s="42"/>
      <c r="Y791" s="42"/>
      <c r="Z791" s="42"/>
      <c r="AA791" s="42"/>
    </row>
    <row r="792" spans="1:27" x14ac:dyDescent="0.2">
      <c r="A792" s="42"/>
      <c r="B792" s="42"/>
      <c r="C792" s="42"/>
      <c r="D792" s="42"/>
      <c r="E792" s="42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42"/>
      <c r="X792" s="42"/>
      <c r="Y792" s="42"/>
      <c r="Z792" s="42"/>
      <c r="AA792" s="42"/>
    </row>
    <row r="793" spans="1:27" x14ac:dyDescent="0.2">
      <c r="A793" s="42"/>
      <c r="B793" s="42"/>
      <c r="C793" s="42"/>
      <c r="D793" s="42"/>
      <c r="E793" s="42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42"/>
      <c r="X793" s="42"/>
      <c r="Y793" s="42"/>
      <c r="Z793" s="42"/>
      <c r="AA793" s="42"/>
    </row>
    <row r="794" spans="1:27" x14ac:dyDescent="0.2">
      <c r="A794" s="42"/>
      <c r="B794" s="42"/>
      <c r="C794" s="42"/>
      <c r="D794" s="42"/>
      <c r="E794" s="42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42"/>
      <c r="X794" s="42"/>
      <c r="Y794" s="42"/>
      <c r="Z794" s="42"/>
      <c r="AA794" s="42"/>
    </row>
    <row r="795" spans="1:27" x14ac:dyDescent="0.2">
      <c r="A795" s="42"/>
      <c r="B795" s="42"/>
      <c r="C795" s="42"/>
      <c r="D795" s="42"/>
      <c r="E795" s="42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42"/>
      <c r="X795" s="42"/>
      <c r="Y795" s="42"/>
      <c r="Z795" s="42"/>
      <c r="AA795" s="42"/>
    </row>
    <row r="796" spans="1:27" x14ac:dyDescent="0.2">
      <c r="A796" s="42"/>
      <c r="B796" s="42"/>
      <c r="C796" s="42"/>
      <c r="D796" s="42"/>
      <c r="E796" s="42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42"/>
      <c r="X796" s="42"/>
      <c r="Y796" s="42"/>
      <c r="Z796" s="42"/>
      <c r="AA796" s="42"/>
    </row>
    <row r="797" spans="1:27" x14ac:dyDescent="0.2">
      <c r="A797" s="42"/>
      <c r="B797" s="42"/>
      <c r="C797" s="42"/>
      <c r="D797" s="42"/>
      <c r="E797" s="42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42"/>
      <c r="X797" s="42"/>
      <c r="Y797" s="42"/>
      <c r="Z797" s="42"/>
      <c r="AA797" s="42"/>
    </row>
    <row r="798" spans="1:27" x14ac:dyDescent="0.2">
      <c r="A798" s="42"/>
      <c r="B798" s="42"/>
      <c r="C798" s="42"/>
      <c r="D798" s="42"/>
      <c r="E798" s="42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42"/>
      <c r="X798" s="42"/>
      <c r="Y798" s="42"/>
      <c r="Z798" s="42"/>
      <c r="AA798" s="42"/>
    </row>
    <row r="799" spans="1:27" x14ac:dyDescent="0.2">
      <c r="A799" s="42"/>
      <c r="B799" s="42"/>
      <c r="C799" s="42"/>
      <c r="D799" s="42"/>
      <c r="E799" s="42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42"/>
      <c r="X799" s="42"/>
      <c r="Y799" s="42"/>
      <c r="Z799" s="42"/>
      <c r="AA799" s="42"/>
    </row>
    <row r="800" spans="1:27" x14ac:dyDescent="0.2">
      <c r="A800" s="42"/>
      <c r="B800" s="42"/>
      <c r="C800" s="42"/>
      <c r="D800" s="42"/>
      <c r="E800" s="42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42"/>
      <c r="X800" s="42"/>
      <c r="Y800" s="42"/>
      <c r="Z800" s="42"/>
      <c r="AA800" s="42"/>
    </row>
    <row r="801" spans="1:27" x14ac:dyDescent="0.2">
      <c r="A801" s="42"/>
      <c r="B801" s="42"/>
      <c r="C801" s="42"/>
      <c r="D801" s="42"/>
      <c r="E801" s="42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42"/>
      <c r="X801" s="42"/>
      <c r="Y801" s="42"/>
      <c r="Z801" s="42"/>
      <c r="AA801" s="42"/>
    </row>
    <row r="802" spans="1:27" x14ac:dyDescent="0.2">
      <c r="A802" s="42"/>
      <c r="B802" s="42"/>
      <c r="C802" s="42"/>
      <c r="D802" s="42"/>
      <c r="E802" s="42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42"/>
      <c r="X802" s="42"/>
      <c r="Y802" s="42"/>
      <c r="Z802" s="42"/>
      <c r="AA802" s="42"/>
    </row>
    <row r="803" spans="1:27" x14ac:dyDescent="0.2">
      <c r="A803" s="42"/>
      <c r="B803" s="42"/>
      <c r="C803" s="42"/>
      <c r="D803" s="42"/>
      <c r="E803" s="42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42"/>
      <c r="X803" s="42"/>
      <c r="Y803" s="42"/>
      <c r="Z803" s="42"/>
      <c r="AA803" s="42"/>
    </row>
    <row r="804" spans="1:27" x14ac:dyDescent="0.2">
      <c r="A804" s="42"/>
      <c r="B804" s="42"/>
      <c r="C804" s="42"/>
      <c r="D804" s="42"/>
      <c r="E804" s="42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42"/>
      <c r="X804" s="42"/>
      <c r="Y804" s="42"/>
      <c r="Z804" s="42"/>
      <c r="AA804" s="42"/>
    </row>
    <row r="805" spans="1:27" x14ac:dyDescent="0.2">
      <c r="A805" s="42"/>
      <c r="B805" s="42"/>
      <c r="C805" s="42"/>
      <c r="D805" s="42"/>
      <c r="E805" s="42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42"/>
      <c r="X805" s="42"/>
      <c r="Y805" s="42"/>
      <c r="Z805" s="42"/>
      <c r="AA805" s="42"/>
    </row>
    <row r="806" spans="1:27" x14ac:dyDescent="0.2">
      <c r="A806" s="42"/>
      <c r="B806" s="42"/>
      <c r="C806" s="42"/>
      <c r="D806" s="42"/>
      <c r="E806" s="42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42"/>
      <c r="X806" s="42"/>
      <c r="Y806" s="42"/>
      <c r="Z806" s="42"/>
      <c r="AA806" s="42"/>
    </row>
    <row r="807" spans="1:27" x14ac:dyDescent="0.2">
      <c r="A807" s="42"/>
      <c r="B807" s="42"/>
      <c r="C807" s="42"/>
      <c r="D807" s="42"/>
      <c r="E807" s="42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42"/>
      <c r="X807" s="42"/>
      <c r="Y807" s="42"/>
      <c r="Z807" s="42"/>
      <c r="AA807" s="42"/>
    </row>
    <row r="808" spans="1:27" x14ac:dyDescent="0.2">
      <c r="A808" s="42"/>
      <c r="B808" s="42"/>
      <c r="C808" s="42"/>
      <c r="D808" s="42"/>
      <c r="E808" s="42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42"/>
      <c r="X808" s="42"/>
      <c r="Y808" s="42"/>
      <c r="Z808" s="42"/>
      <c r="AA808" s="42"/>
    </row>
    <row r="809" spans="1:27" x14ac:dyDescent="0.2">
      <c r="A809" s="42"/>
      <c r="B809" s="42"/>
      <c r="C809" s="42"/>
      <c r="D809" s="42"/>
      <c r="E809" s="42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42"/>
      <c r="X809" s="42"/>
      <c r="Y809" s="42"/>
      <c r="Z809" s="42"/>
      <c r="AA809" s="42"/>
    </row>
    <row r="810" spans="1:27" x14ac:dyDescent="0.2">
      <c r="A810" s="42"/>
      <c r="B810" s="42"/>
      <c r="C810" s="42"/>
      <c r="D810" s="42"/>
      <c r="E810" s="42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42"/>
      <c r="X810" s="42"/>
      <c r="Y810" s="42"/>
      <c r="Z810" s="42"/>
      <c r="AA810" s="42"/>
    </row>
    <row r="811" spans="1:27" x14ac:dyDescent="0.2">
      <c r="A811" s="42"/>
      <c r="B811" s="42"/>
      <c r="C811" s="42"/>
      <c r="D811" s="42"/>
      <c r="E811" s="42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42"/>
      <c r="X811" s="42"/>
      <c r="Y811" s="42"/>
      <c r="Z811" s="42"/>
      <c r="AA811" s="42"/>
    </row>
    <row r="812" spans="1:27" x14ac:dyDescent="0.2">
      <c r="A812" s="42"/>
      <c r="B812" s="42"/>
      <c r="C812" s="42"/>
      <c r="D812" s="42"/>
      <c r="E812" s="42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42"/>
      <c r="X812" s="42"/>
      <c r="Y812" s="42"/>
      <c r="Z812" s="42"/>
      <c r="AA812" s="42"/>
    </row>
    <row r="813" spans="1:27" x14ac:dyDescent="0.2">
      <c r="A813" s="42"/>
      <c r="B813" s="42"/>
      <c r="C813" s="42"/>
      <c r="D813" s="42"/>
      <c r="E813" s="42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42"/>
      <c r="X813" s="42"/>
      <c r="Y813" s="42"/>
      <c r="Z813" s="42"/>
      <c r="AA813" s="42"/>
    </row>
    <row r="814" spans="1:27" x14ac:dyDescent="0.2">
      <c r="A814" s="42"/>
      <c r="B814" s="42"/>
      <c r="C814" s="42"/>
      <c r="D814" s="42"/>
      <c r="E814" s="42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42"/>
      <c r="X814" s="42"/>
      <c r="Y814" s="42"/>
      <c r="Z814" s="42"/>
      <c r="AA814" s="42"/>
    </row>
    <row r="815" spans="1:27" x14ac:dyDescent="0.2">
      <c r="A815" s="42"/>
      <c r="B815" s="42"/>
      <c r="C815" s="42"/>
      <c r="D815" s="42"/>
      <c r="E815" s="42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42"/>
      <c r="X815" s="42"/>
      <c r="Y815" s="42"/>
      <c r="Z815" s="42"/>
      <c r="AA815" s="42"/>
    </row>
    <row r="816" spans="1:27" x14ac:dyDescent="0.2">
      <c r="A816" s="42"/>
      <c r="B816" s="42"/>
      <c r="C816" s="42"/>
      <c r="D816" s="42"/>
      <c r="E816" s="42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42"/>
      <c r="X816" s="42"/>
      <c r="Y816" s="42"/>
      <c r="Z816" s="42"/>
      <c r="AA816" s="42"/>
    </row>
    <row r="817" spans="1:27" x14ac:dyDescent="0.2">
      <c r="A817" s="42"/>
      <c r="B817" s="42"/>
      <c r="C817" s="42"/>
      <c r="D817" s="42"/>
      <c r="E817" s="42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42"/>
      <c r="X817" s="42"/>
      <c r="Y817" s="42"/>
      <c r="Z817" s="42"/>
      <c r="AA817" s="42"/>
    </row>
    <row r="818" spans="1:27" x14ac:dyDescent="0.2">
      <c r="A818" s="42"/>
      <c r="B818" s="42"/>
      <c r="C818" s="42"/>
      <c r="D818" s="42"/>
      <c r="E818" s="42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42"/>
      <c r="X818" s="42"/>
      <c r="Y818" s="42"/>
      <c r="Z818" s="42"/>
      <c r="AA818" s="42"/>
    </row>
    <row r="819" spans="1:27" x14ac:dyDescent="0.2">
      <c r="A819" s="42"/>
      <c r="B819" s="42"/>
      <c r="C819" s="42"/>
      <c r="D819" s="42"/>
      <c r="E819" s="42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42"/>
      <c r="X819" s="42"/>
      <c r="Y819" s="42"/>
      <c r="Z819" s="42"/>
      <c r="AA819" s="42"/>
    </row>
    <row r="820" spans="1:27" x14ac:dyDescent="0.2">
      <c r="A820" s="42"/>
      <c r="B820" s="42"/>
      <c r="C820" s="42"/>
      <c r="D820" s="42"/>
      <c r="E820" s="42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42"/>
      <c r="X820" s="42"/>
      <c r="Y820" s="42"/>
      <c r="Z820" s="42"/>
      <c r="AA820" s="42"/>
    </row>
    <row r="821" spans="1:27" x14ac:dyDescent="0.2">
      <c r="A821" s="42"/>
      <c r="B821" s="42"/>
      <c r="C821" s="42"/>
      <c r="D821" s="42"/>
      <c r="E821" s="42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42"/>
      <c r="X821" s="42"/>
      <c r="Y821" s="42"/>
      <c r="Z821" s="42"/>
      <c r="AA821" s="42"/>
    </row>
    <row r="822" spans="1:27" x14ac:dyDescent="0.2">
      <c r="A822" s="42"/>
      <c r="B822" s="42"/>
      <c r="C822" s="42"/>
      <c r="D822" s="42"/>
      <c r="E822" s="42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42"/>
      <c r="X822" s="42"/>
      <c r="Y822" s="42"/>
      <c r="Z822" s="42"/>
      <c r="AA822" s="42"/>
    </row>
    <row r="823" spans="1:27" x14ac:dyDescent="0.2">
      <c r="A823" s="42"/>
      <c r="B823" s="42"/>
      <c r="C823" s="42"/>
      <c r="D823" s="42"/>
      <c r="E823" s="42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42"/>
      <c r="X823" s="42"/>
      <c r="Y823" s="42"/>
      <c r="Z823" s="42"/>
      <c r="AA823" s="42"/>
    </row>
    <row r="824" spans="1:27" x14ac:dyDescent="0.2">
      <c r="A824" s="42"/>
      <c r="B824" s="42"/>
      <c r="C824" s="42"/>
      <c r="D824" s="42"/>
      <c r="E824" s="42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42"/>
      <c r="X824" s="42"/>
      <c r="Y824" s="42"/>
      <c r="Z824" s="42"/>
      <c r="AA824" s="42"/>
    </row>
    <row r="825" spans="1:27" x14ac:dyDescent="0.2">
      <c r="A825" s="42"/>
      <c r="B825" s="42"/>
      <c r="C825" s="42"/>
      <c r="D825" s="42"/>
      <c r="E825" s="42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42"/>
      <c r="X825" s="42"/>
      <c r="Y825" s="42"/>
      <c r="Z825" s="42"/>
      <c r="AA825" s="42"/>
    </row>
    <row r="826" spans="1:27" x14ac:dyDescent="0.2">
      <c r="A826" s="42"/>
      <c r="B826" s="42"/>
      <c r="C826" s="42"/>
      <c r="D826" s="42"/>
      <c r="E826" s="42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42"/>
      <c r="X826" s="42"/>
      <c r="Y826" s="42"/>
      <c r="Z826" s="42"/>
      <c r="AA826" s="42"/>
    </row>
    <row r="827" spans="1:27" x14ac:dyDescent="0.2">
      <c r="A827" s="42"/>
      <c r="B827" s="42"/>
      <c r="C827" s="42"/>
      <c r="D827" s="42"/>
      <c r="E827" s="42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42"/>
      <c r="X827" s="42"/>
      <c r="Y827" s="42"/>
      <c r="Z827" s="42"/>
      <c r="AA827" s="42"/>
    </row>
    <row r="828" spans="1:27" x14ac:dyDescent="0.2">
      <c r="A828" s="42"/>
      <c r="B828" s="42"/>
      <c r="C828" s="42"/>
      <c r="D828" s="42"/>
      <c r="E828" s="42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42"/>
      <c r="X828" s="42"/>
      <c r="Y828" s="42"/>
      <c r="Z828" s="42"/>
      <c r="AA828" s="42"/>
    </row>
    <row r="829" spans="1:27" x14ac:dyDescent="0.2">
      <c r="A829" s="42"/>
      <c r="B829" s="42"/>
      <c r="C829" s="42"/>
      <c r="D829" s="42"/>
      <c r="E829" s="42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42"/>
      <c r="X829" s="42"/>
      <c r="Y829" s="42"/>
      <c r="Z829" s="42"/>
      <c r="AA829" s="42"/>
    </row>
    <row r="830" spans="1:27" x14ac:dyDescent="0.2">
      <c r="A830" s="42"/>
      <c r="B830" s="42"/>
      <c r="C830" s="42"/>
      <c r="D830" s="42"/>
      <c r="E830" s="42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42"/>
      <c r="X830" s="42"/>
      <c r="Y830" s="42"/>
      <c r="Z830" s="42"/>
      <c r="AA830" s="42"/>
    </row>
    <row r="831" spans="1:27" x14ac:dyDescent="0.2">
      <c r="A831" s="42"/>
      <c r="B831" s="42"/>
      <c r="C831" s="42"/>
      <c r="D831" s="42"/>
      <c r="E831" s="42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42"/>
      <c r="X831" s="42"/>
      <c r="Y831" s="42"/>
      <c r="Z831" s="42"/>
      <c r="AA831" s="42"/>
    </row>
    <row r="832" spans="1:27" x14ac:dyDescent="0.2">
      <c r="A832" s="42"/>
      <c r="B832" s="42"/>
      <c r="C832" s="42"/>
      <c r="D832" s="42"/>
      <c r="E832" s="42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42"/>
      <c r="X832" s="42"/>
      <c r="Y832" s="42"/>
      <c r="Z832" s="42"/>
      <c r="AA832" s="42"/>
    </row>
    <row r="833" spans="1:27" x14ac:dyDescent="0.2">
      <c r="A833" s="42"/>
      <c r="B833" s="42"/>
      <c r="C833" s="42"/>
      <c r="D833" s="42"/>
      <c r="E833" s="42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42"/>
      <c r="X833" s="42"/>
      <c r="Y833" s="42"/>
      <c r="Z833" s="42"/>
      <c r="AA833" s="42"/>
    </row>
    <row r="834" spans="1:27" x14ac:dyDescent="0.2">
      <c r="A834" s="42"/>
      <c r="B834" s="42"/>
      <c r="C834" s="42"/>
      <c r="D834" s="42"/>
      <c r="E834" s="42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42"/>
      <c r="X834" s="42"/>
      <c r="Y834" s="42"/>
      <c r="Z834" s="42"/>
      <c r="AA834" s="42"/>
    </row>
    <row r="835" spans="1:27" x14ac:dyDescent="0.2">
      <c r="A835" s="42"/>
      <c r="B835" s="42"/>
      <c r="C835" s="42"/>
      <c r="D835" s="42"/>
      <c r="E835" s="42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42"/>
      <c r="X835" s="42"/>
      <c r="Y835" s="42"/>
      <c r="Z835" s="42"/>
      <c r="AA835" s="42"/>
    </row>
    <row r="836" spans="1:27" x14ac:dyDescent="0.2">
      <c r="A836" s="42"/>
      <c r="B836" s="42"/>
      <c r="C836" s="42"/>
      <c r="D836" s="42"/>
      <c r="E836" s="42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42"/>
      <c r="X836" s="42"/>
      <c r="Y836" s="42"/>
      <c r="Z836" s="42"/>
      <c r="AA836" s="42"/>
    </row>
    <row r="837" spans="1:27" x14ac:dyDescent="0.2">
      <c r="A837" s="42"/>
      <c r="B837" s="42"/>
      <c r="C837" s="42"/>
      <c r="D837" s="42"/>
      <c r="E837" s="42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42"/>
      <c r="X837" s="42"/>
      <c r="Y837" s="42"/>
      <c r="Z837" s="42"/>
      <c r="AA837" s="42"/>
    </row>
    <row r="838" spans="1:27" x14ac:dyDescent="0.2">
      <c r="A838" s="42"/>
      <c r="B838" s="42"/>
      <c r="C838" s="42"/>
      <c r="D838" s="42"/>
      <c r="E838" s="42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42"/>
      <c r="X838" s="42"/>
      <c r="Y838" s="42"/>
      <c r="Z838" s="42"/>
      <c r="AA838" s="42"/>
    </row>
    <row r="839" spans="1:27" x14ac:dyDescent="0.2">
      <c r="A839" s="42"/>
      <c r="B839" s="42"/>
      <c r="C839" s="42"/>
      <c r="D839" s="42"/>
      <c r="E839" s="42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42"/>
      <c r="X839" s="42"/>
      <c r="Y839" s="42"/>
      <c r="Z839" s="42"/>
      <c r="AA839" s="42"/>
    </row>
    <row r="840" spans="1:27" x14ac:dyDescent="0.2">
      <c r="A840" s="42"/>
      <c r="B840" s="42"/>
      <c r="C840" s="42"/>
      <c r="D840" s="42"/>
      <c r="E840" s="42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42"/>
      <c r="X840" s="42"/>
      <c r="Y840" s="42"/>
      <c r="Z840" s="42"/>
      <c r="AA840" s="42"/>
    </row>
    <row r="841" spans="1:27" x14ac:dyDescent="0.2">
      <c r="A841" s="42"/>
      <c r="B841" s="42"/>
      <c r="C841" s="42"/>
      <c r="D841" s="42"/>
      <c r="E841" s="42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42"/>
      <c r="X841" s="42"/>
      <c r="Y841" s="42"/>
      <c r="Z841" s="42"/>
      <c r="AA841" s="42"/>
    </row>
    <row r="842" spans="1:27" x14ac:dyDescent="0.2">
      <c r="A842" s="42"/>
      <c r="B842" s="42"/>
      <c r="C842" s="42"/>
      <c r="D842" s="42"/>
      <c r="E842" s="42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42"/>
      <c r="X842" s="42"/>
      <c r="Y842" s="42"/>
      <c r="Z842" s="42"/>
      <c r="AA842" s="42"/>
    </row>
    <row r="843" spans="1:27" x14ac:dyDescent="0.2">
      <c r="A843" s="42"/>
      <c r="B843" s="42"/>
      <c r="C843" s="42"/>
      <c r="D843" s="42"/>
      <c r="E843" s="42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42"/>
      <c r="X843" s="42"/>
      <c r="Y843" s="42"/>
      <c r="Z843" s="42"/>
      <c r="AA843" s="42"/>
    </row>
    <row r="844" spans="1:27" x14ac:dyDescent="0.2">
      <c r="A844" s="42"/>
      <c r="B844" s="42"/>
      <c r="C844" s="42"/>
      <c r="D844" s="42"/>
      <c r="E844" s="42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42"/>
      <c r="X844" s="42"/>
      <c r="Y844" s="42"/>
      <c r="Z844" s="42"/>
      <c r="AA844" s="42"/>
    </row>
    <row r="845" spans="1:27" x14ac:dyDescent="0.2">
      <c r="A845" s="42"/>
      <c r="B845" s="42"/>
      <c r="C845" s="42"/>
      <c r="D845" s="42"/>
      <c r="E845" s="42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42"/>
      <c r="X845" s="42"/>
      <c r="Y845" s="42"/>
      <c r="Z845" s="42"/>
      <c r="AA845" s="42"/>
    </row>
    <row r="846" spans="1:27" x14ac:dyDescent="0.2">
      <c r="A846" s="42"/>
      <c r="B846" s="42"/>
      <c r="C846" s="42"/>
      <c r="D846" s="42"/>
      <c r="E846" s="42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42"/>
      <c r="X846" s="42"/>
      <c r="Y846" s="42"/>
      <c r="Z846" s="42"/>
      <c r="AA846" s="42"/>
    </row>
    <row r="847" spans="1:27" x14ac:dyDescent="0.2">
      <c r="A847" s="42"/>
      <c r="B847" s="42"/>
      <c r="C847" s="42"/>
      <c r="D847" s="42"/>
      <c r="E847" s="42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42"/>
      <c r="X847" s="42"/>
      <c r="Y847" s="42"/>
      <c r="Z847" s="42"/>
      <c r="AA847" s="42"/>
    </row>
    <row r="848" spans="1:27" x14ac:dyDescent="0.2">
      <c r="A848" s="42"/>
      <c r="B848" s="42"/>
      <c r="C848" s="42"/>
      <c r="D848" s="42"/>
      <c r="E848" s="42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42"/>
      <c r="X848" s="42"/>
      <c r="Y848" s="42"/>
      <c r="Z848" s="42"/>
      <c r="AA848" s="42"/>
    </row>
    <row r="849" spans="1:27" x14ac:dyDescent="0.2">
      <c r="A849" s="42"/>
      <c r="B849" s="42"/>
      <c r="C849" s="42"/>
      <c r="D849" s="42"/>
      <c r="E849" s="42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42"/>
      <c r="X849" s="42"/>
      <c r="Y849" s="42"/>
      <c r="Z849" s="42"/>
      <c r="AA849" s="42"/>
    </row>
    <row r="850" spans="1:27" x14ac:dyDescent="0.2">
      <c r="A850" s="42"/>
      <c r="B850" s="42"/>
      <c r="C850" s="42"/>
      <c r="D850" s="42"/>
      <c r="E850" s="42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42"/>
      <c r="X850" s="42"/>
      <c r="Y850" s="42"/>
      <c r="Z850" s="42"/>
      <c r="AA850" s="42"/>
    </row>
    <row r="851" spans="1:27" x14ac:dyDescent="0.2">
      <c r="A851" s="42"/>
      <c r="B851" s="42"/>
      <c r="C851" s="42"/>
      <c r="D851" s="42"/>
      <c r="E851" s="42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42"/>
      <c r="X851" s="42"/>
      <c r="Y851" s="42"/>
      <c r="Z851" s="42"/>
      <c r="AA851" s="42"/>
    </row>
    <row r="852" spans="1:27" x14ac:dyDescent="0.2">
      <c r="A852" s="42"/>
      <c r="B852" s="42"/>
      <c r="C852" s="42"/>
      <c r="D852" s="42"/>
      <c r="E852" s="42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42"/>
      <c r="X852" s="42"/>
      <c r="Y852" s="42"/>
      <c r="Z852" s="42"/>
      <c r="AA852" s="42"/>
    </row>
    <row r="853" spans="1:27" x14ac:dyDescent="0.2">
      <c r="A853" s="42"/>
      <c r="B853" s="42"/>
      <c r="C853" s="42"/>
      <c r="D853" s="42"/>
      <c r="E853" s="42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42"/>
      <c r="X853" s="42"/>
      <c r="Y853" s="42"/>
      <c r="Z853" s="42"/>
      <c r="AA853" s="42"/>
    </row>
    <row r="854" spans="1:27" x14ac:dyDescent="0.2">
      <c r="A854" s="42"/>
      <c r="B854" s="42"/>
      <c r="C854" s="42"/>
      <c r="D854" s="42"/>
      <c r="E854" s="42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42"/>
      <c r="X854" s="42"/>
      <c r="Y854" s="42"/>
      <c r="Z854" s="42"/>
      <c r="AA854" s="42"/>
    </row>
    <row r="855" spans="1:27" x14ac:dyDescent="0.2">
      <c r="A855" s="42"/>
      <c r="B855" s="42"/>
      <c r="C855" s="42"/>
      <c r="D855" s="42"/>
      <c r="E855" s="42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42"/>
      <c r="X855" s="42"/>
      <c r="Y855" s="42"/>
      <c r="Z855" s="42"/>
      <c r="AA855" s="42"/>
    </row>
    <row r="856" spans="1:27" x14ac:dyDescent="0.2">
      <c r="A856" s="42"/>
      <c r="B856" s="42"/>
      <c r="C856" s="42"/>
      <c r="D856" s="42"/>
      <c r="E856" s="42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42"/>
      <c r="X856" s="42"/>
      <c r="Y856" s="42"/>
      <c r="Z856" s="42"/>
      <c r="AA856" s="42"/>
    </row>
    <row r="857" spans="1:27" x14ac:dyDescent="0.2">
      <c r="A857" s="42"/>
      <c r="B857" s="42"/>
      <c r="C857" s="42"/>
      <c r="D857" s="42"/>
      <c r="E857" s="42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42"/>
      <c r="X857" s="42"/>
      <c r="Y857" s="42"/>
      <c r="Z857" s="42"/>
      <c r="AA857" s="42"/>
    </row>
    <row r="858" spans="1:27" x14ac:dyDescent="0.2">
      <c r="A858" s="42"/>
      <c r="B858" s="42"/>
      <c r="C858" s="42"/>
      <c r="D858" s="42"/>
      <c r="E858" s="42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42"/>
      <c r="X858" s="42"/>
      <c r="Y858" s="42"/>
      <c r="Z858" s="42"/>
      <c r="AA858" s="42"/>
    </row>
    <row r="859" spans="1:27" x14ac:dyDescent="0.2">
      <c r="A859" s="42"/>
      <c r="B859" s="42"/>
      <c r="C859" s="42"/>
      <c r="D859" s="42"/>
      <c r="E859" s="42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42"/>
      <c r="X859" s="42"/>
      <c r="Y859" s="42"/>
      <c r="Z859" s="42"/>
      <c r="AA859" s="42"/>
    </row>
    <row r="860" spans="1:27" x14ac:dyDescent="0.2">
      <c r="A860" s="42"/>
      <c r="B860" s="42"/>
      <c r="C860" s="42"/>
      <c r="D860" s="42"/>
      <c r="E860" s="42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42"/>
      <c r="X860" s="42"/>
      <c r="Y860" s="42"/>
      <c r="Z860" s="42"/>
      <c r="AA860" s="42"/>
    </row>
    <row r="861" spans="1:27" x14ac:dyDescent="0.2">
      <c r="A861" s="42"/>
      <c r="B861" s="42"/>
      <c r="C861" s="42"/>
      <c r="D861" s="42"/>
      <c r="E861" s="42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42"/>
      <c r="X861" s="42"/>
      <c r="Y861" s="42"/>
      <c r="Z861" s="42"/>
      <c r="AA861" s="42"/>
    </row>
    <row r="862" spans="1:27" x14ac:dyDescent="0.2">
      <c r="A862" s="42"/>
      <c r="B862" s="42"/>
      <c r="C862" s="42"/>
      <c r="D862" s="42"/>
      <c r="E862" s="42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42"/>
      <c r="X862" s="42"/>
      <c r="Y862" s="42"/>
      <c r="Z862" s="42"/>
      <c r="AA862" s="42"/>
    </row>
    <row r="863" spans="1:27" x14ac:dyDescent="0.2">
      <c r="A863" s="42"/>
      <c r="B863" s="42"/>
      <c r="C863" s="42"/>
      <c r="D863" s="42"/>
      <c r="E863" s="42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42"/>
      <c r="X863" s="42"/>
      <c r="Y863" s="42"/>
      <c r="Z863" s="42"/>
      <c r="AA863" s="42"/>
    </row>
    <row r="864" spans="1:27" x14ac:dyDescent="0.2">
      <c r="A864" s="42"/>
      <c r="B864" s="42"/>
      <c r="C864" s="42"/>
      <c r="D864" s="42"/>
      <c r="E864" s="42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42"/>
      <c r="X864" s="42"/>
      <c r="Y864" s="42"/>
      <c r="Z864" s="42"/>
      <c r="AA864" s="42"/>
    </row>
    <row r="865" spans="1:27" x14ac:dyDescent="0.2">
      <c r="A865" s="42"/>
      <c r="B865" s="42"/>
      <c r="C865" s="42"/>
      <c r="D865" s="42"/>
      <c r="E865" s="42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42"/>
      <c r="X865" s="42"/>
      <c r="Y865" s="42"/>
      <c r="Z865" s="42"/>
      <c r="AA865" s="42"/>
    </row>
    <row r="866" spans="1:27" x14ac:dyDescent="0.2">
      <c r="A866" s="42"/>
      <c r="B866" s="42"/>
      <c r="C866" s="42"/>
      <c r="D866" s="42"/>
      <c r="E866" s="42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42"/>
      <c r="X866" s="42"/>
      <c r="Y866" s="42"/>
      <c r="Z866" s="42"/>
      <c r="AA866" s="42"/>
    </row>
    <row r="867" spans="1:27" x14ac:dyDescent="0.2">
      <c r="A867" s="42"/>
      <c r="B867" s="42"/>
      <c r="C867" s="42"/>
      <c r="D867" s="42"/>
      <c r="E867" s="42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42"/>
      <c r="X867" s="42"/>
      <c r="Y867" s="42"/>
      <c r="Z867" s="42"/>
      <c r="AA867" s="42"/>
    </row>
    <row r="868" spans="1:27" x14ac:dyDescent="0.2">
      <c r="A868" s="42"/>
      <c r="B868" s="42"/>
      <c r="C868" s="42"/>
      <c r="D868" s="42"/>
      <c r="E868" s="42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42"/>
      <c r="X868" s="42"/>
      <c r="Y868" s="42"/>
      <c r="Z868" s="42"/>
      <c r="AA868" s="42"/>
    </row>
    <row r="869" spans="1:27" x14ac:dyDescent="0.2">
      <c r="A869" s="42"/>
      <c r="B869" s="42"/>
      <c r="C869" s="42"/>
      <c r="D869" s="42"/>
      <c r="E869" s="42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42"/>
      <c r="X869" s="42"/>
      <c r="Y869" s="42"/>
      <c r="Z869" s="42"/>
      <c r="AA869" s="42"/>
    </row>
    <row r="870" spans="1:27" x14ac:dyDescent="0.2">
      <c r="A870" s="42"/>
      <c r="B870" s="42"/>
      <c r="C870" s="42"/>
      <c r="D870" s="42"/>
      <c r="E870" s="42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42"/>
      <c r="X870" s="42"/>
      <c r="Y870" s="42"/>
      <c r="Z870" s="42"/>
      <c r="AA870" s="42"/>
    </row>
    <row r="871" spans="1:27" x14ac:dyDescent="0.2">
      <c r="A871" s="42"/>
      <c r="B871" s="42"/>
      <c r="C871" s="42"/>
      <c r="D871" s="42"/>
      <c r="E871" s="42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42"/>
      <c r="X871" s="42"/>
      <c r="Y871" s="42"/>
      <c r="Z871" s="42"/>
      <c r="AA871" s="42"/>
    </row>
    <row r="872" spans="1:27" x14ac:dyDescent="0.2">
      <c r="A872" s="42"/>
      <c r="B872" s="42"/>
      <c r="C872" s="42"/>
      <c r="D872" s="42"/>
      <c r="E872" s="42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42"/>
      <c r="X872" s="42"/>
      <c r="Y872" s="42"/>
      <c r="Z872" s="42"/>
      <c r="AA872" s="42"/>
    </row>
    <row r="873" spans="1:27" x14ac:dyDescent="0.2">
      <c r="A873" s="42"/>
      <c r="B873" s="42"/>
      <c r="C873" s="42"/>
      <c r="D873" s="42"/>
      <c r="E873" s="42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42"/>
      <c r="X873" s="42"/>
      <c r="Y873" s="42"/>
      <c r="Z873" s="42"/>
      <c r="AA873" s="42"/>
    </row>
    <row r="874" spans="1:27" x14ac:dyDescent="0.2">
      <c r="A874" s="42"/>
      <c r="B874" s="42"/>
      <c r="C874" s="42"/>
      <c r="D874" s="42"/>
      <c r="E874" s="42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42"/>
      <c r="X874" s="42"/>
      <c r="Y874" s="42"/>
      <c r="Z874" s="42"/>
      <c r="AA874" s="42"/>
    </row>
    <row r="875" spans="1:27" x14ac:dyDescent="0.2">
      <c r="A875" s="42"/>
      <c r="B875" s="42"/>
      <c r="C875" s="42"/>
      <c r="D875" s="42"/>
      <c r="E875" s="42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42"/>
      <c r="X875" s="42"/>
      <c r="Y875" s="42"/>
      <c r="Z875" s="42"/>
      <c r="AA875" s="42"/>
    </row>
    <row r="876" spans="1:27" x14ac:dyDescent="0.2">
      <c r="A876" s="42"/>
      <c r="B876" s="42"/>
      <c r="C876" s="42"/>
      <c r="D876" s="42"/>
      <c r="E876" s="42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42"/>
      <c r="X876" s="42"/>
      <c r="Y876" s="42"/>
      <c r="Z876" s="42"/>
      <c r="AA876" s="42"/>
    </row>
    <row r="877" spans="1:27" x14ac:dyDescent="0.2">
      <c r="A877" s="42"/>
      <c r="B877" s="42"/>
      <c r="C877" s="42"/>
      <c r="D877" s="42"/>
      <c r="E877" s="42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42"/>
      <c r="X877" s="42"/>
      <c r="Y877" s="42"/>
      <c r="Z877" s="42"/>
      <c r="AA877" s="42"/>
    </row>
    <row r="878" spans="1:27" x14ac:dyDescent="0.2">
      <c r="A878" s="42"/>
      <c r="B878" s="42"/>
      <c r="C878" s="42"/>
      <c r="D878" s="42"/>
      <c r="E878" s="42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42"/>
      <c r="X878" s="42"/>
      <c r="Y878" s="42"/>
      <c r="Z878" s="42"/>
      <c r="AA878" s="42"/>
    </row>
    <row r="879" spans="1:27" x14ac:dyDescent="0.2">
      <c r="A879" s="42"/>
      <c r="B879" s="42"/>
      <c r="C879" s="42"/>
      <c r="D879" s="42"/>
      <c r="E879" s="42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42"/>
      <c r="X879" s="42"/>
      <c r="Y879" s="42"/>
      <c r="Z879" s="42"/>
      <c r="AA879" s="42"/>
    </row>
    <row r="880" spans="1:27" x14ac:dyDescent="0.2">
      <c r="A880" s="42"/>
      <c r="B880" s="42"/>
      <c r="C880" s="42"/>
      <c r="D880" s="42"/>
      <c r="E880" s="42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42"/>
      <c r="X880" s="42"/>
      <c r="Y880" s="42"/>
      <c r="Z880" s="42"/>
      <c r="AA880" s="42"/>
    </row>
    <row r="881" spans="1:27" x14ac:dyDescent="0.2">
      <c r="A881" s="42"/>
      <c r="B881" s="42"/>
      <c r="C881" s="42"/>
      <c r="D881" s="42"/>
      <c r="E881" s="42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42"/>
      <c r="X881" s="42"/>
      <c r="Y881" s="42"/>
      <c r="Z881" s="42"/>
      <c r="AA881" s="42"/>
    </row>
    <row r="882" spans="1:27" x14ac:dyDescent="0.2">
      <c r="A882" s="42"/>
      <c r="B882" s="42"/>
      <c r="C882" s="42"/>
      <c r="D882" s="42"/>
      <c r="E882" s="42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42"/>
      <c r="X882" s="42"/>
      <c r="Y882" s="42"/>
      <c r="Z882" s="42"/>
      <c r="AA882" s="42"/>
    </row>
    <row r="883" spans="1:27" x14ac:dyDescent="0.2">
      <c r="A883" s="42"/>
      <c r="B883" s="42"/>
      <c r="C883" s="42"/>
      <c r="D883" s="42"/>
      <c r="E883" s="42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42"/>
      <c r="X883" s="42"/>
      <c r="Y883" s="42"/>
      <c r="Z883" s="42"/>
      <c r="AA883" s="42"/>
    </row>
    <row r="884" spans="1:27" x14ac:dyDescent="0.2">
      <c r="A884" s="42"/>
      <c r="B884" s="42"/>
      <c r="C884" s="42"/>
      <c r="D884" s="42"/>
      <c r="E884" s="42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42"/>
      <c r="X884" s="42"/>
      <c r="Y884" s="42"/>
      <c r="Z884" s="42"/>
      <c r="AA884" s="42"/>
    </row>
    <row r="885" spans="1:27" x14ac:dyDescent="0.2">
      <c r="A885" s="42"/>
      <c r="B885" s="42"/>
      <c r="C885" s="42"/>
      <c r="D885" s="42"/>
      <c r="E885" s="42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42"/>
      <c r="X885" s="42"/>
      <c r="Y885" s="42"/>
      <c r="Z885" s="42"/>
      <c r="AA885" s="42"/>
    </row>
    <row r="886" spans="1:27" x14ac:dyDescent="0.2">
      <c r="A886" s="42"/>
      <c r="B886" s="42"/>
      <c r="C886" s="42"/>
      <c r="D886" s="42"/>
      <c r="E886" s="42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42"/>
      <c r="X886" s="42"/>
      <c r="Y886" s="42"/>
      <c r="Z886" s="42"/>
      <c r="AA886" s="42"/>
    </row>
    <row r="887" spans="1:27" x14ac:dyDescent="0.2">
      <c r="A887" s="42"/>
      <c r="B887" s="42"/>
      <c r="C887" s="42"/>
      <c r="D887" s="42"/>
      <c r="E887" s="42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42"/>
      <c r="X887" s="42"/>
      <c r="Y887" s="42"/>
      <c r="Z887" s="42"/>
      <c r="AA887" s="42"/>
    </row>
    <row r="888" spans="1:27" x14ac:dyDescent="0.2">
      <c r="A888" s="42"/>
      <c r="B888" s="42"/>
      <c r="C888" s="42"/>
      <c r="D888" s="42"/>
      <c r="E888" s="42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42"/>
      <c r="X888" s="42"/>
      <c r="Y888" s="42"/>
      <c r="Z888" s="42"/>
      <c r="AA888" s="42"/>
    </row>
    <row r="889" spans="1:27" x14ac:dyDescent="0.2">
      <c r="A889" s="42"/>
      <c r="B889" s="42"/>
      <c r="C889" s="42"/>
      <c r="D889" s="42"/>
      <c r="E889" s="42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42"/>
      <c r="X889" s="42"/>
      <c r="Y889" s="42"/>
      <c r="Z889" s="42"/>
      <c r="AA889" s="42"/>
    </row>
    <row r="890" spans="1:27" x14ac:dyDescent="0.2">
      <c r="A890" s="42"/>
      <c r="B890" s="42"/>
      <c r="C890" s="42"/>
      <c r="D890" s="42"/>
      <c r="E890" s="42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42"/>
      <c r="X890" s="42"/>
      <c r="Y890" s="42"/>
      <c r="Z890" s="42"/>
      <c r="AA890" s="42"/>
    </row>
    <row r="891" spans="1:27" x14ac:dyDescent="0.2">
      <c r="A891" s="42"/>
      <c r="B891" s="42"/>
      <c r="C891" s="42"/>
      <c r="D891" s="42"/>
      <c r="E891" s="42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42"/>
      <c r="X891" s="42"/>
      <c r="Y891" s="42"/>
      <c r="Z891" s="42"/>
      <c r="AA891" s="42"/>
    </row>
    <row r="892" spans="1:27" x14ac:dyDescent="0.2">
      <c r="A892" s="42"/>
      <c r="B892" s="42"/>
      <c r="C892" s="42"/>
      <c r="D892" s="42"/>
      <c r="E892" s="42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42"/>
      <c r="X892" s="42"/>
      <c r="Y892" s="42"/>
      <c r="Z892" s="42"/>
      <c r="AA892" s="42"/>
    </row>
    <row r="893" spans="1:27" x14ac:dyDescent="0.2">
      <c r="A893" s="42"/>
      <c r="B893" s="42"/>
      <c r="C893" s="42"/>
      <c r="D893" s="42"/>
      <c r="E893" s="42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42"/>
      <c r="X893" s="42"/>
      <c r="Y893" s="42"/>
      <c r="Z893" s="42"/>
      <c r="AA893" s="42"/>
    </row>
    <row r="894" spans="1:27" x14ac:dyDescent="0.2">
      <c r="A894" s="42"/>
      <c r="B894" s="42"/>
      <c r="C894" s="42"/>
      <c r="D894" s="42"/>
      <c r="E894" s="42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42"/>
      <c r="X894" s="42"/>
      <c r="Y894" s="42"/>
      <c r="Z894" s="42"/>
      <c r="AA894" s="42"/>
    </row>
    <row r="895" spans="1:27" x14ac:dyDescent="0.2">
      <c r="A895" s="42"/>
      <c r="B895" s="42"/>
      <c r="C895" s="42"/>
      <c r="D895" s="42"/>
      <c r="E895" s="42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42"/>
      <c r="X895" s="42"/>
      <c r="Y895" s="42"/>
      <c r="Z895" s="42"/>
      <c r="AA895" s="42"/>
    </row>
    <row r="896" spans="1:27" x14ac:dyDescent="0.2">
      <c r="A896" s="42"/>
      <c r="B896" s="42"/>
      <c r="C896" s="42"/>
      <c r="D896" s="42"/>
      <c r="E896" s="42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42"/>
      <c r="X896" s="42"/>
      <c r="Y896" s="42"/>
      <c r="Z896" s="42"/>
      <c r="AA896" s="42"/>
    </row>
    <row r="897" spans="1:27" x14ac:dyDescent="0.2">
      <c r="A897" s="42"/>
      <c r="B897" s="42"/>
      <c r="C897" s="42"/>
      <c r="D897" s="42"/>
      <c r="E897" s="42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42"/>
      <c r="X897" s="42"/>
      <c r="Y897" s="42"/>
      <c r="Z897" s="42"/>
      <c r="AA897" s="42"/>
    </row>
    <row r="898" spans="1:27" x14ac:dyDescent="0.2">
      <c r="A898" s="42"/>
      <c r="B898" s="42"/>
      <c r="C898" s="42"/>
      <c r="D898" s="42"/>
      <c r="E898" s="42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42"/>
      <c r="X898" s="42"/>
      <c r="Y898" s="42"/>
      <c r="Z898" s="42"/>
      <c r="AA898" s="42"/>
    </row>
    <row r="899" spans="1:27" x14ac:dyDescent="0.2">
      <c r="A899" s="42"/>
      <c r="B899" s="42"/>
      <c r="C899" s="42"/>
      <c r="D899" s="42"/>
      <c r="E899" s="42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42"/>
      <c r="X899" s="42"/>
      <c r="Y899" s="42"/>
      <c r="Z899" s="42"/>
      <c r="AA899" s="42"/>
    </row>
    <row r="900" spans="1:27" x14ac:dyDescent="0.2">
      <c r="A900" s="42"/>
      <c r="B900" s="42"/>
      <c r="C900" s="42"/>
      <c r="D900" s="42"/>
      <c r="E900" s="42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42"/>
      <c r="X900" s="42"/>
      <c r="Y900" s="42"/>
      <c r="Z900" s="42"/>
      <c r="AA900" s="42"/>
    </row>
    <row r="901" spans="1:27" x14ac:dyDescent="0.2">
      <c r="A901" s="42"/>
      <c r="B901" s="42"/>
      <c r="C901" s="42"/>
      <c r="D901" s="42"/>
      <c r="E901" s="42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42"/>
      <c r="X901" s="42"/>
      <c r="Y901" s="42"/>
      <c r="Z901" s="42"/>
      <c r="AA901" s="42"/>
    </row>
    <row r="902" spans="1:27" x14ac:dyDescent="0.2">
      <c r="A902" s="42"/>
      <c r="B902" s="42"/>
      <c r="C902" s="42"/>
      <c r="D902" s="42"/>
      <c r="E902" s="42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42"/>
      <c r="X902" s="42"/>
      <c r="Y902" s="42"/>
      <c r="Z902" s="42"/>
      <c r="AA902" s="42"/>
    </row>
    <row r="903" spans="1:27" x14ac:dyDescent="0.2">
      <c r="A903" s="42"/>
      <c r="B903" s="42"/>
      <c r="C903" s="42"/>
      <c r="D903" s="42"/>
      <c r="E903" s="42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42"/>
      <c r="X903" s="42"/>
      <c r="Y903" s="42"/>
      <c r="Z903" s="42"/>
      <c r="AA903" s="42"/>
    </row>
    <row r="904" spans="1:27" x14ac:dyDescent="0.2">
      <c r="A904" s="42"/>
      <c r="B904" s="42"/>
      <c r="C904" s="42"/>
      <c r="D904" s="42"/>
      <c r="E904" s="42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42"/>
      <c r="X904" s="42"/>
      <c r="Y904" s="42"/>
      <c r="Z904" s="42"/>
      <c r="AA904" s="42"/>
    </row>
    <row r="905" spans="1:27" x14ac:dyDescent="0.2">
      <c r="A905" s="42"/>
      <c r="B905" s="42"/>
      <c r="C905" s="42"/>
      <c r="D905" s="42"/>
      <c r="E905" s="42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42"/>
      <c r="X905" s="42"/>
      <c r="Y905" s="42"/>
      <c r="Z905" s="42"/>
      <c r="AA905" s="42"/>
    </row>
    <row r="906" spans="1:27" x14ac:dyDescent="0.2">
      <c r="A906" s="42"/>
      <c r="B906" s="42"/>
      <c r="C906" s="42"/>
      <c r="D906" s="42"/>
      <c r="E906" s="42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42"/>
      <c r="X906" s="42"/>
      <c r="Y906" s="42"/>
      <c r="Z906" s="42"/>
      <c r="AA906" s="42"/>
    </row>
    <row r="907" spans="1:27" x14ac:dyDescent="0.2">
      <c r="A907" s="42"/>
      <c r="B907" s="42"/>
      <c r="C907" s="42"/>
      <c r="D907" s="42"/>
      <c r="E907" s="42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42"/>
      <c r="X907" s="42"/>
      <c r="Y907" s="42"/>
      <c r="Z907" s="42"/>
      <c r="AA907" s="42"/>
    </row>
    <row r="908" spans="1:27" x14ac:dyDescent="0.2">
      <c r="A908" s="42"/>
      <c r="B908" s="42"/>
      <c r="C908" s="42"/>
      <c r="D908" s="42"/>
      <c r="E908" s="42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42"/>
      <c r="X908" s="42"/>
      <c r="Y908" s="42"/>
      <c r="Z908" s="42"/>
      <c r="AA908" s="42"/>
    </row>
    <row r="909" spans="1:27" x14ac:dyDescent="0.2">
      <c r="A909" s="42"/>
      <c r="B909" s="42"/>
      <c r="C909" s="42"/>
      <c r="D909" s="42"/>
      <c r="E909" s="42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42"/>
      <c r="X909" s="42"/>
      <c r="Y909" s="42"/>
      <c r="Z909" s="42"/>
      <c r="AA909" s="42"/>
    </row>
    <row r="910" spans="1:27" x14ac:dyDescent="0.2">
      <c r="A910" s="42"/>
      <c r="B910" s="42"/>
      <c r="C910" s="42"/>
      <c r="D910" s="42"/>
      <c r="E910" s="42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42"/>
      <c r="X910" s="42"/>
      <c r="Y910" s="42"/>
      <c r="Z910" s="42"/>
      <c r="AA910" s="42"/>
    </row>
    <row r="911" spans="1:27" x14ac:dyDescent="0.2">
      <c r="A911" s="42"/>
      <c r="B911" s="42"/>
      <c r="C911" s="42"/>
      <c r="D911" s="42"/>
      <c r="E911" s="42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42"/>
      <c r="X911" s="42"/>
      <c r="Y911" s="42"/>
      <c r="Z911" s="42"/>
      <c r="AA911" s="42"/>
    </row>
    <row r="912" spans="1:27" x14ac:dyDescent="0.2">
      <c r="A912" s="42"/>
      <c r="B912" s="42"/>
      <c r="C912" s="42"/>
      <c r="D912" s="42"/>
      <c r="E912" s="42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42"/>
      <c r="X912" s="42"/>
      <c r="Y912" s="42"/>
      <c r="Z912" s="42"/>
      <c r="AA912" s="42"/>
    </row>
    <row r="913" spans="1:27" x14ac:dyDescent="0.2">
      <c r="A913" s="42"/>
      <c r="B913" s="42"/>
      <c r="C913" s="42"/>
      <c r="D913" s="42"/>
      <c r="E913" s="42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42"/>
      <c r="X913" s="42"/>
      <c r="Y913" s="42"/>
      <c r="Z913" s="42"/>
      <c r="AA913" s="42"/>
    </row>
    <row r="914" spans="1:27" x14ac:dyDescent="0.2">
      <c r="A914" s="42"/>
      <c r="B914" s="42"/>
      <c r="C914" s="42"/>
      <c r="D914" s="42"/>
      <c r="E914" s="42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42"/>
      <c r="X914" s="42"/>
      <c r="Y914" s="42"/>
      <c r="Z914" s="42"/>
      <c r="AA914" s="42"/>
    </row>
    <row r="915" spans="1:27" x14ac:dyDescent="0.2">
      <c r="A915" s="42"/>
      <c r="B915" s="42"/>
      <c r="C915" s="42"/>
      <c r="D915" s="42"/>
      <c r="E915" s="42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42"/>
      <c r="X915" s="42"/>
      <c r="Y915" s="42"/>
      <c r="Z915" s="42"/>
      <c r="AA915" s="42"/>
    </row>
    <row r="916" spans="1:27" x14ac:dyDescent="0.2">
      <c r="A916" s="42"/>
      <c r="B916" s="42"/>
      <c r="C916" s="42"/>
      <c r="D916" s="42"/>
      <c r="E916" s="42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42"/>
      <c r="X916" s="42"/>
      <c r="Y916" s="42"/>
      <c r="Z916" s="42"/>
      <c r="AA916" s="42"/>
    </row>
    <row r="917" spans="1:27" x14ac:dyDescent="0.2">
      <c r="A917" s="42"/>
      <c r="B917" s="42"/>
      <c r="C917" s="42"/>
      <c r="D917" s="42"/>
      <c r="E917" s="42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42"/>
      <c r="X917" s="42"/>
      <c r="Y917" s="42"/>
      <c r="Z917" s="42"/>
      <c r="AA917" s="42"/>
    </row>
    <row r="918" spans="1:27" x14ac:dyDescent="0.2">
      <c r="A918" s="42"/>
      <c r="B918" s="42"/>
      <c r="C918" s="42"/>
      <c r="D918" s="42"/>
      <c r="E918" s="42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42"/>
      <c r="X918" s="42"/>
      <c r="Y918" s="42"/>
      <c r="Z918" s="42"/>
      <c r="AA918" s="42"/>
    </row>
    <row r="919" spans="1:27" x14ac:dyDescent="0.2">
      <c r="A919" s="42"/>
      <c r="B919" s="42"/>
      <c r="C919" s="42"/>
      <c r="D919" s="42"/>
      <c r="E919" s="42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42"/>
      <c r="X919" s="42"/>
      <c r="Y919" s="42"/>
      <c r="Z919" s="42"/>
      <c r="AA919" s="42"/>
    </row>
    <row r="920" spans="1:27" x14ac:dyDescent="0.2">
      <c r="A920" s="42"/>
      <c r="B920" s="42"/>
      <c r="C920" s="42"/>
      <c r="D920" s="42"/>
      <c r="E920" s="42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42"/>
      <c r="X920" s="42"/>
      <c r="Y920" s="42"/>
      <c r="Z920" s="42"/>
      <c r="AA920" s="42"/>
    </row>
    <row r="921" spans="1:27" x14ac:dyDescent="0.2">
      <c r="A921" s="42"/>
      <c r="B921" s="42"/>
      <c r="C921" s="42"/>
      <c r="D921" s="42"/>
      <c r="E921" s="42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42"/>
      <c r="X921" s="42"/>
      <c r="Y921" s="42"/>
      <c r="Z921" s="42"/>
      <c r="AA921" s="42"/>
    </row>
    <row r="922" spans="1:27" x14ac:dyDescent="0.2">
      <c r="A922" s="42"/>
      <c r="B922" s="42"/>
      <c r="C922" s="42"/>
      <c r="D922" s="42"/>
      <c r="E922" s="42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42"/>
      <c r="X922" s="42"/>
      <c r="Y922" s="42"/>
      <c r="Z922" s="42"/>
      <c r="AA922" s="42"/>
    </row>
    <row r="923" spans="1:27" x14ac:dyDescent="0.2">
      <c r="A923" s="42"/>
      <c r="B923" s="42"/>
      <c r="C923" s="42"/>
      <c r="D923" s="42"/>
      <c r="E923" s="42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42"/>
      <c r="X923" s="42"/>
      <c r="Y923" s="42"/>
      <c r="Z923" s="42"/>
      <c r="AA923" s="42"/>
    </row>
    <row r="924" spans="1:27" x14ac:dyDescent="0.2">
      <c r="A924" s="42"/>
      <c r="B924" s="42"/>
      <c r="C924" s="42"/>
      <c r="D924" s="42"/>
      <c r="E924" s="42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42"/>
      <c r="X924" s="42"/>
      <c r="Y924" s="42"/>
      <c r="Z924" s="42"/>
      <c r="AA924" s="42"/>
    </row>
    <row r="925" spans="1:27" x14ac:dyDescent="0.2">
      <c r="A925" s="42"/>
      <c r="B925" s="42"/>
      <c r="C925" s="42"/>
      <c r="D925" s="42"/>
      <c r="E925" s="42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42"/>
      <c r="X925" s="42"/>
      <c r="Y925" s="42"/>
      <c r="Z925" s="42"/>
      <c r="AA925" s="42"/>
    </row>
    <row r="926" spans="1:27" x14ac:dyDescent="0.2">
      <c r="A926" s="42"/>
      <c r="B926" s="42"/>
      <c r="C926" s="42"/>
      <c r="D926" s="42"/>
      <c r="E926" s="42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42"/>
      <c r="X926" s="42"/>
      <c r="Y926" s="42"/>
      <c r="Z926" s="42"/>
      <c r="AA926" s="42"/>
    </row>
    <row r="927" spans="1:27" x14ac:dyDescent="0.2">
      <c r="A927" s="42"/>
      <c r="B927" s="42"/>
      <c r="C927" s="42"/>
      <c r="D927" s="42"/>
      <c r="E927" s="42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42"/>
      <c r="X927" s="42"/>
      <c r="Y927" s="42"/>
      <c r="Z927" s="42"/>
      <c r="AA927" s="42"/>
    </row>
    <row r="928" spans="1:27" x14ac:dyDescent="0.2">
      <c r="A928" s="42"/>
      <c r="B928" s="42"/>
      <c r="C928" s="42"/>
      <c r="D928" s="42"/>
      <c r="E928" s="42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42"/>
      <c r="X928" s="42"/>
      <c r="Y928" s="42"/>
      <c r="Z928" s="42"/>
      <c r="AA928" s="42"/>
    </row>
    <row r="929" spans="1:27" x14ac:dyDescent="0.2">
      <c r="A929" s="42"/>
      <c r="B929" s="42"/>
      <c r="C929" s="42"/>
      <c r="D929" s="42"/>
      <c r="E929" s="42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42"/>
      <c r="X929" s="42"/>
      <c r="Y929" s="42"/>
      <c r="Z929" s="42"/>
      <c r="AA929" s="42"/>
    </row>
    <row r="930" spans="1:27" x14ac:dyDescent="0.2">
      <c r="A930" s="42"/>
      <c r="B930" s="42"/>
      <c r="C930" s="42"/>
      <c r="D930" s="42"/>
      <c r="E930" s="42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42"/>
      <c r="X930" s="42"/>
      <c r="Y930" s="42"/>
      <c r="Z930" s="42"/>
      <c r="AA930" s="42"/>
    </row>
    <row r="931" spans="1:27" x14ac:dyDescent="0.2">
      <c r="A931" s="42"/>
      <c r="B931" s="42"/>
      <c r="C931" s="42"/>
      <c r="D931" s="42"/>
      <c r="E931" s="42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42"/>
      <c r="X931" s="42"/>
      <c r="Y931" s="42"/>
      <c r="Z931" s="42"/>
      <c r="AA931" s="42"/>
    </row>
    <row r="932" spans="1:27" x14ac:dyDescent="0.2">
      <c r="A932" s="42"/>
      <c r="B932" s="42"/>
      <c r="C932" s="42"/>
      <c r="D932" s="42"/>
      <c r="E932" s="42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42"/>
      <c r="X932" s="42"/>
      <c r="Y932" s="42"/>
      <c r="Z932" s="42"/>
      <c r="AA932" s="42"/>
    </row>
    <row r="933" spans="1:27" x14ac:dyDescent="0.2">
      <c r="A933" s="42"/>
      <c r="B933" s="42"/>
      <c r="C933" s="42"/>
      <c r="D933" s="42"/>
      <c r="E933" s="42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42"/>
      <c r="X933" s="42"/>
      <c r="Y933" s="42"/>
      <c r="Z933" s="42"/>
      <c r="AA933" s="42"/>
    </row>
    <row r="934" spans="1:27" x14ac:dyDescent="0.2">
      <c r="A934" s="42"/>
      <c r="B934" s="42"/>
      <c r="C934" s="42"/>
      <c r="D934" s="42"/>
      <c r="E934" s="42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42"/>
      <c r="X934" s="42"/>
      <c r="Y934" s="42"/>
      <c r="Z934" s="42"/>
      <c r="AA934" s="42"/>
    </row>
    <row r="935" spans="1:27" x14ac:dyDescent="0.2">
      <c r="A935" s="42"/>
      <c r="B935" s="42"/>
      <c r="C935" s="42"/>
      <c r="D935" s="42"/>
      <c r="E935" s="42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42"/>
      <c r="X935" s="42"/>
      <c r="Y935" s="42"/>
      <c r="Z935" s="42"/>
      <c r="AA935" s="42"/>
    </row>
    <row r="936" spans="1:27" x14ac:dyDescent="0.2">
      <c r="A936" s="42"/>
      <c r="B936" s="42"/>
      <c r="C936" s="42"/>
      <c r="D936" s="42"/>
      <c r="E936" s="42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42"/>
      <c r="X936" s="42"/>
      <c r="Y936" s="42"/>
      <c r="Z936" s="42"/>
      <c r="AA936" s="42"/>
    </row>
    <row r="937" spans="1:27" x14ac:dyDescent="0.2">
      <c r="A937" s="42"/>
      <c r="B937" s="42"/>
      <c r="C937" s="42"/>
      <c r="D937" s="42"/>
      <c r="E937" s="42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42"/>
      <c r="X937" s="42"/>
      <c r="Y937" s="42"/>
      <c r="Z937" s="42"/>
      <c r="AA937" s="42"/>
    </row>
    <row r="938" spans="1:27" x14ac:dyDescent="0.2">
      <c r="A938" s="42"/>
      <c r="B938" s="42"/>
      <c r="C938" s="42"/>
      <c r="D938" s="42"/>
      <c r="E938" s="42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42"/>
      <c r="X938" s="42"/>
      <c r="Y938" s="42"/>
      <c r="Z938" s="42"/>
      <c r="AA938" s="42"/>
    </row>
    <row r="939" spans="1:27" x14ac:dyDescent="0.2">
      <c r="A939" s="42"/>
      <c r="B939" s="42"/>
      <c r="C939" s="42"/>
      <c r="D939" s="42"/>
      <c r="E939" s="42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42"/>
      <c r="X939" s="42"/>
      <c r="Y939" s="42"/>
      <c r="Z939" s="42"/>
      <c r="AA939" s="42"/>
    </row>
    <row r="940" spans="1:27" x14ac:dyDescent="0.2">
      <c r="A940" s="42"/>
      <c r="B940" s="42"/>
      <c r="C940" s="42"/>
      <c r="D940" s="42"/>
      <c r="E940" s="42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42"/>
      <c r="X940" s="42"/>
      <c r="Y940" s="42"/>
      <c r="Z940" s="42"/>
      <c r="AA940" s="42"/>
    </row>
    <row r="941" spans="1:27" x14ac:dyDescent="0.2">
      <c r="A941" s="42"/>
      <c r="B941" s="42"/>
      <c r="C941" s="42"/>
      <c r="D941" s="42"/>
      <c r="E941" s="42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42"/>
      <c r="X941" s="42"/>
      <c r="Y941" s="42"/>
      <c r="Z941" s="42"/>
      <c r="AA941" s="42"/>
    </row>
    <row r="942" spans="1:27" x14ac:dyDescent="0.2">
      <c r="A942" s="42"/>
      <c r="B942" s="42"/>
      <c r="C942" s="42"/>
      <c r="D942" s="42"/>
      <c r="E942" s="42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42"/>
      <c r="X942" s="42"/>
      <c r="Y942" s="42"/>
      <c r="Z942" s="42"/>
      <c r="AA942" s="42"/>
    </row>
    <row r="943" spans="1:27" x14ac:dyDescent="0.2">
      <c r="A943" s="42"/>
      <c r="B943" s="42"/>
      <c r="C943" s="42"/>
      <c r="D943" s="42"/>
      <c r="E943" s="42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42"/>
      <c r="X943" s="42"/>
      <c r="Y943" s="42"/>
      <c r="Z943" s="42"/>
      <c r="AA943" s="42"/>
    </row>
    <row r="944" spans="1:27" x14ac:dyDescent="0.2">
      <c r="A944" s="42"/>
      <c r="B944" s="42"/>
      <c r="C944" s="42"/>
      <c r="D944" s="42"/>
      <c r="E944" s="42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42"/>
      <c r="X944" s="42"/>
      <c r="Y944" s="42"/>
      <c r="Z944" s="42"/>
      <c r="AA944" s="42"/>
    </row>
    <row r="945" spans="1:27" x14ac:dyDescent="0.2">
      <c r="A945" s="42"/>
      <c r="B945" s="42"/>
      <c r="C945" s="42"/>
      <c r="D945" s="42"/>
      <c r="E945" s="42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42"/>
      <c r="X945" s="42"/>
      <c r="Y945" s="42"/>
      <c r="Z945" s="42"/>
      <c r="AA945" s="42"/>
    </row>
    <row r="946" spans="1:27" x14ac:dyDescent="0.2">
      <c r="A946" s="42"/>
      <c r="B946" s="42"/>
      <c r="C946" s="42"/>
      <c r="D946" s="42"/>
      <c r="E946" s="42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42"/>
      <c r="X946" s="42"/>
      <c r="Y946" s="42"/>
      <c r="Z946" s="42"/>
      <c r="AA946" s="42"/>
    </row>
    <row r="947" spans="1:27" x14ac:dyDescent="0.2">
      <c r="A947" s="42"/>
      <c r="B947" s="42"/>
      <c r="C947" s="42"/>
      <c r="D947" s="42"/>
      <c r="E947" s="42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42"/>
      <c r="X947" s="42"/>
      <c r="Y947" s="42"/>
      <c r="Z947" s="42"/>
      <c r="AA947" s="42"/>
    </row>
    <row r="948" spans="1:27" x14ac:dyDescent="0.2">
      <c r="A948" s="42"/>
      <c r="B948" s="42"/>
      <c r="C948" s="42"/>
      <c r="D948" s="42"/>
      <c r="E948" s="42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42"/>
      <c r="X948" s="42"/>
      <c r="Y948" s="42"/>
      <c r="Z948" s="42"/>
      <c r="AA948" s="42"/>
    </row>
    <row r="949" spans="1:27" x14ac:dyDescent="0.2">
      <c r="A949" s="42"/>
      <c r="B949" s="42"/>
      <c r="C949" s="42"/>
      <c r="D949" s="42"/>
      <c r="E949" s="42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42"/>
      <c r="X949" s="42"/>
      <c r="Y949" s="42"/>
      <c r="Z949" s="42"/>
      <c r="AA949" s="42"/>
    </row>
    <row r="950" spans="1:27" x14ac:dyDescent="0.2">
      <c r="A950" s="42"/>
      <c r="B950" s="42"/>
      <c r="C950" s="42"/>
      <c r="D950" s="42"/>
      <c r="E950" s="42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42"/>
      <c r="X950" s="42"/>
      <c r="Y950" s="42"/>
      <c r="Z950" s="42"/>
      <c r="AA950" s="42"/>
    </row>
    <row r="951" spans="1:27" x14ac:dyDescent="0.2">
      <c r="A951" s="42"/>
      <c r="B951" s="42"/>
      <c r="C951" s="42"/>
      <c r="D951" s="42"/>
      <c r="E951" s="42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42"/>
      <c r="X951" s="42"/>
      <c r="Y951" s="42"/>
      <c r="Z951" s="42"/>
      <c r="AA951" s="42"/>
    </row>
    <row r="952" spans="1:27" x14ac:dyDescent="0.2">
      <c r="A952" s="42"/>
      <c r="B952" s="42"/>
      <c r="C952" s="42"/>
      <c r="D952" s="42"/>
      <c r="E952" s="42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42"/>
      <c r="X952" s="42"/>
      <c r="Y952" s="42"/>
      <c r="Z952" s="42"/>
      <c r="AA952" s="42"/>
    </row>
    <row r="953" spans="1:27" x14ac:dyDescent="0.2">
      <c r="A953" s="42"/>
      <c r="B953" s="42"/>
      <c r="C953" s="42"/>
      <c r="D953" s="42"/>
      <c r="E953" s="42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42"/>
      <c r="X953" s="42"/>
      <c r="Y953" s="42"/>
      <c r="Z953" s="42"/>
      <c r="AA953" s="42"/>
    </row>
    <row r="954" spans="1:27" x14ac:dyDescent="0.2">
      <c r="A954" s="42"/>
      <c r="B954" s="42"/>
      <c r="C954" s="42"/>
      <c r="D954" s="42"/>
      <c r="E954" s="42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42"/>
      <c r="X954" s="42"/>
      <c r="Y954" s="42"/>
      <c r="Z954" s="42"/>
      <c r="AA954" s="42"/>
    </row>
    <row r="955" spans="1:27" x14ac:dyDescent="0.2">
      <c r="A955" s="42"/>
      <c r="B955" s="42"/>
      <c r="C955" s="42"/>
      <c r="D955" s="42"/>
      <c r="E955" s="42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42"/>
      <c r="X955" s="42"/>
      <c r="Y955" s="42"/>
      <c r="Z955" s="42"/>
      <c r="AA955" s="42"/>
    </row>
    <row r="956" spans="1:27" x14ac:dyDescent="0.2">
      <c r="A956" s="42"/>
      <c r="B956" s="42"/>
      <c r="C956" s="42"/>
      <c r="D956" s="42"/>
      <c r="E956" s="42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42"/>
      <c r="X956" s="42"/>
      <c r="Y956" s="42"/>
      <c r="Z956" s="42"/>
      <c r="AA956" s="42"/>
    </row>
    <row r="957" spans="1:27" x14ac:dyDescent="0.2">
      <c r="A957" s="42"/>
      <c r="B957" s="42"/>
      <c r="C957" s="42"/>
      <c r="D957" s="42"/>
      <c r="E957" s="42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42"/>
      <c r="X957" s="42"/>
      <c r="Y957" s="42"/>
      <c r="Z957" s="42"/>
      <c r="AA957" s="42"/>
    </row>
    <row r="958" spans="1:27" x14ac:dyDescent="0.2">
      <c r="A958" s="42"/>
      <c r="B958" s="42"/>
      <c r="C958" s="42"/>
      <c r="D958" s="42"/>
      <c r="E958" s="42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42"/>
      <c r="X958" s="42"/>
      <c r="Y958" s="42"/>
      <c r="Z958" s="42"/>
      <c r="AA958" s="42"/>
    </row>
    <row r="959" spans="1:27" x14ac:dyDescent="0.2">
      <c r="A959" s="42"/>
      <c r="B959" s="42"/>
      <c r="C959" s="42"/>
      <c r="D959" s="42"/>
      <c r="E959" s="42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42"/>
      <c r="X959" s="42"/>
      <c r="Y959" s="42"/>
      <c r="Z959" s="42"/>
      <c r="AA959" s="42"/>
    </row>
    <row r="960" spans="1:27" x14ac:dyDescent="0.2">
      <c r="A960" s="42"/>
      <c r="B960" s="42"/>
      <c r="C960" s="42"/>
      <c r="D960" s="42"/>
      <c r="E960" s="42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42"/>
      <c r="X960" s="42"/>
      <c r="Y960" s="42"/>
      <c r="Z960" s="42"/>
      <c r="AA960" s="42"/>
    </row>
    <row r="961" spans="1:27" x14ac:dyDescent="0.2">
      <c r="A961" s="42"/>
      <c r="B961" s="42"/>
      <c r="C961" s="42"/>
      <c r="D961" s="42"/>
      <c r="E961" s="42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42"/>
      <c r="X961" s="42"/>
      <c r="Y961" s="42"/>
      <c r="Z961" s="42"/>
      <c r="AA961" s="42"/>
    </row>
    <row r="962" spans="1:27" x14ac:dyDescent="0.2">
      <c r="A962" s="42"/>
      <c r="B962" s="42"/>
      <c r="C962" s="42"/>
      <c r="D962" s="42"/>
      <c r="E962" s="42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42"/>
      <c r="X962" s="42"/>
      <c r="Y962" s="42"/>
      <c r="Z962" s="42"/>
      <c r="AA962" s="42"/>
    </row>
    <row r="963" spans="1:27" x14ac:dyDescent="0.2">
      <c r="A963" s="42"/>
      <c r="B963" s="42"/>
      <c r="C963" s="42"/>
      <c r="D963" s="42"/>
      <c r="E963" s="42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42"/>
      <c r="X963" s="42"/>
      <c r="Y963" s="42"/>
      <c r="Z963" s="42"/>
      <c r="AA963" s="42"/>
    </row>
    <row r="964" spans="1:27" x14ac:dyDescent="0.2">
      <c r="A964" s="42"/>
      <c r="B964" s="42"/>
      <c r="C964" s="42"/>
      <c r="D964" s="42"/>
      <c r="E964" s="42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42"/>
      <c r="X964" s="42"/>
      <c r="Y964" s="42"/>
      <c r="Z964" s="42"/>
      <c r="AA964" s="42"/>
    </row>
    <row r="965" spans="1:27" x14ac:dyDescent="0.2">
      <c r="A965" s="42"/>
      <c r="B965" s="42"/>
      <c r="C965" s="42"/>
      <c r="D965" s="42"/>
      <c r="E965" s="42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42"/>
      <c r="X965" s="42"/>
      <c r="Y965" s="42"/>
      <c r="Z965" s="42"/>
      <c r="AA965" s="42"/>
    </row>
    <row r="966" spans="1:27" x14ac:dyDescent="0.2">
      <c r="A966" s="42"/>
      <c r="B966" s="42"/>
      <c r="C966" s="42"/>
      <c r="D966" s="42"/>
      <c r="E966" s="42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42"/>
      <c r="X966" s="42"/>
      <c r="Y966" s="42"/>
      <c r="Z966" s="42"/>
      <c r="AA966" s="42"/>
    </row>
    <row r="967" spans="1:27" x14ac:dyDescent="0.2">
      <c r="A967" s="42"/>
      <c r="B967" s="42"/>
      <c r="C967" s="42"/>
      <c r="D967" s="42"/>
      <c r="E967" s="42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42"/>
      <c r="X967" s="42"/>
      <c r="Y967" s="42"/>
      <c r="Z967" s="42"/>
      <c r="AA967" s="42"/>
    </row>
    <row r="968" spans="1:27" x14ac:dyDescent="0.2">
      <c r="A968" s="42"/>
      <c r="B968" s="42"/>
      <c r="C968" s="42"/>
      <c r="D968" s="42"/>
      <c r="E968" s="42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42"/>
      <c r="X968" s="42"/>
      <c r="Y968" s="42"/>
      <c r="Z968" s="42"/>
      <c r="AA968" s="42"/>
    </row>
    <row r="969" spans="1:27" x14ac:dyDescent="0.2">
      <c r="A969" s="42"/>
      <c r="B969" s="42"/>
      <c r="C969" s="42"/>
      <c r="D969" s="42"/>
      <c r="E969" s="42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42"/>
      <c r="X969" s="42"/>
      <c r="Y969" s="42"/>
      <c r="Z969" s="42"/>
      <c r="AA969" s="42"/>
    </row>
    <row r="970" spans="1:27" x14ac:dyDescent="0.2">
      <c r="A970" s="42"/>
      <c r="B970" s="42"/>
      <c r="C970" s="42"/>
      <c r="D970" s="42"/>
      <c r="E970" s="42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42"/>
      <c r="X970" s="42"/>
      <c r="Y970" s="42"/>
      <c r="Z970" s="42"/>
      <c r="AA970" s="42"/>
    </row>
    <row r="971" spans="1:27" x14ac:dyDescent="0.2">
      <c r="A971" s="42"/>
      <c r="B971" s="42"/>
      <c r="C971" s="42"/>
      <c r="D971" s="42"/>
      <c r="E971" s="42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42"/>
      <c r="X971" s="42"/>
      <c r="Y971" s="42"/>
      <c r="Z971" s="42"/>
      <c r="AA971" s="42"/>
    </row>
    <row r="972" spans="1:27" x14ac:dyDescent="0.2">
      <c r="A972" s="42"/>
      <c r="B972" s="42"/>
      <c r="C972" s="42"/>
      <c r="D972" s="42"/>
      <c r="E972" s="42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42"/>
      <c r="X972" s="42"/>
      <c r="Y972" s="42"/>
      <c r="Z972" s="42"/>
      <c r="AA972" s="42"/>
    </row>
    <row r="973" spans="1:27" x14ac:dyDescent="0.2">
      <c r="A973" s="42"/>
      <c r="B973" s="42"/>
      <c r="C973" s="42"/>
      <c r="D973" s="42"/>
      <c r="E973" s="42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42"/>
      <c r="X973" s="42"/>
      <c r="Y973" s="42"/>
      <c r="Z973" s="42"/>
      <c r="AA973" s="42"/>
    </row>
    <row r="974" spans="1:27" x14ac:dyDescent="0.2">
      <c r="A974" s="42"/>
      <c r="B974" s="42"/>
      <c r="C974" s="42"/>
      <c r="D974" s="42"/>
      <c r="E974" s="42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42"/>
      <c r="X974" s="42"/>
      <c r="Y974" s="42"/>
      <c r="Z974" s="42"/>
      <c r="AA974" s="42"/>
    </row>
    <row r="975" spans="1:27" x14ac:dyDescent="0.2">
      <c r="A975" s="42"/>
      <c r="B975" s="42"/>
      <c r="C975" s="42"/>
      <c r="D975" s="42"/>
      <c r="E975" s="42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42"/>
      <c r="X975" s="42"/>
      <c r="Y975" s="42"/>
      <c r="Z975" s="42"/>
      <c r="AA975" s="42"/>
    </row>
    <row r="976" spans="1:27" x14ac:dyDescent="0.2">
      <c r="A976" s="42"/>
      <c r="B976" s="42"/>
      <c r="C976" s="42"/>
      <c r="D976" s="42"/>
      <c r="E976" s="42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42"/>
      <c r="X976" s="42"/>
      <c r="Y976" s="42"/>
      <c r="Z976" s="42"/>
      <c r="AA976" s="42"/>
    </row>
    <row r="977" spans="1:27" x14ac:dyDescent="0.2">
      <c r="A977" s="42"/>
      <c r="B977" s="42"/>
      <c r="C977" s="42"/>
      <c r="D977" s="42"/>
      <c r="E977" s="42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42"/>
      <c r="X977" s="42"/>
      <c r="Y977" s="42"/>
      <c r="Z977" s="42"/>
      <c r="AA977" s="42"/>
    </row>
    <row r="978" spans="1:27" x14ac:dyDescent="0.2">
      <c r="A978" s="42"/>
      <c r="B978" s="42"/>
      <c r="C978" s="42"/>
      <c r="D978" s="42"/>
      <c r="E978" s="42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42"/>
      <c r="X978" s="42"/>
      <c r="Y978" s="42"/>
      <c r="Z978" s="42"/>
      <c r="AA978" s="42"/>
    </row>
    <row r="979" spans="1:27" x14ac:dyDescent="0.2">
      <c r="A979" s="42"/>
      <c r="B979" s="42"/>
      <c r="C979" s="42"/>
      <c r="D979" s="42"/>
      <c r="E979" s="42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42"/>
      <c r="X979" s="42"/>
      <c r="Y979" s="42"/>
      <c r="Z979" s="42"/>
      <c r="AA979" s="42"/>
    </row>
    <row r="980" spans="1:27" x14ac:dyDescent="0.2">
      <c r="A980" s="42"/>
      <c r="B980" s="42"/>
      <c r="C980" s="42"/>
      <c r="D980" s="42"/>
      <c r="E980" s="42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42"/>
      <c r="X980" s="42"/>
      <c r="Y980" s="42"/>
      <c r="Z980" s="42"/>
      <c r="AA980" s="42"/>
    </row>
    <row r="981" spans="1:27" x14ac:dyDescent="0.2">
      <c r="A981" s="42"/>
      <c r="B981" s="42"/>
      <c r="C981" s="42"/>
      <c r="D981" s="42"/>
      <c r="E981" s="42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42"/>
      <c r="X981" s="42"/>
      <c r="Y981" s="42"/>
      <c r="Z981" s="42"/>
      <c r="AA981" s="42"/>
    </row>
    <row r="982" spans="1:27" x14ac:dyDescent="0.2">
      <c r="A982" s="42"/>
      <c r="B982" s="42"/>
      <c r="C982" s="42"/>
      <c r="D982" s="42"/>
      <c r="E982" s="42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42"/>
      <c r="X982" s="42"/>
      <c r="Y982" s="42"/>
      <c r="Z982" s="42"/>
      <c r="AA982" s="42"/>
    </row>
    <row r="983" spans="1:27" x14ac:dyDescent="0.2">
      <c r="A983" s="42"/>
      <c r="B983" s="42"/>
      <c r="C983" s="42"/>
      <c r="D983" s="42"/>
      <c r="E983" s="42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42"/>
      <c r="X983" s="42"/>
      <c r="Y983" s="42"/>
      <c r="Z983" s="42"/>
      <c r="AA983" s="42"/>
    </row>
    <row r="984" spans="1:27" x14ac:dyDescent="0.2">
      <c r="A984" s="42"/>
      <c r="B984" s="42"/>
      <c r="C984" s="42"/>
      <c r="D984" s="42"/>
      <c r="E984" s="42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42"/>
      <c r="X984" s="42"/>
      <c r="Y984" s="42"/>
      <c r="Z984" s="42"/>
      <c r="AA984" s="42"/>
    </row>
    <row r="985" spans="1:27" x14ac:dyDescent="0.2">
      <c r="A985" s="42"/>
      <c r="B985" s="42"/>
      <c r="C985" s="42"/>
      <c r="D985" s="42"/>
      <c r="E985" s="42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42"/>
      <c r="X985" s="42"/>
      <c r="Y985" s="42"/>
      <c r="Z985" s="42"/>
      <c r="AA985" s="42"/>
    </row>
    <row r="986" spans="1:27" x14ac:dyDescent="0.2">
      <c r="A986" s="42"/>
      <c r="B986" s="42"/>
      <c r="C986" s="42"/>
      <c r="D986" s="42"/>
      <c r="E986" s="42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42"/>
      <c r="X986" s="42"/>
      <c r="Y986" s="42"/>
      <c r="Z986" s="42"/>
      <c r="AA986" s="42"/>
    </row>
    <row r="987" spans="1:27" x14ac:dyDescent="0.2">
      <c r="A987" s="42"/>
      <c r="B987" s="42"/>
      <c r="C987" s="42"/>
      <c r="D987" s="42"/>
      <c r="E987" s="42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42"/>
      <c r="X987" s="42"/>
      <c r="Y987" s="42"/>
      <c r="Z987" s="42"/>
      <c r="AA987" s="42"/>
    </row>
    <row r="988" spans="1:27" x14ac:dyDescent="0.2">
      <c r="A988" s="42"/>
      <c r="B988" s="42"/>
      <c r="C988" s="42"/>
      <c r="D988" s="42"/>
      <c r="E988" s="42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42"/>
      <c r="X988" s="42"/>
      <c r="Y988" s="42"/>
      <c r="Z988" s="42"/>
      <c r="AA988" s="42"/>
    </row>
    <row r="989" spans="1:27" x14ac:dyDescent="0.2">
      <c r="A989" s="42"/>
      <c r="B989" s="42"/>
      <c r="C989" s="42"/>
      <c r="D989" s="42"/>
      <c r="E989" s="42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42"/>
      <c r="X989" s="42"/>
      <c r="Y989" s="42"/>
      <c r="Z989" s="42"/>
      <c r="AA989" s="42"/>
    </row>
    <row r="990" spans="1:27" x14ac:dyDescent="0.2">
      <c r="A990" s="42"/>
      <c r="B990" s="42"/>
      <c r="C990" s="42"/>
      <c r="D990" s="42"/>
      <c r="E990" s="42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42"/>
      <c r="X990" s="42"/>
      <c r="Y990" s="42"/>
      <c r="Z990" s="42"/>
      <c r="AA990" s="42"/>
    </row>
    <row r="991" spans="1:27" x14ac:dyDescent="0.2">
      <c r="A991" s="42"/>
      <c r="B991" s="42"/>
      <c r="C991" s="42"/>
      <c r="D991" s="42"/>
      <c r="E991" s="42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42"/>
      <c r="X991" s="42"/>
      <c r="Y991" s="42"/>
      <c r="Z991" s="42"/>
      <c r="AA991" s="42"/>
    </row>
    <row r="992" spans="1:27" x14ac:dyDescent="0.2">
      <c r="A992" s="42"/>
      <c r="B992" s="42"/>
      <c r="C992" s="42"/>
      <c r="D992" s="42"/>
      <c r="E992" s="42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42"/>
      <c r="X992" s="42"/>
      <c r="Y992" s="42"/>
      <c r="Z992" s="42"/>
      <c r="AA992" s="42"/>
    </row>
    <row r="993" spans="1:27" x14ac:dyDescent="0.2">
      <c r="A993" s="42"/>
      <c r="B993" s="42"/>
      <c r="C993" s="42"/>
      <c r="D993" s="42"/>
      <c r="E993" s="42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42"/>
      <c r="X993" s="42"/>
      <c r="Y993" s="42"/>
      <c r="Z993" s="42"/>
      <c r="AA993" s="42"/>
    </row>
    <row r="994" spans="1:27" x14ac:dyDescent="0.2">
      <c r="A994" s="42"/>
      <c r="B994" s="42"/>
      <c r="C994" s="42"/>
      <c r="D994" s="42"/>
      <c r="E994" s="42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42"/>
      <c r="X994" s="42"/>
      <c r="Y994" s="42"/>
      <c r="Z994" s="42"/>
      <c r="AA994" s="42"/>
    </row>
    <row r="995" spans="1:27" x14ac:dyDescent="0.2">
      <c r="A995" s="42"/>
      <c r="B995" s="42"/>
      <c r="C995" s="42"/>
      <c r="D995" s="42"/>
      <c r="E995" s="42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42"/>
      <c r="X995" s="42"/>
      <c r="Y995" s="42"/>
      <c r="Z995" s="42"/>
      <c r="AA995" s="42"/>
    </row>
    <row r="996" spans="1:27" x14ac:dyDescent="0.2">
      <c r="A996" s="42"/>
      <c r="B996" s="42"/>
      <c r="C996" s="42"/>
      <c r="D996" s="42"/>
      <c r="E996" s="42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42"/>
      <c r="X996" s="42"/>
      <c r="Y996" s="42"/>
      <c r="Z996" s="42"/>
      <c r="AA996" s="42"/>
    </row>
    <row r="997" spans="1:27" x14ac:dyDescent="0.2">
      <c r="A997" s="42"/>
      <c r="B997" s="42"/>
      <c r="C997" s="42"/>
      <c r="D997" s="42"/>
      <c r="E997" s="42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42"/>
      <c r="X997" s="42"/>
      <c r="Y997" s="42"/>
      <c r="Z997" s="42"/>
      <c r="AA997" s="42"/>
    </row>
    <row r="998" spans="1:27" x14ac:dyDescent="0.2">
      <c r="A998" s="42"/>
      <c r="B998" s="42"/>
      <c r="C998" s="42"/>
      <c r="D998" s="42"/>
      <c r="E998" s="42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42"/>
      <c r="X998" s="42"/>
      <c r="Y998" s="42"/>
      <c r="Z998" s="42"/>
      <c r="AA998" s="42"/>
    </row>
    <row r="999" spans="1:27" x14ac:dyDescent="0.2">
      <c r="A999" s="42"/>
      <c r="B999" s="42"/>
      <c r="C999" s="42"/>
      <c r="D999" s="42"/>
      <c r="E999" s="42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42"/>
      <c r="X999" s="42"/>
      <c r="Y999" s="42"/>
      <c r="Z999" s="42"/>
      <c r="AA999" s="42"/>
    </row>
    <row r="1000" spans="1:27" x14ac:dyDescent="0.2">
      <c r="A1000" s="42"/>
      <c r="B1000" s="42"/>
      <c r="C1000" s="42"/>
      <c r="D1000" s="42"/>
      <c r="E1000" s="42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42"/>
      <c r="X1000" s="42"/>
      <c r="Y1000" s="42"/>
      <c r="Z1000" s="42"/>
      <c r="AA1000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3350-0367-EC4F-81B1-B05171CFF644}">
  <dimension ref="A1:R101"/>
  <sheetViews>
    <sheetView workbookViewId="0">
      <pane ySplit="1" topLeftCell="A2" activePane="bottomLeft" state="frozen"/>
      <selection pane="bottomLeft" activeCell="N17" sqref="N17"/>
    </sheetView>
  </sheetViews>
  <sheetFormatPr baseColWidth="10" defaultRowHeight="16" x14ac:dyDescent="0.2"/>
  <cols>
    <col min="1" max="1" width="18.6640625" style="57" bestFit="1" customWidth="1"/>
    <col min="2" max="2" width="5.6640625" bestFit="1" customWidth="1"/>
    <col min="3" max="3" width="14.83203125" bestFit="1" customWidth="1"/>
    <col min="4" max="4" width="15" bestFit="1" customWidth="1"/>
    <col min="6" max="6" width="14.1640625" bestFit="1" customWidth="1"/>
    <col min="7" max="7" width="16" bestFit="1" customWidth="1"/>
    <col min="8" max="9" width="11.1640625" bestFit="1" customWidth="1"/>
  </cols>
  <sheetData>
    <row r="1" spans="1:15" x14ac:dyDescent="0.2">
      <c r="A1" s="57" t="s">
        <v>88</v>
      </c>
      <c r="B1" s="57"/>
      <c r="C1" t="s">
        <v>85</v>
      </c>
      <c r="D1" t="s">
        <v>84</v>
      </c>
      <c r="E1" t="s">
        <v>86</v>
      </c>
      <c r="F1" t="s">
        <v>87</v>
      </c>
      <c r="G1" t="s">
        <v>90</v>
      </c>
      <c r="H1" s="57"/>
      <c r="I1" t="s">
        <v>89</v>
      </c>
      <c r="J1" t="s">
        <v>84</v>
      </c>
      <c r="K1" t="s">
        <v>86</v>
      </c>
      <c r="L1" t="s">
        <v>87</v>
      </c>
    </row>
    <row r="2" spans="1:15" x14ac:dyDescent="0.2">
      <c r="A2" s="57">
        <v>12.986507752211764</v>
      </c>
      <c r="B2" s="57">
        <v>0</v>
      </c>
      <c r="C2">
        <f>_xlfn.NORM.DIST(B2, AVERAGE(A:A), STDEV(A:A), FALSE)</f>
        <v>6.6094050130385825E-8</v>
      </c>
      <c r="G2">
        <v>10</v>
      </c>
      <c r="H2" s="57">
        <v>1</v>
      </c>
      <c r="I2">
        <f>_xlfn.LOGNORM.DIST(H2, 1, 0.65, FALSE)</f>
        <v>0.1879484473884909</v>
      </c>
    </row>
    <row r="3" spans="1:15" x14ac:dyDescent="0.2">
      <c r="A3" s="57">
        <v>9.5345160641591065</v>
      </c>
      <c r="B3" s="57">
        <f>B2+1</f>
        <v>1</v>
      </c>
      <c r="C3">
        <f t="shared" ref="C3:C22" si="0">_xlfn.NORM.DIST(B3, AVERAGE(A:A), STDEV(A:A), FALSE)</f>
        <v>1.0783409458240812E-6</v>
      </c>
      <c r="G3">
        <v>9</v>
      </c>
      <c r="H3" s="57">
        <f>H2+1</f>
        <v>2</v>
      </c>
      <c r="I3">
        <f t="shared" ref="I3:I22" si="1">_xlfn.LOGNORM.DIST(H3, 1, 0.65, FALSE)</f>
        <v>0.27451945231347502</v>
      </c>
    </row>
    <row r="4" spans="1:15" x14ac:dyDescent="0.2">
      <c r="A4" s="57">
        <v>13.054919943679124</v>
      </c>
      <c r="B4" s="57">
        <f t="shared" ref="B4:B21" si="2">B3+1</f>
        <v>2</v>
      </c>
      <c r="C4">
        <f t="shared" si="0"/>
        <v>1.3197465101934181E-5</v>
      </c>
      <c r="G4">
        <v>10</v>
      </c>
      <c r="H4" s="57">
        <f t="shared" ref="H4:H21" si="3">H3+1</f>
        <v>3</v>
      </c>
      <c r="I4">
        <f t="shared" si="1"/>
        <v>0.20224487730240223</v>
      </c>
    </row>
    <row r="5" spans="1:15" x14ac:dyDescent="0.2">
      <c r="A5" s="57">
        <v>11.176767909782939</v>
      </c>
      <c r="B5" s="57">
        <f t="shared" si="2"/>
        <v>3</v>
      </c>
      <c r="C5">
        <f t="shared" si="0"/>
        <v>1.211617796710498E-4</v>
      </c>
      <c r="G5">
        <v>8</v>
      </c>
      <c r="H5" s="57">
        <f t="shared" si="3"/>
        <v>4</v>
      </c>
      <c r="I5">
        <f t="shared" si="1"/>
        <v>0.12860036369147676</v>
      </c>
    </row>
    <row r="6" spans="1:15" x14ac:dyDescent="0.2">
      <c r="A6" s="57">
        <v>9.2260291037382558</v>
      </c>
      <c r="B6" s="57">
        <f t="shared" si="2"/>
        <v>4</v>
      </c>
      <c r="C6">
        <f t="shared" si="0"/>
        <v>8.3441376669141283E-4</v>
      </c>
      <c r="G6">
        <v>4</v>
      </c>
      <c r="H6" s="57">
        <f t="shared" si="3"/>
        <v>5</v>
      </c>
      <c r="I6">
        <f t="shared" si="1"/>
        <v>7.9092486322827435E-2</v>
      </c>
      <c r="N6" s="66">
        <v>3</v>
      </c>
      <c r="O6" s="66">
        <v>3</v>
      </c>
    </row>
    <row r="7" spans="1:15" x14ac:dyDescent="0.2">
      <c r="A7" s="57">
        <v>7.330451151356101</v>
      </c>
      <c r="B7" s="57">
        <f t="shared" si="2"/>
        <v>5</v>
      </c>
      <c r="C7">
        <f t="shared" si="0"/>
        <v>4.3106024669446958E-3</v>
      </c>
      <c r="G7">
        <v>12</v>
      </c>
      <c r="H7" s="57">
        <f t="shared" si="3"/>
        <v>6</v>
      </c>
      <c r="I7">
        <f t="shared" si="1"/>
        <v>4.8714014086333413E-2</v>
      </c>
      <c r="N7" s="66">
        <v>4</v>
      </c>
      <c r="O7" s="66">
        <v>4</v>
      </c>
    </row>
    <row r="8" spans="1:15" x14ac:dyDescent="0.2">
      <c r="A8" s="57">
        <v>5.7470936351455748</v>
      </c>
      <c r="B8" s="57">
        <f t="shared" si="2"/>
        <v>6</v>
      </c>
      <c r="C8">
        <f t="shared" si="0"/>
        <v>1.670456539177622E-2</v>
      </c>
      <c r="G8">
        <v>11</v>
      </c>
      <c r="H8" s="57">
        <f t="shared" si="3"/>
        <v>7</v>
      </c>
      <c r="I8">
        <f t="shared" si="1"/>
        <v>3.0411429098988221E-2</v>
      </c>
      <c r="N8" s="66">
        <v>3</v>
      </c>
      <c r="O8" s="66">
        <v>3</v>
      </c>
    </row>
    <row r="9" spans="1:15" x14ac:dyDescent="0.2">
      <c r="A9" s="57">
        <v>8.505747953458922</v>
      </c>
      <c r="B9" s="57">
        <f t="shared" si="2"/>
        <v>7</v>
      </c>
      <c r="C9">
        <f t="shared" si="0"/>
        <v>4.8559374531393439E-2</v>
      </c>
      <c r="G9">
        <v>11</v>
      </c>
      <c r="H9" s="57">
        <f t="shared" si="3"/>
        <v>8</v>
      </c>
      <c r="I9">
        <f t="shared" si="1"/>
        <v>1.9321727887353219E-2</v>
      </c>
      <c r="N9" s="66">
        <v>6</v>
      </c>
      <c r="O9" s="66">
        <v>6</v>
      </c>
    </row>
    <row r="10" spans="1:15" x14ac:dyDescent="0.2">
      <c r="A10" s="57">
        <v>9.928509168967139</v>
      </c>
      <c r="B10" s="57">
        <f t="shared" si="2"/>
        <v>8</v>
      </c>
      <c r="C10">
        <f t="shared" si="0"/>
        <v>0.10588920381621167</v>
      </c>
      <c r="G10">
        <v>10</v>
      </c>
      <c r="H10" s="57">
        <f t="shared" si="3"/>
        <v>9</v>
      </c>
      <c r="I10">
        <f t="shared" si="1"/>
        <v>1.2504728015428105E-2</v>
      </c>
      <c r="N10" s="66">
        <v>5</v>
      </c>
      <c r="O10" s="66">
        <v>5</v>
      </c>
    </row>
    <row r="11" spans="1:15" x14ac:dyDescent="0.2">
      <c r="A11" s="57">
        <v>12.359797690587584</v>
      </c>
      <c r="B11" s="57">
        <f t="shared" si="2"/>
        <v>9</v>
      </c>
      <c r="C11">
        <f t="shared" si="0"/>
        <v>0.1732092084209097</v>
      </c>
      <c r="G11">
        <v>11</v>
      </c>
      <c r="H11" s="57">
        <f t="shared" si="3"/>
        <v>10</v>
      </c>
      <c r="I11">
        <f t="shared" si="1"/>
        <v>8.2404300085132144E-3</v>
      </c>
      <c r="N11" s="66">
        <v>3</v>
      </c>
      <c r="O11" s="66">
        <v>3</v>
      </c>
    </row>
    <row r="12" spans="1:15" x14ac:dyDescent="0.2">
      <c r="A12" s="57">
        <v>10.651264144835295</v>
      </c>
      <c r="B12" s="57">
        <f t="shared" si="2"/>
        <v>10</v>
      </c>
      <c r="C12">
        <f t="shared" si="0"/>
        <v>0.21253524817308928</v>
      </c>
      <c r="G12">
        <v>12</v>
      </c>
      <c r="H12" s="57">
        <f t="shared" si="3"/>
        <v>11</v>
      </c>
      <c r="I12">
        <f t="shared" si="1"/>
        <v>5.5242459772081353E-3</v>
      </c>
      <c r="N12" s="66">
        <v>4</v>
      </c>
      <c r="O12" s="66">
        <v>4</v>
      </c>
    </row>
    <row r="13" spans="1:15" x14ac:dyDescent="0.2">
      <c r="A13" s="57">
        <v>12.44865077547729</v>
      </c>
      <c r="B13" s="57">
        <f t="shared" si="2"/>
        <v>11</v>
      </c>
      <c r="C13">
        <f t="shared" si="0"/>
        <v>0.19562828670181903</v>
      </c>
      <c r="G13">
        <v>11</v>
      </c>
      <c r="H13" s="57">
        <f t="shared" si="3"/>
        <v>12</v>
      </c>
      <c r="I13">
        <f t="shared" si="1"/>
        <v>3.7632666895327407E-3</v>
      </c>
      <c r="N13" s="66">
        <v>2</v>
      </c>
      <c r="O13" s="66">
        <v>2</v>
      </c>
    </row>
    <row r="14" spans="1:15" x14ac:dyDescent="0.2">
      <c r="A14" s="57">
        <v>8.7191040418110788</v>
      </c>
      <c r="B14" s="57">
        <f t="shared" si="2"/>
        <v>12</v>
      </c>
      <c r="C14">
        <f t="shared" si="0"/>
        <v>0.13507439525008388</v>
      </c>
      <c r="G14">
        <v>13</v>
      </c>
      <c r="H14" s="57">
        <f t="shared" si="3"/>
        <v>13</v>
      </c>
      <c r="I14">
        <f t="shared" si="1"/>
        <v>2.6021727373617782E-3</v>
      </c>
      <c r="N14" s="66">
        <v>4</v>
      </c>
      <c r="O14" s="66">
        <v>4</v>
      </c>
    </row>
    <row r="15" spans="1:15" x14ac:dyDescent="0.2">
      <c r="A15" s="57">
        <v>10.637644461676246</v>
      </c>
      <c r="B15" s="57">
        <f t="shared" si="2"/>
        <v>13</v>
      </c>
      <c r="C15">
        <f t="shared" si="0"/>
        <v>6.996085487407061E-2</v>
      </c>
      <c r="G15">
        <v>6</v>
      </c>
      <c r="H15" s="57">
        <f t="shared" si="3"/>
        <v>14</v>
      </c>
      <c r="I15">
        <f t="shared" si="1"/>
        <v>1.8243829561718054E-3</v>
      </c>
      <c r="N15" s="66">
        <v>5</v>
      </c>
      <c r="O15" s="66">
        <v>36</v>
      </c>
    </row>
    <row r="16" spans="1:15" x14ac:dyDescent="0.2">
      <c r="A16" s="57">
        <v>10.195104803424329</v>
      </c>
      <c r="B16" s="57">
        <f t="shared" si="2"/>
        <v>14</v>
      </c>
      <c r="C16">
        <f t="shared" si="0"/>
        <v>2.7181779107778557E-2</v>
      </c>
      <c r="G16">
        <v>9</v>
      </c>
      <c r="H16" s="57">
        <f t="shared" si="3"/>
        <v>15</v>
      </c>
      <c r="I16">
        <f t="shared" si="1"/>
        <v>1.2955859743813455E-3</v>
      </c>
    </row>
    <row r="17" spans="1:18" x14ac:dyDescent="0.2">
      <c r="A17" s="57">
        <v>10.302688931697048</v>
      </c>
      <c r="B17" s="57">
        <f t="shared" si="2"/>
        <v>15</v>
      </c>
      <c r="C17">
        <f t="shared" si="0"/>
        <v>7.9221187041217753E-3</v>
      </c>
      <c r="G17">
        <v>12</v>
      </c>
      <c r="H17" s="57">
        <f t="shared" si="3"/>
        <v>16</v>
      </c>
      <c r="I17">
        <f t="shared" si="1"/>
        <v>9.3107446889370896E-4</v>
      </c>
    </row>
    <row r="18" spans="1:18" x14ac:dyDescent="0.2">
      <c r="A18" s="57">
        <v>9.5403368302504532</v>
      </c>
      <c r="B18" s="57">
        <f t="shared" si="2"/>
        <v>16</v>
      </c>
      <c r="C18">
        <f t="shared" si="0"/>
        <v>1.7319905082219887E-3</v>
      </c>
      <c r="G18">
        <v>11</v>
      </c>
      <c r="H18" s="57">
        <f t="shared" si="3"/>
        <v>17</v>
      </c>
      <c r="I18">
        <f t="shared" si="1"/>
        <v>6.7655649710261973E-4</v>
      </c>
    </row>
    <row r="19" spans="1:18" x14ac:dyDescent="0.2">
      <c r="A19" s="57">
        <v>13.094928615610115</v>
      </c>
      <c r="B19" s="57">
        <f t="shared" si="2"/>
        <v>17</v>
      </c>
      <c r="C19">
        <f t="shared" si="0"/>
        <v>2.8404710359161879E-4</v>
      </c>
      <c r="G19">
        <v>9</v>
      </c>
      <c r="H19" s="57">
        <f t="shared" si="3"/>
        <v>18</v>
      </c>
      <c r="I19">
        <f t="shared" si="1"/>
        <v>4.9669826529182785E-4</v>
      </c>
    </row>
    <row r="20" spans="1:18" x14ac:dyDescent="0.2">
      <c r="A20" s="57">
        <v>12.216174834757112</v>
      </c>
      <c r="B20" s="57">
        <f t="shared" si="2"/>
        <v>18</v>
      </c>
      <c r="C20">
        <f t="shared" si="0"/>
        <v>3.4944265639543012E-5</v>
      </c>
      <c r="G20">
        <v>15</v>
      </c>
      <c r="H20" s="57">
        <f t="shared" si="3"/>
        <v>19</v>
      </c>
      <c r="I20">
        <f t="shared" si="1"/>
        <v>3.6817030414090053E-4</v>
      </c>
    </row>
    <row r="21" spans="1:18" x14ac:dyDescent="0.2">
      <c r="A21" s="57">
        <v>9.1668209986528382</v>
      </c>
      <c r="B21" s="57">
        <f t="shared" si="2"/>
        <v>19</v>
      </c>
      <c r="C21">
        <f t="shared" si="0"/>
        <v>3.2247954064129037E-6</v>
      </c>
      <c r="G21">
        <v>11</v>
      </c>
      <c r="H21" s="57">
        <f t="shared" si="3"/>
        <v>20</v>
      </c>
      <c r="I21">
        <f t="shared" si="1"/>
        <v>2.7535896055232595E-4</v>
      </c>
    </row>
    <row r="22" spans="1:18" x14ac:dyDescent="0.2">
      <c r="A22" s="57">
        <v>14.466601239982992</v>
      </c>
      <c r="B22" s="57">
        <v>20</v>
      </c>
      <c r="C22">
        <f t="shared" si="0"/>
        <v>2.2323850751255204E-7</v>
      </c>
      <c r="G22">
        <v>7</v>
      </c>
      <c r="H22" s="57">
        <v>20</v>
      </c>
      <c r="I22">
        <f t="shared" si="1"/>
        <v>2.7535896055232595E-4</v>
      </c>
    </row>
    <row r="23" spans="1:18" x14ac:dyDescent="0.2">
      <c r="A23" s="57">
        <v>9.8367434272950049</v>
      </c>
      <c r="B23" s="57">
        <f>AVERAGE(A:A)</f>
        <v>10.211680958273064</v>
      </c>
      <c r="D23">
        <v>0</v>
      </c>
      <c r="G23">
        <v>13</v>
      </c>
      <c r="H23" s="57">
        <f>AVERAGE(I:I)</f>
        <v>4.8077658471737048E-2</v>
      </c>
      <c r="J23">
        <v>0</v>
      </c>
    </row>
    <row r="24" spans="1:18" x14ac:dyDescent="0.2">
      <c r="A24" s="57">
        <v>11.604362296347972</v>
      </c>
      <c r="B24" s="57">
        <f>B23</f>
        <v>10.211680958273064</v>
      </c>
      <c r="D24">
        <f>MAX(C:C)</f>
        <v>0.21253524817308928</v>
      </c>
      <c r="G24">
        <v>8</v>
      </c>
      <c r="H24" s="57">
        <f>H23</f>
        <v>4.8077658471737048E-2</v>
      </c>
      <c r="J24">
        <f>MAX(I:I)</f>
        <v>0.27451945231347502</v>
      </c>
    </row>
    <row r="25" spans="1:18" x14ac:dyDescent="0.2">
      <c r="A25" s="57">
        <v>13.391760401427746</v>
      </c>
      <c r="B25" s="57">
        <f>GEOMEAN(A:A)</f>
        <v>10.038702312944356</v>
      </c>
      <c r="E25">
        <f>D23</f>
        <v>0</v>
      </c>
      <c r="G25">
        <v>8</v>
      </c>
      <c r="H25" s="57">
        <f>GEOMEAN(I:I)</f>
        <v>6.8455778125473335E-3</v>
      </c>
      <c r="K25">
        <f>J23</f>
        <v>0</v>
      </c>
    </row>
    <row r="26" spans="1:18" x14ac:dyDescent="0.2">
      <c r="A26" s="57">
        <v>9.7493341652443632</v>
      </c>
      <c r="B26" s="57">
        <f>B25</f>
        <v>10.038702312944356</v>
      </c>
      <c r="E26">
        <f>D24</f>
        <v>0.21253524817308928</v>
      </c>
      <c r="G26">
        <v>9</v>
      </c>
      <c r="H26" s="57">
        <f>H25</f>
        <v>6.8455778125473335E-3</v>
      </c>
      <c r="K26">
        <f>J24</f>
        <v>0.27451945231347502</v>
      </c>
    </row>
    <row r="27" spans="1:18" x14ac:dyDescent="0.2">
      <c r="A27" s="57">
        <v>9.1691151990380604</v>
      </c>
      <c r="B27" s="57">
        <f>HARMEAN(A:A)</f>
        <v>9.8607708528719566</v>
      </c>
      <c r="F27">
        <f>E25</f>
        <v>0</v>
      </c>
      <c r="G27">
        <v>10</v>
      </c>
      <c r="H27" s="57">
        <f>HARMEAN(I:I)</f>
        <v>1.2326392172372037E-3</v>
      </c>
      <c r="L27">
        <f>K25</f>
        <v>0</v>
      </c>
    </row>
    <row r="28" spans="1:18" x14ac:dyDescent="0.2">
      <c r="A28" s="57">
        <v>6.6093855618964881</v>
      </c>
      <c r="B28" s="57">
        <f>B27</f>
        <v>9.8607708528719566</v>
      </c>
      <c r="F28">
        <f>E26</f>
        <v>0.21253524817308928</v>
      </c>
      <c r="G28">
        <v>14</v>
      </c>
      <c r="H28" s="57">
        <f>H27</f>
        <v>1.2326392172372037E-3</v>
      </c>
      <c r="L28">
        <f>K26</f>
        <v>0.27451945231347502</v>
      </c>
    </row>
    <row r="29" spans="1:18" x14ac:dyDescent="0.2">
      <c r="A29" s="57">
        <v>9.7769100446021184</v>
      </c>
      <c r="B29" s="58"/>
      <c r="C29" s="59"/>
      <c r="D29" s="59"/>
      <c r="E29" s="59"/>
      <c r="F29" s="59"/>
      <c r="G29">
        <v>7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60"/>
    </row>
    <row r="30" spans="1:18" x14ac:dyDescent="0.2">
      <c r="A30" s="57">
        <v>7.7911011228570715</v>
      </c>
      <c r="B30" s="61"/>
      <c r="C30" s="44"/>
      <c r="D30" s="44"/>
      <c r="E30" s="44"/>
      <c r="F30" s="44"/>
      <c r="G30">
        <v>19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62"/>
    </row>
    <row r="31" spans="1:18" x14ac:dyDescent="0.2">
      <c r="A31" s="57">
        <v>12.475690052960999</v>
      </c>
      <c r="B31" s="61"/>
      <c r="C31" s="44"/>
      <c r="D31" s="44"/>
      <c r="E31" s="44"/>
      <c r="F31" s="44"/>
      <c r="G31">
        <v>17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62"/>
    </row>
    <row r="32" spans="1:18" x14ac:dyDescent="0.2">
      <c r="A32" s="57">
        <v>11.337830326519907</v>
      </c>
      <c r="B32" s="61"/>
      <c r="C32" s="44"/>
      <c r="D32" s="44"/>
      <c r="E32" s="44"/>
      <c r="F32" s="44"/>
      <c r="G32">
        <v>10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62"/>
    </row>
    <row r="33" spans="1:18" x14ac:dyDescent="0.2">
      <c r="A33" s="57">
        <v>9.5930647855857387</v>
      </c>
      <c r="B33" s="61"/>
      <c r="C33" s="44"/>
      <c r="D33" s="44"/>
      <c r="E33" s="44"/>
      <c r="F33" s="44"/>
      <c r="G33">
        <v>10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62"/>
    </row>
    <row r="34" spans="1:18" x14ac:dyDescent="0.2">
      <c r="A34" s="57">
        <v>10.494501364300959</v>
      </c>
      <c r="B34" s="61"/>
      <c r="C34" s="44"/>
      <c r="D34" s="44"/>
      <c r="E34" s="44"/>
      <c r="F34" s="44"/>
      <c r="G34">
        <v>18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62"/>
    </row>
    <row r="35" spans="1:18" x14ac:dyDescent="0.2">
      <c r="A35" s="57">
        <v>10.424661266151816</v>
      </c>
      <c r="B35" s="61"/>
      <c r="C35" s="44"/>
      <c r="D35" s="44"/>
      <c r="E35" s="44"/>
      <c r="F35" s="44"/>
      <c r="G35">
        <v>9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62"/>
    </row>
    <row r="36" spans="1:18" x14ac:dyDescent="0.2">
      <c r="A36" s="57">
        <v>10.290301613858901</v>
      </c>
      <c r="B36" s="61"/>
      <c r="C36" s="44"/>
      <c r="D36" s="44"/>
      <c r="E36" s="44"/>
      <c r="F36" s="44"/>
      <c r="G36">
        <v>8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62"/>
    </row>
    <row r="37" spans="1:18" x14ac:dyDescent="0.2">
      <c r="A37" s="57">
        <v>9.1614913597004488</v>
      </c>
      <c r="B37" s="61"/>
      <c r="C37" s="44"/>
      <c r="D37" s="44"/>
      <c r="E37" s="44"/>
      <c r="F37" s="44"/>
      <c r="G37">
        <v>10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62"/>
    </row>
    <row r="38" spans="1:18" x14ac:dyDescent="0.2">
      <c r="A38" s="57">
        <v>10.614602413406828</v>
      </c>
      <c r="B38" s="61"/>
      <c r="C38" s="44"/>
      <c r="D38" s="44"/>
      <c r="E38" s="44"/>
      <c r="F38" s="44"/>
      <c r="G38">
        <v>7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62"/>
    </row>
    <row r="39" spans="1:18" x14ac:dyDescent="0.2">
      <c r="A39" s="57">
        <v>14.465509846340865</v>
      </c>
      <c r="B39" s="61"/>
      <c r="C39" s="44"/>
      <c r="D39" s="44"/>
      <c r="E39" s="44"/>
      <c r="F39" s="44"/>
      <c r="G39">
        <v>10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62"/>
    </row>
    <row r="40" spans="1:18" x14ac:dyDescent="0.2">
      <c r="A40" s="57">
        <v>8.0190841597504914</v>
      </c>
      <c r="B40" s="61"/>
      <c r="C40" s="44"/>
      <c r="D40" s="44"/>
      <c r="E40" s="44"/>
      <c r="F40" s="44"/>
      <c r="G40">
        <v>7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62"/>
    </row>
    <row r="41" spans="1:18" x14ac:dyDescent="0.2">
      <c r="A41" s="57">
        <v>10.029663169698324</v>
      </c>
      <c r="B41" s="61"/>
      <c r="C41" s="44"/>
      <c r="D41" s="44"/>
      <c r="E41" s="44"/>
      <c r="F41" s="44"/>
      <c r="G41">
        <v>14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62"/>
    </row>
    <row r="42" spans="1:18" x14ac:dyDescent="0.2">
      <c r="A42" s="57">
        <v>13.099812602158636</v>
      </c>
      <c r="B42" s="61"/>
      <c r="C42" s="44"/>
      <c r="D42" s="44"/>
      <c r="E42" s="44"/>
      <c r="F42" s="44"/>
      <c r="G42">
        <v>11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62"/>
    </row>
    <row r="43" spans="1:18" x14ac:dyDescent="0.2">
      <c r="A43" s="57">
        <v>11.638400135561824</v>
      </c>
      <c r="B43" s="61"/>
      <c r="C43" s="44"/>
      <c r="D43" s="44"/>
      <c r="E43" s="44"/>
      <c r="F43" s="44"/>
      <c r="G43">
        <v>7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62"/>
    </row>
    <row r="44" spans="1:18" x14ac:dyDescent="0.2">
      <c r="A44" s="57">
        <v>7.5293758325278759</v>
      </c>
      <c r="B44" s="61"/>
      <c r="C44" s="44"/>
      <c r="D44" s="44"/>
      <c r="E44" s="44"/>
      <c r="F44" s="44"/>
      <c r="G44">
        <v>4</v>
      </c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62"/>
    </row>
    <row r="45" spans="1:18" x14ac:dyDescent="0.2">
      <c r="A45" s="57">
        <v>8.0546181177487597</v>
      </c>
      <c r="B45" s="63"/>
      <c r="C45" s="64"/>
      <c r="D45" s="64"/>
      <c r="E45" s="64"/>
      <c r="F45" s="64"/>
      <c r="G45">
        <v>12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5"/>
    </row>
    <row r="46" spans="1:18" x14ac:dyDescent="0.2">
      <c r="A46" s="57">
        <v>7.3709145706379786</v>
      </c>
      <c r="G46">
        <v>10</v>
      </c>
    </row>
    <row r="47" spans="1:18" x14ac:dyDescent="0.2">
      <c r="A47" s="57">
        <v>9.6709425431618001</v>
      </c>
      <c r="G47">
        <v>13</v>
      </c>
    </row>
    <row r="48" spans="1:18" x14ac:dyDescent="0.2">
      <c r="A48" s="57">
        <v>8.8713580023613758</v>
      </c>
      <c r="G48">
        <v>10</v>
      </c>
    </row>
    <row r="49" spans="1:7" x14ac:dyDescent="0.2">
      <c r="A49" s="57">
        <v>8.9800471666967496</v>
      </c>
      <c r="G49">
        <v>7</v>
      </c>
    </row>
    <row r="50" spans="1:7" x14ac:dyDescent="0.2">
      <c r="A50" s="57">
        <v>11.112769041355932</v>
      </c>
      <c r="G50">
        <v>10</v>
      </c>
    </row>
    <row r="51" spans="1:7" x14ac:dyDescent="0.2">
      <c r="A51" s="57">
        <v>8.4125656737887766</v>
      </c>
      <c r="G51">
        <v>14</v>
      </c>
    </row>
    <row r="52" spans="1:7" x14ac:dyDescent="0.2">
      <c r="A52" s="57">
        <v>9.060075879242504</v>
      </c>
      <c r="G52">
        <v>6</v>
      </c>
    </row>
    <row r="53" spans="1:7" x14ac:dyDescent="0.2">
      <c r="A53" s="57">
        <v>10.742165866540745</v>
      </c>
      <c r="G53">
        <v>11</v>
      </c>
    </row>
    <row r="54" spans="1:7" x14ac:dyDescent="0.2">
      <c r="A54" s="57">
        <v>10.896225174074061</v>
      </c>
      <c r="G54">
        <v>19</v>
      </c>
    </row>
    <row r="55" spans="1:7" x14ac:dyDescent="0.2">
      <c r="A55" s="57">
        <v>10.008631104719825</v>
      </c>
      <c r="G55">
        <v>18</v>
      </c>
    </row>
    <row r="56" spans="1:7" x14ac:dyDescent="0.2">
      <c r="A56" s="57">
        <v>9.672877493139822</v>
      </c>
      <c r="G56">
        <v>9</v>
      </c>
    </row>
    <row r="57" spans="1:7" x14ac:dyDescent="0.2">
      <c r="A57" s="57">
        <v>10.961240402830299</v>
      </c>
      <c r="G57">
        <v>10</v>
      </c>
    </row>
    <row r="58" spans="1:7" x14ac:dyDescent="0.2">
      <c r="A58" s="57">
        <v>8.1859855324728414</v>
      </c>
      <c r="G58">
        <v>9</v>
      </c>
    </row>
    <row r="59" spans="1:7" x14ac:dyDescent="0.2">
      <c r="A59" s="57">
        <v>8.736113866470987</v>
      </c>
      <c r="G59">
        <v>11</v>
      </c>
    </row>
    <row r="60" spans="1:7" x14ac:dyDescent="0.2">
      <c r="A60" s="57">
        <v>8.3727639119024388</v>
      </c>
      <c r="G60">
        <v>12</v>
      </c>
    </row>
    <row r="61" spans="1:7" x14ac:dyDescent="0.2">
      <c r="A61" s="57">
        <v>11.138437255576719</v>
      </c>
      <c r="G61">
        <v>9</v>
      </c>
    </row>
    <row r="62" spans="1:7" x14ac:dyDescent="0.2">
      <c r="A62" s="57">
        <v>10.836216713651083</v>
      </c>
      <c r="G62">
        <v>7</v>
      </c>
    </row>
    <row r="63" spans="1:7" x14ac:dyDescent="0.2">
      <c r="A63" s="57">
        <v>9.1768481777398847</v>
      </c>
      <c r="G63">
        <v>15</v>
      </c>
    </row>
    <row r="64" spans="1:7" x14ac:dyDescent="0.2">
      <c r="A64" s="57">
        <v>12.046381268883124</v>
      </c>
      <c r="G64">
        <v>14</v>
      </c>
    </row>
    <row r="65" spans="1:7" x14ac:dyDescent="0.2">
      <c r="A65" s="57">
        <v>11.0573239705991</v>
      </c>
      <c r="G65">
        <v>13</v>
      </c>
    </row>
    <row r="66" spans="1:7" x14ac:dyDescent="0.2">
      <c r="A66" s="57">
        <v>11.517387318017427</v>
      </c>
      <c r="G66">
        <v>14</v>
      </c>
    </row>
    <row r="67" spans="1:7" x14ac:dyDescent="0.2">
      <c r="A67" s="57">
        <v>13.054083208553493</v>
      </c>
      <c r="G67">
        <v>4</v>
      </c>
    </row>
    <row r="68" spans="1:7" x14ac:dyDescent="0.2">
      <c r="A68" s="57">
        <v>12.046176632575225</v>
      </c>
      <c r="G68">
        <v>8</v>
      </c>
    </row>
    <row r="69" spans="1:7" x14ac:dyDescent="0.2">
      <c r="A69" s="57">
        <v>8.9114803611300886</v>
      </c>
      <c r="G69">
        <v>10</v>
      </c>
    </row>
    <row r="70" spans="1:7" x14ac:dyDescent="0.2">
      <c r="A70" s="57">
        <v>10.826826180855278</v>
      </c>
      <c r="G70">
        <v>16</v>
      </c>
    </row>
    <row r="71" spans="1:7" x14ac:dyDescent="0.2">
      <c r="A71" s="57">
        <v>9.8662156031059567</v>
      </c>
      <c r="G71">
        <v>9</v>
      </c>
    </row>
    <row r="72" spans="1:7" x14ac:dyDescent="0.2">
      <c r="A72" s="57">
        <v>9.0510673342214432</v>
      </c>
      <c r="G72">
        <v>11</v>
      </c>
    </row>
    <row r="73" spans="1:7" x14ac:dyDescent="0.2">
      <c r="A73" s="57">
        <v>10.662394086248241</v>
      </c>
      <c r="G73">
        <v>13</v>
      </c>
    </row>
    <row r="74" spans="1:7" x14ac:dyDescent="0.2">
      <c r="A74" s="57">
        <v>8.6247371452918742</v>
      </c>
      <c r="G74">
        <v>6</v>
      </c>
    </row>
    <row r="75" spans="1:7" x14ac:dyDescent="0.2">
      <c r="A75" s="57">
        <v>12.285587470396422</v>
      </c>
      <c r="G75">
        <v>19</v>
      </c>
    </row>
    <row r="76" spans="1:7" x14ac:dyDescent="0.2">
      <c r="A76" s="57">
        <v>12.272904566780198</v>
      </c>
      <c r="G76">
        <v>10</v>
      </c>
    </row>
    <row r="77" spans="1:7" x14ac:dyDescent="0.2">
      <c r="A77" s="57">
        <v>10.827553776616696</v>
      </c>
      <c r="G77">
        <v>7</v>
      </c>
    </row>
    <row r="78" spans="1:7" x14ac:dyDescent="0.2">
      <c r="A78" s="57">
        <v>11.10270320874406</v>
      </c>
      <c r="G78">
        <v>13</v>
      </c>
    </row>
    <row r="79" spans="1:7" x14ac:dyDescent="0.2">
      <c r="A79" s="57">
        <v>8.7685805535875261</v>
      </c>
      <c r="G79">
        <v>9</v>
      </c>
    </row>
    <row r="80" spans="1:7" x14ac:dyDescent="0.2">
      <c r="A80" s="57">
        <v>11.708285708446056</v>
      </c>
      <c r="G80">
        <v>15</v>
      </c>
    </row>
    <row r="81" spans="1:7" x14ac:dyDescent="0.2">
      <c r="A81" s="57">
        <v>8.4050145940273069</v>
      </c>
      <c r="G81">
        <v>6</v>
      </c>
    </row>
    <row r="82" spans="1:7" x14ac:dyDescent="0.2">
      <c r="A82" s="57">
        <v>12.299384505022317</v>
      </c>
      <c r="G82">
        <v>10</v>
      </c>
    </row>
    <row r="83" spans="1:7" x14ac:dyDescent="0.2">
      <c r="A83" s="57">
        <v>12.114252311002929</v>
      </c>
      <c r="G83">
        <v>17</v>
      </c>
    </row>
    <row r="84" spans="1:7" x14ac:dyDescent="0.2">
      <c r="A84" s="57">
        <v>8.0614165906445123</v>
      </c>
      <c r="G84">
        <v>12</v>
      </c>
    </row>
    <row r="85" spans="1:7" x14ac:dyDescent="0.2">
      <c r="A85" s="57">
        <v>9.0775518199370708</v>
      </c>
      <c r="G85">
        <v>6</v>
      </c>
    </row>
    <row r="86" spans="1:7" x14ac:dyDescent="0.2">
      <c r="A86" s="57">
        <v>8.4168289302033372</v>
      </c>
      <c r="G86">
        <v>6</v>
      </c>
    </row>
    <row r="87" spans="1:7" x14ac:dyDescent="0.2">
      <c r="A87" s="57">
        <v>11.411183347954648</v>
      </c>
      <c r="G87">
        <v>9</v>
      </c>
    </row>
    <row r="88" spans="1:7" x14ac:dyDescent="0.2">
      <c r="A88" s="57">
        <v>10.535817434865749</v>
      </c>
      <c r="G88">
        <v>14</v>
      </c>
    </row>
    <row r="89" spans="1:7" x14ac:dyDescent="0.2">
      <c r="A89" s="57">
        <v>10.373725015379023</v>
      </c>
      <c r="G89">
        <v>15</v>
      </c>
    </row>
    <row r="90" spans="1:7" x14ac:dyDescent="0.2">
      <c r="A90" s="57">
        <v>8.0214215611340478</v>
      </c>
      <c r="G90">
        <v>8</v>
      </c>
    </row>
    <row r="91" spans="1:7" x14ac:dyDescent="0.2">
      <c r="A91" s="57">
        <v>9.0335118127404712</v>
      </c>
      <c r="G91">
        <v>11</v>
      </c>
    </row>
    <row r="92" spans="1:7" x14ac:dyDescent="0.2">
      <c r="A92" s="57">
        <v>7.9362564772600308</v>
      </c>
      <c r="G92">
        <v>7</v>
      </c>
    </row>
    <row r="93" spans="1:7" x14ac:dyDescent="0.2">
      <c r="A93" s="57">
        <v>13.774493961827829</v>
      </c>
      <c r="G93">
        <v>5</v>
      </c>
    </row>
    <row r="94" spans="1:7" x14ac:dyDescent="0.2">
      <c r="A94" s="57">
        <v>7.7028119246824645</v>
      </c>
      <c r="G94">
        <v>10</v>
      </c>
    </row>
    <row r="95" spans="1:7" x14ac:dyDescent="0.2">
      <c r="A95" s="57">
        <v>13.376553650014102</v>
      </c>
      <c r="G95">
        <v>15</v>
      </c>
    </row>
    <row r="96" spans="1:7" x14ac:dyDescent="0.2">
      <c r="A96" s="57">
        <v>8.8062154443468899</v>
      </c>
      <c r="G96">
        <v>9</v>
      </c>
    </row>
    <row r="97" spans="1:7" x14ac:dyDescent="0.2">
      <c r="A97" s="57">
        <v>11.598955350345932</v>
      </c>
      <c r="G97">
        <v>11</v>
      </c>
    </row>
    <row r="98" spans="1:7" x14ac:dyDescent="0.2">
      <c r="A98" s="57">
        <v>11.718553903629072</v>
      </c>
      <c r="G98">
        <v>11</v>
      </c>
    </row>
    <row r="99" spans="1:7" x14ac:dyDescent="0.2">
      <c r="A99" s="57">
        <v>6.7976600601105019</v>
      </c>
      <c r="G99">
        <v>14</v>
      </c>
    </row>
    <row r="100" spans="1:7" x14ac:dyDescent="0.2">
      <c r="A100" s="57">
        <v>11.911262188514229</v>
      </c>
      <c r="G100">
        <v>13</v>
      </c>
    </row>
    <row r="101" spans="1:7" x14ac:dyDescent="0.2">
      <c r="A101" s="57">
        <v>6.5123788570053875</v>
      </c>
      <c r="G101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FCF-B8FB-CF43-ADC9-1F6015173A29}">
  <dimension ref="A1:T45"/>
  <sheetViews>
    <sheetView tabSelected="1" zoomScale="60" zoomScaleNormal="60" workbookViewId="0">
      <selection activeCell="C15" sqref="C15"/>
    </sheetView>
  </sheetViews>
  <sheetFormatPr baseColWidth="10" defaultRowHeight="16" x14ac:dyDescent="0.2"/>
  <cols>
    <col min="1" max="1" width="8.6640625" style="47" bestFit="1" customWidth="1"/>
    <col min="2" max="3" width="10.6640625" style="47" bestFit="1" customWidth="1"/>
    <col min="4" max="8" width="11.1640625" style="1" customWidth="1"/>
    <col min="9" max="20" width="10.83203125" style="1"/>
    <col min="21" max="16384" width="10.83203125" style="47"/>
  </cols>
  <sheetData>
    <row r="1" spans="1:3" x14ac:dyDescent="0.2">
      <c r="A1" s="68" t="s">
        <v>59</v>
      </c>
      <c r="B1" s="68" t="s">
        <v>92</v>
      </c>
      <c r="C1" s="68" t="s">
        <v>93</v>
      </c>
    </row>
    <row r="2" spans="1:3" x14ac:dyDescent="0.2">
      <c r="A2" s="47">
        <v>1</v>
      </c>
      <c r="B2" s="47">
        <v>5.1542735184945565E-2</v>
      </c>
      <c r="C2">
        <v>11.071211954695173</v>
      </c>
    </row>
    <row r="3" spans="1:3" x14ac:dyDescent="0.2">
      <c r="A3" s="47">
        <f>A2+1</f>
        <v>2</v>
      </c>
      <c r="B3" s="47">
        <v>1.0725661776091511</v>
      </c>
      <c r="C3">
        <v>8.2051622282597236</v>
      </c>
    </row>
    <row r="4" spans="1:3" x14ac:dyDescent="0.2">
      <c r="A4" s="47">
        <f t="shared" ref="A4:A31" si="0">A3+1</f>
        <v>3</v>
      </c>
      <c r="B4" s="47">
        <v>1</v>
      </c>
      <c r="C4">
        <v>6.8338579492410645</v>
      </c>
    </row>
    <row r="5" spans="1:3" x14ac:dyDescent="0.2">
      <c r="A5" s="47">
        <f t="shared" si="0"/>
        <v>4</v>
      </c>
      <c r="B5" s="47">
        <v>0</v>
      </c>
      <c r="C5">
        <v>12.0547685027122</v>
      </c>
    </row>
    <row r="6" spans="1:3" x14ac:dyDescent="0.2">
      <c r="A6" s="47">
        <f t="shared" si="0"/>
        <v>5</v>
      </c>
      <c r="B6" s="47">
        <v>0.83032815443203101</v>
      </c>
      <c r="C6">
        <v>9.8679186319350265</v>
      </c>
    </row>
    <row r="7" spans="1:3" x14ac:dyDescent="0.2">
      <c r="A7" s="47">
        <f t="shared" si="0"/>
        <v>6</v>
      </c>
      <c r="B7" s="47">
        <v>0.26866428743138115</v>
      </c>
      <c r="C7">
        <v>5.8414628054015338</v>
      </c>
    </row>
    <row r="8" spans="1:3" x14ac:dyDescent="0.2">
      <c r="A8" s="47">
        <f t="shared" si="0"/>
        <v>7</v>
      </c>
      <c r="B8" s="47">
        <v>5.4327864852431986</v>
      </c>
      <c r="C8">
        <v>12.681244950508699</v>
      </c>
    </row>
    <row r="9" spans="1:3" x14ac:dyDescent="0.2">
      <c r="A9" s="47">
        <f t="shared" si="0"/>
        <v>8</v>
      </c>
      <c r="B9" s="47">
        <v>4.8042848384290266</v>
      </c>
      <c r="C9">
        <v>5.3517544781789184</v>
      </c>
    </row>
    <row r="10" spans="1:3" x14ac:dyDescent="0.2">
      <c r="A10" s="47">
        <f t="shared" si="0"/>
        <v>9</v>
      </c>
      <c r="B10" s="47">
        <v>3.0310422806501025</v>
      </c>
      <c r="C10">
        <v>6.9849704939406365</v>
      </c>
    </row>
    <row r="11" spans="1:3" x14ac:dyDescent="0.2">
      <c r="A11" s="47">
        <f t="shared" si="0"/>
        <v>10</v>
      </c>
      <c r="B11" s="47">
        <v>0</v>
      </c>
      <c r="C11">
        <v>10.298978193313815</v>
      </c>
    </row>
    <row r="12" spans="1:3" x14ac:dyDescent="0.2">
      <c r="A12" s="47">
        <f t="shared" si="0"/>
        <v>11</v>
      </c>
      <c r="B12" s="47">
        <v>1.1951145137102646</v>
      </c>
      <c r="C12">
        <v>7.5176706357160583</v>
      </c>
    </row>
    <row r="13" spans="1:3" x14ac:dyDescent="0.2">
      <c r="A13" s="47">
        <f t="shared" si="0"/>
        <v>12</v>
      </c>
      <c r="B13" s="47">
        <v>3.7557696132403158</v>
      </c>
      <c r="C13">
        <v>12.872307049983647</v>
      </c>
    </row>
    <row r="14" spans="1:3" x14ac:dyDescent="0.2">
      <c r="A14" s="47">
        <f t="shared" si="0"/>
        <v>13</v>
      </c>
      <c r="B14" s="47">
        <v>2.6335601027744926</v>
      </c>
      <c r="C14">
        <v>18.588135324302101</v>
      </c>
    </row>
    <row r="15" spans="1:3" x14ac:dyDescent="0.2">
      <c r="A15" s="47">
        <f t="shared" si="0"/>
        <v>14</v>
      </c>
      <c r="B15" s="47">
        <v>6.4401744431299814</v>
      </c>
      <c r="C15">
        <v>22.605806806357499</v>
      </c>
    </row>
    <row r="16" spans="1:3" x14ac:dyDescent="0.2">
      <c r="A16" s="47">
        <f t="shared" si="0"/>
        <v>15</v>
      </c>
      <c r="B16" s="47">
        <v>3.8335963407804798</v>
      </c>
      <c r="C16">
        <v>30.844158082851202</v>
      </c>
    </row>
    <row r="17" spans="1:3" x14ac:dyDescent="0.2">
      <c r="A17" s="47">
        <f t="shared" si="0"/>
        <v>16</v>
      </c>
      <c r="B17" s="47">
        <v>6.2871949305560522</v>
      </c>
      <c r="C17">
        <v>26.328523128700901</v>
      </c>
    </row>
    <row r="18" spans="1:3" x14ac:dyDescent="0.2">
      <c r="A18" s="47">
        <f t="shared" si="0"/>
        <v>17</v>
      </c>
      <c r="B18" s="47">
        <v>5.1146916268440901</v>
      </c>
      <c r="C18">
        <v>13.178574843332171</v>
      </c>
    </row>
    <row r="19" spans="1:3" x14ac:dyDescent="0.2">
      <c r="A19" s="47">
        <f t="shared" si="0"/>
        <v>18</v>
      </c>
      <c r="B19" s="47">
        <v>8.6532711108987623</v>
      </c>
      <c r="C19">
        <v>12.023402885242831</v>
      </c>
    </row>
    <row r="20" spans="1:3" x14ac:dyDescent="0.2">
      <c r="A20" s="47">
        <f t="shared" si="0"/>
        <v>19</v>
      </c>
      <c r="B20" s="47">
        <v>11.222199511115349</v>
      </c>
      <c r="C20">
        <v>11.620473994989879</v>
      </c>
    </row>
    <row r="21" spans="1:3" x14ac:dyDescent="0.2">
      <c r="A21" s="47">
        <f t="shared" si="0"/>
        <v>20</v>
      </c>
      <c r="B21" s="47">
        <v>14.475620152167791</v>
      </c>
      <c r="C21">
        <v>14.283283487893641</v>
      </c>
    </row>
    <row r="22" spans="1:3" x14ac:dyDescent="0.2">
      <c r="A22" s="47">
        <f t="shared" si="0"/>
        <v>21</v>
      </c>
      <c r="B22" s="47">
        <v>16.197976879494178</v>
      </c>
      <c r="C22">
        <v>8.4691976351314224</v>
      </c>
    </row>
    <row r="23" spans="1:3" x14ac:dyDescent="0.2">
      <c r="A23" s="47">
        <f t="shared" si="0"/>
        <v>22</v>
      </c>
      <c r="B23" s="47">
        <v>13.921760819168995</v>
      </c>
      <c r="C23">
        <v>9.6382803146843798</v>
      </c>
    </row>
    <row r="24" spans="1:3" x14ac:dyDescent="0.2">
      <c r="A24" s="47">
        <f t="shared" si="0"/>
        <v>23</v>
      </c>
      <c r="B24" s="47">
        <v>8.8930895334961644</v>
      </c>
      <c r="C24">
        <v>9.5461416801845189</v>
      </c>
    </row>
    <row r="25" spans="1:3" x14ac:dyDescent="0.2">
      <c r="A25" s="47">
        <f t="shared" si="0"/>
        <v>24</v>
      </c>
      <c r="B25" s="47">
        <v>11</v>
      </c>
      <c r="C25">
        <v>12.485730874468572</v>
      </c>
    </row>
    <row r="26" spans="1:3" x14ac:dyDescent="0.2">
      <c r="A26" s="47">
        <f t="shared" si="0"/>
        <v>25</v>
      </c>
      <c r="B26" s="47">
        <v>13</v>
      </c>
      <c r="C26">
        <v>9.1995127857080661</v>
      </c>
    </row>
    <row r="27" spans="1:3" x14ac:dyDescent="0.2">
      <c r="A27" s="47">
        <f t="shared" si="0"/>
        <v>26</v>
      </c>
      <c r="B27" s="47">
        <v>17.186780127177137</v>
      </c>
      <c r="C27">
        <v>11.82305939233629</v>
      </c>
    </row>
    <row r="28" spans="1:3" x14ac:dyDescent="0.2">
      <c r="A28" s="47">
        <f t="shared" si="0"/>
        <v>27</v>
      </c>
      <c r="B28" s="47">
        <v>20</v>
      </c>
      <c r="C28">
        <v>11.640955815673806</v>
      </c>
    </row>
    <row r="29" spans="1:3" x14ac:dyDescent="0.2">
      <c r="A29" s="47">
        <f t="shared" si="0"/>
        <v>28</v>
      </c>
      <c r="B29" s="47">
        <v>19.382848849166038</v>
      </c>
      <c r="C29">
        <v>8.5128761181840673</v>
      </c>
    </row>
    <row r="30" spans="1:3" x14ac:dyDescent="0.2">
      <c r="A30" s="47">
        <f t="shared" si="0"/>
        <v>29</v>
      </c>
      <c r="B30" s="47">
        <v>20.113185556508856</v>
      </c>
      <c r="C30">
        <v>10.425011421611998</v>
      </c>
    </row>
    <row r="31" spans="1:3" x14ac:dyDescent="0.2">
      <c r="A31" s="52">
        <f t="shared" si="0"/>
        <v>30</v>
      </c>
      <c r="B31" s="52">
        <v>18.144601978919503</v>
      </c>
      <c r="C31" s="67">
        <v>11.052731022355147</v>
      </c>
    </row>
    <row r="32" spans="1:3" x14ac:dyDescent="0.2">
      <c r="A32" s="68" t="s">
        <v>94</v>
      </c>
      <c r="B32" s="47">
        <f>MIN(B2:B31)</f>
        <v>0</v>
      </c>
      <c r="C32" s="47">
        <f>MIN(C2:C31)</f>
        <v>5.3517544781789184</v>
      </c>
    </row>
    <row r="33" spans="1:3" x14ac:dyDescent="0.2">
      <c r="A33" s="68" t="s">
        <v>95</v>
      </c>
      <c r="B33" s="47">
        <f>MAX(B2:B31)</f>
        <v>20.113185556508856</v>
      </c>
      <c r="C33" s="47">
        <f>MAX(C2:C31)</f>
        <v>30.844158082851202</v>
      </c>
    </row>
    <row r="34" spans="1:3" x14ac:dyDescent="0.2">
      <c r="A34" s="68" t="s">
        <v>91</v>
      </c>
      <c r="B34" s="47">
        <f>B33-B32</f>
        <v>20.113185556508856</v>
      </c>
      <c r="C34" s="47">
        <f>C33-C32</f>
        <v>25.492403604672283</v>
      </c>
    </row>
    <row r="35" spans="1:3" x14ac:dyDescent="0.2">
      <c r="A35" s="68" t="s">
        <v>98</v>
      </c>
      <c r="B35" s="47">
        <f>PERCENTILE(B2:B31, 0.25)</f>
        <v>1.5547259109763216</v>
      </c>
      <c r="C35" s="47">
        <f>PERCENTILE(C2:C31, 0.25)</f>
        <v>8.684535285065067</v>
      </c>
    </row>
    <row r="36" spans="1:3" x14ac:dyDescent="0.2">
      <c r="A36" s="68" t="s">
        <v>99</v>
      </c>
      <c r="B36" s="47">
        <f>PERCENTILE(B2:B31, 0.75)</f>
        <v>13.691320614376746</v>
      </c>
      <c r="C36" s="47">
        <f>PERCENTILE(C2:C31, 0.75)</f>
        <v>12.632366431498667</v>
      </c>
    </row>
    <row r="37" spans="1:3" x14ac:dyDescent="0.2">
      <c r="A37" s="68" t="s">
        <v>96</v>
      </c>
      <c r="B37" s="47">
        <f>_xlfn.CONFIDENCE.NORM(0.05,B38,COUNT(B2:B31))</f>
        <v>2.4525804405755189</v>
      </c>
      <c r="C37" s="47">
        <f>_xlfn.CONFIDENCE.NORM(0.05,C38,COUNT(C2:C31))</f>
        <v>2.0467582940276321</v>
      </c>
    </row>
    <row r="38" spans="1:3" x14ac:dyDescent="0.2">
      <c r="A38" s="68" t="s">
        <v>97</v>
      </c>
      <c r="B38" s="47">
        <f>STDEV(B2:B31)</f>
        <v>6.8538689587931962</v>
      </c>
      <c r="C38" s="47">
        <f>STDEV(C2:C31)</f>
        <v>5.7197769767325832</v>
      </c>
    </row>
    <row r="39" spans="1:3" x14ac:dyDescent="0.2">
      <c r="A39" s="68" t="s">
        <v>100</v>
      </c>
      <c r="B39" s="47">
        <f>AVERAGE(B2:B31)</f>
        <v>7.9314217016042763</v>
      </c>
      <c r="C39" s="47">
        <f>AVERAGE(C2:C31)</f>
        <v>12.061572116263166</v>
      </c>
    </row>
    <row r="40" spans="1:3" x14ac:dyDescent="0.2">
      <c r="A40" s="68" t="s">
        <v>101</v>
      </c>
      <c r="B40" s="47">
        <f>B39-B38</f>
        <v>1.07755274281108</v>
      </c>
      <c r="C40" s="47">
        <f>C39-C38</f>
        <v>6.3417951395305829</v>
      </c>
    </row>
    <row r="41" spans="1:3" x14ac:dyDescent="0.2">
      <c r="A41" s="68" t="s">
        <v>102</v>
      </c>
      <c r="B41" s="47">
        <f>B39+B38</f>
        <v>14.785290660397472</v>
      </c>
      <c r="C41" s="47">
        <f>C39+C38</f>
        <v>17.78134909299575</v>
      </c>
    </row>
    <row r="45" spans="1:3" x14ac:dyDescent="0.2">
      <c r="B45" s="47">
        <f>30.84-5.35</f>
        <v>25.490000000000002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0DC-1623-464C-AC2F-A4E916E69763}">
  <dimension ref="A1:J18"/>
  <sheetViews>
    <sheetView topLeftCell="B1" workbookViewId="0">
      <selection activeCell="H21" sqref="H21"/>
    </sheetView>
  </sheetViews>
  <sheetFormatPr baseColWidth="10" defaultRowHeight="16" x14ac:dyDescent="0.2"/>
  <cols>
    <col min="3" max="3" width="29" style="69" bestFit="1" customWidth="1"/>
    <col min="4" max="10" width="10.83203125" style="44"/>
  </cols>
  <sheetData>
    <row r="1" spans="1:3" x14ac:dyDescent="0.2">
      <c r="A1" t="s">
        <v>59</v>
      </c>
    </row>
    <row r="2" spans="1:3" x14ac:dyDescent="0.2">
      <c r="A2">
        <v>-4</v>
      </c>
      <c r="B2">
        <f>_xlfn.NORM.DIST(A2, 0, 1, FALSE)</f>
        <v>1.3383022576488537E-4</v>
      </c>
    </row>
    <row r="3" spans="1:3" x14ac:dyDescent="0.2">
      <c r="A3">
        <f>A2+0.5</f>
        <v>-3.5</v>
      </c>
      <c r="B3">
        <f t="shared" ref="B3:B18" si="0">_xlfn.NORM.DIST(A3, 0, 1, FALSE)</f>
        <v>8.7268269504576015E-4</v>
      </c>
    </row>
    <row r="4" spans="1:3" x14ac:dyDescent="0.2">
      <c r="A4">
        <f t="shared" ref="A4:A18" si="1">A3+0.5</f>
        <v>-3</v>
      </c>
      <c r="B4">
        <f t="shared" si="0"/>
        <v>4.4318484119380075E-3</v>
      </c>
    </row>
    <row r="5" spans="1:3" x14ac:dyDescent="0.2">
      <c r="A5">
        <f t="shared" si="1"/>
        <v>-2.5</v>
      </c>
      <c r="B5">
        <f t="shared" si="0"/>
        <v>1.752830049356854E-2</v>
      </c>
    </row>
    <row r="6" spans="1:3" x14ac:dyDescent="0.2">
      <c r="A6">
        <f t="shared" si="1"/>
        <v>-2</v>
      </c>
      <c r="B6">
        <f t="shared" si="0"/>
        <v>5.3990966513188063E-2</v>
      </c>
    </row>
    <row r="7" spans="1:3" x14ac:dyDescent="0.2">
      <c r="A7">
        <f t="shared" si="1"/>
        <v>-1.5</v>
      </c>
      <c r="B7">
        <f t="shared" si="0"/>
        <v>0.12951759566589174</v>
      </c>
    </row>
    <row r="8" spans="1:3" x14ac:dyDescent="0.2">
      <c r="A8">
        <f t="shared" si="1"/>
        <v>-1</v>
      </c>
      <c r="B8">
        <f t="shared" si="0"/>
        <v>0.24197072451914337</v>
      </c>
    </row>
    <row r="9" spans="1:3" x14ac:dyDescent="0.2">
      <c r="A9">
        <f t="shared" si="1"/>
        <v>-0.5</v>
      </c>
      <c r="B9">
        <f t="shared" si="0"/>
        <v>0.35206532676429952</v>
      </c>
    </row>
    <row r="10" spans="1:3" x14ac:dyDescent="0.2">
      <c r="A10">
        <f t="shared" si="1"/>
        <v>0</v>
      </c>
      <c r="B10">
        <f t="shared" si="0"/>
        <v>0.3989422804014327</v>
      </c>
    </row>
    <row r="11" spans="1:3" x14ac:dyDescent="0.2">
      <c r="A11">
        <f t="shared" si="1"/>
        <v>0.5</v>
      </c>
      <c r="B11">
        <f t="shared" si="0"/>
        <v>0.35206532676429952</v>
      </c>
    </row>
    <row r="12" spans="1:3" x14ac:dyDescent="0.2">
      <c r="A12">
        <f t="shared" si="1"/>
        <v>1</v>
      </c>
      <c r="B12">
        <f t="shared" si="0"/>
        <v>0.24197072451914337</v>
      </c>
    </row>
    <row r="13" spans="1:3" x14ac:dyDescent="0.2">
      <c r="A13">
        <f t="shared" si="1"/>
        <v>1.5</v>
      </c>
      <c r="B13">
        <f t="shared" si="0"/>
        <v>0.12951759566589174</v>
      </c>
    </row>
    <row r="14" spans="1:3" x14ac:dyDescent="0.2">
      <c r="A14">
        <f t="shared" si="1"/>
        <v>2</v>
      </c>
      <c r="B14">
        <f t="shared" si="0"/>
        <v>5.3990966513188063E-2</v>
      </c>
    </row>
    <row r="15" spans="1:3" x14ac:dyDescent="0.2">
      <c r="A15">
        <f t="shared" si="1"/>
        <v>2.5</v>
      </c>
      <c r="B15">
        <f t="shared" si="0"/>
        <v>1.752830049356854E-2</v>
      </c>
    </row>
    <row r="16" spans="1:3" ht="21" x14ac:dyDescent="0.25">
      <c r="A16">
        <f t="shared" si="1"/>
        <v>3</v>
      </c>
      <c r="B16">
        <f t="shared" si="0"/>
        <v>4.4318484119380075E-3</v>
      </c>
      <c r="C16" s="70" t="s">
        <v>103</v>
      </c>
    </row>
    <row r="17" spans="1:10" ht="21" x14ac:dyDescent="0.25">
      <c r="A17">
        <f>A16+0.5</f>
        <v>3.5</v>
      </c>
      <c r="B17">
        <f t="shared" si="0"/>
        <v>8.7268269504576015E-4</v>
      </c>
      <c r="C17" s="70" t="s">
        <v>104</v>
      </c>
      <c r="D17" s="71"/>
      <c r="E17" s="71"/>
      <c r="F17" s="71"/>
      <c r="G17" s="71"/>
      <c r="H17" s="71"/>
      <c r="I17" s="71"/>
      <c r="J17" s="71"/>
    </row>
    <row r="18" spans="1:10" ht="21" x14ac:dyDescent="0.25">
      <c r="A18">
        <f t="shared" si="1"/>
        <v>4</v>
      </c>
      <c r="B18">
        <f t="shared" si="0"/>
        <v>1.3383022576488537E-4</v>
      </c>
      <c r="C18" s="70" t="s">
        <v>105</v>
      </c>
      <c r="D18" s="71"/>
      <c r="E18" s="71"/>
      <c r="F18" s="71"/>
      <c r="G18" s="72"/>
      <c r="H18" s="71"/>
      <c r="I18" s="71"/>
      <c r="J18" s="7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93D3-A8AC-8A4E-9227-A0A630487F3F}">
  <dimension ref="A1:S51"/>
  <sheetViews>
    <sheetView workbookViewId="0">
      <pane ySplit="1" topLeftCell="A2" activePane="bottomLeft" state="frozen"/>
      <selection pane="bottomLeft" activeCell="G23" sqref="G23"/>
    </sheetView>
  </sheetViews>
  <sheetFormatPr baseColWidth="10" defaultRowHeight="16" x14ac:dyDescent="0.2"/>
  <cols>
    <col min="4" max="4" width="12.1640625" bestFit="1" customWidth="1"/>
    <col min="8" max="8" width="16.5" bestFit="1" customWidth="1"/>
    <col min="10" max="19" width="10.83203125" style="44"/>
  </cols>
  <sheetData>
    <row r="1" spans="1:8" x14ac:dyDescent="0.2">
      <c r="A1" t="s">
        <v>156</v>
      </c>
      <c r="B1" t="s">
        <v>157</v>
      </c>
      <c r="C1" t="s">
        <v>158</v>
      </c>
      <c r="D1" t="s">
        <v>159</v>
      </c>
      <c r="E1" t="s">
        <v>162</v>
      </c>
      <c r="F1" t="s">
        <v>163</v>
      </c>
      <c r="G1" t="s">
        <v>160</v>
      </c>
      <c r="H1" t="s">
        <v>161</v>
      </c>
    </row>
    <row r="2" spans="1:8" x14ac:dyDescent="0.2">
      <c r="A2">
        <v>25.067057066162608</v>
      </c>
      <c r="B2">
        <v>20.365622466134663</v>
      </c>
      <c r="C2">
        <v>815.48914351290523</v>
      </c>
      <c r="D2">
        <v>58.069802423971616</v>
      </c>
      <c r="E2">
        <v>0.5</v>
      </c>
      <c r="F2">
        <f>($G$19*E2)/(E2+2)</f>
        <v>0.1</v>
      </c>
      <c r="G2">
        <v>0</v>
      </c>
      <c r="H2">
        <v>1</v>
      </c>
    </row>
    <row r="3" spans="1:8" x14ac:dyDescent="0.2">
      <c r="A3">
        <v>25.421603434449807</v>
      </c>
      <c r="B3">
        <v>24.27094365808691</v>
      </c>
      <c r="C3">
        <v>1717.4852647434386</v>
      </c>
      <c r="D3">
        <v>54.149935766193053</v>
      </c>
      <c r="E3">
        <v>0.75</v>
      </c>
      <c r="F3">
        <f t="shared" ref="F3:F21" si="0">($G$19*E3)/(E3+2)</f>
        <v>0.13636363636363635</v>
      </c>
      <c r="G3">
        <v>0.1</v>
      </c>
      <c r="H3">
        <v>1.02</v>
      </c>
    </row>
    <row r="4" spans="1:8" x14ac:dyDescent="0.2">
      <c r="A4">
        <v>26.303923421680892</v>
      </c>
      <c r="B4">
        <v>35.74410123040159</v>
      </c>
      <c r="C4">
        <v>5522.9974563806309</v>
      </c>
      <c r="D4">
        <v>52.898701488458876</v>
      </c>
      <c r="E4">
        <v>1</v>
      </c>
      <c r="F4">
        <f t="shared" si="0"/>
        <v>0.16666666666666666</v>
      </c>
      <c r="G4">
        <v>0.2</v>
      </c>
      <c r="H4">
        <v>1</v>
      </c>
    </row>
    <row r="5" spans="1:8" x14ac:dyDescent="0.2">
      <c r="A5">
        <v>26.549621657724316</v>
      </c>
      <c r="B5">
        <v>39.363850874995748</v>
      </c>
      <c r="C5">
        <v>10405.516927319353</v>
      </c>
      <c r="D5">
        <v>52.294626280802589</v>
      </c>
      <c r="E5">
        <v>1.5</v>
      </c>
      <c r="F5">
        <f t="shared" si="0"/>
        <v>0.21428571428571427</v>
      </c>
      <c r="G5">
        <v>0.5</v>
      </c>
      <c r="H5">
        <v>1.1000000000000001</v>
      </c>
    </row>
    <row r="6" spans="1:8" x14ac:dyDescent="0.2">
      <c r="A6">
        <v>28.621468955940319</v>
      </c>
      <c r="B6">
        <v>43.889565695025759</v>
      </c>
      <c r="C6">
        <v>13235.982439124949</v>
      </c>
      <c r="D6">
        <v>52.260816763276608</v>
      </c>
      <c r="E6">
        <v>2</v>
      </c>
      <c r="F6">
        <f t="shared" si="0"/>
        <v>0.25</v>
      </c>
      <c r="G6">
        <v>1</v>
      </c>
      <c r="H6">
        <v>1.2</v>
      </c>
    </row>
    <row r="7" spans="1:8" x14ac:dyDescent="0.2">
      <c r="A7">
        <v>28.67637404272164</v>
      </c>
      <c r="B7">
        <v>47.241656053458186</v>
      </c>
      <c r="C7">
        <v>19757.574060818915</v>
      </c>
      <c r="D7">
        <v>50.73105069842704</v>
      </c>
      <c r="E7">
        <v>2</v>
      </c>
      <c r="F7">
        <f t="shared" si="0"/>
        <v>0.25</v>
      </c>
      <c r="G7">
        <v>1.5</v>
      </c>
      <c r="H7">
        <v>1.35</v>
      </c>
    </row>
    <row r="8" spans="1:8" x14ac:dyDescent="0.2">
      <c r="A8">
        <v>30.280392076019382</v>
      </c>
      <c r="B8">
        <v>50.619757306119311</v>
      </c>
      <c r="C8">
        <v>19803.28538445909</v>
      </c>
      <c r="D8">
        <v>50.208824147567533</v>
      </c>
      <c r="E8">
        <v>2.5</v>
      </c>
      <c r="F8">
        <f t="shared" si="0"/>
        <v>0.27777777777777779</v>
      </c>
      <c r="G8">
        <v>2</v>
      </c>
      <c r="H8">
        <v>1.5</v>
      </c>
    </row>
    <row r="9" spans="1:8" x14ac:dyDescent="0.2">
      <c r="A9">
        <v>31.192213032018493</v>
      </c>
      <c r="B9">
        <v>53.750061466707876</v>
      </c>
      <c r="C9">
        <v>21211.385587794419</v>
      </c>
      <c r="D9">
        <v>48.564375504182827</v>
      </c>
      <c r="E9">
        <v>3</v>
      </c>
      <c r="F9">
        <f t="shared" si="0"/>
        <v>0.3</v>
      </c>
      <c r="G9">
        <v>2.5</v>
      </c>
      <c r="H9">
        <v>1.4</v>
      </c>
    </row>
    <row r="10" spans="1:8" x14ac:dyDescent="0.2">
      <c r="A10">
        <v>33.028742488952702</v>
      </c>
      <c r="B10">
        <v>56.118998833521736</v>
      </c>
      <c r="C10">
        <v>25018.24938925833</v>
      </c>
      <c r="D10">
        <v>47.970422406667112</v>
      </c>
      <c r="E10">
        <v>4</v>
      </c>
      <c r="F10">
        <f t="shared" si="0"/>
        <v>0.33333333333333331</v>
      </c>
      <c r="G10">
        <v>3</v>
      </c>
      <c r="H10">
        <v>1.25</v>
      </c>
    </row>
    <row r="11" spans="1:8" x14ac:dyDescent="0.2">
      <c r="A11">
        <v>33.724583034275369</v>
      </c>
      <c r="B11">
        <v>60.526449925511358</v>
      </c>
      <c r="C11">
        <v>26987.070751836087</v>
      </c>
      <c r="D11">
        <v>47.492732200535357</v>
      </c>
      <c r="E11">
        <v>5</v>
      </c>
      <c r="F11">
        <f t="shared" si="0"/>
        <v>0.35714285714285715</v>
      </c>
      <c r="G11">
        <v>3.5</v>
      </c>
      <c r="H11">
        <v>0.8</v>
      </c>
    </row>
    <row r="12" spans="1:8" x14ac:dyDescent="0.2">
      <c r="A12">
        <v>33.796002951355653</v>
      </c>
      <c r="B12">
        <v>64.043898069320193</v>
      </c>
      <c r="C12">
        <v>27473.393691458456</v>
      </c>
      <c r="D12">
        <v>46.781886673896516</v>
      </c>
      <c r="E12">
        <v>6</v>
      </c>
      <c r="F12">
        <f t="shared" si="0"/>
        <v>0.375</v>
      </c>
      <c r="G12">
        <v>4</v>
      </c>
      <c r="H12">
        <v>0.4</v>
      </c>
    </row>
    <row r="13" spans="1:8" x14ac:dyDescent="0.2">
      <c r="A13">
        <v>34.461492468817852</v>
      </c>
      <c r="B13">
        <v>75.338896325015881</v>
      </c>
      <c r="C13">
        <v>31072.815820143009</v>
      </c>
      <c r="D13">
        <v>45.707448167590172</v>
      </c>
      <c r="E13">
        <v>7</v>
      </c>
      <c r="F13">
        <f t="shared" si="0"/>
        <v>0.3888888888888889</v>
      </c>
      <c r="G13">
        <v>4.5</v>
      </c>
      <c r="H13">
        <v>0.2</v>
      </c>
    </row>
    <row r="14" spans="1:8" x14ac:dyDescent="0.2">
      <c r="A14">
        <v>34.702253898001395</v>
      </c>
      <c r="B14">
        <v>78.38866291166687</v>
      </c>
      <c r="C14">
        <v>32090.716302437108</v>
      </c>
      <c r="D14">
        <v>45.334105387951297</v>
      </c>
      <c r="E14">
        <v>8.5</v>
      </c>
      <c r="F14">
        <f t="shared" si="0"/>
        <v>0.40476190476190477</v>
      </c>
      <c r="G14">
        <v>5</v>
      </c>
      <c r="H14">
        <v>0.1</v>
      </c>
    </row>
    <row r="15" spans="1:8" x14ac:dyDescent="0.2">
      <c r="A15">
        <v>35.814499793487833</v>
      </c>
      <c r="B15">
        <v>79.513290471636353</v>
      </c>
      <c r="C15">
        <v>33817.456603896549</v>
      </c>
      <c r="D15">
        <v>45.14886453614983</v>
      </c>
      <c r="E15">
        <v>10</v>
      </c>
      <c r="F15">
        <f t="shared" si="0"/>
        <v>0.41666666666666669</v>
      </c>
      <c r="G15">
        <v>5.5</v>
      </c>
      <c r="H15">
        <v>0.05</v>
      </c>
    </row>
    <row r="16" spans="1:8" x14ac:dyDescent="0.2">
      <c r="A16">
        <v>37.212586401595075</v>
      </c>
      <c r="B16">
        <v>81.386980149609499</v>
      </c>
      <c r="C16">
        <v>37812.23373385716</v>
      </c>
      <c r="D16">
        <v>45.061675220290979</v>
      </c>
      <c r="E16">
        <v>12</v>
      </c>
      <c r="F16">
        <f t="shared" si="0"/>
        <v>0.42857142857142855</v>
      </c>
      <c r="G16">
        <v>6</v>
      </c>
      <c r="H16">
        <v>0</v>
      </c>
    </row>
    <row r="17" spans="1:7" x14ac:dyDescent="0.2">
      <c r="A17">
        <v>38.216241858068969</v>
      </c>
      <c r="B17">
        <v>93.961723596771122</v>
      </c>
      <c r="C17">
        <v>38153.21938980055</v>
      </c>
      <c r="D17">
        <v>43.916192695459443</v>
      </c>
      <c r="E17">
        <v>14</v>
      </c>
      <c r="F17">
        <f t="shared" si="0"/>
        <v>0.4375</v>
      </c>
    </row>
    <row r="18" spans="1:7" x14ac:dyDescent="0.2">
      <c r="A18">
        <v>39.524429134803093</v>
      </c>
      <c r="B18">
        <v>96.853359083576763</v>
      </c>
      <c r="C18">
        <v>49993.141689334596</v>
      </c>
      <c r="D18">
        <v>43.169328178823612</v>
      </c>
      <c r="E18">
        <v>16</v>
      </c>
      <c r="F18">
        <f t="shared" si="0"/>
        <v>0.44444444444444442</v>
      </c>
    </row>
    <row r="19" spans="1:7" x14ac:dyDescent="0.2">
      <c r="A19">
        <v>39.939651608439</v>
      </c>
      <c r="B19">
        <v>98.283070959282611</v>
      </c>
      <c r="C19">
        <v>51714.878329874424</v>
      </c>
      <c r="D19">
        <v>42.350094397715338</v>
      </c>
      <c r="E19">
        <v>19</v>
      </c>
      <c r="F19">
        <f t="shared" si="0"/>
        <v>0.45238095238095238</v>
      </c>
      <c r="G19">
        <v>0.5</v>
      </c>
    </row>
    <row r="20" spans="1:7" x14ac:dyDescent="0.2">
      <c r="A20">
        <v>42.075011828017892</v>
      </c>
      <c r="B20">
        <v>105.69208385548185</v>
      </c>
      <c r="C20">
        <v>51960.090199466838</v>
      </c>
      <c r="D20">
        <v>42.009682337757987</v>
      </c>
      <c r="E20">
        <v>22</v>
      </c>
      <c r="F20">
        <f t="shared" si="0"/>
        <v>0.45833333333333331</v>
      </c>
    </row>
    <row r="21" spans="1:7" x14ac:dyDescent="0.2">
      <c r="A21">
        <v>42.134931729237984</v>
      </c>
      <c r="B21">
        <v>117.83053454190051</v>
      </c>
      <c r="C21">
        <v>52465.763712518739</v>
      </c>
      <c r="D21">
        <v>41.169339690901964</v>
      </c>
      <c r="E21">
        <v>25</v>
      </c>
      <c r="F21">
        <f t="shared" si="0"/>
        <v>0.46296296296296297</v>
      </c>
    </row>
    <row r="22" spans="1:7" x14ac:dyDescent="0.2">
      <c r="A22">
        <v>43.81853602259352</v>
      </c>
      <c r="B22">
        <v>126.78480817181283</v>
      </c>
      <c r="C22">
        <v>57156.854373010268</v>
      </c>
      <c r="D22">
        <v>40.601568654459697</v>
      </c>
    </row>
    <row r="23" spans="1:7" x14ac:dyDescent="0.2">
      <c r="A23">
        <v>44.038151519390823</v>
      </c>
      <c r="B23">
        <v>127.79404572201615</v>
      </c>
      <c r="C23">
        <v>65547.240183477872</v>
      </c>
      <c r="D23">
        <v>35.853007242946425</v>
      </c>
    </row>
    <row r="24" spans="1:7" x14ac:dyDescent="0.2">
      <c r="A24">
        <v>44.394733170231213</v>
      </c>
      <c r="B24">
        <v>129.16138298630779</v>
      </c>
      <c r="C24">
        <v>65774.844542972205</v>
      </c>
      <c r="D24">
        <v>30.966259070190723</v>
      </c>
    </row>
    <row r="25" spans="1:7" x14ac:dyDescent="0.2">
      <c r="A25">
        <v>44.687032329238505</v>
      </c>
      <c r="B25">
        <v>130.39510513348279</v>
      </c>
      <c r="C25">
        <v>68044.878127074277</v>
      </c>
      <c r="D25">
        <v>30.803867529520701</v>
      </c>
    </row>
    <row r="26" spans="1:7" x14ac:dyDescent="0.2">
      <c r="A26">
        <v>44.755598040649481</v>
      </c>
      <c r="B26">
        <v>130.50647876854356</v>
      </c>
      <c r="C26">
        <v>74732.372646561067</v>
      </c>
      <c r="D26">
        <v>30.208496169284217</v>
      </c>
    </row>
    <row r="27" spans="1:7" x14ac:dyDescent="0.2">
      <c r="A27">
        <v>46.952357511479576</v>
      </c>
      <c r="B27">
        <v>131.57361266276502</v>
      </c>
      <c r="C27">
        <v>78251.923061093272</v>
      </c>
      <c r="D27">
        <v>30.036542401666075</v>
      </c>
    </row>
    <row r="28" spans="1:7" x14ac:dyDescent="0.2">
      <c r="A28">
        <v>47.336269195813813</v>
      </c>
      <c r="B28">
        <v>149.12976146588557</v>
      </c>
      <c r="C28">
        <v>80139.215998416388</v>
      </c>
      <c r="D28">
        <v>28.878935016169649</v>
      </c>
    </row>
    <row r="29" spans="1:7" x14ac:dyDescent="0.2">
      <c r="A29">
        <v>48.12546480825425</v>
      </c>
      <c r="B29">
        <v>155.46709742837916</v>
      </c>
      <c r="C29">
        <v>91411.166382679323</v>
      </c>
      <c r="D29">
        <v>28.353115003720447</v>
      </c>
    </row>
    <row r="30" spans="1:7" x14ac:dyDescent="0.2">
      <c r="A30">
        <v>50.797299285790558</v>
      </c>
      <c r="B30">
        <v>156.38663008268298</v>
      </c>
      <c r="C30">
        <v>105926.0350213973</v>
      </c>
      <c r="D30">
        <v>27.58196522276009</v>
      </c>
    </row>
    <row r="31" spans="1:7" x14ac:dyDescent="0.2">
      <c r="A31">
        <v>54.028110994970476</v>
      </c>
      <c r="B31">
        <v>157.79485106458648</v>
      </c>
      <c r="C31">
        <v>110069.68592762467</v>
      </c>
      <c r="D31">
        <v>24.052047161409654</v>
      </c>
    </row>
    <row r="32" spans="1:7" x14ac:dyDescent="0.2">
      <c r="A32">
        <v>55.209627709914756</v>
      </c>
      <c r="B32">
        <v>159.53197844490967</v>
      </c>
      <c r="C32">
        <v>110266.68173739067</v>
      </c>
      <c r="D32">
        <v>23.653784070002747</v>
      </c>
    </row>
    <row r="33" spans="1:4" x14ac:dyDescent="0.2">
      <c r="A33">
        <v>56.272695437200689</v>
      </c>
      <c r="B33">
        <v>160.93063629787912</v>
      </c>
      <c r="C33">
        <v>110771.8666413668</v>
      </c>
      <c r="D33">
        <v>23.547340390061652</v>
      </c>
    </row>
    <row r="34" spans="1:4" x14ac:dyDescent="0.2">
      <c r="A34">
        <v>58.040948190745404</v>
      </c>
      <c r="B34">
        <v>164.68998040244446</v>
      </c>
      <c r="C34">
        <v>118119.28195791286</v>
      </c>
      <c r="D34">
        <v>23.081352687944356</v>
      </c>
    </row>
    <row r="35" spans="1:4" x14ac:dyDescent="0.2">
      <c r="A35">
        <v>59.491201372580228</v>
      </c>
      <c r="B35">
        <v>164.97183851849837</v>
      </c>
      <c r="C35">
        <v>119002.80473707375</v>
      </c>
      <c r="D35">
        <v>21.092184989290399</v>
      </c>
    </row>
    <row r="36" spans="1:4" x14ac:dyDescent="0.2">
      <c r="A36">
        <v>60.376908565115606</v>
      </c>
      <c r="B36">
        <v>165.20425845412737</v>
      </c>
      <c r="C36">
        <v>121158.28437784607</v>
      </c>
      <c r="D36">
        <v>20.168144801709868</v>
      </c>
    </row>
    <row r="37" spans="1:4" x14ac:dyDescent="0.2">
      <c r="A37">
        <v>60.871565105799384</v>
      </c>
      <c r="B37">
        <v>165.90095713869712</v>
      </c>
      <c r="C37">
        <v>123869.75681589439</v>
      </c>
      <c r="D37">
        <v>19.450632586819413</v>
      </c>
    </row>
    <row r="38" spans="1:4" x14ac:dyDescent="0.2">
      <c r="A38">
        <v>60.888922797929922</v>
      </c>
      <c r="B38">
        <v>168.01678832528032</v>
      </c>
      <c r="C38">
        <v>130976.26900811505</v>
      </c>
      <c r="D38">
        <v>15.575427430484178</v>
      </c>
    </row>
    <row r="39" spans="1:4" x14ac:dyDescent="0.2">
      <c r="A39">
        <v>62.298029150021279</v>
      </c>
      <c r="B39">
        <v>178.09179965317799</v>
      </c>
      <c r="C39">
        <v>131698.12610917637</v>
      </c>
      <c r="D39">
        <v>15.459098800764931</v>
      </c>
    </row>
    <row r="40" spans="1:4" x14ac:dyDescent="0.2">
      <c r="A40">
        <v>63.080468635577922</v>
      </c>
      <c r="B40">
        <v>185.87295679229914</v>
      </c>
      <c r="C40">
        <v>133753.64674895708</v>
      </c>
      <c r="D40">
        <v>14.729092223909261</v>
      </c>
    </row>
    <row r="41" spans="1:4" x14ac:dyDescent="0.2">
      <c r="A41">
        <v>64.361518304963369</v>
      </c>
      <c r="B41">
        <v>187.1093793595719</v>
      </c>
      <c r="C41">
        <v>138870.60462444584</v>
      </c>
      <c r="D41">
        <v>14.475916528364605</v>
      </c>
    </row>
    <row r="42" spans="1:4" x14ac:dyDescent="0.2">
      <c r="A42">
        <v>65.436358158214176</v>
      </c>
      <c r="B42">
        <v>189.40611767461806</v>
      </c>
      <c r="C42">
        <v>139217.50082597951</v>
      </c>
      <c r="D42">
        <v>12.309255297439757</v>
      </c>
    </row>
    <row r="43" spans="1:4" x14ac:dyDescent="0.2">
      <c r="A43">
        <v>65.797573302778218</v>
      </c>
      <c r="B43">
        <v>193.06184250491756</v>
      </c>
      <c r="C43">
        <v>140070.88779475115</v>
      </c>
      <c r="D43">
        <v>11.783901449192269</v>
      </c>
    </row>
    <row r="44" spans="1:4" x14ac:dyDescent="0.2">
      <c r="A44">
        <v>66.290894706868983</v>
      </c>
      <c r="B44">
        <v>197.6884909321966</v>
      </c>
      <c r="C44">
        <v>142762.64145167667</v>
      </c>
      <c r="D44">
        <v>10.756641812043563</v>
      </c>
    </row>
    <row r="45" spans="1:4" x14ac:dyDescent="0.2">
      <c r="A45">
        <v>66.723793496714805</v>
      </c>
      <c r="B45">
        <v>199.87677096243797</v>
      </c>
      <c r="C45">
        <v>145327.77234228689</v>
      </c>
      <c r="D45">
        <v>10.195117159837446</v>
      </c>
    </row>
    <row r="46" spans="1:4" x14ac:dyDescent="0.2">
      <c r="A46">
        <v>66.975924407586419</v>
      </c>
      <c r="B46">
        <v>201.50062388437829</v>
      </c>
      <c r="C46">
        <v>147285.538458864</v>
      </c>
      <c r="D46">
        <v>10.031656574472626</v>
      </c>
    </row>
    <row r="47" spans="1:4" x14ac:dyDescent="0.2">
      <c r="A47">
        <v>68.212920537317601</v>
      </c>
      <c r="B47">
        <v>202.01339499978971</v>
      </c>
      <c r="C47">
        <v>148536.38223769906</v>
      </c>
      <c r="D47">
        <v>9.6718557298518046</v>
      </c>
    </row>
    <row r="48" spans="1:4" x14ac:dyDescent="0.2">
      <c r="A48">
        <v>68.281209668275523</v>
      </c>
      <c r="B48">
        <v>210.98562474594715</v>
      </c>
      <c r="C48">
        <v>148668.89506050799</v>
      </c>
      <c r="D48">
        <v>9.0735444561920797</v>
      </c>
    </row>
    <row r="49" spans="1:4" x14ac:dyDescent="0.2">
      <c r="A49">
        <v>70.209096281886616</v>
      </c>
      <c r="B49">
        <v>211.97537448675155</v>
      </c>
      <c r="C49">
        <v>150212.36493727769</v>
      </c>
      <c r="D49">
        <v>8.8792516192790352</v>
      </c>
    </row>
    <row r="50" spans="1:4" x14ac:dyDescent="0.2">
      <c r="A50">
        <v>70.555470696909111</v>
      </c>
      <c r="B50">
        <v>218.26104394731161</v>
      </c>
      <c r="C50">
        <v>155251.44718366276</v>
      </c>
      <c r="D50">
        <v>6.7690884632845814</v>
      </c>
    </row>
    <row r="51" spans="1:4" x14ac:dyDescent="0.2">
      <c r="A51">
        <v>71.067338347000685</v>
      </c>
      <c r="B51">
        <v>219.70802309164222</v>
      </c>
      <c r="C51">
        <v>157540.90972130228</v>
      </c>
      <c r="D51">
        <v>4.0894989287897472</v>
      </c>
    </row>
  </sheetData>
  <sortState xmlns:xlrd2="http://schemas.microsoft.com/office/spreadsheetml/2017/richdata2" ref="E2:E21">
    <sortCondition ref="E2:E2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0A3D-9BC0-B743-B81F-B23F2251E454}">
  <dimension ref="A1:U101"/>
  <sheetViews>
    <sheetView zoomScale="75" zoomScaleNormal="75" workbookViewId="0">
      <selection activeCell="W14" sqref="W14"/>
    </sheetView>
  </sheetViews>
  <sheetFormatPr baseColWidth="10" defaultRowHeight="16" x14ac:dyDescent="0.2"/>
  <cols>
    <col min="1" max="1" width="14.5" style="47" bestFit="1" customWidth="1"/>
    <col min="2" max="6" width="10.83203125" style="47"/>
    <col min="7" max="21" width="10.83203125" style="1"/>
    <col min="22" max="16384" width="10.83203125" style="47"/>
  </cols>
  <sheetData>
    <row r="1" spans="1:7" x14ac:dyDescent="0.2">
      <c r="A1" s="68" t="s">
        <v>108</v>
      </c>
      <c r="B1" s="73" t="s">
        <v>109</v>
      </c>
      <c r="C1" s="73" t="s">
        <v>110</v>
      </c>
      <c r="D1" s="74" t="s">
        <v>111</v>
      </c>
      <c r="E1" s="74" t="s">
        <v>112</v>
      </c>
      <c r="F1" s="74" t="s">
        <v>113</v>
      </c>
    </row>
    <row r="2" spans="1:7" x14ac:dyDescent="0.2">
      <c r="A2" s="47">
        <v>1</v>
      </c>
      <c r="B2">
        <v>5.4333408065140203</v>
      </c>
      <c r="C2">
        <v>6.5676145873731002</v>
      </c>
      <c r="D2">
        <v>0.70255885273218155</v>
      </c>
      <c r="E2">
        <v>0.41484342950279823</v>
      </c>
      <c r="F2">
        <v>0.45284926980239104</v>
      </c>
      <c r="G2" s="44"/>
    </row>
    <row r="3" spans="1:7" x14ac:dyDescent="0.2">
      <c r="A3" s="47">
        <f>A2+1</f>
        <v>2</v>
      </c>
      <c r="B3">
        <v>4.0132407624041999</v>
      </c>
      <c r="C3">
        <v>4.6590970618417487</v>
      </c>
      <c r="D3">
        <v>5.5097112888470292</v>
      </c>
      <c r="E3">
        <v>0.49493094189092518</v>
      </c>
      <c r="F3">
        <v>0.38913193495536691</v>
      </c>
      <c r="G3" s="44"/>
    </row>
    <row r="4" spans="1:7" x14ac:dyDescent="0.2">
      <c r="A4" s="47">
        <f t="shared" ref="A4:A51" si="0">A3+1</f>
        <v>3</v>
      </c>
      <c r="B4">
        <v>4.9508388504619001</v>
      </c>
      <c r="C4">
        <v>3.9670054371235901</v>
      </c>
      <c r="D4">
        <v>1.3331176635110751</v>
      </c>
      <c r="E4">
        <v>0.78069304031960196</v>
      </c>
      <c r="F4">
        <v>0.67404690778639631</v>
      </c>
      <c r="G4" s="44"/>
    </row>
    <row r="5" spans="1:7" x14ac:dyDescent="0.2">
      <c r="A5" s="47">
        <f t="shared" si="0"/>
        <v>4</v>
      </c>
      <c r="B5">
        <v>3.7758853826090002</v>
      </c>
      <c r="C5">
        <v>1.68638296914286</v>
      </c>
      <c r="D5">
        <v>3.3652784419246018E-2</v>
      </c>
      <c r="E5">
        <v>1.358746272267308</v>
      </c>
      <c r="F5">
        <v>0.14543055587855633</v>
      </c>
      <c r="G5" s="44"/>
    </row>
    <row r="6" spans="1:7" x14ac:dyDescent="0.2">
      <c r="A6" s="47">
        <f t="shared" si="0"/>
        <v>5</v>
      </c>
      <c r="B6">
        <v>1.8694973985257</v>
      </c>
      <c r="C6">
        <v>13.597383617190644</v>
      </c>
      <c r="D6">
        <v>1.3706372808665037</v>
      </c>
      <c r="E6">
        <v>1.6599894247017801</v>
      </c>
      <c r="F6">
        <v>0.50463987716066183</v>
      </c>
      <c r="G6" s="44"/>
    </row>
    <row r="7" spans="1:7" x14ac:dyDescent="0.2">
      <c r="A7" s="47">
        <f t="shared" si="0"/>
        <v>6</v>
      </c>
      <c r="B7">
        <v>1.2300581652671101</v>
      </c>
      <c r="C7">
        <v>17.187571650836599</v>
      </c>
      <c r="D7">
        <v>5.3739055399782956</v>
      </c>
      <c r="E7">
        <v>0.1243664206005633</v>
      </c>
      <c r="F7">
        <v>7.3780563272885041E-2</v>
      </c>
      <c r="G7" s="44"/>
    </row>
    <row r="8" spans="1:7" x14ac:dyDescent="0.2">
      <c r="A8" s="47">
        <f t="shared" si="0"/>
        <v>7</v>
      </c>
      <c r="B8">
        <v>2.6933873919478999</v>
      </c>
      <c r="C8">
        <v>12.001913905289257</v>
      </c>
      <c r="D8">
        <v>0.66677705742768012</v>
      </c>
      <c r="E8">
        <v>1.2745247891463805</v>
      </c>
      <c r="F8">
        <v>0.36600348468928134</v>
      </c>
      <c r="G8" s="44"/>
    </row>
    <row r="9" spans="1:7" x14ac:dyDescent="0.2">
      <c r="A9" s="47">
        <f t="shared" si="0"/>
        <v>8</v>
      </c>
      <c r="B9">
        <v>1.099086037153</v>
      </c>
      <c r="C9">
        <v>8.0310372999811079</v>
      </c>
      <c r="D9">
        <v>1.0626346263743471</v>
      </c>
      <c r="E9">
        <v>0.3884248821530491</v>
      </c>
      <c r="F9">
        <v>1.1069608060643082E-2</v>
      </c>
      <c r="G9" s="44"/>
    </row>
    <row r="10" spans="1:7" x14ac:dyDescent="0.2">
      <c r="A10" s="47">
        <f t="shared" si="0"/>
        <v>9</v>
      </c>
      <c r="B10">
        <v>1.8075721780187</v>
      </c>
      <c r="C10">
        <v>9.2868221094540786</v>
      </c>
      <c r="D10">
        <v>0.76111894284258597</v>
      </c>
      <c r="E10">
        <v>1.403107085498051E-2</v>
      </c>
      <c r="F10">
        <v>0.32113811105082279</v>
      </c>
      <c r="G10" s="44"/>
    </row>
    <row r="11" spans="1:7" x14ac:dyDescent="0.2">
      <c r="A11" s="47">
        <f t="shared" si="0"/>
        <v>10</v>
      </c>
      <c r="B11">
        <v>2.7634032549976801</v>
      </c>
      <c r="C11">
        <v>8.5066461855894886</v>
      </c>
      <c r="D11">
        <v>1.2411888999631628</v>
      </c>
      <c r="E11">
        <v>0.78474029174249149</v>
      </c>
      <c r="F11">
        <v>0.13556935957458335</v>
      </c>
      <c r="G11" s="44"/>
    </row>
    <row r="12" spans="1:7" x14ac:dyDescent="0.2">
      <c r="A12" s="47">
        <f t="shared" si="0"/>
        <v>11</v>
      </c>
      <c r="B12">
        <v>0.94972006586613</v>
      </c>
      <c r="C12">
        <v>19.689656614384148</v>
      </c>
      <c r="D12">
        <v>1.2325184545479715</v>
      </c>
      <c r="E12">
        <v>0.96774313129135403</v>
      </c>
      <c r="F12">
        <v>0.20513133474887582</v>
      </c>
      <c r="G12" s="44"/>
    </row>
    <row r="13" spans="1:7" x14ac:dyDescent="0.2">
      <c r="A13" s="47">
        <f t="shared" si="0"/>
        <v>12</v>
      </c>
      <c r="B13">
        <v>0.67274529807039996</v>
      </c>
      <c r="C13">
        <v>18.502561392262578</v>
      </c>
      <c r="D13">
        <v>1.2016001821612008</v>
      </c>
      <c r="E13">
        <v>0.40309048421913757</v>
      </c>
      <c r="F13">
        <v>1.3452073860913516</v>
      </c>
      <c r="G13" s="44"/>
    </row>
    <row r="14" spans="1:7" x14ac:dyDescent="0.2">
      <c r="A14" s="47">
        <f t="shared" si="0"/>
        <v>13</v>
      </c>
      <c r="B14">
        <v>1.4856443663593399</v>
      </c>
      <c r="C14">
        <v>15.467236511933152</v>
      </c>
      <c r="D14">
        <v>0.59576984515297227</v>
      </c>
      <c r="E14">
        <v>1.221672095602844</v>
      </c>
      <c r="F14">
        <v>0.48088614928710738</v>
      </c>
      <c r="G14" s="44"/>
    </row>
    <row r="15" spans="1:7" x14ac:dyDescent="0.2">
      <c r="A15" s="47">
        <f t="shared" si="0"/>
        <v>14</v>
      </c>
      <c r="B15">
        <v>0.69466147781349996</v>
      </c>
      <c r="C15">
        <v>8.5159002941800281</v>
      </c>
      <c r="D15">
        <v>4.4793083614204079</v>
      </c>
      <c r="E15">
        <v>0.3488092493673321</v>
      </c>
      <c r="F15">
        <v>3.828071132593322E-2</v>
      </c>
      <c r="G15" s="44"/>
    </row>
    <row r="16" spans="1:7" x14ac:dyDescent="0.2">
      <c r="A16" s="47">
        <f t="shared" si="0"/>
        <v>15</v>
      </c>
      <c r="B16">
        <v>2.0206648564926999</v>
      </c>
      <c r="C16">
        <v>5.2357325684278999</v>
      </c>
      <c r="D16">
        <v>1.4451931090443395</v>
      </c>
      <c r="E16">
        <v>0.4616502570162993</v>
      </c>
      <c r="F16">
        <v>0.12341721483389848</v>
      </c>
      <c r="G16" s="44"/>
    </row>
    <row r="17" spans="1:7" x14ac:dyDescent="0.2">
      <c r="A17" s="47">
        <f t="shared" si="0"/>
        <v>16</v>
      </c>
      <c r="B17">
        <v>1.3683574100723499</v>
      </c>
      <c r="C17">
        <v>0.61623395088827237</v>
      </c>
      <c r="D17">
        <v>2.5700084077252541</v>
      </c>
      <c r="E17">
        <v>1.363375917612575</v>
      </c>
      <c r="F17">
        <v>1.394263310648966E-2</v>
      </c>
      <c r="G17" s="44"/>
    </row>
    <row r="18" spans="1:7" x14ac:dyDescent="0.2">
      <c r="A18" s="47">
        <f t="shared" si="0"/>
        <v>17</v>
      </c>
      <c r="B18">
        <v>0.99212946022452997</v>
      </c>
      <c r="C18">
        <v>3.9266513694311</v>
      </c>
      <c r="D18">
        <v>3.5390727387275547</v>
      </c>
      <c r="E18">
        <v>0.29272330215899273</v>
      </c>
      <c r="F18">
        <v>0.28882246877183204</v>
      </c>
      <c r="G18" s="44"/>
    </row>
    <row r="19" spans="1:7" x14ac:dyDescent="0.2">
      <c r="A19" s="47">
        <f t="shared" si="0"/>
        <v>18</v>
      </c>
      <c r="B19">
        <v>2.6013874553901002</v>
      </c>
      <c r="C19">
        <v>2.4354279907420278</v>
      </c>
      <c r="D19">
        <v>7.4524554242379999</v>
      </c>
      <c r="E19">
        <v>0.81161586017988152</v>
      </c>
      <c r="F19">
        <v>0.35061638098122783</v>
      </c>
      <c r="G19" s="44"/>
    </row>
    <row r="20" spans="1:7" x14ac:dyDescent="0.2">
      <c r="A20" s="47">
        <f t="shared" si="0"/>
        <v>19</v>
      </c>
      <c r="B20">
        <v>2.7336510659806699</v>
      </c>
      <c r="C20">
        <v>17.859079086221801</v>
      </c>
      <c r="D20">
        <v>8.1083321876649297</v>
      </c>
      <c r="E20">
        <v>9.0951585257425915E-2</v>
      </c>
      <c r="F20">
        <v>0.36562418042885836</v>
      </c>
      <c r="G20" s="44"/>
    </row>
    <row r="21" spans="1:7" x14ac:dyDescent="0.2">
      <c r="A21" s="47">
        <f t="shared" si="0"/>
        <v>20</v>
      </c>
      <c r="B21">
        <v>4.0497584551339996</v>
      </c>
      <c r="C21">
        <v>2.0668208940769501</v>
      </c>
      <c r="D21">
        <v>6.0349314177583402</v>
      </c>
      <c r="E21">
        <v>0.94698846219689581</v>
      </c>
      <c r="F21">
        <v>0.60907260629173832</v>
      </c>
      <c r="G21" s="44"/>
    </row>
    <row r="22" spans="1:7" x14ac:dyDescent="0.2">
      <c r="A22" s="47">
        <f t="shared" si="0"/>
        <v>21</v>
      </c>
      <c r="B22">
        <v>2.3658321879337998</v>
      </c>
      <c r="C22">
        <v>12.518813850358129</v>
      </c>
      <c r="D22">
        <v>3.5129550117999302</v>
      </c>
      <c r="E22">
        <v>1.0942856766225304</v>
      </c>
      <c r="F22">
        <v>0.23365252016228624</v>
      </c>
      <c r="G22" s="44"/>
    </row>
    <row r="23" spans="1:7" x14ac:dyDescent="0.2">
      <c r="A23" s="47">
        <f t="shared" si="0"/>
        <v>22</v>
      </c>
      <c r="B23">
        <v>4.9422615221411004</v>
      </c>
      <c r="C23">
        <v>2.1848053569847252</v>
      </c>
      <c r="D23">
        <v>2.0741124495107202</v>
      </c>
      <c r="E23">
        <v>1.3673546396195888</v>
      </c>
      <c r="F23">
        <v>0.32380163500201886</v>
      </c>
      <c r="G23" s="44"/>
    </row>
    <row r="24" spans="1:7" x14ac:dyDescent="0.2">
      <c r="A24" s="47">
        <f t="shared" si="0"/>
        <v>23</v>
      </c>
      <c r="B24">
        <v>4.2487976164266001</v>
      </c>
      <c r="C24">
        <v>5.5453086992492899</v>
      </c>
      <c r="D24">
        <v>3.6303132472094148</v>
      </c>
      <c r="E24">
        <v>8.2356040770537209E-2</v>
      </c>
      <c r="F24">
        <v>1.6837205748888601E-2</v>
      </c>
      <c r="G24" s="44"/>
    </row>
    <row r="25" spans="1:7" x14ac:dyDescent="0.2">
      <c r="A25" s="47">
        <f t="shared" si="0"/>
        <v>24</v>
      </c>
      <c r="B25">
        <v>3.3800391823461</v>
      </c>
      <c r="C25">
        <v>6.3555018085753545</v>
      </c>
      <c r="D25">
        <v>0.283383267541648</v>
      </c>
      <c r="E25">
        <v>0.80699708127649505</v>
      </c>
      <c r="F25">
        <v>0.27899083104566669</v>
      </c>
      <c r="G25" s="44"/>
    </row>
    <row r="26" spans="1:7" x14ac:dyDescent="0.2">
      <c r="A26" s="47">
        <f t="shared" si="0"/>
        <v>25</v>
      </c>
      <c r="B26">
        <v>4.3550803739927</v>
      </c>
      <c r="C26">
        <v>5.764923697715858</v>
      </c>
      <c r="D26">
        <v>1.0867635208123829</v>
      </c>
      <c r="E26">
        <v>0.7947734724846669</v>
      </c>
      <c r="F26">
        <v>7.668510332005099E-2</v>
      </c>
      <c r="G26" s="44"/>
    </row>
    <row r="27" spans="1:7" x14ac:dyDescent="0.2">
      <c r="A27" s="47">
        <f t="shared" si="0"/>
        <v>26</v>
      </c>
      <c r="B27">
        <v>2.2540915627614599</v>
      </c>
      <c r="C27">
        <v>6.2966756912646815</v>
      </c>
      <c r="D27">
        <v>3.1224528861930501</v>
      </c>
      <c r="E27">
        <v>1.136647666094359</v>
      </c>
      <c r="F27">
        <v>0.98315346147282978</v>
      </c>
      <c r="G27" s="44"/>
    </row>
    <row r="28" spans="1:7" x14ac:dyDescent="0.2">
      <c r="A28" s="47">
        <f t="shared" si="0"/>
        <v>27</v>
      </c>
      <c r="B28">
        <v>9.4345361048762992</v>
      </c>
      <c r="C28">
        <v>4.249655502353562</v>
      </c>
      <c r="D28">
        <v>3.4636544771492481</v>
      </c>
      <c r="E28">
        <v>0.68036781663540746</v>
      </c>
      <c r="F28">
        <v>0.79700506578083152</v>
      </c>
      <c r="G28" s="44"/>
    </row>
    <row r="29" spans="1:7" x14ac:dyDescent="0.2">
      <c r="A29" s="47">
        <f t="shared" si="0"/>
        <v>28</v>
      </c>
      <c r="B29">
        <v>18.4089914657234</v>
      </c>
      <c r="C29">
        <v>6.3446970115182921</v>
      </c>
      <c r="D29">
        <v>0.21954895398812369</v>
      </c>
      <c r="E29">
        <v>0.66212676352297417</v>
      </c>
      <c r="F29">
        <v>0.66738144849077796</v>
      </c>
      <c r="G29" s="44"/>
    </row>
    <row r="30" spans="1:7" x14ac:dyDescent="0.2">
      <c r="A30" s="47">
        <f t="shared" si="0"/>
        <v>29</v>
      </c>
      <c r="B30">
        <v>10.1818162925483</v>
      </c>
      <c r="C30">
        <v>6.6983585737762041</v>
      </c>
      <c r="D30">
        <v>4.2508978620171547</v>
      </c>
      <c r="E30">
        <v>0.54882336775772278</v>
      </c>
      <c r="F30">
        <v>0.38850877242803106</v>
      </c>
      <c r="G30" s="44"/>
    </row>
    <row r="31" spans="1:7" x14ac:dyDescent="0.2">
      <c r="A31" s="47">
        <f t="shared" si="0"/>
        <v>30</v>
      </c>
      <c r="B31">
        <v>12.7200276286312</v>
      </c>
      <c r="C31">
        <v>3.0204677285655634</v>
      </c>
      <c r="D31">
        <v>0.87975115800509229</v>
      </c>
      <c r="E31">
        <v>1.4129612514399923</v>
      </c>
      <c r="F31">
        <v>0.24625538824475371</v>
      </c>
      <c r="G31" s="44"/>
    </row>
    <row r="32" spans="1:7" x14ac:dyDescent="0.2">
      <c r="A32" s="47">
        <f t="shared" si="0"/>
        <v>31</v>
      </c>
      <c r="B32">
        <v>7.4763603556057001</v>
      </c>
      <c r="C32">
        <v>3.8824333740922157</v>
      </c>
      <c r="D32">
        <v>1.004473804438021</v>
      </c>
      <c r="E32">
        <v>2.7517510948702695</v>
      </c>
      <c r="F32">
        <v>5.9229057822085457E-2</v>
      </c>
      <c r="G32" s="44"/>
    </row>
    <row r="33" spans="1:7" x14ac:dyDescent="0.2">
      <c r="A33" s="47">
        <f t="shared" si="0"/>
        <v>32</v>
      </c>
      <c r="B33">
        <v>6.5592460183833996</v>
      </c>
      <c r="C33">
        <v>3.5805061442079023</v>
      </c>
      <c r="D33">
        <v>0.98508133103314321</v>
      </c>
      <c r="E33">
        <v>1.6765691958018578</v>
      </c>
      <c r="F33">
        <v>0.14829018962482224</v>
      </c>
      <c r="G33" s="44"/>
    </row>
    <row r="34" spans="1:7" x14ac:dyDescent="0.2">
      <c r="A34" s="47">
        <f t="shared" si="0"/>
        <v>33</v>
      </c>
      <c r="B34">
        <v>10.341606209985899</v>
      </c>
      <c r="C34">
        <v>4.4676863934728317</v>
      </c>
      <c r="D34">
        <v>1.1776666067598853</v>
      </c>
      <c r="E34">
        <v>0.44165078583755529</v>
      </c>
      <c r="F34">
        <v>0.18679603524797131</v>
      </c>
      <c r="G34" s="44"/>
    </row>
    <row r="35" spans="1:7" x14ac:dyDescent="0.2">
      <c r="A35" s="47">
        <f t="shared" si="0"/>
        <v>34</v>
      </c>
      <c r="B35">
        <v>9.1674098964722361</v>
      </c>
      <c r="C35">
        <v>11.907430361025035</v>
      </c>
      <c r="D35">
        <v>0.66756877256557345</v>
      </c>
      <c r="E35">
        <v>1.3561727195745334</v>
      </c>
      <c r="F35">
        <v>0.11215550126507901</v>
      </c>
      <c r="G35" s="44"/>
    </row>
    <row r="36" spans="1:7" x14ac:dyDescent="0.2">
      <c r="A36" s="47">
        <f t="shared" si="0"/>
        <v>35</v>
      </c>
      <c r="B36">
        <v>13.4183386914082</v>
      </c>
      <c r="C36">
        <v>9.614234967448283</v>
      </c>
      <c r="D36">
        <v>1.1542125573905651</v>
      </c>
      <c r="E36">
        <v>0.50116780180833298</v>
      </c>
      <c r="F36">
        <v>6.9728378346189862E-2</v>
      </c>
      <c r="G36" s="44"/>
    </row>
    <row r="37" spans="1:7" x14ac:dyDescent="0.2">
      <c r="A37" s="47">
        <f t="shared" si="0"/>
        <v>36</v>
      </c>
      <c r="B37">
        <v>10.53158601076575</v>
      </c>
      <c r="C37">
        <v>6.7613933778193314</v>
      </c>
      <c r="D37">
        <v>1.1962048372661229</v>
      </c>
      <c r="E37">
        <v>0.79466401580721135</v>
      </c>
      <c r="F37">
        <v>6.4612015901366254E-2</v>
      </c>
      <c r="G37" s="44"/>
    </row>
    <row r="38" spans="1:7" x14ac:dyDescent="0.2">
      <c r="A38" s="47">
        <f t="shared" si="0"/>
        <v>37</v>
      </c>
      <c r="B38">
        <v>14.8877623258741</v>
      </c>
      <c r="C38">
        <v>3.2886947691440582</v>
      </c>
      <c r="D38">
        <v>2.0376783191313699</v>
      </c>
      <c r="E38">
        <v>0.72669179240183435</v>
      </c>
      <c r="F38">
        <v>5.7052523313905118E-2</v>
      </c>
      <c r="G38" s="44"/>
    </row>
    <row r="39" spans="1:7" x14ac:dyDescent="0.2">
      <c r="A39" s="47">
        <f t="shared" si="0"/>
        <v>38</v>
      </c>
      <c r="B39">
        <v>9.9285660123859998</v>
      </c>
      <c r="C39">
        <v>4.2789639691181947</v>
      </c>
      <c r="D39">
        <v>0.85827389537007548</v>
      </c>
      <c r="E39">
        <v>0.55107586882077153</v>
      </c>
      <c r="F39">
        <v>0.31957930584903804</v>
      </c>
      <c r="G39" s="44"/>
    </row>
    <row r="40" spans="1:7" x14ac:dyDescent="0.2">
      <c r="A40" s="47">
        <f t="shared" si="0"/>
        <v>39</v>
      </c>
      <c r="B40">
        <v>11.521925696579274</v>
      </c>
      <c r="C40">
        <v>3.9002401434845524</v>
      </c>
      <c r="D40">
        <v>1.0121663106256165</v>
      </c>
      <c r="E40">
        <v>0.19260171534842813</v>
      </c>
      <c r="F40">
        <v>0.18676101970195305</v>
      </c>
      <c r="G40" s="44"/>
    </row>
    <row r="41" spans="1:7" x14ac:dyDescent="0.2">
      <c r="A41" s="47">
        <f t="shared" si="0"/>
        <v>40</v>
      </c>
      <c r="B41">
        <v>8.8172612574999221</v>
      </c>
      <c r="C41">
        <v>2.9440599418012425</v>
      </c>
      <c r="D41">
        <v>0.76940125634428114</v>
      </c>
      <c r="E41">
        <v>0.21225453161168845</v>
      </c>
      <c r="F41">
        <v>9.7260999862191971E-2</v>
      </c>
      <c r="G41" s="44"/>
    </row>
    <row r="42" spans="1:7" x14ac:dyDescent="0.2">
      <c r="A42" s="47">
        <f t="shared" si="0"/>
        <v>41</v>
      </c>
      <c r="B42">
        <v>11.273228917852975</v>
      </c>
      <c r="C42">
        <v>4.2758262123970781</v>
      </c>
      <c r="D42">
        <v>1.131963133753743</v>
      </c>
      <c r="E42">
        <v>0.18773229132639199</v>
      </c>
      <c r="F42">
        <v>0.10526493977304199</v>
      </c>
      <c r="G42" s="44"/>
    </row>
    <row r="43" spans="1:7" x14ac:dyDescent="0.2">
      <c r="A43" s="47">
        <f t="shared" si="0"/>
        <v>42</v>
      </c>
      <c r="B43">
        <v>10.299884277410456</v>
      </c>
      <c r="C43">
        <v>6.1919792086700909</v>
      </c>
      <c r="D43">
        <v>1.39848478182684</v>
      </c>
      <c r="E43">
        <v>0.24862658897764051</v>
      </c>
      <c r="F43">
        <v>8.8624108482326852E-2</v>
      </c>
      <c r="G43" s="44"/>
    </row>
    <row r="44" spans="1:7" x14ac:dyDescent="0.2">
      <c r="A44" s="47">
        <f t="shared" si="0"/>
        <v>43</v>
      </c>
      <c r="B44">
        <v>9.9913336523604812</v>
      </c>
      <c r="C44">
        <v>2.8287360136164352</v>
      </c>
      <c r="D44">
        <v>1.1040502866089801</v>
      </c>
      <c r="E44">
        <v>0.36346575648640284</v>
      </c>
      <c r="F44">
        <v>9.6133988133806275E-2</v>
      </c>
      <c r="G44" s="44"/>
    </row>
    <row r="45" spans="1:7" x14ac:dyDescent="0.2">
      <c r="A45" s="47">
        <f t="shared" si="0"/>
        <v>44</v>
      </c>
      <c r="B45">
        <v>9.7212989910622127</v>
      </c>
      <c r="C45">
        <v>3.0491702444851398</v>
      </c>
      <c r="D45">
        <v>1.0650948095426429</v>
      </c>
      <c r="E45">
        <v>0.290595296269748</v>
      </c>
      <c r="F45">
        <v>9.961819412419573E-2</v>
      </c>
      <c r="G45" s="44"/>
    </row>
    <row r="46" spans="1:7" x14ac:dyDescent="0.2">
      <c r="A46" s="47">
        <f t="shared" si="0"/>
        <v>45</v>
      </c>
      <c r="B46">
        <v>10.583602286496898</v>
      </c>
      <c r="C46">
        <v>6.2267946658539586</v>
      </c>
      <c r="D46">
        <v>1.2389469955232926</v>
      </c>
      <c r="E46">
        <v>0.14952145243587439</v>
      </c>
      <c r="F46">
        <v>0.10149011611938477</v>
      </c>
      <c r="G46" s="44"/>
    </row>
    <row r="47" spans="1:7" x14ac:dyDescent="0.2">
      <c r="A47" s="47">
        <f t="shared" si="0"/>
        <v>46</v>
      </c>
      <c r="B47">
        <v>9.6006067704001907</v>
      </c>
      <c r="C47">
        <v>4.2673656379338354</v>
      </c>
      <c r="D47">
        <v>1.1590058218425838</v>
      </c>
      <c r="E47">
        <v>0.2838685259223</v>
      </c>
      <c r="F47">
        <v>0.11539478944323492</v>
      </c>
      <c r="G47" s="44"/>
    </row>
    <row r="48" spans="1:7" x14ac:dyDescent="0.2">
      <c r="A48" s="47">
        <f t="shared" si="0"/>
        <v>47</v>
      </c>
      <c r="B48">
        <v>8.6145712682628073</v>
      </c>
      <c r="C48">
        <v>3.1621749611804262</v>
      </c>
      <c r="D48">
        <v>0.73996727931080386</v>
      </c>
      <c r="E48">
        <v>0.228163106233114</v>
      </c>
      <c r="F48">
        <v>0.102302294888068</v>
      </c>
      <c r="G48" s="44"/>
    </row>
    <row r="49" spans="1:7" x14ac:dyDescent="0.2">
      <c r="A49" s="47">
        <f t="shared" si="0"/>
        <v>48</v>
      </c>
      <c r="B49">
        <v>9.5353925896779401</v>
      </c>
      <c r="C49">
        <v>5.6991831469349563</v>
      </c>
      <c r="D49">
        <v>0.97767190507147461</v>
      </c>
      <c r="E49">
        <v>0.243086867360398</v>
      </c>
      <c r="F49">
        <v>0.10430313775723335</v>
      </c>
      <c r="G49" s="44"/>
    </row>
    <row r="50" spans="1:7" x14ac:dyDescent="0.2">
      <c r="A50" s="47">
        <f t="shared" si="0"/>
        <v>49</v>
      </c>
      <c r="B50">
        <v>10.972693214862375</v>
      </c>
      <c r="C50">
        <v>5.6836148713773582</v>
      </c>
      <c r="D50">
        <v>1.001457920006942</v>
      </c>
      <c r="E50">
        <v>0.19620878194691599</v>
      </c>
      <c r="F50">
        <v>8.9253092280705465E-2</v>
      </c>
      <c r="G50" s="44"/>
    </row>
    <row r="51" spans="1:7" x14ac:dyDescent="0.2">
      <c r="A51" s="47">
        <f t="shared" si="0"/>
        <v>50</v>
      </c>
      <c r="B51">
        <v>11.346779754385352</v>
      </c>
      <c r="C51">
        <v>4.8416046764759813</v>
      </c>
      <c r="D51">
        <v>0.93501955941610504</v>
      </c>
      <c r="E51">
        <v>0.29340783435618506</v>
      </c>
      <c r="F51">
        <v>0.1</v>
      </c>
      <c r="G51" s="44"/>
    </row>
    <row r="52" spans="1:7" x14ac:dyDescent="0.2">
      <c r="B52"/>
      <c r="C52"/>
      <c r="D52"/>
      <c r="E52"/>
      <c r="F52"/>
    </row>
    <row r="53" spans="1:7" x14ac:dyDescent="0.2">
      <c r="B53"/>
      <c r="C53"/>
      <c r="D53"/>
      <c r="E53"/>
      <c r="F53"/>
    </row>
    <row r="54" spans="1:7" x14ac:dyDescent="0.2">
      <c r="B54"/>
      <c r="C54"/>
      <c r="D54"/>
      <c r="E54"/>
      <c r="F54"/>
    </row>
    <row r="55" spans="1:7" x14ac:dyDescent="0.2">
      <c r="B55"/>
      <c r="C55"/>
      <c r="D55"/>
      <c r="E55"/>
      <c r="F55"/>
    </row>
    <row r="56" spans="1:7" x14ac:dyDescent="0.2">
      <c r="B56"/>
      <c r="C56"/>
      <c r="D56"/>
      <c r="E56"/>
      <c r="F56"/>
    </row>
    <row r="57" spans="1:7" x14ac:dyDescent="0.2">
      <c r="B57"/>
      <c r="C57"/>
      <c r="D57"/>
      <c r="E57"/>
      <c r="F57"/>
    </row>
    <row r="58" spans="1:7" x14ac:dyDescent="0.2">
      <c r="B58"/>
      <c r="C58"/>
      <c r="D58"/>
      <c r="E58"/>
      <c r="F58"/>
    </row>
    <row r="59" spans="1:7" x14ac:dyDescent="0.2">
      <c r="B59"/>
      <c r="C59"/>
      <c r="D59"/>
      <c r="E59"/>
      <c r="F59"/>
    </row>
    <row r="60" spans="1:7" x14ac:dyDescent="0.2">
      <c r="B60"/>
      <c r="C60"/>
      <c r="D60"/>
      <c r="E60"/>
      <c r="F60"/>
    </row>
    <row r="61" spans="1:7" x14ac:dyDescent="0.2">
      <c r="B61"/>
      <c r="C61"/>
      <c r="D61"/>
      <c r="E61"/>
      <c r="F61"/>
    </row>
    <row r="62" spans="1:7" x14ac:dyDescent="0.2">
      <c r="B62"/>
      <c r="C62"/>
      <c r="D62"/>
      <c r="E62"/>
      <c r="F62"/>
    </row>
    <row r="63" spans="1:7" x14ac:dyDescent="0.2">
      <c r="B63"/>
      <c r="C63"/>
      <c r="D63"/>
      <c r="E63"/>
      <c r="F63"/>
    </row>
    <row r="64" spans="1:7" x14ac:dyDescent="0.2">
      <c r="B64"/>
      <c r="C64"/>
      <c r="D64"/>
      <c r="E64"/>
      <c r="F64"/>
    </row>
    <row r="65" spans="2:6" x14ac:dyDescent="0.2">
      <c r="B65"/>
      <c r="C65"/>
      <c r="D65"/>
      <c r="E65"/>
      <c r="F65"/>
    </row>
    <row r="66" spans="2:6" x14ac:dyDescent="0.2">
      <c r="B66"/>
      <c r="C66"/>
      <c r="D66"/>
      <c r="E66"/>
      <c r="F66"/>
    </row>
    <row r="67" spans="2:6" x14ac:dyDescent="0.2">
      <c r="B67"/>
      <c r="C67"/>
      <c r="D67"/>
      <c r="E67"/>
      <c r="F67"/>
    </row>
    <row r="68" spans="2:6" x14ac:dyDescent="0.2">
      <c r="B68"/>
      <c r="C68"/>
      <c r="D68"/>
      <c r="E68"/>
      <c r="F68"/>
    </row>
    <row r="69" spans="2:6" x14ac:dyDescent="0.2">
      <c r="B69"/>
      <c r="C69"/>
      <c r="D69"/>
      <c r="E69"/>
      <c r="F69"/>
    </row>
    <row r="70" spans="2:6" x14ac:dyDescent="0.2">
      <c r="B70"/>
      <c r="C70"/>
      <c r="D70"/>
      <c r="E70"/>
      <c r="F70"/>
    </row>
    <row r="71" spans="2:6" x14ac:dyDescent="0.2">
      <c r="B71"/>
      <c r="C71"/>
      <c r="D71"/>
      <c r="E71"/>
      <c r="F71"/>
    </row>
    <row r="72" spans="2:6" x14ac:dyDescent="0.2">
      <c r="B72"/>
      <c r="C72"/>
      <c r="D72"/>
      <c r="E72"/>
      <c r="F72"/>
    </row>
    <row r="73" spans="2:6" x14ac:dyDescent="0.2">
      <c r="B73"/>
      <c r="C73"/>
      <c r="D73"/>
      <c r="E73"/>
      <c r="F73"/>
    </row>
    <row r="74" spans="2:6" x14ac:dyDescent="0.2">
      <c r="B74"/>
      <c r="C74"/>
      <c r="D74"/>
      <c r="E74"/>
      <c r="F74"/>
    </row>
    <row r="75" spans="2:6" x14ac:dyDescent="0.2">
      <c r="B75"/>
      <c r="C75"/>
      <c r="D75"/>
      <c r="E75"/>
      <c r="F75"/>
    </row>
    <row r="76" spans="2:6" x14ac:dyDescent="0.2">
      <c r="B76"/>
      <c r="C76"/>
      <c r="D76"/>
      <c r="E76"/>
      <c r="F76"/>
    </row>
    <row r="77" spans="2:6" x14ac:dyDescent="0.2">
      <c r="B77"/>
      <c r="C77"/>
      <c r="D77"/>
      <c r="E77"/>
      <c r="F77"/>
    </row>
    <row r="78" spans="2:6" x14ac:dyDescent="0.2">
      <c r="B78"/>
      <c r="C78"/>
      <c r="D78"/>
      <c r="E78"/>
      <c r="F78"/>
    </row>
    <row r="79" spans="2:6" x14ac:dyDescent="0.2">
      <c r="B79"/>
      <c r="C79"/>
      <c r="D79"/>
      <c r="E79"/>
      <c r="F79"/>
    </row>
    <row r="80" spans="2:6" x14ac:dyDescent="0.2">
      <c r="B80"/>
      <c r="C80"/>
      <c r="D80"/>
      <c r="E80"/>
      <c r="F80"/>
    </row>
    <row r="81" spans="2:6" x14ac:dyDescent="0.2">
      <c r="B81"/>
      <c r="C81"/>
      <c r="D81"/>
      <c r="E81"/>
      <c r="F81"/>
    </row>
    <row r="82" spans="2:6" x14ac:dyDescent="0.2">
      <c r="B82"/>
      <c r="C82"/>
      <c r="D82"/>
      <c r="E82"/>
      <c r="F82"/>
    </row>
    <row r="83" spans="2:6" x14ac:dyDescent="0.2">
      <c r="B83"/>
      <c r="C83"/>
      <c r="D83"/>
      <c r="E83"/>
      <c r="F83"/>
    </row>
    <row r="84" spans="2:6" x14ac:dyDescent="0.2">
      <c r="B84"/>
      <c r="C84"/>
      <c r="D84"/>
      <c r="E84"/>
      <c r="F84"/>
    </row>
    <row r="85" spans="2:6" x14ac:dyDescent="0.2">
      <c r="B85"/>
      <c r="C85"/>
      <c r="D85"/>
      <c r="E85"/>
      <c r="F85"/>
    </row>
    <row r="86" spans="2:6" x14ac:dyDescent="0.2">
      <c r="B86"/>
      <c r="C86"/>
      <c r="D86"/>
      <c r="E86"/>
      <c r="F86"/>
    </row>
    <row r="87" spans="2:6" x14ac:dyDescent="0.2">
      <c r="B87"/>
      <c r="C87"/>
      <c r="D87"/>
      <c r="E87"/>
      <c r="F87"/>
    </row>
    <row r="88" spans="2:6" x14ac:dyDescent="0.2">
      <c r="B88"/>
      <c r="C88"/>
      <c r="D88"/>
      <c r="E88"/>
      <c r="F88"/>
    </row>
    <row r="89" spans="2:6" x14ac:dyDescent="0.2">
      <c r="B89"/>
      <c r="C89"/>
      <c r="D89"/>
      <c r="E89"/>
      <c r="F89"/>
    </row>
    <row r="90" spans="2:6" x14ac:dyDescent="0.2">
      <c r="B90"/>
      <c r="C90"/>
      <c r="D90"/>
      <c r="E90"/>
      <c r="F90"/>
    </row>
    <row r="91" spans="2:6" x14ac:dyDescent="0.2">
      <c r="B91"/>
      <c r="C91"/>
      <c r="D91"/>
      <c r="E91"/>
      <c r="F91"/>
    </row>
    <row r="92" spans="2:6" x14ac:dyDescent="0.2">
      <c r="B92"/>
      <c r="C92"/>
      <c r="D92"/>
      <c r="E92"/>
      <c r="F92"/>
    </row>
    <row r="93" spans="2:6" x14ac:dyDescent="0.2">
      <c r="B93"/>
      <c r="C93"/>
      <c r="D93"/>
      <c r="E93"/>
      <c r="F93"/>
    </row>
    <row r="94" spans="2:6" x14ac:dyDescent="0.2">
      <c r="B94"/>
      <c r="C94"/>
      <c r="D94"/>
      <c r="E94"/>
      <c r="F94"/>
    </row>
    <row r="95" spans="2:6" x14ac:dyDescent="0.2">
      <c r="B95"/>
      <c r="C95"/>
      <c r="D95"/>
      <c r="E95"/>
      <c r="F95"/>
    </row>
    <row r="96" spans="2:6" x14ac:dyDescent="0.2">
      <c r="B96"/>
      <c r="C96"/>
      <c r="D96"/>
      <c r="E96"/>
      <c r="F96"/>
    </row>
    <row r="97" spans="2:6" x14ac:dyDescent="0.2">
      <c r="B97"/>
      <c r="C97"/>
      <c r="D97"/>
      <c r="E97"/>
      <c r="F97"/>
    </row>
    <row r="98" spans="2:6" x14ac:dyDescent="0.2">
      <c r="B98"/>
      <c r="C98"/>
      <c r="D98"/>
      <c r="E98"/>
      <c r="F98"/>
    </row>
    <row r="99" spans="2:6" x14ac:dyDescent="0.2">
      <c r="B99"/>
      <c r="C99"/>
      <c r="D99"/>
      <c r="E99"/>
      <c r="F99"/>
    </row>
    <row r="100" spans="2:6" x14ac:dyDescent="0.2">
      <c r="B100"/>
      <c r="C100"/>
      <c r="D100"/>
      <c r="E100"/>
      <c r="F100"/>
    </row>
    <row r="101" spans="2:6" x14ac:dyDescent="0.2">
      <c r="B101"/>
      <c r="C101"/>
      <c r="D101"/>
      <c r="E101"/>
      <c r="F10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D571-D988-664C-94CD-DD253D1F4B74}">
  <dimension ref="A1:I22"/>
  <sheetViews>
    <sheetView workbookViewId="0">
      <selection activeCell="B2" sqref="B2"/>
    </sheetView>
  </sheetViews>
  <sheetFormatPr baseColWidth="10" defaultRowHeight="16" x14ac:dyDescent="0.2"/>
  <cols>
    <col min="1" max="1" width="3.6640625" bestFit="1" customWidth="1"/>
    <col min="2" max="2" width="5.83203125" bestFit="1" customWidth="1"/>
    <col min="3" max="3" width="12.33203125" bestFit="1" customWidth="1"/>
    <col min="7" max="7" width="6.83203125" bestFit="1" customWidth="1"/>
    <col min="8" max="8" width="9.1640625" bestFit="1" customWidth="1"/>
  </cols>
  <sheetData>
    <row r="1" spans="1:9" x14ac:dyDescent="0.2">
      <c r="A1" s="42" t="s">
        <v>59</v>
      </c>
      <c r="B1" s="42" t="s">
        <v>60</v>
      </c>
      <c r="C1" s="42" t="s">
        <v>61</v>
      </c>
      <c r="D1" s="42" t="s">
        <v>62</v>
      </c>
      <c r="E1" s="42"/>
      <c r="F1" s="42"/>
      <c r="G1" s="42"/>
      <c r="H1" s="42"/>
      <c r="I1" s="42"/>
    </row>
    <row r="2" spans="1:9" x14ac:dyDescent="0.2">
      <c r="A2" s="42">
        <v>-10</v>
      </c>
      <c r="B2" s="42">
        <f>A2+MAX(A:A)</f>
        <v>0</v>
      </c>
      <c r="C2" s="42">
        <f>1/(1+EXP(-A2))</f>
        <v>4.5397868702434395E-5</v>
      </c>
      <c r="D2">
        <f>$E$2*B2+$F$2</f>
        <v>-0.1940131322692995</v>
      </c>
      <c r="E2" s="42" cm="1">
        <f t="array" ref="E2:F2">LINEST(C2:C22, B2:B22)</f>
        <v>6.9401313226929953E-2</v>
      </c>
      <c r="F2" s="42">
        <v>-0.1940131322692995</v>
      </c>
      <c r="G2" s="43"/>
      <c r="H2" s="43"/>
      <c r="I2" s="43"/>
    </row>
    <row r="3" spans="1:9" x14ac:dyDescent="0.2">
      <c r="A3" s="42">
        <f>A2+1</f>
        <v>-9</v>
      </c>
      <c r="B3" s="42">
        <f t="shared" ref="B3:B22" si="0">A3+MAX(A:A)</f>
        <v>1</v>
      </c>
      <c r="C3" s="42">
        <f t="shared" ref="C3:C22" si="1">1/(1+EXP(-A3))</f>
        <v>1.2339457598623172E-4</v>
      </c>
      <c r="D3">
        <f t="shared" ref="D3:D22" si="2">$E$2*B3+$F$2</f>
        <v>-0.12461181904236955</v>
      </c>
      <c r="E3" s="42"/>
      <c r="F3" s="42"/>
      <c r="G3" s="43"/>
      <c r="H3" s="43"/>
      <c r="I3" s="43"/>
    </row>
    <row r="4" spans="1:9" x14ac:dyDescent="0.2">
      <c r="A4" s="42">
        <f t="shared" ref="A4:A20" si="3">A3+1</f>
        <v>-8</v>
      </c>
      <c r="B4" s="42">
        <f t="shared" si="0"/>
        <v>2</v>
      </c>
      <c r="C4" s="42">
        <f t="shared" si="1"/>
        <v>3.3535013046647811E-4</v>
      </c>
      <c r="D4">
        <f t="shared" si="2"/>
        <v>-5.5210505815439598E-2</v>
      </c>
      <c r="E4" s="42"/>
      <c r="F4" s="42"/>
      <c r="G4" s="43"/>
      <c r="H4" s="43"/>
      <c r="I4" s="43"/>
    </row>
    <row r="5" spans="1:9" x14ac:dyDescent="0.2">
      <c r="A5" s="42">
        <f t="shared" si="3"/>
        <v>-7</v>
      </c>
      <c r="B5" s="42">
        <f t="shared" si="0"/>
        <v>3</v>
      </c>
      <c r="C5" s="42">
        <f t="shared" si="1"/>
        <v>9.1105119440064539E-4</v>
      </c>
      <c r="D5">
        <f t="shared" si="2"/>
        <v>1.4190807411490369E-2</v>
      </c>
      <c r="E5" s="42"/>
      <c r="F5" s="42"/>
      <c r="G5" s="43"/>
      <c r="H5" s="43"/>
      <c r="I5" s="43"/>
    </row>
    <row r="6" spans="1:9" x14ac:dyDescent="0.2">
      <c r="A6" s="42">
        <f t="shared" si="3"/>
        <v>-6</v>
      </c>
      <c r="B6" s="42">
        <f t="shared" si="0"/>
        <v>4</v>
      </c>
      <c r="C6" s="42">
        <f t="shared" si="1"/>
        <v>2.4726231566347743E-3</v>
      </c>
      <c r="D6">
        <f t="shared" si="2"/>
        <v>8.3592120638420309E-2</v>
      </c>
      <c r="E6" s="42"/>
      <c r="F6" s="42"/>
      <c r="G6" s="43"/>
      <c r="H6" s="43"/>
      <c r="I6" s="43"/>
    </row>
    <row r="7" spans="1:9" x14ac:dyDescent="0.2">
      <c r="A7" s="42">
        <f t="shared" si="3"/>
        <v>-5</v>
      </c>
      <c r="B7" s="42">
        <f t="shared" si="0"/>
        <v>5</v>
      </c>
      <c r="C7" s="42">
        <f t="shared" si="1"/>
        <v>6.6928509242848554E-3</v>
      </c>
      <c r="D7">
        <f t="shared" si="2"/>
        <v>0.15299343386535025</v>
      </c>
      <c r="E7" s="42"/>
      <c r="F7" s="42"/>
      <c r="G7" s="43"/>
      <c r="H7" s="43"/>
      <c r="I7" s="43"/>
    </row>
    <row r="8" spans="1:9" x14ac:dyDescent="0.2">
      <c r="A8" s="42">
        <f t="shared" si="3"/>
        <v>-4</v>
      </c>
      <c r="B8" s="42">
        <f t="shared" si="0"/>
        <v>6</v>
      </c>
      <c r="C8" s="42">
        <f t="shared" si="1"/>
        <v>1.7986209962091559E-2</v>
      </c>
      <c r="D8">
        <f t="shared" si="2"/>
        <v>0.22239474709228024</v>
      </c>
      <c r="E8" s="42"/>
      <c r="F8" s="42"/>
      <c r="G8" s="43"/>
      <c r="H8" s="43"/>
      <c r="I8" s="43"/>
    </row>
    <row r="9" spans="1:9" x14ac:dyDescent="0.2">
      <c r="A9" s="42">
        <f t="shared" si="3"/>
        <v>-3</v>
      </c>
      <c r="B9" s="42">
        <f t="shared" si="0"/>
        <v>7</v>
      </c>
      <c r="C9" s="42">
        <f t="shared" si="1"/>
        <v>4.7425873177566781E-2</v>
      </c>
      <c r="D9">
        <f t="shared" si="2"/>
        <v>0.29179606031921018</v>
      </c>
      <c r="E9" s="42"/>
      <c r="F9" s="42"/>
      <c r="G9" s="43"/>
      <c r="H9" s="43"/>
      <c r="I9" s="43"/>
    </row>
    <row r="10" spans="1:9" x14ac:dyDescent="0.2">
      <c r="A10" s="42">
        <f t="shared" si="3"/>
        <v>-2</v>
      </c>
      <c r="B10" s="42">
        <f t="shared" si="0"/>
        <v>8</v>
      </c>
      <c r="C10" s="42">
        <f t="shared" si="1"/>
        <v>0.11920292202211755</v>
      </c>
      <c r="D10">
        <f t="shared" si="2"/>
        <v>0.36119737354614012</v>
      </c>
      <c r="E10" s="42"/>
      <c r="F10" s="42"/>
      <c r="G10" s="43"/>
      <c r="H10" s="43"/>
      <c r="I10" s="43"/>
    </row>
    <row r="11" spans="1:9" x14ac:dyDescent="0.2">
      <c r="A11" s="42">
        <f t="shared" si="3"/>
        <v>-1</v>
      </c>
      <c r="B11" s="42">
        <f t="shared" si="0"/>
        <v>9</v>
      </c>
      <c r="C11" s="42">
        <f t="shared" si="1"/>
        <v>0.2689414213699951</v>
      </c>
      <c r="D11">
        <f t="shared" si="2"/>
        <v>0.43059868677307012</v>
      </c>
      <c r="E11" s="42"/>
      <c r="F11" s="42"/>
      <c r="G11" s="43"/>
      <c r="H11" s="43"/>
      <c r="I11" s="43"/>
    </row>
    <row r="12" spans="1:9" x14ac:dyDescent="0.2">
      <c r="A12" s="42">
        <f t="shared" si="3"/>
        <v>0</v>
      </c>
      <c r="B12" s="42">
        <f t="shared" si="0"/>
        <v>10</v>
      </c>
      <c r="C12" s="42">
        <f t="shared" si="1"/>
        <v>0.5</v>
      </c>
      <c r="D12">
        <f t="shared" si="2"/>
        <v>0.5</v>
      </c>
      <c r="E12" s="42"/>
      <c r="F12" s="42"/>
      <c r="G12" s="43"/>
      <c r="H12" s="43"/>
      <c r="I12" s="43"/>
    </row>
    <row r="13" spans="1:9" x14ac:dyDescent="0.2">
      <c r="A13" s="42">
        <f t="shared" si="3"/>
        <v>1</v>
      </c>
      <c r="B13" s="42">
        <f t="shared" si="0"/>
        <v>11</v>
      </c>
      <c r="C13" s="42">
        <f t="shared" si="1"/>
        <v>0.7310585786300049</v>
      </c>
      <c r="D13">
        <f t="shared" si="2"/>
        <v>0.56940131322692999</v>
      </c>
      <c r="E13" s="42"/>
      <c r="F13" s="42"/>
      <c r="G13" s="43"/>
      <c r="H13" s="43"/>
      <c r="I13" s="43"/>
    </row>
    <row r="14" spans="1:9" x14ac:dyDescent="0.2">
      <c r="A14" s="42">
        <f t="shared" si="3"/>
        <v>2</v>
      </c>
      <c r="B14" s="42">
        <f t="shared" si="0"/>
        <v>12</v>
      </c>
      <c r="C14" s="42">
        <f t="shared" si="1"/>
        <v>0.88079707797788231</v>
      </c>
      <c r="D14">
        <f t="shared" si="2"/>
        <v>0.63880262645385999</v>
      </c>
      <c r="E14" s="42"/>
      <c r="F14" s="42"/>
      <c r="G14" s="43"/>
      <c r="H14" s="43"/>
      <c r="I14" s="43"/>
    </row>
    <row r="15" spans="1:9" x14ac:dyDescent="0.2">
      <c r="A15" s="42">
        <f t="shared" si="3"/>
        <v>3</v>
      </c>
      <c r="B15" s="42">
        <f t="shared" si="0"/>
        <v>13</v>
      </c>
      <c r="C15" s="42">
        <f t="shared" si="1"/>
        <v>0.95257412682243336</v>
      </c>
      <c r="D15">
        <f t="shared" si="2"/>
        <v>0.70820393968078987</v>
      </c>
      <c r="E15" s="42"/>
      <c r="F15" s="42"/>
      <c r="G15" s="42"/>
      <c r="H15" s="42"/>
      <c r="I15" s="42"/>
    </row>
    <row r="16" spans="1:9" x14ac:dyDescent="0.2">
      <c r="A16" s="42">
        <f t="shared" si="3"/>
        <v>4</v>
      </c>
      <c r="B16" s="42">
        <f t="shared" si="0"/>
        <v>14</v>
      </c>
      <c r="C16" s="42">
        <f t="shared" si="1"/>
        <v>0.98201379003790845</v>
      </c>
      <c r="D16">
        <f t="shared" si="2"/>
        <v>0.77760525290771987</v>
      </c>
      <c r="E16" s="42"/>
      <c r="F16" s="42"/>
      <c r="G16" s="42"/>
      <c r="H16" s="42"/>
      <c r="I16" s="42"/>
    </row>
    <row r="17" spans="1:4" x14ac:dyDescent="0.2">
      <c r="A17" s="42">
        <f t="shared" si="3"/>
        <v>5</v>
      </c>
      <c r="B17" s="42">
        <f t="shared" si="0"/>
        <v>15</v>
      </c>
      <c r="C17" s="42">
        <f t="shared" si="1"/>
        <v>0.99330714907571527</v>
      </c>
      <c r="D17">
        <f t="shared" si="2"/>
        <v>0.84700656613464975</v>
      </c>
    </row>
    <row r="18" spans="1:4" x14ac:dyDescent="0.2">
      <c r="A18" s="42">
        <f t="shared" si="3"/>
        <v>6</v>
      </c>
      <c r="B18" s="42">
        <f t="shared" si="0"/>
        <v>16</v>
      </c>
      <c r="C18" s="42">
        <f t="shared" si="1"/>
        <v>0.99752737684336534</v>
      </c>
      <c r="D18">
        <f t="shared" si="2"/>
        <v>0.91640787936157975</v>
      </c>
    </row>
    <row r="19" spans="1:4" x14ac:dyDescent="0.2">
      <c r="A19" s="42">
        <f t="shared" si="3"/>
        <v>7</v>
      </c>
      <c r="B19" s="42">
        <f t="shared" si="0"/>
        <v>17</v>
      </c>
      <c r="C19" s="42">
        <f t="shared" si="1"/>
        <v>0.9990889488055994</v>
      </c>
      <c r="D19">
        <f t="shared" si="2"/>
        <v>0.98580919258850974</v>
      </c>
    </row>
    <row r="20" spans="1:4" x14ac:dyDescent="0.2">
      <c r="A20" s="42">
        <f t="shared" si="3"/>
        <v>8</v>
      </c>
      <c r="B20" s="42">
        <f t="shared" si="0"/>
        <v>18</v>
      </c>
      <c r="C20" s="42">
        <f t="shared" si="1"/>
        <v>0.99966464986953363</v>
      </c>
      <c r="D20">
        <f t="shared" si="2"/>
        <v>1.0552105058154397</v>
      </c>
    </row>
    <row r="21" spans="1:4" x14ac:dyDescent="0.2">
      <c r="A21" s="42">
        <f>A20+1</f>
        <v>9</v>
      </c>
      <c r="B21" s="42">
        <f t="shared" si="0"/>
        <v>19</v>
      </c>
      <c r="C21" s="42">
        <f t="shared" si="1"/>
        <v>0.99987660542401369</v>
      </c>
      <c r="D21">
        <f t="shared" si="2"/>
        <v>1.1246118190423695</v>
      </c>
    </row>
    <row r="22" spans="1:4" x14ac:dyDescent="0.2">
      <c r="A22" s="42">
        <f>A21+1</f>
        <v>10</v>
      </c>
      <c r="B22" s="42">
        <f t="shared" si="0"/>
        <v>20</v>
      </c>
      <c r="C22" s="42">
        <f t="shared" si="1"/>
        <v>0.99995460213129761</v>
      </c>
      <c r="D22">
        <f t="shared" si="2"/>
        <v>1.1940131322692995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D478-5ABB-0746-A10D-55B630FAFF2E}">
  <dimension ref="A1:M16"/>
  <sheetViews>
    <sheetView zoomScale="90" zoomScaleNormal="90" workbookViewId="0">
      <selection activeCell="N53" sqref="N53"/>
    </sheetView>
  </sheetViews>
  <sheetFormatPr baseColWidth="10" defaultRowHeight="16" x14ac:dyDescent="0.2"/>
  <cols>
    <col min="1" max="1" width="20.33203125" style="44" bestFit="1" customWidth="1"/>
    <col min="2" max="4" width="12.1640625" style="44" bestFit="1" customWidth="1"/>
    <col min="5" max="13" width="10.83203125" style="44"/>
  </cols>
  <sheetData>
    <row r="1" spans="1:7" x14ac:dyDescent="0.2">
      <c r="A1" s="44" t="s">
        <v>63</v>
      </c>
      <c r="B1" s="44" t="s">
        <v>64</v>
      </c>
      <c r="C1" s="44" t="s">
        <v>65</v>
      </c>
      <c r="D1" s="44" t="s">
        <v>66</v>
      </c>
      <c r="E1" s="44" t="s">
        <v>67</v>
      </c>
      <c r="F1" s="44" t="s">
        <v>68</v>
      </c>
      <c r="G1" s="44" t="s">
        <v>69</v>
      </c>
    </row>
    <row r="2" spans="1:7" x14ac:dyDescent="0.2">
      <c r="A2" s="44">
        <v>4.5915368344867602</v>
      </c>
      <c r="B2" s="44">
        <v>3.0841539581888355</v>
      </c>
      <c r="F2" s="44">
        <v>3.0841539581888355</v>
      </c>
      <c r="G2" s="44">
        <v>3.0841539581888355</v>
      </c>
    </row>
    <row r="3" spans="1:7" x14ac:dyDescent="0.2">
      <c r="A3" s="44">
        <v>5.4132471076445654</v>
      </c>
      <c r="B3" s="44">
        <v>3.5757949616527185</v>
      </c>
      <c r="F3" s="44">
        <v>3.5757949616527185</v>
      </c>
      <c r="G3" s="44">
        <v>3.5757949616527185</v>
      </c>
    </row>
    <row r="4" spans="1:7" x14ac:dyDescent="0.2">
      <c r="A4" s="44">
        <v>2.6526169120916165</v>
      </c>
      <c r="B4" s="44">
        <v>4.6628662302100565</v>
      </c>
      <c r="F4" s="44">
        <v>4.6628662302100565</v>
      </c>
      <c r="G4" s="44">
        <v>4.6628662302100565</v>
      </c>
    </row>
    <row r="5" spans="1:7" x14ac:dyDescent="0.2">
      <c r="A5" s="44">
        <v>3.2908593665342778</v>
      </c>
      <c r="B5" s="44">
        <v>5.4170692591287661</v>
      </c>
      <c r="F5" s="44">
        <v>5.4170692591287661</v>
      </c>
      <c r="G5" s="44">
        <v>5.4170692591287661</v>
      </c>
    </row>
    <row r="6" spans="1:7" x14ac:dyDescent="0.2">
      <c r="A6" s="44">
        <v>6.7291768017457798</v>
      </c>
      <c r="B6" s="44">
        <v>5.8353003977390472</v>
      </c>
      <c r="F6" s="44">
        <v>5.8353003977390472</v>
      </c>
      <c r="G6" s="44">
        <v>5.8353003977390472</v>
      </c>
    </row>
    <row r="7" spans="1:7" x14ac:dyDescent="0.2">
      <c r="A7" s="44">
        <v>2.9572976371855475</v>
      </c>
      <c r="C7" s="44">
        <v>13.020360519352799</v>
      </c>
      <c r="E7" s="44">
        <v>13.020360519352799</v>
      </c>
      <c r="F7" s="44">
        <v>13.020360519352799</v>
      </c>
    </row>
    <row r="8" spans="1:7" x14ac:dyDescent="0.2">
      <c r="A8" s="44">
        <v>5.5715833140129689</v>
      </c>
      <c r="C8" s="44">
        <v>14.173816705588251</v>
      </c>
      <c r="E8" s="44">
        <v>14.173816705588251</v>
      </c>
      <c r="F8" s="44">
        <v>14.173816705588251</v>
      </c>
    </row>
    <row r="9" spans="1:7" x14ac:dyDescent="0.2">
      <c r="A9" s="44">
        <v>4.76439857063815</v>
      </c>
      <c r="C9" s="44">
        <v>13.082077455474064</v>
      </c>
      <c r="E9" s="44">
        <v>13.082077455474064</v>
      </c>
      <c r="F9" s="44">
        <v>13.082077455474064</v>
      </c>
    </row>
    <row r="10" spans="1:7" x14ac:dyDescent="0.2">
      <c r="A10" s="44">
        <v>4.4617451193335</v>
      </c>
      <c r="C10" s="44">
        <v>11.585035533935297</v>
      </c>
      <c r="E10" s="44">
        <v>11.585035533935297</v>
      </c>
      <c r="F10" s="44">
        <v>11.585035533935297</v>
      </c>
    </row>
    <row r="11" spans="1:7" x14ac:dyDescent="0.2">
      <c r="A11" s="44">
        <v>5.219110916077625</v>
      </c>
      <c r="C11" s="44">
        <v>11.767757566994987</v>
      </c>
      <c r="E11" s="44">
        <v>11.767757566994987</v>
      </c>
      <c r="F11" s="44">
        <v>11.767757566994987</v>
      </c>
    </row>
    <row r="12" spans="1:7" x14ac:dyDescent="0.2">
      <c r="A12" s="44">
        <v>11.1427785062114</v>
      </c>
      <c r="D12" s="44">
        <v>7.9738543010607996</v>
      </c>
      <c r="E12" s="44">
        <v>7.9738543010607996</v>
      </c>
      <c r="G12" s="44">
        <v>7.9738543010607996</v>
      </c>
    </row>
    <row r="13" spans="1:7" x14ac:dyDescent="0.2">
      <c r="A13" s="44">
        <v>13.791831785638299</v>
      </c>
      <c r="D13" s="44">
        <v>9.0425432012415996</v>
      </c>
      <c r="E13" s="44">
        <v>9.0425432012415996</v>
      </c>
      <c r="G13" s="44">
        <v>9.0425432012415996</v>
      </c>
    </row>
    <row r="14" spans="1:7" x14ac:dyDescent="0.2">
      <c r="A14" s="44">
        <v>12.1466196408728</v>
      </c>
      <c r="D14" s="44">
        <v>9.9891177897806998</v>
      </c>
      <c r="E14" s="44">
        <v>9.9891177897806998</v>
      </c>
      <c r="G14" s="44">
        <v>9.9891177897806998</v>
      </c>
    </row>
    <row r="15" spans="1:7" x14ac:dyDescent="0.2">
      <c r="A15" s="44">
        <v>10.5406127456808</v>
      </c>
      <c r="D15" s="44">
        <v>9.4022936183027994</v>
      </c>
      <c r="E15" s="44">
        <v>9.4022936183027994</v>
      </c>
      <c r="G15" s="44">
        <v>9.4022936183027994</v>
      </c>
    </row>
    <row r="16" spans="1:7" x14ac:dyDescent="0.2">
      <c r="A16" s="44">
        <v>12.1592069414327</v>
      </c>
      <c r="D16" s="44">
        <v>8.5279790709900993</v>
      </c>
      <c r="E16" s="44">
        <v>8.5279790709900993</v>
      </c>
      <c r="G16" s="44">
        <v>8.5279790709900993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4CC5-646E-1948-BE0E-E9D02D0B301B}">
  <dimension ref="A1:W29"/>
  <sheetViews>
    <sheetView zoomScale="110" zoomScaleNormal="110" workbookViewId="0">
      <selection activeCell="S23" sqref="S23"/>
    </sheetView>
  </sheetViews>
  <sheetFormatPr baseColWidth="10" defaultRowHeight="16" x14ac:dyDescent="0.2"/>
  <cols>
    <col min="1" max="1" width="12.1640625" style="45" bestFit="1" customWidth="1"/>
    <col min="2" max="2" width="17.1640625" style="45" customWidth="1"/>
    <col min="3" max="3" width="14.83203125" style="45" bestFit="1" customWidth="1"/>
    <col min="4" max="4" width="10.83203125" style="45"/>
    <col min="5" max="5" width="10.83203125" style="47"/>
    <col min="6" max="7" width="11.1640625" style="1" customWidth="1"/>
    <col min="8" max="23" width="10.83203125" style="1"/>
    <col min="24" max="16384" width="10.83203125" style="47"/>
  </cols>
  <sheetData>
    <row r="1" spans="1:23" s="51" customFormat="1" ht="34" x14ac:dyDescent="0.2">
      <c r="A1" s="49" t="s">
        <v>70</v>
      </c>
      <c r="B1" s="49" t="s">
        <v>81</v>
      </c>
      <c r="C1" s="49" t="s">
        <v>82</v>
      </c>
      <c r="D1" s="49" t="s">
        <v>74</v>
      </c>
      <c r="E1" s="51" t="s">
        <v>75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x14ac:dyDescent="0.2">
      <c r="A2" s="56">
        <v>1E-3</v>
      </c>
      <c r="B2" s="45">
        <v>100</v>
      </c>
      <c r="C2" s="45">
        <f t="shared" ref="C2:C10" si="0">100/(1+A2*$C$13^$C$14)</f>
        <v>99.978928223355467</v>
      </c>
      <c r="D2" s="45">
        <f>B2-C2</f>
        <v>2.1071776644532747E-2</v>
      </c>
      <c r="E2" s="47">
        <f>D2*D2</f>
        <v>4.4401977095707577E-4</v>
      </c>
    </row>
    <row r="3" spans="1:23" x14ac:dyDescent="0.2">
      <c r="A3" s="56">
        <f>1/52</f>
        <v>1.9230769230769232E-2</v>
      </c>
      <c r="B3" s="45">
        <v>100</v>
      </c>
      <c r="C3" s="45">
        <f t="shared" si="0"/>
        <v>99.596324265363066</v>
      </c>
      <c r="D3" s="45">
        <f t="shared" ref="D3:D10" si="1">B3-C3</f>
        <v>0.40367573463693418</v>
      </c>
      <c r="E3" s="47">
        <f t="shared" ref="E3:E10" si="2">D3*D3</f>
        <v>0.16295409873466851</v>
      </c>
    </row>
    <row r="4" spans="1:23" x14ac:dyDescent="0.2">
      <c r="A4" s="56">
        <f>1/12</f>
        <v>8.3333333333333329E-2</v>
      </c>
      <c r="B4" s="45">
        <v>100</v>
      </c>
      <c r="C4" s="45">
        <f t="shared" si="0"/>
        <v>98.27396378119451</v>
      </c>
      <c r="D4" s="45">
        <f t="shared" si="1"/>
        <v>1.7260362188054899</v>
      </c>
      <c r="E4" s="47">
        <f t="shared" si="2"/>
        <v>2.9792010286283528</v>
      </c>
    </row>
    <row r="5" spans="1:23" x14ac:dyDescent="0.2">
      <c r="A5" s="56">
        <f>3/12</f>
        <v>0.25</v>
      </c>
      <c r="B5" s="45">
        <v>93</v>
      </c>
      <c r="C5" s="45">
        <f t="shared" si="0"/>
        <v>94.994678661909617</v>
      </c>
      <c r="D5" s="45">
        <f t="shared" si="1"/>
        <v>-1.9946786619096173</v>
      </c>
      <c r="E5" s="47">
        <f t="shared" si="2"/>
        <v>3.9787429642775414</v>
      </c>
    </row>
    <row r="6" spans="1:23" x14ac:dyDescent="0.2">
      <c r="A6" s="56">
        <v>0.5</v>
      </c>
      <c r="B6" s="45">
        <v>92</v>
      </c>
      <c r="C6" s="45">
        <f t="shared" si="0"/>
        <v>90.466537744359584</v>
      </c>
      <c r="D6" s="45">
        <f t="shared" si="1"/>
        <v>1.5334622556404156</v>
      </c>
      <c r="E6" s="47">
        <f t="shared" si="2"/>
        <v>2.3515064894737914</v>
      </c>
    </row>
    <row r="7" spans="1:23" x14ac:dyDescent="0.2">
      <c r="A7" s="56">
        <v>1</v>
      </c>
      <c r="B7" s="45">
        <v>81</v>
      </c>
      <c r="C7" s="45">
        <f t="shared" si="0"/>
        <v>82.592603101707439</v>
      </c>
      <c r="D7" s="45">
        <f t="shared" si="1"/>
        <v>-1.5926031017074394</v>
      </c>
      <c r="E7" s="47">
        <f t="shared" si="2"/>
        <v>2.5363846395681566</v>
      </c>
    </row>
    <row r="8" spans="1:23" x14ac:dyDescent="0.2">
      <c r="A8" s="56">
        <v>2</v>
      </c>
      <c r="B8" s="45">
        <v>73</v>
      </c>
      <c r="C8" s="45">
        <f t="shared" si="0"/>
        <v>70.347018402303547</v>
      </c>
      <c r="D8" s="45">
        <f t="shared" si="1"/>
        <v>2.6529815976964528</v>
      </c>
      <c r="E8" s="47">
        <f t="shared" si="2"/>
        <v>7.0383113577160232</v>
      </c>
    </row>
    <row r="9" spans="1:23" x14ac:dyDescent="0.2">
      <c r="A9" s="56">
        <v>5</v>
      </c>
      <c r="B9" s="45">
        <v>46.5</v>
      </c>
      <c r="C9" s="45">
        <f t="shared" si="0"/>
        <v>48.68997459322528</v>
      </c>
      <c r="D9" s="45">
        <f t="shared" si="1"/>
        <v>-2.1899745932252799</v>
      </c>
      <c r="E9" s="47">
        <f t="shared" si="2"/>
        <v>4.7959887189722297</v>
      </c>
    </row>
    <row r="10" spans="1:23" x14ac:dyDescent="0.2">
      <c r="A10" s="56">
        <v>10</v>
      </c>
      <c r="B10" s="45">
        <v>35</v>
      </c>
      <c r="C10" s="45">
        <f t="shared" si="0"/>
        <v>32.178948131380885</v>
      </c>
      <c r="D10" s="45">
        <f t="shared" si="1"/>
        <v>2.8210518686191151</v>
      </c>
      <c r="E10" s="52">
        <f t="shared" si="2"/>
        <v>7.9583336454394011</v>
      </c>
    </row>
    <row r="11" spans="1:23" x14ac:dyDescent="0.2">
      <c r="D11" s="53" t="s">
        <v>76</v>
      </c>
      <c r="E11" s="47">
        <f>SUM(E2:E10)</f>
        <v>31.801866962581123</v>
      </c>
    </row>
    <row r="12" spans="1:23" x14ac:dyDescent="0.2">
      <c r="B12" s="48" t="s">
        <v>73</v>
      </c>
      <c r="C12" s="50"/>
      <c r="D12" s="54" t="s">
        <v>77</v>
      </c>
      <c r="E12" s="45">
        <f>1-(E11/DEVSQ(B2:B10))</f>
        <v>0.99324832981073718</v>
      </c>
    </row>
    <row r="13" spans="1:23" x14ac:dyDescent="0.2">
      <c r="B13" s="46" t="s">
        <v>71</v>
      </c>
      <c r="C13" s="47">
        <v>8.3436516061313082E-2</v>
      </c>
      <c r="D13" s="53" t="s">
        <v>78</v>
      </c>
      <c r="E13" s="45">
        <f>AVERAGE(ABS(D2), ABS(D3), ABS(D4), ABS(D5), ABS(D6), ABS(D7), ABS(D8), ABS(D9), ABS(D10))</f>
        <v>1.6595039787650308</v>
      </c>
    </row>
    <row r="14" spans="1:23" x14ac:dyDescent="0.2">
      <c r="B14" s="46" t="s">
        <v>72</v>
      </c>
      <c r="C14" s="47">
        <v>0.62690509923746474</v>
      </c>
      <c r="D14" s="53" t="s">
        <v>80</v>
      </c>
      <c r="E14" s="45">
        <f>AVERAGE(E2:E10)</f>
        <v>3.5335407736201248</v>
      </c>
    </row>
    <row r="15" spans="1:23" x14ac:dyDescent="0.2">
      <c r="D15" s="53" t="s">
        <v>79</v>
      </c>
      <c r="E15" s="45">
        <f>SQRT(AVERAGE(E2:E10))</f>
        <v>1.879771468455707</v>
      </c>
    </row>
    <row r="20" spans="1:3" ht="34" x14ac:dyDescent="0.2">
      <c r="A20" s="49" t="s">
        <v>106</v>
      </c>
      <c r="B20" s="49" t="s">
        <v>81</v>
      </c>
      <c r="C20" s="48" t="s">
        <v>107</v>
      </c>
    </row>
    <row r="21" spans="1:3" x14ac:dyDescent="0.2">
      <c r="A21" s="56">
        <v>1</v>
      </c>
      <c r="B21" s="45">
        <v>100</v>
      </c>
      <c r="C21" s="45">
        <v>100</v>
      </c>
    </row>
    <row r="22" spans="1:3" x14ac:dyDescent="0.2">
      <c r="A22" s="56">
        <v>2</v>
      </c>
      <c r="B22" s="45">
        <v>100</v>
      </c>
      <c r="C22" s="45">
        <v>100</v>
      </c>
    </row>
    <row r="23" spans="1:3" x14ac:dyDescent="0.2">
      <c r="A23" s="56">
        <v>3</v>
      </c>
      <c r="B23" s="45">
        <v>100</v>
      </c>
      <c r="C23" s="45">
        <v>100</v>
      </c>
    </row>
    <row r="24" spans="1:3" x14ac:dyDescent="0.2">
      <c r="A24" s="56">
        <v>4</v>
      </c>
      <c r="B24" s="45">
        <v>93</v>
      </c>
      <c r="C24" s="45">
        <v>95</v>
      </c>
    </row>
    <row r="25" spans="1:3" x14ac:dyDescent="0.2">
      <c r="A25" s="56">
        <v>5</v>
      </c>
      <c r="B25" s="45">
        <v>92</v>
      </c>
      <c r="C25" s="45">
        <v>90</v>
      </c>
    </row>
    <row r="26" spans="1:3" x14ac:dyDescent="0.2">
      <c r="A26" s="56">
        <v>6</v>
      </c>
      <c r="B26" s="45">
        <v>81</v>
      </c>
      <c r="C26" s="45">
        <v>75</v>
      </c>
    </row>
    <row r="27" spans="1:3" x14ac:dyDescent="0.2">
      <c r="A27" s="56">
        <v>7</v>
      </c>
      <c r="B27" s="45">
        <v>73</v>
      </c>
      <c r="C27" s="45">
        <v>40</v>
      </c>
    </row>
    <row r="28" spans="1:3" x14ac:dyDescent="0.2">
      <c r="A28" s="56">
        <v>8</v>
      </c>
      <c r="B28" s="45">
        <v>46.5</v>
      </c>
      <c r="C28" s="45">
        <v>15</v>
      </c>
    </row>
    <row r="29" spans="1:3" x14ac:dyDescent="0.2">
      <c r="A29" s="56">
        <v>9</v>
      </c>
      <c r="B29" s="45">
        <v>35</v>
      </c>
      <c r="C29" s="45">
        <v>10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69BF-6841-DF4A-9419-031E8E7A9104}">
  <dimension ref="A1:X47"/>
  <sheetViews>
    <sheetView workbookViewId="0">
      <selection activeCell="Z14" sqref="Z14"/>
    </sheetView>
  </sheetViews>
  <sheetFormatPr baseColWidth="10" defaultRowHeight="16" x14ac:dyDescent="0.2"/>
  <cols>
    <col min="1" max="1" width="3.1640625" style="1" customWidth="1"/>
    <col min="2" max="2" width="5.83203125" style="131" bestFit="1" customWidth="1"/>
    <col min="3" max="3" width="7.33203125" style="131" bestFit="1" customWidth="1"/>
    <col min="4" max="13" width="5.1640625" style="131" customWidth="1"/>
    <col min="14" max="14" width="7.33203125" style="129" bestFit="1" customWidth="1"/>
    <col min="15" max="24" width="10.83203125" style="1"/>
    <col min="25" max="16384" width="10.83203125" style="47"/>
  </cols>
  <sheetData>
    <row r="1" spans="1:24" s="1" customFormat="1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35"/>
    </row>
    <row r="2" spans="1:24" ht="34" x14ac:dyDescent="0.2">
      <c r="B2" s="104" t="s">
        <v>212</v>
      </c>
      <c r="C2" s="104" t="s">
        <v>121</v>
      </c>
      <c r="D2" s="104" t="s">
        <v>164</v>
      </c>
      <c r="E2" s="104" t="s">
        <v>165</v>
      </c>
      <c r="F2" s="104" t="s">
        <v>166</v>
      </c>
      <c r="G2" s="104" t="s">
        <v>167</v>
      </c>
      <c r="H2" s="104" t="s">
        <v>168</v>
      </c>
      <c r="I2" s="104" t="s">
        <v>169</v>
      </c>
      <c r="J2" s="104" t="s">
        <v>170</v>
      </c>
      <c r="K2" s="104" t="s">
        <v>171</v>
      </c>
      <c r="L2" s="104" t="s">
        <v>172</v>
      </c>
      <c r="M2" s="136" t="s">
        <v>173</v>
      </c>
      <c r="N2" s="133" t="s">
        <v>175</v>
      </c>
    </row>
    <row r="3" spans="1:24" s="102" customFormat="1" ht="17" x14ac:dyDescent="0.2">
      <c r="A3" s="108"/>
      <c r="B3" s="146" t="s">
        <v>64</v>
      </c>
      <c r="C3" s="51">
        <v>1</v>
      </c>
      <c r="D3" s="131" t="s">
        <v>66</v>
      </c>
      <c r="E3" s="131" t="s">
        <v>66</v>
      </c>
      <c r="F3" s="131" t="s">
        <v>66</v>
      </c>
      <c r="G3" s="131" t="s">
        <v>66</v>
      </c>
      <c r="H3" s="131" t="s">
        <v>66</v>
      </c>
      <c r="I3" s="131" t="s">
        <v>66</v>
      </c>
      <c r="J3" s="131" t="s">
        <v>66</v>
      </c>
      <c r="K3" s="131" t="s">
        <v>174</v>
      </c>
      <c r="L3" s="131" t="s">
        <v>174</v>
      </c>
      <c r="M3" s="137" t="s">
        <v>174</v>
      </c>
      <c r="N3" s="127">
        <f>COUNTIF(D3:M3, "C")/COUNTA(D3:M3)</f>
        <v>0.7</v>
      </c>
      <c r="O3" s="108"/>
      <c r="P3" s="108"/>
      <c r="Q3" s="108"/>
      <c r="R3" s="108"/>
      <c r="S3" s="108"/>
      <c r="T3" s="108"/>
      <c r="U3" s="108"/>
      <c r="V3" s="108"/>
      <c r="W3" s="108"/>
      <c r="X3" s="108"/>
    </row>
    <row r="4" spans="1:24" s="102" customFormat="1" ht="17" x14ac:dyDescent="0.2">
      <c r="A4" s="108"/>
      <c r="B4" s="146"/>
      <c r="C4" s="51">
        <v>2</v>
      </c>
      <c r="D4" s="131" t="s">
        <v>66</v>
      </c>
      <c r="E4" s="131" t="s">
        <v>66</v>
      </c>
      <c r="F4" s="131" t="s">
        <v>66</v>
      </c>
      <c r="G4" s="131" t="s">
        <v>66</v>
      </c>
      <c r="H4" s="131" t="s">
        <v>66</v>
      </c>
      <c r="I4" s="131" t="s">
        <v>66</v>
      </c>
      <c r="J4" s="131" t="s">
        <v>174</v>
      </c>
      <c r="K4" s="131" t="s">
        <v>174</v>
      </c>
      <c r="L4" s="131" t="s">
        <v>174</v>
      </c>
      <c r="M4" s="137" t="s">
        <v>174</v>
      </c>
      <c r="N4" s="127">
        <f t="shared" ref="N4:N12" si="0">COUNTIF(D4:M4, "C")/COUNTA(D4:M4)</f>
        <v>0.6</v>
      </c>
      <c r="O4" s="108"/>
      <c r="P4" s="108"/>
      <c r="Q4" s="108"/>
      <c r="R4" s="108"/>
      <c r="S4" s="108"/>
      <c r="T4" s="108"/>
      <c r="U4" s="108"/>
      <c r="V4" s="108"/>
      <c r="W4" s="108"/>
      <c r="X4" s="108"/>
    </row>
    <row r="5" spans="1:24" s="102" customFormat="1" ht="17" x14ac:dyDescent="0.2">
      <c r="A5" s="108"/>
      <c r="B5" s="146"/>
      <c r="C5" s="51">
        <v>3</v>
      </c>
      <c r="D5" s="131" t="s">
        <v>66</v>
      </c>
      <c r="E5" s="131" t="s">
        <v>66</v>
      </c>
      <c r="F5" s="131" t="s">
        <v>66</v>
      </c>
      <c r="G5" s="131" t="s">
        <v>66</v>
      </c>
      <c r="H5" s="131" t="s">
        <v>66</v>
      </c>
      <c r="I5" s="131" t="s">
        <v>66</v>
      </c>
      <c r="J5" s="131" t="s">
        <v>66</v>
      </c>
      <c r="K5" s="131" t="s">
        <v>66</v>
      </c>
      <c r="L5" s="131" t="s">
        <v>174</v>
      </c>
      <c r="M5" s="137" t="s">
        <v>174</v>
      </c>
      <c r="N5" s="127">
        <f t="shared" si="0"/>
        <v>0.8</v>
      </c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spans="1:24" s="102" customFormat="1" ht="17" x14ac:dyDescent="0.2">
      <c r="A6" s="108"/>
      <c r="B6" s="146"/>
      <c r="C6" s="51">
        <v>4</v>
      </c>
      <c r="D6" s="131" t="s">
        <v>66</v>
      </c>
      <c r="E6" s="131" t="s">
        <v>66</v>
      </c>
      <c r="F6" s="131" t="s">
        <v>66</v>
      </c>
      <c r="G6" s="131" t="s">
        <v>66</v>
      </c>
      <c r="H6" s="131" t="s">
        <v>66</v>
      </c>
      <c r="I6" s="131" t="s">
        <v>66</v>
      </c>
      <c r="J6" s="131" t="s">
        <v>174</v>
      </c>
      <c r="K6" s="131" t="s">
        <v>174</v>
      </c>
      <c r="L6" s="131" t="s">
        <v>174</v>
      </c>
      <c r="M6" s="137" t="s">
        <v>174</v>
      </c>
      <c r="N6" s="127">
        <f t="shared" si="0"/>
        <v>0.6</v>
      </c>
      <c r="O6" s="108"/>
      <c r="P6" s="108"/>
      <c r="Q6" s="108"/>
      <c r="R6" s="108"/>
      <c r="S6" s="108"/>
      <c r="T6" s="108"/>
      <c r="U6" s="108"/>
      <c r="V6" s="108"/>
      <c r="W6" s="108"/>
      <c r="X6" s="108"/>
    </row>
    <row r="7" spans="1:24" s="102" customFormat="1" ht="17" x14ac:dyDescent="0.2">
      <c r="A7" s="108"/>
      <c r="B7" s="147"/>
      <c r="C7" s="104">
        <v>5</v>
      </c>
      <c r="D7" s="132" t="s">
        <v>66</v>
      </c>
      <c r="E7" s="132" t="s">
        <v>66</v>
      </c>
      <c r="F7" s="132" t="s">
        <v>66</v>
      </c>
      <c r="G7" s="132" t="s">
        <v>66</v>
      </c>
      <c r="H7" s="132" t="s">
        <v>66</v>
      </c>
      <c r="I7" s="132" t="s">
        <v>66</v>
      </c>
      <c r="J7" s="132" t="s">
        <v>66</v>
      </c>
      <c r="K7" s="132" t="s">
        <v>174</v>
      </c>
      <c r="L7" s="132" t="s">
        <v>174</v>
      </c>
      <c r="M7" s="138" t="s">
        <v>174</v>
      </c>
      <c r="N7" s="128">
        <f t="shared" si="0"/>
        <v>0.7</v>
      </c>
      <c r="O7" s="108"/>
      <c r="P7" s="108"/>
      <c r="Q7" s="108"/>
      <c r="R7" s="108"/>
      <c r="S7" s="108"/>
      <c r="T7" s="108"/>
      <c r="U7" s="108"/>
      <c r="V7" s="108"/>
      <c r="W7" s="108"/>
      <c r="X7" s="108"/>
    </row>
    <row r="8" spans="1:24" s="102" customFormat="1" ht="17" x14ac:dyDescent="0.2">
      <c r="A8" s="108"/>
      <c r="B8" s="146" t="s">
        <v>65</v>
      </c>
      <c r="C8" s="51">
        <v>1</v>
      </c>
      <c r="D8" s="131" t="s">
        <v>66</v>
      </c>
      <c r="E8" s="131" t="s">
        <v>174</v>
      </c>
      <c r="F8" s="131" t="s">
        <v>66</v>
      </c>
      <c r="G8" s="131" t="s">
        <v>66</v>
      </c>
      <c r="H8" s="131" t="s">
        <v>174</v>
      </c>
      <c r="I8" s="131" t="s">
        <v>66</v>
      </c>
      <c r="J8" s="131" t="s">
        <v>66</v>
      </c>
      <c r="K8" s="131" t="s">
        <v>66</v>
      </c>
      <c r="L8" s="131" t="s">
        <v>174</v>
      </c>
      <c r="M8" s="137" t="s">
        <v>66</v>
      </c>
      <c r="N8" s="127">
        <f t="shared" si="0"/>
        <v>0.7</v>
      </c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spans="1:24" s="102" customFormat="1" ht="17" x14ac:dyDescent="0.2">
      <c r="A9" s="108"/>
      <c r="B9" s="146"/>
      <c r="C9" s="51">
        <v>2</v>
      </c>
      <c r="D9" s="131" t="s">
        <v>66</v>
      </c>
      <c r="E9" s="131" t="s">
        <v>66</v>
      </c>
      <c r="F9" s="131" t="s">
        <v>174</v>
      </c>
      <c r="G9" s="131" t="s">
        <v>174</v>
      </c>
      <c r="H9" s="131" t="s">
        <v>66</v>
      </c>
      <c r="I9" s="131" t="s">
        <v>174</v>
      </c>
      <c r="J9" s="131" t="s">
        <v>66</v>
      </c>
      <c r="K9" s="131" t="s">
        <v>174</v>
      </c>
      <c r="L9" s="131" t="s">
        <v>66</v>
      </c>
      <c r="M9" s="137" t="s">
        <v>66</v>
      </c>
      <c r="N9" s="127">
        <f t="shared" si="0"/>
        <v>0.6</v>
      </c>
      <c r="O9" s="108"/>
      <c r="P9" s="108"/>
      <c r="Q9" s="108"/>
      <c r="R9" s="108"/>
      <c r="S9" s="108"/>
      <c r="T9" s="108"/>
      <c r="U9" s="108"/>
      <c r="V9" s="108"/>
      <c r="W9" s="108"/>
      <c r="X9" s="108"/>
    </row>
    <row r="10" spans="1:24" s="102" customFormat="1" ht="17" x14ac:dyDescent="0.2">
      <c r="A10" s="108"/>
      <c r="B10" s="146"/>
      <c r="C10" s="51">
        <v>3</v>
      </c>
      <c r="D10" s="131" t="s">
        <v>66</v>
      </c>
      <c r="E10" s="131" t="s">
        <v>66</v>
      </c>
      <c r="F10" s="131" t="s">
        <v>66</v>
      </c>
      <c r="G10" s="131" t="s">
        <v>66</v>
      </c>
      <c r="H10" s="131" t="s">
        <v>174</v>
      </c>
      <c r="I10" s="131" t="s">
        <v>66</v>
      </c>
      <c r="J10" s="131" t="s">
        <v>174</v>
      </c>
      <c r="K10" s="131" t="s">
        <v>66</v>
      </c>
      <c r="L10" s="131" t="s">
        <v>66</v>
      </c>
      <c r="M10" s="137" t="s">
        <v>66</v>
      </c>
      <c r="N10" s="127">
        <f t="shared" si="0"/>
        <v>0.8</v>
      </c>
      <c r="O10" s="108"/>
      <c r="P10" s="108"/>
      <c r="Q10" s="108"/>
      <c r="R10" s="108"/>
      <c r="S10" s="108"/>
      <c r="T10" s="108"/>
      <c r="U10" s="108"/>
      <c r="V10" s="108"/>
      <c r="W10" s="108"/>
      <c r="X10" s="108"/>
    </row>
    <row r="11" spans="1:24" s="102" customFormat="1" ht="17" x14ac:dyDescent="0.2">
      <c r="A11" s="108"/>
      <c r="B11" s="146"/>
      <c r="C11" s="51">
        <v>4</v>
      </c>
      <c r="D11" s="131" t="s">
        <v>174</v>
      </c>
      <c r="E11" s="131" t="s">
        <v>66</v>
      </c>
      <c r="F11" s="131" t="s">
        <v>66</v>
      </c>
      <c r="G11" s="131" t="s">
        <v>174</v>
      </c>
      <c r="H11" s="131" t="s">
        <v>66</v>
      </c>
      <c r="I11" s="131" t="s">
        <v>174</v>
      </c>
      <c r="J11" s="131" t="s">
        <v>66</v>
      </c>
      <c r="K11" s="131" t="s">
        <v>66</v>
      </c>
      <c r="L11" s="131" t="s">
        <v>174</v>
      </c>
      <c r="M11" s="137" t="s">
        <v>66</v>
      </c>
      <c r="N11" s="127">
        <f t="shared" si="0"/>
        <v>0.6</v>
      </c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spans="1:24" s="102" customFormat="1" ht="17" x14ac:dyDescent="0.2">
      <c r="A12" s="108"/>
      <c r="B12" s="147"/>
      <c r="C12" s="104">
        <v>5</v>
      </c>
      <c r="D12" s="132" t="s">
        <v>66</v>
      </c>
      <c r="E12" s="132" t="s">
        <v>174</v>
      </c>
      <c r="F12" s="132" t="s">
        <v>66</v>
      </c>
      <c r="G12" s="132" t="s">
        <v>66</v>
      </c>
      <c r="H12" s="132" t="s">
        <v>174</v>
      </c>
      <c r="I12" s="132" t="s">
        <v>66</v>
      </c>
      <c r="J12" s="132" t="s">
        <v>174</v>
      </c>
      <c r="K12" s="132" t="s">
        <v>66</v>
      </c>
      <c r="L12" s="132" t="s">
        <v>66</v>
      </c>
      <c r="M12" s="138" t="s">
        <v>66</v>
      </c>
      <c r="N12" s="128">
        <f t="shared" si="0"/>
        <v>0.7</v>
      </c>
      <c r="O12" s="108"/>
      <c r="P12" s="108"/>
      <c r="Q12" s="108"/>
      <c r="R12" s="108"/>
      <c r="S12" s="108"/>
      <c r="T12" s="108"/>
      <c r="U12" s="108"/>
      <c r="V12" s="108"/>
      <c r="W12" s="108"/>
      <c r="X12" s="108"/>
    </row>
    <row r="13" spans="1:24" s="1" customFormat="1" x14ac:dyDescent="0.2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134"/>
    </row>
    <row r="14" spans="1:24" ht="34" x14ac:dyDescent="0.2">
      <c r="B14" s="104" t="s">
        <v>212</v>
      </c>
      <c r="C14" s="104" t="s">
        <v>121</v>
      </c>
      <c r="D14" s="104" t="s">
        <v>176</v>
      </c>
      <c r="E14" s="104" t="s">
        <v>177</v>
      </c>
      <c r="F14" s="104" t="s">
        <v>178</v>
      </c>
      <c r="G14" s="104" t="s">
        <v>179</v>
      </c>
      <c r="H14" s="104" t="s">
        <v>180</v>
      </c>
      <c r="I14" s="104" t="s">
        <v>181</v>
      </c>
      <c r="J14" s="104" t="s">
        <v>182</v>
      </c>
      <c r="K14" s="104" t="s">
        <v>183</v>
      </c>
      <c r="L14" s="104" t="s">
        <v>184</v>
      </c>
      <c r="M14" s="136" t="s">
        <v>185</v>
      </c>
      <c r="N14" s="133" t="s">
        <v>214</v>
      </c>
    </row>
    <row r="15" spans="1:24" x14ac:dyDescent="0.2">
      <c r="B15" s="148" t="s">
        <v>66</v>
      </c>
      <c r="C15" s="51">
        <v>1</v>
      </c>
      <c r="D15" s="131">
        <v>0</v>
      </c>
      <c r="E15" s="131">
        <v>0</v>
      </c>
      <c r="F15" s="131">
        <v>1</v>
      </c>
      <c r="G15" s="131">
        <v>0</v>
      </c>
      <c r="H15" s="131">
        <v>1</v>
      </c>
      <c r="I15" s="131">
        <v>0</v>
      </c>
      <c r="J15" s="131">
        <v>0</v>
      </c>
      <c r="K15" s="131">
        <v>1</v>
      </c>
      <c r="L15" s="131">
        <v>0</v>
      </c>
      <c r="M15" s="137">
        <v>40</v>
      </c>
      <c r="N15" s="129">
        <f>SUM(D15:M15)/COUNT(D15:M15)</f>
        <v>4.3</v>
      </c>
    </row>
    <row r="16" spans="1:24" x14ac:dyDescent="0.2">
      <c r="B16" s="148"/>
      <c r="C16" s="51">
        <v>2</v>
      </c>
      <c r="D16" s="131">
        <v>1</v>
      </c>
      <c r="E16" s="131">
        <v>1</v>
      </c>
      <c r="F16" s="131">
        <v>0</v>
      </c>
      <c r="G16" s="131">
        <v>1</v>
      </c>
      <c r="H16" s="131">
        <v>0</v>
      </c>
      <c r="I16" s="131">
        <v>35</v>
      </c>
      <c r="J16" s="131">
        <v>0</v>
      </c>
      <c r="K16" s="131">
        <v>0</v>
      </c>
      <c r="L16" s="131">
        <v>0</v>
      </c>
      <c r="M16" s="137">
        <v>0</v>
      </c>
      <c r="N16" s="129">
        <f t="shared" ref="N16:N24" si="1">SUM(D16:M16)/COUNT(D16:M16)</f>
        <v>3.8</v>
      </c>
    </row>
    <row r="17" spans="2:14" x14ac:dyDescent="0.2">
      <c r="B17" s="148"/>
      <c r="C17" s="51">
        <v>3</v>
      </c>
      <c r="D17" s="131">
        <v>0</v>
      </c>
      <c r="E17" s="131">
        <v>0</v>
      </c>
      <c r="F17" s="131">
        <v>0</v>
      </c>
      <c r="G17" s="131">
        <v>0</v>
      </c>
      <c r="H17" s="131">
        <v>0</v>
      </c>
      <c r="I17" s="131">
        <v>0</v>
      </c>
      <c r="J17" s="131">
        <v>1</v>
      </c>
      <c r="K17" s="131">
        <v>48</v>
      </c>
      <c r="L17" s="131">
        <v>0</v>
      </c>
      <c r="M17" s="137">
        <v>0</v>
      </c>
      <c r="N17" s="129">
        <f t="shared" si="1"/>
        <v>4.9000000000000004</v>
      </c>
    </row>
    <row r="18" spans="2:14" x14ac:dyDescent="0.2">
      <c r="B18" s="148"/>
      <c r="C18" s="51">
        <v>4</v>
      </c>
      <c r="D18" s="131">
        <v>0</v>
      </c>
      <c r="E18" s="131">
        <v>0</v>
      </c>
      <c r="F18" s="131">
        <v>62</v>
      </c>
      <c r="G18" s="131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37">
        <v>0</v>
      </c>
      <c r="N18" s="129">
        <f t="shared" si="1"/>
        <v>6.2</v>
      </c>
    </row>
    <row r="19" spans="2:14" x14ac:dyDescent="0.2">
      <c r="B19" s="149"/>
      <c r="C19" s="104">
        <v>5</v>
      </c>
      <c r="D19" s="132">
        <v>1</v>
      </c>
      <c r="E19" s="132">
        <v>1</v>
      </c>
      <c r="F19" s="132">
        <v>0</v>
      </c>
      <c r="G19" s="132">
        <v>1</v>
      </c>
      <c r="H19" s="132">
        <v>22</v>
      </c>
      <c r="I19" s="132">
        <v>0</v>
      </c>
      <c r="J19" s="132">
        <v>0</v>
      </c>
      <c r="K19" s="132">
        <v>0</v>
      </c>
      <c r="L19" s="132">
        <v>1</v>
      </c>
      <c r="M19" s="138">
        <v>1</v>
      </c>
      <c r="N19" s="130">
        <f t="shared" si="1"/>
        <v>2.7</v>
      </c>
    </row>
    <row r="20" spans="2:14" x14ac:dyDescent="0.2">
      <c r="B20" s="150" t="s">
        <v>213</v>
      </c>
      <c r="C20" s="51">
        <v>1</v>
      </c>
      <c r="D20" s="131">
        <v>4</v>
      </c>
      <c r="E20" s="131">
        <v>4</v>
      </c>
      <c r="F20" s="131">
        <v>5</v>
      </c>
      <c r="G20" s="131">
        <v>4</v>
      </c>
      <c r="H20" s="131">
        <v>4</v>
      </c>
      <c r="I20" s="131">
        <v>5</v>
      </c>
      <c r="J20" s="131">
        <v>5</v>
      </c>
      <c r="K20" s="131">
        <v>4</v>
      </c>
      <c r="L20" s="131">
        <v>4</v>
      </c>
      <c r="M20" s="137">
        <v>4</v>
      </c>
      <c r="N20" s="129">
        <f t="shared" si="1"/>
        <v>4.3</v>
      </c>
    </row>
    <row r="21" spans="2:14" x14ac:dyDescent="0.2">
      <c r="B21" s="148"/>
      <c r="C21" s="51">
        <v>2</v>
      </c>
      <c r="D21" s="131">
        <v>4</v>
      </c>
      <c r="E21" s="131">
        <v>4</v>
      </c>
      <c r="F21" s="131">
        <v>4</v>
      </c>
      <c r="G21" s="131">
        <v>4</v>
      </c>
      <c r="H21" s="131">
        <v>3</v>
      </c>
      <c r="I21" s="131">
        <v>4</v>
      </c>
      <c r="J21" s="131">
        <v>3</v>
      </c>
      <c r="K21" s="131">
        <v>4</v>
      </c>
      <c r="L21" s="131">
        <v>4</v>
      </c>
      <c r="M21" s="137">
        <v>4</v>
      </c>
      <c r="N21" s="129">
        <f t="shared" si="1"/>
        <v>3.8</v>
      </c>
    </row>
    <row r="22" spans="2:14" x14ac:dyDescent="0.2">
      <c r="B22" s="148"/>
      <c r="C22" s="51">
        <v>3</v>
      </c>
      <c r="D22" s="131">
        <v>6</v>
      </c>
      <c r="E22" s="131">
        <v>5</v>
      </c>
      <c r="F22" s="131">
        <v>4</v>
      </c>
      <c r="G22" s="131">
        <v>6</v>
      </c>
      <c r="H22" s="131">
        <v>4</v>
      </c>
      <c r="I22" s="131">
        <v>4</v>
      </c>
      <c r="J22" s="131">
        <v>5</v>
      </c>
      <c r="K22" s="131">
        <v>5</v>
      </c>
      <c r="L22" s="131">
        <v>5</v>
      </c>
      <c r="M22" s="137">
        <v>5</v>
      </c>
      <c r="N22" s="129">
        <f t="shared" si="1"/>
        <v>4.9000000000000004</v>
      </c>
    </row>
    <row r="23" spans="2:14" x14ac:dyDescent="0.2">
      <c r="B23" s="148"/>
      <c r="C23" s="51">
        <v>4</v>
      </c>
      <c r="D23" s="131">
        <v>7</v>
      </c>
      <c r="E23" s="131">
        <v>6</v>
      </c>
      <c r="F23" s="131">
        <v>6</v>
      </c>
      <c r="G23" s="131">
        <v>7</v>
      </c>
      <c r="H23" s="131">
        <v>6</v>
      </c>
      <c r="I23" s="131">
        <v>6</v>
      </c>
      <c r="J23" s="131">
        <v>6</v>
      </c>
      <c r="K23" s="131">
        <v>6</v>
      </c>
      <c r="L23" s="131">
        <v>6</v>
      </c>
      <c r="M23" s="137">
        <v>6</v>
      </c>
      <c r="N23" s="129">
        <f t="shared" si="1"/>
        <v>6.2</v>
      </c>
    </row>
    <row r="24" spans="2:14" x14ac:dyDescent="0.2">
      <c r="B24" s="151"/>
      <c r="C24" s="104">
        <v>5</v>
      </c>
      <c r="D24" s="132">
        <v>1</v>
      </c>
      <c r="E24" s="132">
        <v>4</v>
      </c>
      <c r="F24" s="132">
        <v>3</v>
      </c>
      <c r="G24" s="132">
        <v>2</v>
      </c>
      <c r="H24" s="132">
        <v>3</v>
      </c>
      <c r="I24" s="132">
        <v>3</v>
      </c>
      <c r="J24" s="132">
        <v>3</v>
      </c>
      <c r="K24" s="132">
        <v>2</v>
      </c>
      <c r="L24" s="132">
        <v>3</v>
      </c>
      <c r="M24" s="138">
        <v>3</v>
      </c>
      <c r="N24" s="130">
        <f t="shared" si="1"/>
        <v>2.7</v>
      </c>
    </row>
    <row r="25" spans="2:14" s="1" customFormat="1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6"/>
    </row>
    <row r="26" spans="2:14" s="1" customFormat="1" ht="21" customHeight="1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6"/>
    </row>
    <row r="27" spans="2:14" s="1" customFormat="1" ht="21" customHeight="1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6"/>
    </row>
    <row r="28" spans="2:14" s="1" customFormat="1" ht="21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6"/>
    </row>
    <row r="29" spans="2:14" s="1" customFormat="1" ht="21" customHeight="1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6"/>
    </row>
    <row r="30" spans="2:14" s="1" customFormat="1" ht="21" customHeight="1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6"/>
    </row>
    <row r="31" spans="2:14" s="1" customFormat="1" ht="21" customHeight="1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6"/>
    </row>
    <row r="32" spans="2:14" s="1" customFormat="1" ht="21" customHeight="1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6"/>
    </row>
    <row r="33" spans="2:14" s="1" customFormat="1" ht="21" customHeight="1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6"/>
    </row>
    <row r="34" spans="2:14" s="1" customFormat="1" ht="21" customHeight="1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6"/>
    </row>
    <row r="35" spans="2:14" s="1" customFormat="1" ht="21" customHeight="1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6"/>
    </row>
    <row r="36" spans="2:14" s="1" customFormat="1" ht="21" customHeight="1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6"/>
    </row>
    <row r="37" spans="2:14" s="1" customFormat="1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6"/>
    </row>
    <row r="38" spans="2:14" s="1" customFormat="1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6"/>
    </row>
    <row r="39" spans="2:14" s="1" customFormat="1" x14ac:dyDescent="0.2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6"/>
    </row>
    <row r="40" spans="2:14" s="1" customFormat="1" x14ac:dyDescent="0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6"/>
    </row>
    <row r="41" spans="2:14" s="1" customFormat="1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6"/>
    </row>
    <row r="42" spans="2:14" s="1" customFormat="1" x14ac:dyDescent="0.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6"/>
    </row>
    <row r="43" spans="2:14" s="1" customFormat="1" x14ac:dyDescent="0.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6"/>
    </row>
    <row r="44" spans="2:14" s="1" customFormat="1" x14ac:dyDescent="0.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6"/>
    </row>
    <row r="45" spans="2:14" s="1" customFormat="1" x14ac:dyDescent="0.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6"/>
    </row>
    <row r="46" spans="2:14" s="1" customFormat="1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6"/>
    </row>
    <row r="47" spans="2:14" s="1" customFormat="1" x14ac:dyDescent="0.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6"/>
    </row>
  </sheetData>
  <mergeCells count="4">
    <mergeCell ref="B3:B7"/>
    <mergeCell ref="B8:B12"/>
    <mergeCell ref="B15:B19"/>
    <mergeCell ref="B20:B24"/>
  </mergeCells>
  <phoneticPr fontId="14" type="noConversion"/>
  <pageMargins left="0.7" right="0.7" top="0.75" bottom="0.75" header="0.3" footer="0.3"/>
  <ignoredErrors>
    <ignoredError sqref="N15:N24" formulaRange="1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C31C-0023-BD42-8A5C-4F3B9F0917EF}">
  <dimension ref="A1:AQ59"/>
  <sheetViews>
    <sheetView topLeftCell="B15" workbookViewId="0">
      <selection activeCell="Q35" sqref="Q35"/>
    </sheetView>
  </sheetViews>
  <sheetFormatPr baseColWidth="10" defaultColWidth="3.6640625" defaultRowHeight="16" x14ac:dyDescent="0.2"/>
  <cols>
    <col min="1" max="1" width="7.33203125" style="47" bestFit="1" customWidth="1"/>
    <col min="2" max="21" width="8.83203125" style="47" bestFit="1" customWidth="1"/>
    <col min="22" max="22" width="3.33203125" style="123" customWidth="1"/>
    <col min="23" max="23" width="7.33203125" style="47" bestFit="1" customWidth="1"/>
    <col min="24" max="33" width="8.83203125" style="47" bestFit="1" customWidth="1"/>
    <col min="34" max="43" width="8.83203125" style="56" bestFit="1" customWidth="1"/>
    <col min="44" max="16384" width="3.6640625" style="47"/>
  </cols>
  <sheetData>
    <row r="1" spans="1:43" x14ac:dyDescent="0.2">
      <c r="A1" s="68" t="s">
        <v>186</v>
      </c>
      <c r="B1" s="50" t="s">
        <v>207</v>
      </c>
      <c r="C1" s="50" t="s">
        <v>208</v>
      </c>
      <c r="D1" s="50" t="s">
        <v>209</v>
      </c>
      <c r="E1" s="50" t="s">
        <v>210</v>
      </c>
      <c r="F1" s="114" t="s">
        <v>211</v>
      </c>
      <c r="G1" s="50" t="s">
        <v>207</v>
      </c>
      <c r="H1" s="50" t="s">
        <v>208</v>
      </c>
      <c r="I1" s="50" t="s">
        <v>209</v>
      </c>
      <c r="J1" s="50" t="s">
        <v>210</v>
      </c>
      <c r="K1" s="114" t="s">
        <v>211</v>
      </c>
      <c r="L1" s="50" t="s">
        <v>207</v>
      </c>
      <c r="M1" s="50" t="s">
        <v>208</v>
      </c>
      <c r="N1" s="50" t="s">
        <v>209</v>
      </c>
      <c r="O1" s="50" t="s">
        <v>210</v>
      </c>
      <c r="P1" s="114" t="s">
        <v>211</v>
      </c>
      <c r="Q1" s="50" t="s">
        <v>207</v>
      </c>
      <c r="R1" s="50" t="s">
        <v>208</v>
      </c>
      <c r="S1" s="50" t="s">
        <v>209</v>
      </c>
      <c r="T1" s="50" t="s">
        <v>210</v>
      </c>
      <c r="U1" s="114" t="s">
        <v>211</v>
      </c>
      <c r="W1" s="68" t="s">
        <v>121</v>
      </c>
      <c r="X1" s="50" t="s">
        <v>207</v>
      </c>
      <c r="Y1" s="50" t="s">
        <v>208</v>
      </c>
      <c r="Z1" s="50" t="s">
        <v>209</v>
      </c>
      <c r="AA1" s="50" t="s">
        <v>210</v>
      </c>
      <c r="AB1" s="114" t="s">
        <v>211</v>
      </c>
      <c r="AC1" s="50" t="s">
        <v>207</v>
      </c>
      <c r="AD1" s="50" t="s">
        <v>208</v>
      </c>
      <c r="AE1" s="50" t="s">
        <v>209</v>
      </c>
      <c r="AF1" s="50" t="s">
        <v>210</v>
      </c>
      <c r="AG1" s="114" t="s">
        <v>211</v>
      </c>
      <c r="AH1" s="76" t="s">
        <v>207</v>
      </c>
      <c r="AI1" s="76" t="s">
        <v>208</v>
      </c>
      <c r="AJ1" s="76" t="s">
        <v>209</v>
      </c>
      <c r="AK1" s="76" t="s">
        <v>210</v>
      </c>
      <c r="AL1" s="120" t="s">
        <v>211</v>
      </c>
      <c r="AM1" s="76" t="s">
        <v>207</v>
      </c>
      <c r="AN1" s="76" t="s">
        <v>208</v>
      </c>
      <c r="AO1" s="76" t="s">
        <v>209</v>
      </c>
      <c r="AP1" s="76" t="s">
        <v>210</v>
      </c>
      <c r="AQ1" s="120" t="s">
        <v>211</v>
      </c>
    </row>
    <row r="2" spans="1:43" x14ac:dyDescent="0.2">
      <c r="A2" s="68" t="s">
        <v>164</v>
      </c>
      <c r="B2" s="102" t="s">
        <v>66</v>
      </c>
      <c r="C2" s="102" t="s">
        <v>66</v>
      </c>
      <c r="D2" s="102" t="s">
        <v>66</v>
      </c>
      <c r="E2" s="102" t="s">
        <v>66</v>
      </c>
      <c r="F2" s="103" t="s">
        <v>66</v>
      </c>
      <c r="G2" s="102" t="s">
        <v>66</v>
      </c>
      <c r="H2" s="102" t="s">
        <v>66</v>
      </c>
      <c r="I2" s="102" t="s">
        <v>66</v>
      </c>
      <c r="J2" s="102" t="s">
        <v>174</v>
      </c>
      <c r="K2" s="103" t="s">
        <v>66</v>
      </c>
      <c r="L2" s="116">
        <f>COUNTIF(B$2:B2, "C")/COUNTA(B$2:B2)</f>
        <v>1</v>
      </c>
      <c r="M2" s="116">
        <f>COUNTIF(C$2:C2, "C")/COUNTA(C$2:C2)</f>
        <v>1</v>
      </c>
      <c r="N2" s="116">
        <f>COUNTIF(D$2:D2, "C")/COUNTA(D$2:D2)</f>
        <v>1</v>
      </c>
      <c r="O2" s="116">
        <f>COUNTIF(E$2:E2, "C")/COUNTA(E$2:E2)</f>
        <v>1</v>
      </c>
      <c r="P2" s="117">
        <f>COUNTIF(F$2:F2, "C")/COUNTA(F$2:F2)</f>
        <v>1</v>
      </c>
      <c r="Q2" s="116">
        <f>COUNTIF(G$2:G2, "C")/COUNTA(G$2:G2)</f>
        <v>1</v>
      </c>
      <c r="R2" s="116">
        <f>COUNTIF(H$2:H2, "C")/COUNTA(H$2:H2)</f>
        <v>1</v>
      </c>
      <c r="S2" s="116">
        <f>COUNTIF(I$2:I2, "C")/COUNTA(I$2:I2)</f>
        <v>1</v>
      </c>
      <c r="T2" s="116">
        <f>COUNTIF(J$2:J2, "C")/COUNTA(J$2:J2)</f>
        <v>0</v>
      </c>
      <c r="U2" s="117">
        <f>COUNTIF(K$2:K2, "C")/COUNTA(K$2:K2)</f>
        <v>1</v>
      </c>
      <c r="W2" s="68" t="s">
        <v>176</v>
      </c>
      <c r="X2" s="47">
        <v>0</v>
      </c>
      <c r="Y2" s="47">
        <v>1</v>
      </c>
      <c r="Z2" s="47">
        <v>0</v>
      </c>
      <c r="AA2" s="47">
        <v>0</v>
      </c>
      <c r="AB2" s="115">
        <v>1</v>
      </c>
      <c r="AC2" s="47">
        <v>4</v>
      </c>
      <c r="AD2" s="47">
        <v>4</v>
      </c>
      <c r="AE2" s="47">
        <v>6</v>
      </c>
      <c r="AF2" s="47">
        <v>7</v>
      </c>
      <c r="AG2" s="115">
        <v>1</v>
      </c>
      <c r="AH2" s="56">
        <f>SUM(X$2:X2)/COUNT(X$2:X2)</f>
        <v>0</v>
      </c>
      <c r="AI2" s="56">
        <f>SUM(Y$2:Y2)/COUNT(Y$2:Y2)</f>
        <v>1</v>
      </c>
      <c r="AJ2" s="56">
        <f>SUM(Z$2:Z2)/COUNT(Z$2:Z2)</f>
        <v>0</v>
      </c>
      <c r="AK2" s="56">
        <f>SUM(AA$2:AA2)/COUNT(AA$2:AA2)</f>
        <v>0</v>
      </c>
      <c r="AL2" s="121">
        <f>SUM(AB$2:AB2)/COUNT(AB$2:AB2)</f>
        <v>1</v>
      </c>
      <c r="AM2" s="56">
        <f>SUM(AC$2:AC2)/COUNT(AC$2:AC2)</f>
        <v>4</v>
      </c>
      <c r="AN2" s="56">
        <f>SUM(AD$2:AD2)/COUNT(AD$2:AD2)</f>
        <v>4</v>
      </c>
      <c r="AO2" s="56">
        <f>SUM(AE$2:AE2)/COUNT(AE$2:AE2)</f>
        <v>6</v>
      </c>
      <c r="AP2" s="56">
        <f>SUM(AF$2:AF2)/COUNT(AF$2:AF2)</f>
        <v>7</v>
      </c>
      <c r="AQ2" s="121">
        <f>SUM(AG$2:AG2)/COUNT(AG$2:AG2)</f>
        <v>1</v>
      </c>
    </row>
    <row r="3" spans="1:43" x14ac:dyDescent="0.2">
      <c r="A3" s="68" t="s">
        <v>165</v>
      </c>
      <c r="B3" s="102" t="s">
        <v>66</v>
      </c>
      <c r="C3" s="102" t="s">
        <v>66</v>
      </c>
      <c r="D3" s="102" t="s">
        <v>66</v>
      </c>
      <c r="E3" s="102" t="s">
        <v>66</v>
      </c>
      <c r="F3" s="103" t="s">
        <v>66</v>
      </c>
      <c r="G3" s="102" t="s">
        <v>174</v>
      </c>
      <c r="H3" s="102" t="s">
        <v>66</v>
      </c>
      <c r="I3" s="102" t="s">
        <v>66</v>
      </c>
      <c r="J3" s="102" t="s">
        <v>66</v>
      </c>
      <c r="K3" s="103" t="s">
        <v>174</v>
      </c>
      <c r="L3" s="116">
        <f>COUNTIF(B$2:B3, "C")/COUNTA(B$2:B3)</f>
        <v>1</v>
      </c>
      <c r="M3" s="116">
        <f>COUNTIF(C$2:C3, "C")/COUNTA(C$2:C3)</f>
        <v>1</v>
      </c>
      <c r="N3" s="116">
        <f>COUNTIF(D$2:D3, "C")/COUNTA(D$2:D3)</f>
        <v>1</v>
      </c>
      <c r="O3" s="116">
        <f>COUNTIF(E$2:E3, "C")/COUNTA(E$2:E3)</f>
        <v>1</v>
      </c>
      <c r="P3" s="117">
        <f>COUNTIF(F$2:F3, "C")/COUNTA(F$2:F3)</f>
        <v>1</v>
      </c>
      <c r="Q3" s="116">
        <f>COUNTIF(G$2:G3, "C")/COUNTA(G$2:G3)</f>
        <v>0.5</v>
      </c>
      <c r="R3" s="116">
        <f>COUNTIF(H$2:H3, "C")/COUNTA(H$2:H3)</f>
        <v>1</v>
      </c>
      <c r="S3" s="116">
        <f>COUNTIF(I$2:I3, "C")/COUNTA(I$2:I3)</f>
        <v>1</v>
      </c>
      <c r="T3" s="116">
        <f>COUNTIF(J$2:J3, "C")/COUNTA(J$2:J3)</f>
        <v>0.5</v>
      </c>
      <c r="U3" s="117">
        <f>COUNTIF(K$2:K3, "C")/COUNTA(K$2:K3)</f>
        <v>0.5</v>
      </c>
      <c r="W3" s="68" t="s">
        <v>177</v>
      </c>
      <c r="X3" s="47">
        <v>0</v>
      </c>
      <c r="Y3" s="47">
        <v>1</v>
      </c>
      <c r="Z3" s="47">
        <v>0</v>
      </c>
      <c r="AA3" s="47">
        <v>0</v>
      </c>
      <c r="AB3" s="115">
        <v>1</v>
      </c>
      <c r="AC3" s="47">
        <v>4</v>
      </c>
      <c r="AD3" s="47">
        <v>4</v>
      </c>
      <c r="AE3" s="47">
        <v>5</v>
      </c>
      <c r="AF3" s="47">
        <v>6</v>
      </c>
      <c r="AG3" s="115">
        <v>4</v>
      </c>
      <c r="AH3" s="56">
        <f>SUM(X$2:X3)/COUNT(X$2:X3)</f>
        <v>0</v>
      </c>
      <c r="AI3" s="56">
        <f>SUM(Y$2:Y3)/COUNT(Y$2:Y3)</f>
        <v>1</v>
      </c>
      <c r="AJ3" s="56">
        <f>SUM(Z$2:Z3)/COUNT(Z$2:Z3)</f>
        <v>0</v>
      </c>
      <c r="AK3" s="56">
        <f>SUM(AA$2:AA3)/COUNT(AA$2:AA3)</f>
        <v>0</v>
      </c>
      <c r="AL3" s="121">
        <f>SUM(AB$2:AB3)/COUNT(AB$2:AB3)</f>
        <v>1</v>
      </c>
      <c r="AM3" s="56">
        <f>SUM(AC$2:AC3)/COUNT(AC$2:AC3)</f>
        <v>4</v>
      </c>
      <c r="AN3" s="56">
        <f>SUM(AD$2:AD3)/COUNT(AD$2:AD3)</f>
        <v>4</v>
      </c>
      <c r="AO3" s="56">
        <f>SUM(AE$2:AE3)/COUNT(AE$2:AE3)</f>
        <v>5.5</v>
      </c>
      <c r="AP3" s="56">
        <f>SUM(AF$2:AF3)/COUNT(AF$2:AF3)</f>
        <v>6.5</v>
      </c>
      <c r="AQ3" s="121">
        <f>SUM(AG$2:AG3)/COUNT(AG$2:AG3)</f>
        <v>2.5</v>
      </c>
    </row>
    <row r="4" spans="1:43" x14ac:dyDescent="0.2">
      <c r="A4" s="68" t="s">
        <v>166</v>
      </c>
      <c r="B4" s="102" t="s">
        <v>66</v>
      </c>
      <c r="C4" s="102" t="s">
        <v>66</v>
      </c>
      <c r="D4" s="102" t="s">
        <v>66</v>
      </c>
      <c r="E4" s="102" t="s">
        <v>66</v>
      </c>
      <c r="F4" s="103" t="s">
        <v>66</v>
      </c>
      <c r="G4" s="102" t="s">
        <v>66</v>
      </c>
      <c r="H4" s="102" t="s">
        <v>174</v>
      </c>
      <c r="I4" s="102" t="s">
        <v>66</v>
      </c>
      <c r="J4" s="102" t="s">
        <v>66</v>
      </c>
      <c r="K4" s="103" t="s">
        <v>66</v>
      </c>
      <c r="L4" s="116">
        <f>COUNTIF(B$2:B4, "C")/COUNTA(B$2:B4)</f>
        <v>1</v>
      </c>
      <c r="M4" s="116">
        <f>COUNTIF(C$2:C4, "C")/COUNTA(C$2:C4)</f>
        <v>1</v>
      </c>
      <c r="N4" s="116">
        <f>COUNTIF(D$2:D4, "C")/COUNTA(D$2:D4)</f>
        <v>1</v>
      </c>
      <c r="O4" s="116">
        <f>COUNTIF(E$2:E4, "C")/COUNTA(E$2:E4)</f>
        <v>1</v>
      </c>
      <c r="P4" s="117">
        <f>COUNTIF(F$2:F4, "C")/COUNTA(F$2:F4)</f>
        <v>1</v>
      </c>
      <c r="Q4" s="116">
        <f>COUNTIF(G$2:G4, "C")/COUNTA(G$2:G4)</f>
        <v>0.66666666666666663</v>
      </c>
      <c r="R4" s="116">
        <f>COUNTIF(H$2:H4, "C")/COUNTA(H$2:H4)</f>
        <v>0.66666666666666663</v>
      </c>
      <c r="S4" s="116">
        <f>COUNTIF(I$2:I4, "C")/COUNTA(I$2:I4)</f>
        <v>1</v>
      </c>
      <c r="T4" s="116">
        <f>COUNTIF(J$2:J4, "C")/COUNTA(J$2:J4)</f>
        <v>0.66666666666666663</v>
      </c>
      <c r="U4" s="117">
        <f>COUNTIF(K$2:K4, "C")/COUNTA(K$2:K4)</f>
        <v>0.66666666666666663</v>
      </c>
      <c r="W4" s="68" t="s">
        <v>178</v>
      </c>
      <c r="X4" s="47">
        <v>1</v>
      </c>
      <c r="Y4" s="47">
        <v>0</v>
      </c>
      <c r="Z4" s="47">
        <v>0</v>
      </c>
      <c r="AA4" s="47">
        <v>62</v>
      </c>
      <c r="AB4" s="115">
        <v>0</v>
      </c>
      <c r="AC4" s="47">
        <v>5</v>
      </c>
      <c r="AD4" s="47">
        <v>4</v>
      </c>
      <c r="AE4" s="47">
        <v>4</v>
      </c>
      <c r="AF4" s="47">
        <v>6</v>
      </c>
      <c r="AG4" s="115">
        <v>3</v>
      </c>
      <c r="AH4" s="56">
        <f>SUM(X$2:X4)/COUNT(X$2:X4)</f>
        <v>0.33333333333333331</v>
      </c>
      <c r="AI4" s="56">
        <f>SUM(Y$2:Y4)/COUNT(Y$2:Y4)</f>
        <v>0.66666666666666663</v>
      </c>
      <c r="AJ4" s="56">
        <f>SUM(Z$2:Z4)/COUNT(Z$2:Z4)</f>
        <v>0</v>
      </c>
      <c r="AK4" s="56">
        <f>SUM(AA$2:AA4)/COUNT(AA$2:AA4)</f>
        <v>20.666666666666668</v>
      </c>
      <c r="AL4" s="121">
        <f>SUM(AB$2:AB4)/COUNT(AB$2:AB4)</f>
        <v>0.66666666666666663</v>
      </c>
      <c r="AM4" s="56">
        <f>SUM(AC$2:AC4)/COUNT(AC$2:AC4)</f>
        <v>4.333333333333333</v>
      </c>
      <c r="AN4" s="56">
        <f>SUM(AD$2:AD4)/COUNT(AD$2:AD4)</f>
        <v>4</v>
      </c>
      <c r="AO4" s="56">
        <f>SUM(AE$2:AE4)/COUNT(AE$2:AE4)</f>
        <v>5</v>
      </c>
      <c r="AP4" s="56">
        <f>SUM(AF$2:AF4)/COUNT(AF$2:AF4)</f>
        <v>6.333333333333333</v>
      </c>
      <c r="AQ4" s="121">
        <f>SUM(AG$2:AG4)/COUNT(AG$2:AG4)</f>
        <v>2.6666666666666665</v>
      </c>
    </row>
    <row r="5" spans="1:43" x14ac:dyDescent="0.2">
      <c r="A5" s="68" t="s">
        <v>167</v>
      </c>
      <c r="B5" s="102" t="s">
        <v>66</v>
      </c>
      <c r="C5" s="102" t="s">
        <v>66</v>
      </c>
      <c r="D5" s="102" t="s">
        <v>66</v>
      </c>
      <c r="E5" s="102" t="s">
        <v>66</v>
      </c>
      <c r="F5" s="103" t="s">
        <v>66</v>
      </c>
      <c r="G5" s="102" t="s">
        <v>66</v>
      </c>
      <c r="H5" s="102" t="s">
        <v>174</v>
      </c>
      <c r="I5" s="102" t="s">
        <v>66</v>
      </c>
      <c r="J5" s="102" t="s">
        <v>174</v>
      </c>
      <c r="K5" s="103" t="s">
        <v>66</v>
      </c>
      <c r="L5" s="116">
        <f>COUNTIF(B$2:B5, "C")/COUNTA(B$2:B5)</f>
        <v>1</v>
      </c>
      <c r="M5" s="116">
        <f>COUNTIF(C$2:C5, "C")/COUNTA(C$2:C5)</f>
        <v>1</v>
      </c>
      <c r="N5" s="116">
        <f>COUNTIF(D$2:D5, "C")/COUNTA(D$2:D5)</f>
        <v>1</v>
      </c>
      <c r="O5" s="116">
        <f>COUNTIF(E$2:E5, "C")/COUNTA(E$2:E5)</f>
        <v>1</v>
      </c>
      <c r="P5" s="117">
        <f>COUNTIF(F$2:F5, "C")/COUNTA(F$2:F5)</f>
        <v>1</v>
      </c>
      <c r="Q5" s="116">
        <f>COUNTIF(G$2:G5, "C")/COUNTA(G$2:G5)</f>
        <v>0.75</v>
      </c>
      <c r="R5" s="116">
        <f>COUNTIF(H$2:H5, "C")/COUNTA(H$2:H5)</f>
        <v>0.5</v>
      </c>
      <c r="S5" s="116">
        <f>COUNTIF(I$2:I5, "C")/COUNTA(I$2:I5)</f>
        <v>1</v>
      </c>
      <c r="T5" s="116">
        <f>COUNTIF(J$2:J5, "C")/COUNTA(J$2:J5)</f>
        <v>0.5</v>
      </c>
      <c r="U5" s="117">
        <f>COUNTIF(K$2:K5, "C")/COUNTA(K$2:K5)</f>
        <v>0.75</v>
      </c>
      <c r="W5" s="68" t="s">
        <v>179</v>
      </c>
      <c r="X5" s="47">
        <v>0</v>
      </c>
      <c r="Y5" s="47">
        <v>1</v>
      </c>
      <c r="Z5" s="47">
        <v>0</v>
      </c>
      <c r="AA5" s="47">
        <v>0</v>
      </c>
      <c r="AB5" s="115">
        <v>1</v>
      </c>
      <c r="AC5" s="47">
        <v>4</v>
      </c>
      <c r="AD5" s="47">
        <v>4</v>
      </c>
      <c r="AE5" s="47">
        <v>6</v>
      </c>
      <c r="AF5" s="47">
        <v>7</v>
      </c>
      <c r="AG5" s="115">
        <v>2</v>
      </c>
      <c r="AH5" s="56">
        <f>SUM(X$2:X5)/COUNT(X$2:X5)</f>
        <v>0.25</v>
      </c>
      <c r="AI5" s="56">
        <f>SUM(Y$2:Y5)/COUNT(Y$2:Y5)</f>
        <v>0.75</v>
      </c>
      <c r="AJ5" s="56">
        <f>SUM(Z$2:Z5)/COUNT(Z$2:Z5)</f>
        <v>0</v>
      </c>
      <c r="AK5" s="56">
        <f>SUM(AA$2:AA5)/COUNT(AA$2:AA5)</f>
        <v>15.5</v>
      </c>
      <c r="AL5" s="121">
        <f>SUM(AB$2:AB5)/COUNT(AB$2:AB5)</f>
        <v>0.75</v>
      </c>
      <c r="AM5" s="56">
        <f>SUM(AC$2:AC5)/COUNT(AC$2:AC5)</f>
        <v>4.25</v>
      </c>
      <c r="AN5" s="56">
        <f>SUM(AD$2:AD5)/COUNT(AD$2:AD5)</f>
        <v>4</v>
      </c>
      <c r="AO5" s="56">
        <f>SUM(AE$2:AE5)/COUNT(AE$2:AE5)</f>
        <v>5.25</v>
      </c>
      <c r="AP5" s="56">
        <f>SUM(AF$2:AF5)/COUNT(AF$2:AF5)</f>
        <v>6.5</v>
      </c>
      <c r="AQ5" s="121">
        <f>SUM(AG$2:AG5)/COUNT(AG$2:AG5)</f>
        <v>2.5</v>
      </c>
    </row>
    <row r="6" spans="1:43" x14ac:dyDescent="0.2">
      <c r="A6" s="68" t="s">
        <v>168</v>
      </c>
      <c r="B6" s="102" t="s">
        <v>66</v>
      </c>
      <c r="C6" s="102" t="s">
        <v>66</v>
      </c>
      <c r="D6" s="102" t="s">
        <v>66</v>
      </c>
      <c r="E6" s="102" t="s">
        <v>66</v>
      </c>
      <c r="F6" s="103" t="s">
        <v>66</v>
      </c>
      <c r="G6" s="102" t="s">
        <v>174</v>
      </c>
      <c r="H6" s="102" t="s">
        <v>66</v>
      </c>
      <c r="I6" s="102" t="s">
        <v>174</v>
      </c>
      <c r="J6" s="102" t="s">
        <v>66</v>
      </c>
      <c r="K6" s="103" t="s">
        <v>174</v>
      </c>
      <c r="L6" s="116">
        <f>COUNTIF(B$2:B6, "C")/COUNTA(B$2:B6)</f>
        <v>1</v>
      </c>
      <c r="M6" s="116">
        <f>COUNTIF(C$2:C6, "C")/COUNTA(C$2:C6)</f>
        <v>1</v>
      </c>
      <c r="N6" s="116">
        <f>COUNTIF(D$2:D6, "C")/COUNTA(D$2:D6)</f>
        <v>1</v>
      </c>
      <c r="O6" s="116">
        <f>COUNTIF(E$2:E6, "C")/COUNTA(E$2:E6)</f>
        <v>1</v>
      </c>
      <c r="P6" s="117">
        <f>COUNTIF(F$2:F6, "C")/COUNTA(F$2:F6)</f>
        <v>1</v>
      </c>
      <c r="Q6" s="116">
        <f>COUNTIF(G$2:G6, "C")/COUNTA(G$2:G6)</f>
        <v>0.6</v>
      </c>
      <c r="R6" s="116">
        <f>COUNTIF(H$2:H6, "C")/COUNTA(H$2:H6)</f>
        <v>0.6</v>
      </c>
      <c r="S6" s="116">
        <f>COUNTIF(I$2:I6, "C")/COUNTA(I$2:I6)</f>
        <v>0.8</v>
      </c>
      <c r="T6" s="116">
        <f>COUNTIF(J$2:J6, "C")/COUNTA(J$2:J6)</f>
        <v>0.6</v>
      </c>
      <c r="U6" s="117">
        <f>COUNTIF(K$2:K6, "C")/COUNTA(K$2:K6)</f>
        <v>0.6</v>
      </c>
      <c r="W6" s="68" t="s">
        <v>180</v>
      </c>
      <c r="X6" s="47">
        <v>1</v>
      </c>
      <c r="Y6" s="47">
        <v>0</v>
      </c>
      <c r="Z6" s="47">
        <v>0</v>
      </c>
      <c r="AA6" s="47">
        <v>0</v>
      </c>
      <c r="AB6" s="115">
        <v>22</v>
      </c>
      <c r="AC6" s="47">
        <v>4</v>
      </c>
      <c r="AD6" s="47">
        <v>3</v>
      </c>
      <c r="AE6" s="47">
        <v>4</v>
      </c>
      <c r="AF6" s="47">
        <v>6</v>
      </c>
      <c r="AG6" s="115">
        <v>3</v>
      </c>
      <c r="AH6" s="56">
        <f>SUM(X$2:X6)/COUNT(X$2:X6)</f>
        <v>0.4</v>
      </c>
      <c r="AI6" s="56">
        <f>SUM(Y$2:Y6)/COUNT(Y$2:Y6)</f>
        <v>0.6</v>
      </c>
      <c r="AJ6" s="56">
        <f>SUM(Z$2:Z6)/COUNT(Z$2:Z6)</f>
        <v>0</v>
      </c>
      <c r="AK6" s="56">
        <f>SUM(AA$2:AA6)/COUNT(AA$2:AA6)</f>
        <v>12.4</v>
      </c>
      <c r="AL6" s="121">
        <f>SUM(AB$2:AB6)/COUNT(AB$2:AB6)</f>
        <v>5</v>
      </c>
      <c r="AM6" s="56">
        <f>SUM(AC$2:AC6)/COUNT(AC$2:AC6)</f>
        <v>4.2</v>
      </c>
      <c r="AN6" s="56">
        <f>SUM(AD$2:AD6)/COUNT(AD$2:AD6)</f>
        <v>3.8</v>
      </c>
      <c r="AO6" s="56">
        <f>SUM(AE$2:AE6)/COUNT(AE$2:AE6)</f>
        <v>5</v>
      </c>
      <c r="AP6" s="56">
        <f>SUM(AF$2:AF6)/COUNT(AF$2:AF6)</f>
        <v>6.4</v>
      </c>
      <c r="AQ6" s="121">
        <f>SUM(AG$2:AG6)/COUNT(AG$2:AG6)</f>
        <v>2.6</v>
      </c>
    </row>
    <row r="7" spans="1:43" x14ac:dyDescent="0.2">
      <c r="A7" s="68" t="s">
        <v>169</v>
      </c>
      <c r="B7" s="102" t="s">
        <v>66</v>
      </c>
      <c r="C7" s="102" t="s">
        <v>66</v>
      </c>
      <c r="D7" s="102" t="s">
        <v>66</v>
      </c>
      <c r="E7" s="102" t="s">
        <v>66</v>
      </c>
      <c r="F7" s="103" t="s">
        <v>66</v>
      </c>
      <c r="G7" s="102" t="s">
        <v>66</v>
      </c>
      <c r="H7" s="102" t="s">
        <v>174</v>
      </c>
      <c r="I7" s="102" t="s">
        <v>66</v>
      </c>
      <c r="J7" s="102" t="s">
        <v>174</v>
      </c>
      <c r="K7" s="103" t="s">
        <v>66</v>
      </c>
      <c r="L7" s="116">
        <f>COUNTIF(B$2:B7, "C")/COUNTA(B$2:B7)</f>
        <v>1</v>
      </c>
      <c r="M7" s="116">
        <f>COUNTIF(C$2:C7, "C")/COUNTA(C$2:C7)</f>
        <v>1</v>
      </c>
      <c r="N7" s="116">
        <f>COUNTIF(D$2:D7, "C")/COUNTA(D$2:D7)</f>
        <v>1</v>
      </c>
      <c r="O7" s="116">
        <f>COUNTIF(E$2:E7, "C")/COUNTA(E$2:E7)</f>
        <v>1</v>
      </c>
      <c r="P7" s="117">
        <f>COUNTIF(F$2:F7, "C")/COUNTA(F$2:F7)</f>
        <v>1</v>
      </c>
      <c r="Q7" s="116">
        <f>COUNTIF(G$2:G7, "C")/COUNTA(G$2:G7)</f>
        <v>0.66666666666666663</v>
      </c>
      <c r="R7" s="116">
        <f>COUNTIF(H$2:H7, "C")/COUNTA(H$2:H7)</f>
        <v>0.5</v>
      </c>
      <c r="S7" s="116">
        <f>COUNTIF(I$2:I7, "C")/COUNTA(I$2:I7)</f>
        <v>0.83333333333333337</v>
      </c>
      <c r="T7" s="116">
        <f>COUNTIF(J$2:J7, "C")/COUNTA(J$2:J7)</f>
        <v>0.5</v>
      </c>
      <c r="U7" s="117">
        <f>COUNTIF(K$2:K7, "C")/COUNTA(K$2:K7)</f>
        <v>0.66666666666666663</v>
      </c>
      <c r="W7" s="68" t="s">
        <v>181</v>
      </c>
      <c r="X7" s="47">
        <v>0</v>
      </c>
      <c r="Y7" s="47">
        <v>35</v>
      </c>
      <c r="Z7" s="47">
        <v>0</v>
      </c>
      <c r="AA7" s="47">
        <v>0</v>
      </c>
      <c r="AB7" s="115">
        <v>0</v>
      </c>
      <c r="AC7" s="47">
        <v>5</v>
      </c>
      <c r="AD7" s="47">
        <v>4</v>
      </c>
      <c r="AE7" s="47">
        <v>4</v>
      </c>
      <c r="AF7" s="47">
        <v>6</v>
      </c>
      <c r="AG7" s="115">
        <v>3</v>
      </c>
      <c r="AH7" s="56">
        <f>SUM(X$2:X7)/COUNT(X$2:X7)</f>
        <v>0.33333333333333331</v>
      </c>
      <c r="AI7" s="56">
        <f>SUM(Y$2:Y7)/COUNT(Y$2:Y7)</f>
        <v>6.333333333333333</v>
      </c>
      <c r="AJ7" s="56">
        <f>SUM(Z$2:Z7)/COUNT(Z$2:Z7)</f>
        <v>0</v>
      </c>
      <c r="AK7" s="56">
        <f>SUM(AA$2:AA7)/COUNT(AA$2:AA7)</f>
        <v>10.333333333333334</v>
      </c>
      <c r="AL7" s="121">
        <f>SUM(AB$2:AB7)/COUNT(AB$2:AB7)</f>
        <v>4.166666666666667</v>
      </c>
      <c r="AM7" s="56">
        <f>SUM(AC$2:AC7)/COUNT(AC$2:AC7)</f>
        <v>4.333333333333333</v>
      </c>
      <c r="AN7" s="56">
        <f>SUM(AD$2:AD7)/COUNT(AD$2:AD7)</f>
        <v>3.8333333333333335</v>
      </c>
      <c r="AO7" s="56">
        <f>SUM(AE$2:AE7)/COUNT(AE$2:AE7)</f>
        <v>4.833333333333333</v>
      </c>
      <c r="AP7" s="56">
        <f>SUM(AF$2:AF7)/COUNT(AF$2:AF7)</f>
        <v>6.333333333333333</v>
      </c>
      <c r="AQ7" s="121">
        <f>SUM(AG$2:AG7)/COUNT(AG$2:AG7)</f>
        <v>2.6666666666666665</v>
      </c>
    </row>
    <row r="8" spans="1:43" x14ac:dyDescent="0.2">
      <c r="A8" s="68" t="s">
        <v>170</v>
      </c>
      <c r="B8" s="102" t="s">
        <v>66</v>
      </c>
      <c r="C8" s="102" t="s">
        <v>174</v>
      </c>
      <c r="D8" s="102" t="s">
        <v>66</v>
      </c>
      <c r="E8" s="102" t="s">
        <v>174</v>
      </c>
      <c r="F8" s="103" t="s">
        <v>66</v>
      </c>
      <c r="G8" s="102" t="s">
        <v>66</v>
      </c>
      <c r="H8" s="102" t="s">
        <v>66</v>
      </c>
      <c r="I8" s="102" t="s">
        <v>174</v>
      </c>
      <c r="J8" s="102" t="s">
        <v>66</v>
      </c>
      <c r="K8" s="103" t="s">
        <v>174</v>
      </c>
      <c r="L8" s="116">
        <f>COUNTIF(B$2:B8, "C")/COUNTA(B$2:B8)</f>
        <v>1</v>
      </c>
      <c r="M8" s="116">
        <f>COUNTIF(C$2:C8, "C")/COUNTA(C$2:C8)</f>
        <v>0.8571428571428571</v>
      </c>
      <c r="N8" s="116">
        <f>COUNTIF(D$2:D8, "C")/COUNTA(D$2:D8)</f>
        <v>1</v>
      </c>
      <c r="O8" s="116">
        <f>COUNTIF(E$2:E8, "C")/COUNTA(E$2:E8)</f>
        <v>0.8571428571428571</v>
      </c>
      <c r="P8" s="117">
        <f>COUNTIF(F$2:F8, "C")/COUNTA(F$2:F8)</f>
        <v>1</v>
      </c>
      <c r="Q8" s="116">
        <f>COUNTIF(G$2:G8, "C")/COUNTA(G$2:G8)</f>
        <v>0.7142857142857143</v>
      </c>
      <c r="R8" s="116">
        <f>COUNTIF(H$2:H8, "C")/COUNTA(H$2:H8)</f>
        <v>0.5714285714285714</v>
      </c>
      <c r="S8" s="116">
        <f>COUNTIF(I$2:I8, "C")/COUNTA(I$2:I8)</f>
        <v>0.7142857142857143</v>
      </c>
      <c r="T8" s="116">
        <f>COUNTIF(J$2:J8, "C")/COUNTA(J$2:J8)</f>
        <v>0.5714285714285714</v>
      </c>
      <c r="U8" s="117">
        <f>COUNTIF(K$2:K8, "C")/COUNTA(K$2:K8)</f>
        <v>0.5714285714285714</v>
      </c>
      <c r="W8" s="68" t="s">
        <v>182</v>
      </c>
      <c r="X8" s="47">
        <v>0</v>
      </c>
      <c r="Y8" s="47">
        <v>0</v>
      </c>
      <c r="Z8" s="47">
        <v>1</v>
      </c>
      <c r="AA8" s="47">
        <v>0</v>
      </c>
      <c r="AB8" s="115">
        <v>0</v>
      </c>
      <c r="AC8" s="47">
        <v>5</v>
      </c>
      <c r="AD8" s="47">
        <v>3</v>
      </c>
      <c r="AE8" s="47">
        <v>5</v>
      </c>
      <c r="AF8" s="47">
        <v>6</v>
      </c>
      <c r="AG8" s="115">
        <v>3</v>
      </c>
      <c r="AH8" s="56">
        <f>SUM(X$2:X8)/COUNT(X$2:X8)</f>
        <v>0.2857142857142857</v>
      </c>
      <c r="AI8" s="56">
        <f>SUM(Y$2:Y8)/COUNT(Y$2:Y8)</f>
        <v>5.4285714285714288</v>
      </c>
      <c r="AJ8" s="56">
        <f>SUM(Z$2:Z8)/COUNT(Z$2:Z8)</f>
        <v>0.14285714285714285</v>
      </c>
      <c r="AK8" s="56">
        <f>SUM(AA$2:AA8)/COUNT(AA$2:AA8)</f>
        <v>8.8571428571428577</v>
      </c>
      <c r="AL8" s="121">
        <f>SUM(AB$2:AB8)/COUNT(AB$2:AB8)</f>
        <v>3.5714285714285716</v>
      </c>
      <c r="AM8" s="56">
        <f>SUM(AC$2:AC8)/COUNT(AC$2:AC8)</f>
        <v>4.4285714285714288</v>
      </c>
      <c r="AN8" s="56">
        <f>SUM(AD$2:AD8)/COUNT(AD$2:AD8)</f>
        <v>3.7142857142857144</v>
      </c>
      <c r="AO8" s="56">
        <f>SUM(AE$2:AE8)/COUNT(AE$2:AE8)</f>
        <v>4.8571428571428568</v>
      </c>
      <c r="AP8" s="56">
        <f>SUM(AF$2:AF8)/COUNT(AF$2:AF8)</f>
        <v>6.2857142857142856</v>
      </c>
      <c r="AQ8" s="121">
        <f>SUM(AG$2:AG8)/COUNT(AG$2:AG8)</f>
        <v>2.7142857142857144</v>
      </c>
    </row>
    <row r="9" spans="1:43" x14ac:dyDescent="0.2">
      <c r="A9" s="68" t="s">
        <v>171</v>
      </c>
      <c r="B9" s="102" t="s">
        <v>174</v>
      </c>
      <c r="C9" s="102" t="s">
        <v>174</v>
      </c>
      <c r="D9" s="102" t="s">
        <v>66</v>
      </c>
      <c r="E9" s="102" t="s">
        <v>174</v>
      </c>
      <c r="F9" s="103" t="s">
        <v>174</v>
      </c>
      <c r="G9" s="102" t="s">
        <v>66</v>
      </c>
      <c r="H9" s="102" t="s">
        <v>174</v>
      </c>
      <c r="I9" s="102" t="s">
        <v>66</v>
      </c>
      <c r="J9" s="102" t="s">
        <v>66</v>
      </c>
      <c r="K9" s="103" t="s">
        <v>66</v>
      </c>
      <c r="L9" s="116">
        <f>COUNTIF(B$2:B9, "C")/COUNTA(B$2:B9)</f>
        <v>0.875</v>
      </c>
      <c r="M9" s="116">
        <f>COUNTIF(C$2:C9, "C")/COUNTA(C$2:C9)</f>
        <v>0.75</v>
      </c>
      <c r="N9" s="116">
        <f>COUNTIF(D$2:D9, "C")/COUNTA(D$2:D9)</f>
        <v>1</v>
      </c>
      <c r="O9" s="116">
        <f>COUNTIF(E$2:E9, "C")/COUNTA(E$2:E9)</f>
        <v>0.75</v>
      </c>
      <c r="P9" s="117">
        <f>COUNTIF(F$2:F9, "C")/COUNTA(F$2:F9)</f>
        <v>0.875</v>
      </c>
      <c r="Q9" s="116">
        <f>COUNTIF(G$2:G9, "C")/COUNTA(G$2:G9)</f>
        <v>0.75</v>
      </c>
      <c r="R9" s="116">
        <f>COUNTIF(H$2:H9, "C")/COUNTA(H$2:H9)</f>
        <v>0.5</v>
      </c>
      <c r="S9" s="116">
        <f>COUNTIF(I$2:I9, "C")/COUNTA(I$2:I9)</f>
        <v>0.75</v>
      </c>
      <c r="T9" s="116">
        <f>COUNTIF(J$2:J9, "C")/COUNTA(J$2:J9)</f>
        <v>0.625</v>
      </c>
      <c r="U9" s="117">
        <f>COUNTIF(K$2:K9, "C")/COUNTA(K$2:K9)</f>
        <v>0.625</v>
      </c>
      <c r="W9" s="68" t="s">
        <v>183</v>
      </c>
      <c r="X9" s="47">
        <v>1</v>
      </c>
      <c r="Y9" s="47">
        <v>0</v>
      </c>
      <c r="Z9" s="47">
        <v>48</v>
      </c>
      <c r="AA9" s="47">
        <v>0</v>
      </c>
      <c r="AB9" s="115">
        <v>0</v>
      </c>
      <c r="AC9" s="47">
        <v>4</v>
      </c>
      <c r="AD9" s="47">
        <v>4</v>
      </c>
      <c r="AE9" s="47">
        <v>5</v>
      </c>
      <c r="AF9" s="47">
        <v>6</v>
      </c>
      <c r="AG9" s="115">
        <v>2</v>
      </c>
      <c r="AH9" s="56">
        <f>SUM(X$2:X9)/COUNT(X$2:X9)</f>
        <v>0.375</v>
      </c>
      <c r="AI9" s="56">
        <f>SUM(Y$2:Y9)/COUNT(Y$2:Y9)</f>
        <v>4.75</v>
      </c>
      <c r="AJ9" s="56">
        <f>SUM(Z$2:Z9)/COUNT(Z$2:Z9)</f>
        <v>6.125</v>
      </c>
      <c r="AK9" s="56">
        <f>SUM(AA$2:AA9)/COUNT(AA$2:AA9)</f>
        <v>7.75</v>
      </c>
      <c r="AL9" s="121">
        <f>SUM(AB$2:AB9)/COUNT(AB$2:AB9)</f>
        <v>3.125</v>
      </c>
      <c r="AM9" s="56">
        <f>SUM(AC$2:AC9)/COUNT(AC$2:AC9)</f>
        <v>4.375</v>
      </c>
      <c r="AN9" s="56">
        <f>SUM(AD$2:AD9)/COUNT(AD$2:AD9)</f>
        <v>3.75</v>
      </c>
      <c r="AO9" s="56">
        <f>SUM(AE$2:AE9)/COUNT(AE$2:AE9)</f>
        <v>4.875</v>
      </c>
      <c r="AP9" s="56">
        <f>SUM(AF$2:AF9)/COUNT(AF$2:AF9)</f>
        <v>6.25</v>
      </c>
      <c r="AQ9" s="121">
        <f>SUM(AG$2:AG9)/COUNT(AG$2:AG9)</f>
        <v>2.625</v>
      </c>
    </row>
    <row r="10" spans="1:43" x14ac:dyDescent="0.2">
      <c r="A10" s="68" t="s">
        <v>172</v>
      </c>
      <c r="B10" s="102" t="s">
        <v>174</v>
      </c>
      <c r="C10" s="102" t="s">
        <v>174</v>
      </c>
      <c r="D10" s="102" t="s">
        <v>174</v>
      </c>
      <c r="E10" s="102" t="s">
        <v>174</v>
      </c>
      <c r="F10" s="103" t="s">
        <v>174</v>
      </c>
      <c r="G10" s="102" t="s">
        <v>174</v>
      </c>
      <c r="H10" s="102" t="s">
        <v>66</v>
      </c>
      <c r="I10" s="102" t="s">
        <v>66</v>
      </c>
      <c r="J10" s="102" t="s">
        <v>174</v>
      </c>
      <c r="K10" s="103" t="s">
        <v>66</v>
      </c>
      <c r="L10" s="116">
        <f>COUNTIF(B$2:B10, "C")/COUNTA(B$2:B10)</f>
        <v>0.77777777777777779</v>
      </c>
      <c r="M10" s="116">
        <f>COUNTIF(C$2:C10, "C")/COUNTA(C$2:C10)</f>
        <v>0.66666666666666663</v>
      </c>
      <c r="N10" s="116">
        <f>COUNTIF(D$2:D10, "C")/COUNTA(D$2:D10)</f>
        <v>0.88888888888888884</v>
      </c>
      <c r="O10" s="116">
        <f>COUNTIF(E$2:E10, "C")/COUNTA(E$2:E10)</f>
        <v>0.66666666666666663</v>
      </c>
      <c r="P10" s="117">
        <f>COUNTIF(F$2:F10, "C")/COUNTA(F$2:F10)</f>
        <v>0.77777777777777779</v>
      </c>
      <c r="Q10" s="116">
        <f>COUNTIF(G$2:G10, "C")/COUNTA(G$2:G10)</f>
        <v>0.66666666666666663</v>
      </c>
      <c r="R10" s="116">
        <f>COUNTIF(H$2:H10, "C")/COUNTA(H$2:H10)</f>
        <v>0.55555555555555558</v>
      </c>
      <c r="S10" s="116">
        <f>COUNTIF(I$2:I10, "C")/COUNTA(I$2:I10)</f>
        <v>0.77777777777777779</v>
      </c>
      <c r="T10" s="116">
        <f>COUNTIF(J$2:J10, "C")/COUNTA(J$2:J10)</f>
        <v>0.55555555555555558</v>
      </c>
      <c r="U10" s="117">
        <f>COUNTIF(K$2:K10, "C")/COUNTA(K$2:K10)</f>
        <v>0.66666666666666663</v>
      </c>
      <c r="W10" s="68" t="s">
        <v>184</v>
      </c>
      <c r="X10" s="47">
        <v>0</v>
      </c>
      <c r="Y10" s="47">
        <v>0</v>
      </c>
      <c r="Z10" s="47">
        <v>0</v>
      </c>
      <c r="AA10" s="47">
        <v>0</v>
      </c>
      <c r="AB10" s="115">
        <v>1</v>
      </c>
      <c r="AC10" s="47">
        <v>4</v>
      </c>
      <c r="AD10" s="47">
        <v>4</v>
      </c>
      <c r="AE10" s="47">
        <v>5</v>
      </c>
      <c r="AF10" s="47">
        <v>6</v>
      </c>
      <c r="AG10" s="115">
        <v>3</v>
      </c>
      <c r="AH10" s="56">
        <f>SUM(X$2:X10)/COUNT(X$2:X10)</f>
        <v>0.33333333333333331</v>
      </c>
      <c r="AI10" s="56">
        <f>SUM(Y$2:Y10)/COUNT(Y$2:Y10)</f>
        <v>4.2222222222222223</v>
      </c>
      <c r="AJ10" s="56">
        <f>SUM(Z$2:Z10)/COUNT(Z$2:Z10)</f>
        <v>5.4444444444444446</v>
      </c>
      <c r="AK10" s="56">
        <f>SUM(AA$2:AA10)/COUNT(AA$2:AA10)</f>
        <v>6.8888888888888893</v>
      </c>
      <c r="AL10" s="121">
        <f>SUM(AB$2:AB10)/COUNT(AB$2:AB10)</f>
        <v>2.8888888888888888</v>
      </c>
      <c r="AM10" s="56">
        <f>SUM(AC$2:AC10)/COUNT(AC$2:AC10)</f>
        <v>4.333333333333333</v>
      </c>
      <c r="AN10" s="56">
        <f>SUM(AD$2:AD10)/COUNT(AD$2:AD10)</f>
        <v>3.7777777777777777</v>
      </c>
      <c r="AO10" s="56">
        <f>SUM(AE$2:AE10)/COUNT(AE$2:AE10)</f>
        <v>4.8888888888888893</v>
      </c>
      <c r="AP10" s="56">
        <f>SUM(AF$2:AF10)/COUNT(AF$2:AF10)</f>
        <v>6.2222222222222223</v>
      </c>
      <c r="AQ10" s="121">
        <f>SUM(AG$2:AG10)/COUNT(AG$2:AG10)</f>
        <v>2.6666666666666665</v>
      </c>
    </row>
    <row r="11" spans="1:43" x14ac:dyDescent="0.2">
      <c r="A11" s="68" t="s">
        <v>173</v>
      </c>
      <c r="B11" s="102" t="s">
        <v>174</v>
      </c>
      <c r="C11" s="102" t="s">
        <v>174</v>
      </c>
      <c r="D11" s="102" t="s">
        <v>174</v>
      </c>
      <c r="E11" s="102" t="s">
        <v>174</v>
      </c>
      <c r="F11" s="103" t="s">
        <v>174</v>
      </c>
      <c r="G11" s="102" t="s">
        <v>66</v>
      </c>
      <c r="H11" s="102" t="s">
        <v>66</v>
      </c>
      <c r="I11" s="102" t="s">
        <v>66</v>
      </c>
      <c r="J11" s="102" t="s">
        <v>66</v>
      </c>
      <c r="K11" s="103" t="s">
        <v>66</v>
      </c>
      <c r="L11" s="116">
        <f>COUNTIF(B$2:B11, "C")/COUNTA(B$2:B11)</f>
        <v>0.7</v>
      </c>
      <c r="M11" s="116">
        <f>COUNTIF(C$2:C11, "C")/COUNTA(C$2:C11)</f>
        <v>0.6</v>
      </c>
      <c r="N11" s="116">
        <f>COUNTIF(D$2:D11, "C")/COUNTA(D$2:D11)</f>
        <v>0.8</v>
      </c>
      <c r="O11" s="116">
        <f>COUNTIF(E$2:E11, "C")/COUNTA(E$2:E11)</f>
        <v>0.6</v>
      </c>
      <c r="P11" s="117">
        <f>COUNTIF(F$2:F11, "C")/COUNTA(F$2:F11)</f>
        <v>0.7</v>
      </c>
      <c r="Q11" s="116">
        <f>COUNTIF(G$2:G11, "C")/COUNTA(G$2:G11)</f>
        <v>0.7</v>
      </c>
      <c r="R11" s="116">
        <f>COUNTIF(H$2:H11, "C")/COUNTA(H$2:H11)</f>
        <v>0.6</v>
      </c>
      <c r="S11" s="116">
        <f>COUNTIF(I$2:I11, "C")/COUNTA(I$2:I11)</f>
        <v>0.8</v>
      </c>
      <c r="T11" s="116">
        <f>COUNTIF(J$2:J11, "C")/COUNTA(J$2:J11)</f>
        <v>0.6</v>
      </c>
      <c r="U11" s="117">
        <f>COUNTIF(K$2:K11, "C")/COUNTA(K$2:K11)</f>
        <v>0.7</v>
      </c>
      <c r="W11" s="68" t="s">
        <v>185</v>
      </c>
      <c r="X11" s="47">
        <v>40</v>
      </c>
      <c r="Y11" s="47">
        <v>0</v>
      </c>
      <c r="Z11" s="47">
        <v>0</v>
      </c>
      <c r="AA11" s="47">
        <v>0</v>
      </c>
      <c r="AB11" s="115">
        <v>1</v>
      </c>
      <c r="AC11" s="47">
        <v>4</v>
      </c>
      <c r="AD11" s="47">
        <v>4</v>
      </c>
      <c r="AE11" s="47">
        <v>5</v>
      </c>
      <c r="AF11" s="47">
        <v>6</v>
      </c>
      <c r="AG11" s="115">
        <v>3</v>
      </c>
      <c r="AH11" s="56">
        <f>SUM(X$2:X11)/COUNT(X$2:X11)</f>
        <v>4.3</v>
      </c>
      <c r="AI11" s="56">
        <f>SUM(Y$2:Y11)/COUNT(Y$2:Y11)</f>
        <v>3.8</v>
      </c>
      <c r="AJ11" s="56">
        <f>SUM(Z$2:Z11)/COUNT(Z$2:Z11)</f>
        <v>4.9000000000000004</v>
      </c>
      <c r="AK11" s="56">
        <f>SUM(AA$2:AA11)/COUNT(AA$2:AA11)</f>
        <v>6.2</v>
      </c>
      <c r="AL11" s="121">
        <f>SUM(AB$2:AB11)/COUNT(AB$2:AB11)</f>
        <v>2.7</v>
      </c>
      <c r="AM11" s="56">
        <f>SUM(AC$2:AC11)/COUNT(AC$2:AC11)</f>
        <v>4.3</v>
      </c>
      <c r="AN11" s="56">
        <f>SUM(AD$2:AD11)/COUNT(AD$2:AD11)</f>
        <v>3.8</v>
      </c>
      <c r="AO11" s="56">
        <f>SUM(AE$2:AE11)/COUNT(AE$2:AE11)</f>
        <v>4.9000000000000004</v>
      </c>
      <c r="AP11" s="56">
        <f>SUM(AF$2:AF11)/COUNT(AF$2:AF11)</f>
        <v>6.2</v>
      </c>
      <c r="AQ11" s="121">
        <f>SUM(AG$2:AG11)/COUNT(AG$2:AG11)</f>
        <v>2.7</v>
      </c>
    </row>
    <row r="12" spans="1:43" x14ac:dyDescent="0.2">
      <c r="A12" s="68" t="s">
        <v>187</v>
      </c>
      <c r="B12" s="47" t="s">
        <v>174</v>
      </c>
      <c r="C12" s="47" t="s">
        <v>174</v>
      </c>
      <c r="D12" s="47" t="s">
        <v>174</v>
      </c>
      <c r="E12" s="47" t="s">
        <v>174</v>
      </c>
      <c r="F12" s="115" t="s">
        <v>174</v>
      </c>
      <c r="G12" s="102" t="s">
        <v>66</v>
      </c>
      <c r="H12" s="102" t="s">
        <v>66</v>
      </c>
      <c r="I12" s="102" t="s">
        <v>66</v>
      </c>
      <c r="J12" s="102" t="s">
        <v>174</v>
      </c>
      <c r="K12" s="103" t="s">
        <v>66</v>
      </c>
      <c r="L12" s="116">
        <f>COUNTIF(B$2:B12, "C")/COUNTA(B$2:B12)</f>
        <v>0.63636363636363635</v>
      </c>
      <c r="M12" s="116">
        <f>COUNTIF(C$2:C12, "C")/COUNTA(C$2:C12)</f>
        <v>0.54545454545454541</v>
      </c>
      <c r="N12" s="116">
        <f>COUNTIF(D$2:D12, "C")/COUNTA(D$2:D12)</f>
        <v>0.72727272727272729</v>
      </c>
      <c r="O12" s="116">
        <f>COUNTIF(E$2:E12, "C")/COUNTA(E$2:E12)</f>
        <v>0.54545454545454541</v>
      </c>
      <c r="P12" s="117">
        <f>COUNTIF(F$2:F12, "C")/COUNTA(F$2:F12)</f>
        <v>0.63636363636363635</v>
      </c>
      <c r="Q12" s="116">
        <f>COUNTIF(G$2:G12, "C")/COUNTA(G$2:G12)</f>
        <v>0.72727272727272729</v>
      </c>
      <c r="R12" s="116">
        <f>COUNTIF(H$2:H12, "C")/COUNTA(H$2:H12)</f>
        <v>0.63636363636363635</v>
      </c>
      <c r="S12" s="116">
        <f>COUNTIF(I$2:I12, "C")/COUNTA(I$2:I12)</f>
        <v>0.81818181818181823</v>
      </c>
      <c r="T12" s="116">
        <f>COUNTIF(J$2:J12, "C")/COUNTA(J$2:J12)</f>
        <v>0.54545454545454541</v>
      </c>
      <c r="U12" s="117">
        <f>COUNTIF(K$2:K12, "C")/COUNTA(K$2:K12)</f>
        <v>0.72727272727272729</v>
      </c>
      <c r="W12" s="68" t="s">
        <v>197</v>
      </c>
      <c r="X12" s="47">
        <v>0</v>
      </c>
      <c r="Y12" s="47">
        <v>0</v>
      </c>
      <c r="Z12" s="47">
        <v>1</v>
      </c>
      <c r="AA12" s="47">
        <v>0</v>
      </c>
      <c r="AB12" s="115">
        <v>0</v>
      </c>
      <c r="AC12" s="47">
        <v>4</v>
      </c>
      <c r="AD12" s="47">
        <v>4</v>
      </c>
      <c r="AE12" s="47">
        <v>6</v>
      </c>
      <c r="AF12" s="47">
        <v>7</v>
      </c>
      <c r="AG12" s="115">
        <v>1</v>
      </c>
      <c r="AH12" s="56">
        <f>SUM(X$2:X12)/COUNT(X$2:X12)</f>
        <v>3.9090909090909092</v>
      </c>
      <c r="AI12" s="56">
        <f>SUM(Y$2:Y12)/COUNT(Y$2:Y12)</f>
        <v>3.4545454545454546</v>
      </c>
      <c r="AJ12" s="56">
        <f>SUM(Z$2:Z12)/COUNT(Z$2:Z12)</f>
        <v>4.5454545454545459</v>
      </c>
      <c r="AK12" s="56">
        <f>SUM(AA$2:AA12)/COUNT(AA$2:AA12)</f>
        <v>5.6363636363636367</v>
      </c>
      <c r="AL12" s="121">
        <f>SUM(AB$2:AB12)/COUNT(AB$2:AB12)</f>
        <v>2.4545454545454546</v>
      </c>
      <c r="AM12" s="56">
        <f>SUM(AC$2:AC12)/COUNT(AC$2:AC12)</f>
        <v>4.2727272727272725</v>
      </c>
      <c r="AN12" s="56">
        <f>SUM(AD$2:AD12)/COUNT(AD$2:AD12)</f>
        <v>3.8181818181818183</v>
      </c>
      <c r="AO12" s="56">
        <f>SUM(AE$2:AE12)/COUNT(AE$2:AE12)</f>
        <v>5</v>
      </c>
      <c r="AP12" s="56">
        <f>SUM(AF$2:AF12)/COUNT(AF$2:AF12)</f>
        <v>6.2727272727272725</v>
      </c>
      <c r="AQ12" s="121">
        <f>SUM(AG$2:AG12)/COUNT(AG$2:AG12)</f>
        <v>2.5454545454545454</v>
      </c>
    </row>
    <row r="13" spans="1:43" x14ac:dyDescent="0.2">
      <c r="A13" s="68" t="s">
        <v>188</v>
      </c>
      <c r="B13" s="47" t="s">
        <v>174</v>
      </c>
      <c r="C13" s="47" t="s">
        <v>174</v>
      </c>
      <c r="D13" s="47" t="s">
        <v>174</v>
      </c>
      <c r="E13" s="47" t="s">
        <v>174</v>
      </c>
      <c r="F13" s="115" t="s">
        <v>174</v>
      </c>
      <c r="G13" s="102" t="s">
        <v>174</v>
      </c>
      <c r="H13" s="102" t="s">
        <v>66</v>
      </c>
      <c r="I13" s="102" t="s">
        <v>66</v>
      </c>
      <c r="J13" s="102" t="s">
        <v>66</v>
      </c>
      <c r="K13" s="103" t="s">
        <v>174</v>
      </c>
      <c r="L13" s="116">
        <f>COUNTIF(B$2:B13, "C")/COUNTA(B$2:B13)</f>
        <v>0.58333333333333337</v>
      </c>
      <c r="M13" s="116">
        <f>COUNTIF(C$2:C13, "C")/COUNTA(C$2:C13)</f>
        <v>0.5</v>
      </c>
      <c r="N13" s="116">
        <f>COUNTIF(D$2:D13, "C")/COUNTA(D$2:D13)</f>
        <v>0.66666666666666663</v>
      </c>
      <c r="O13" s="116">
        <f>COUNTIF(E$2:E13, "C")/COUNTA(E$2:E13)</f>
        <v>0.5</v>
      </c>
      <c r="P13" s="117">
        <f>COUNTIF(F$2:F13, "C")/COUNTA(F$2:F13)</f>
        <v>0.58333333333333337</v>
      </c>
      <c r="Q13" s="116">
        <f>COUNTIF(G$2:G13, "C")/COUNTA(G$2:G13)</f>
        <v>0.66666666666666663</v>
      </c>
      <c r="R13" s="116">
        <f>COUNTIF(H$2:H13, "C")/COUNTA(H$2:H13)</f>
        <v>0.66666666666666663</v>
      </c>
      <c r="S13" s="116">
        <f>COUNTIF(I$2:I13, "C")/COUNTA(I$2:I13)</f>
        <v>0.83333333333333337</v>
      </c>
      <c r="T13" s="116">
        <f>COUNTIF(J$2:J13, "C")/COUNTA(J$2:J13)</f>
        <v>0.58333333333333337</v>
      </c>
      <c r="U13" s="117">
        <f>COUNTIF(K$2:K13, "C")/COUNTA(K$2:K13)</f>
        <v>0.66666666666666663</v>
      </c>
      <c r="W13" s="68" t="s">
        <v>198</v>
      </c>
      <c r="X13" s="47">
        <v>0</v>
      </c>
      <c r="Y13" s="47">
        <v>0</v>
      </c>
      <c r="Z13" s="47">
        <v>0</v>
      </c>
      <c r="AA13" s="47">
        <v>0</v>
      </c>
      <c r="AB13" s="115">
        <v>0</v>
      </c>
      <c r="AC13" s="47">
        <v>4</v>
      </c>
      <c r="AD13" s="47">
        <v>4</v>
      </c>
      <c r="AE13" s="47">
        <v>5</v>
      </c>
      <c r="AF13" s="47">
        <v>6</v>
      </c>
      <c r="AG13" s="115">
        <v>4</v>
      </c>
      <c r="AH13" s="56">
        <f>SUM(X$2:X13)/COUNT(X$2:X13)</f>
        <v>3.5833333333333335</v>
      </c>
      <c r="AI13" s="56">
        <f>SUM(Y$2:Y13)/COUNT(Y$2:Y13)</f>
        <v>3.1666666666666665</v>
      </c>
      <c r="AJ13" s="56">
        <f>SUM(Z$2:Z13)/COUNT(Z$2:Z13)</f>
        <v>4.166666666666667</v>
      </c>
      <c r="AK13" s="56">
        <f>SUM(AA$2:AA13)/COUNT(AA$2:AA13)</f>
        <v>5.166666666666667</v>
      </c>
      <c r="AL13" s="121">
        <f>SUM(AB$2:AB13)/COUNT(AB$2:AB13)</f>
        <v>2.25</v>
      </c>
      <c r="AM13" s="56">
        <f>SUM(AC$2:AC13)/COUNT(AC$2:AC13)</f>
        <v>4.25</v>
      </c>
      <c r="AN13" s="56">
        <f>SUM(AD$2:AD13)/COUNT(AD$2:AD13)</f>
        <v>3.8333333333333335</v>
      </c>
      <c r="AO13" s="56">
        <f>SUM(AE$2:AE13)/COUNT(AE$2:AE13)</f>
        <v>5</v>
      </c>
      <c r="AP13" s="56">
        <f>SUM(AF$2:AF13)/COUNT(AF$2:AF13)</f>
        <v>6.25</v>
      </c>
      <c r="AQ13" s="121">
        <f>SUM(AG$2:AG13)/COUNT(AG$2:AG13)</f>
        <v>2.6666666666666665</v>
      </c>
    </row>
    <row r="14" spans="1:43" x14ac:dyDescent="0.2">
      <c r="A14" s="68" t="s">
        <v>189</v>
      </c>
      <c r="B14" s="47" t="s">
        <v>174</v>
      </c>
      <c r="C14" s="47" t="s">
        <v>174</v>
      </c>
      <c r="D14" s="47" t="s">
        <v>174</v>
      </c>
      <c r="E14" s="47" t="s">
        <v>174</v>
      </c>
      <c r="F14" s="115" t="s">
        <v>174</v>
      </c>
      <c r="G14" s="102" t="s">
        <v>66</v>
      </c>
      <c r="H14" s="102" t="s">
        <v>174</v>
      </c>
      <c r="I14" s="102" t="s">
        <v>66</v>
      </c>
      <c r="J14" s="102" t="s">
        <v>66</v>
      </c>
      <c r="K14" s="103" t="s">
        <v>66</v>
      </c>
      <c r="L14" s="116">
        <f>COUNTIF(B$2:B14, "C")/COUNTA(B$2:B14)</f>
        <v>0.53846153846153844</v>
      </c>
      <c r="M14" s="116">
        <f>COUNTIF(C$2:C14, "C")/COUNTA(C$2:C14)</f>
        <v>0.46153846153846156</v>
      </c>
      <c r="N14" s="116">
        <f>COUNTIF(D$2:D14, "C")/COUNTA(D$2:D14)</f>
        <v>0.61538461538461542</v>
      </c>
      <c r="O14" s="116">
        <f>COUNTIF(E$2:E14, "C")/COUNTA(E$2:E14)</f>
        <v>0.46153846153846156</v>
      </c>
      <c r="P14" s="117">
        <f>COUNTIF(F$2:F14, "C")/COUNTA(F$2:F14)</f>
        <v>0.53846153846153844</v>
      </c>
      <c r="Q14" s="116">
        <f>COUNTIF(G$2:G14, "C")/COUNTA(G$2:G14)</f>
        <v>0.69230769230769229</v>
      </c>
      <c r="R14" s="116">
        <f>COUNTIF(H$2:H14, "C")/COUNTA(H$2:H14)</f>
        <v>0.61538461538461542</v>
      </c>
      <c r="S14" s="116">
        <f>COUNTIF(I$2:I14, "C")/COUNTA(I$2:I14)</f>
        <v>0.84615384615384615</v>
      </c>
      <c r="T14" s="116">
        <f>COUNTIF(J$2:J14, "C")/COUNTA(J$2:J14)</f>
        <v>0.61538461538461542</v>
      </c>
      <c r="U14" s="117">
        <f>COUNTIF(K$2:K14, "C")/COUNTA(K$2:K14)</f>
        <v>0.69230769230769229</v>
      </c>
      <c r="W14" s="68" t="s">
        <v>199</v>
      </c>
      <c r="X14" s="47">
        <v>0</v>
      </c>
      <c r="Y14" s="47">
        <v>0</v>
      </c>
      <c r="Z14" s="47">
        <v>1</v>
      </c>
      <c r="AA14" s="47">
        <v>0</v>
      </c>
      <c r="AB14" s="115">
        <v>0</v>
      </c>
      <c r="AC14" s="47">
        <v>5</v>
      </c>
      <c r="AD14" s="47">
        <v>4</v>
      </c>
      <c r="AE14" s="47">
        <v>4</v>
      </c>
      <c r="AF14" s="47">
        <v>6</v>
      </c>
      <c r="AG14" s="115">
        <v>3</v>
      </c>
      <c r="AH14" s="56">
        <f>SUM(X$2:X14)/COUNT(X$2:X14)</f>
        <v>3.3076923076923075</v>
      </c>
      <c r="AI14" s="56">
        <f>SUM(Y$2:Y14)/COUNT(Y$2:Y14)</f>
        <v>2.9230769230769229</v>
      </c>
      <c r="AJ14" s="56">
        <f>SUM(Z$2:Z14)/COUNT(Z$2:Z14)</f>
        <v>3.9230769230769229</v>
      </c>
      <c r="AK14" s="56">
        <f>SUM(AA$2:AA14)/COUNT(AA$2:AA14)</f>
        <v>4.7692307692307692</v>
      </c>
      <c r="AL14" s="121">
        <f>SUM(AB$2:AB14)/COUNT(AB$2:AB14)</f>
        <v>2.0769230769230771</v>
      </c>
      <c r="AM14" s="56">
        <f>SUM(AC$2:AC14)/COUNT(AC$2:AC14)</f>
        <v>4.3076923076923075</v>
      </c>
      <c r="AN14" s="56">
        <f>SUM(AD$2:AD14)/COUNT(AD$2:AD14)</f>
        <v>3.8461538461538463</v>
      </c>
      <c r="AO14" s="56">
        <f>SUM(AE$2:AE14)/COUNT(AE$2:AE14)</f>
        <v>4.9230769230769234</v>
      </c>
      <c r="AP14" s="56">
        <f>SUM(AF$2:AF14)/COUNT(AF$2:AF14)</f>
        <v>6.2307692307692308</v>
      </c>
      <c r="AQ14" s="121">
        <f>SUM(AG$2:AG14)/COUNT(AG$2:AG14)</f>
        <v>2.6923076923076925</v>
      </c>
    </row>
    <row r="15" spans="1:43" x14ac:dyDescent="0.2">
      <c r="A15" s="68" t="s">
        <v>190</v>
      </c>
      <c r="B15" s="47" t="s">
        <v>174</v>
      </c>
      <c r="C15" s="47" t="s">
        <v>174</v>
      </c>
      <c r="D15" s="47" t="s">
        <v>174</v>
      </c>
      <c r="E15" s="47" t="s">
        <v>174</v>
      </c>
      <c r="F15" s="115" t="s">
        <v>174</v>
      </c>
      <c r="G15" s="102" t="s">
        <v>66</v>
      </c>
      <c r="H15" s="102" t="s">
        <v>174</v>
      </c>
      <c r="I15" s="102" t="s">
        <v>66</v>
      </c>
      <c r="J15" s="102" t="s">
        <v>174</v>
      </c>
      <c r="K15" s="103" t="s">
        <v>66</v>
      </c>
      <c r="L15" s="116">
        <f>COUNTIF(B$2:B15, "C")/COUNTA(B$2:B15)</f>
        <v>0.5</v>
      </c>
      <c r="M15" s="116">
        <f>COUNTIF(C$2:C15, "C")/COUNTA(C$2:C15)</f>
        <v>0.42857142857142855</v>
      </c>
      <c r="N15" s="116">
        <f>COUNTIF(D$2:D15, "C")/COUNTA(D$2:D15)</f>
        <v>0.5714285714285714</v>
      </c>
      <c r="O15" s="116">
        <f>COUNTIF(E$2:E15, "C")/COUNTA(E$2:E15)</f>
        <v>0.42857142857142855</v>
      </c>
      <c r="P15" s="117">
        <f>COUNTIF(F$2:F15, "C")/COUNTA(F$2:F15)</f>
        <v>0.5</v>
      </c>
      <c r="Q15" s="116">
        <f>COUNTIF(G$2:G15, "C")/COUNTA(G$2:G15)</f>
        <v>0.7142857142857143</v>
      </c>
      <c r="R15" s="116">
        <f>COUNTIF(H$2:H15, "C")/COUNTA(H$2:H15)</f>
        <v>0.5714285714285714</v>
      </c>
      <c r="S15" s="116">
        <f>COUNTIF(I$2:I15, "C")/COUNTA(I$2:I15)</f>
        <v>0.8571428571428571</v>
      </c>
      <c r="T15" s="116">
        <f>COUNTIF(J$2:J15, "C")/COUNTA(J$2:J15)</f>
        <v>0.5714285714285714</v>
      </c>
      <c r="U15" s="117">
        <f>COUNTIF(K$2:K15, "C")/COUNTA(K$2:K15)</f>
        <v>0.7142857142857143</v>
      </c>
      <c r="W15" s="68" t="s">
        <v>200</v>
      </c>
      <c r="X15" s="47">
        <v>0</v>
      </c>
      <c r="Y15" s="47">
        <v>0</v>
      </c>
      <c r="Z15" s="47">
        <v>0</v>
      </c>
      <c r="AA15" s="47">
        <v>0</v>
      </c>
      <c r="AB15" s="115">
        <v>1</v>
      </c>
      <c r="AC15" s="47">
        <v>4</v>
      </c>
      <c r="AD15" s="47">
        <v>4</v>
      </c>
      <c r="AE15" s="47">
        <v>6</v>
      </c>
      <c r="AF15" s="47">
        <v>7</v>
      </c>
      <c r="AG15" s="115">
        <v>2</v>
      </c>
      <c r="AH15" s="56">
        <f>SUM(X$2:X15)/COUNT(X$2:X15)</f>
        <v>3.0714285714285716</v>
      </c>
      <c r="AI15" s="56">
        <f>SUM(Y$2:Y15)/COUNT(Y$2:Y15)</f>
        <v>2.7142857142857144</v>
      </c>
      <c r="AJ15" s="56">
        <f>SUM(Z$2:Z15)/COUNT(Z$2:Z15)</f>
        <v>3.6428571428571428</v>
      </c>
      <c r="AK15" s="56">
        <f>SUM(AA$2:AA15)/COUNT(AA$2:AA15)</f>
        <v>4.4285714285714288</v>
      </c>
      <c r="AL15" s="121">
        <f>SUM(AB$2:AB15)/COUNT(AB$2:AB15)</f>
        <v>2</v>
      </c>
      <c r="AM15" s="56">
        <f>SUM(AC$2:AC15)/COUNT(AC$2:AC15)</f>
        <v>4.2857142857142856</v>
      </c>
      <c r="AN15" s="56">
        <f>SUM(AD$2:AD15)/COUNT(AD$2:AD15)</f>
        <v>3.8571428571428572</v>
      </c>
      <c r="AO15" s="56">
        <f>SUM(AE$2:AE15)/COUNT(AE$2:AE15)</f>
        <v>5</v>
      </c>
      <c r="AP15" s="56">
        <f>SUM(AF$2:AF15)/COUNT(AF$2:AF15)</f>
        <v>6.2857142857142856</v>
      </c>
      <c r="AQ15" s="121">
        <f>SUM(AG$2:AG15)/COUNT(AG$2:AG15)</f>
        <v>2.6428571428571428</v>
      </c>
    </row>
    <row r="16" spans="1:43" x14ac:dyDescent="0.2">
      <c r="A16" s="68" t="s">
        <v>191</v>
      </c>
      <c r="B16" s="47" t="s">
        <v>174</v>
      </c>
      <c r="C16" s="47" t="s">
        <v>174</v>
      </c>
      <c r="D16" s="47" t="s">
        <v>174</v>
      </c>
      <c r="E16" s="47" t="s">
        <v>174</v>
      </c>
      <c r="F16" s="115" t="s">
        <v>174</v>
      </c>
      <c r="G16" s="102" t="s">
        <v>174</v>
      </c>
      <c r="H16" s="102" t="s">
        <v>66</v>
      </c>
      <c r="I16" s="102" t="s">
        <v>174</v>
      </c>
      <c r="J16" s="102" t="s">
        <v>66</v>
      </c>
      <c r="K16" s="103" t="s">
        <v>174</v>
      </c>
      <c r="L16" s="116">
        <f>COUNTIF(B$2:B16, "C")/COUNTA(B$2:B16)</f>
        <v>0.46666666666666667</v>
      </c>
      <c r="M16" s="116">
        <f>COUNTIF(C$2:C16, "C")/COUNTA(C$2:C16)</f>
        <v>0.4</v>
      </c>
      <c r="N16" s="116">
        <f>COUNTIF(D$2:D16, "C")/COUNTA(D$2:D16)</f>
        <v>0.53333333333333333</v>
      </c>
      <c r="O16" s="116">
        <f>COUNTIF(E$2:E16, "C")/COUNTA(E$2:E16)</f>
        <v>0.4</v>
      </c>
      <c r="P16" s="117">
        <f>COUNTIF(F$2:F16, "C")/COUNTA(F$2:F16)</f>
        <v>0.46666666666666667</v>
      </c>
      <c r="Q16" s="116">
        <f>COUNTIF(G$2:G16, "C")/COUNTA(G$2:G16)</f>
        <v>0.66666666666666663</v>
      </c>
      <c r="R16" s="116">
        <f>COUNTIF(H$2:H16, "C")/COUNTA(H$2:H16)</f>
        <v>0.6</v>
      </c>
      <c r="S16" s="116">
        <f>COUNTIF(I$2:I16, "C")/COUNTA(I$2:I16)</f>
        <v>0.8</v>
      </c>
      <c r="T16" s="116">
        <f>COUNTIF(J$2:J16, "C")/COUNTA(J$2:J16)</f>
        <v>0.6</v>
      </c>
      <c r="U16" s="117">
        <f>COUNTIF(K$2:K16, "C")/COUNTA(K$2:K16)</f>
        <v>0.66666666666666663</v>
      </c>
      <c r="W16" s="68" t="s">
        <v>201</v>
      </c>
      <c r="X16" s="47">
        <v>0</v>
      </c>
      <c r="Y16" s="47">
        <v>0</v>
      </c>
      <c r="Z16" s="47">
        <v>0</v>
      </c>
      <c r="AA16" s="47">
        <v>0</v>
      </c>
      <c r="AB16" s="115">
        <v>0</v>
      </c>
      <c r="AC16" s="47">
        <v>4</v>
      </c>
      <c r="AD16" s="47">
        <v>3</v>
      </c>
      <c r="AE16" s="47">
        <v>4</v>
      </c>
      <c r="AF16" s="47">
        <v>6</v>
      </c>
      <c r="AG16" s="115">
        <v>3</v>
      </c>
      <c r="AH16" s="56">
        <f>SUM(X$2:X16)/COUNT(X$2:X16)</f>
        <v>2.8666666666666667</v>
      </c>
      <c r="AI16" s="56">
        <f>SUM(Y$2:Y16)/COUNT(Y$2:Y16)</f>
        <v>2.5333333333333332</v>
      </c>
      <c r="AJ16" s="56">
        <f>SUM(Z$2:Z16)/COUNT(Z$2:Z16)</f>
        <v>3.4</v>
      </c>
      <c r="AK16" s="56">
        <f>SUM(AA$2:AA16)/COUNT(AA$2:AA16)</f>
        <v>4.1333333333333337</v>
      </c>
      <c r="AL16" s="121">
        <f>SUM(AB$2:AB16)/COUNT(AB$2:AB16)</f>
        <v>1.8666666666666667</v>
      </c>
      <c r="AM16" s="56">
        <f>SUM(AC$2:AC16)/COUNT(AC$2:AC16)</f>
        <v>4.2666666666666666</v>
      </c>
      <c r="AN16" s="56">
        <f>SUM(AD$2:AD16)/COUNT(AD$2:AD16)</f>
        <v>3.8</v>
      </c>
      <c r="AO16" s="56">
        <f>SUM(AE$2:AE16)/COUNT(AE$2:AE16)</f>
        <v>4.9333333333333336</v>
      </c>
      <c r="AP16" s="56">
        <f>SUM(AF$2:AF16)/COUNT(AF$2:AF16)</f>
        <v>6.2666666666666666</v>
      </c>
      <c r="AQ16" s="121">
        <f>SUM(AG$2:AG16)/COUNT(AG$2:AG16)</f>
        <v>2.6666666666666665</v>
      </c>
    </row>
    <row r="17" spans="1:43" x14ac:dyDescent="0.2">
      <c r="A17" s="68" t="s">
        <v>192</v>
      </c>
      <c r="B17" s="47" t="s">
        <v>174</v>
      </c>
      <c r="C17" s="47" t="s">
        <v>174</v>
      </c>
      <c r="D17" s="47" t="s">
        <v>174</v>
      </c>
      <c r="E17" s="47" t="s">
        <v>174</v>
      </c>
      <c r="F17" s="115" t="s">
        <v>174</v>
      </c>
      <c r="G17" s="102" t="s">
        <v>66</v>
      </c>
      <c r="H17" s="102" t="s">
        <v>174</v>
      </c>
      <c r="I17" s="102" t="s">
        <v>66</v>
      </c>
      <c r="J17" s="102" t="s">
        <v>174</v>
      </c>
      <c r="K17" s="103" t="s">
        <v>66</v>
      </c>
      <c r="L17" s="116">
        <f>COUNTIF(B$2:B17, "C")/COUNTA(B$2:B17)</f>
        <v>0.4375</v>
      </c>
      <c r="M17" s="116">
        <f>COUNTIF(C$2:C17, "C")/COUNTA(C$2:C17)</f>
        <v>0.375</v>
      </c>
      <c r="N17" s="116">
        <f>COUNTIF(D$2:D17, "C")/COUNTA(D$2:D17)</f>
        <v>0.5</v>
      </c>
      <c r="O17" s="116">
        <f>COUNTIF(E$2:E17, "C")/COUNTA(E$2:E17)</f>
        <v>0.375</v>
      </c>
      <c r="P17" s="117">
        <f>COUNTIF(F$2:F17, "C")/COUNTA(F$2:F17)</f>
        <v>0.4375</v>
      </c>
      <c r="Q17" s="116">
        <f>COUNTIF(G$2:G17, "C")/COUNTA(G$2:G17)</f>
        <v>0.6875</v>
      </c>
      <c r="R17" s="116">
        <f>COUNTIF(H$2:H17, "C")/COUNTA(H$2:H17)</f>
        <v>0.5625</v>
      </c>
      <c r="S17" s="116">
        <f>COUNTIF(I$2:I17, "C")/COUNTA(I$2:I17)</f>
        <v>0.8125</v>
      </c>
      <c r="T17" s="116">
        <f>COUNTIF(J$2:J17, "C")/COUNTA(J$2:J17)</f>
        <v>0.5625</v>
      </c>
      <c r="U17" s="117">
        <f>COUNTIF(K$2:K17, "C")/COUNTA(K$2:K17)</f>
        <v>0.6875</v>
      </c>
      <c r="W17" s="68" t="s">
        <v>202</v>
      </c>
      <c r="X17" s="47">
        <v>1</v>
      </c>
      <c r="Y17" s="47">
        <v>0</v>
      </c>
      <c r="Z17" s="47">
        <v>0</v>
      </c>
      <c r="AA17" s="47">
        <v>0</v>
      </c>
      <c r="AB17" s="115">
        <v>0</v>
      </c>
      <c r="AC17" s="47">
        <v>5</v>
      </c>
      <c r="AD17" s="47">
        <v>4</v>
      </c>
      <c r="AE17" s="47">
        <v>4</v>
      </c>
      <c r="AF17" s="47">
        <v>6</v>
      </c>
      <c r="AG17" s="115">
        <v>3</v>
      </c>
      <c r="AH17" s="56">
        <f>SUM(X$2:X17)/COUNT(X$2:X17)</f>
        <v>2.75</v>
      </c>
      <c r="AI17" s="56">
        <f>SUM(Y$2:Y17)/COUNT(Y$2:Y17)</f>
        <v>2.375</v>
      </c>
      <c r="AJ17" s="56">
        <f>SUM(Z$2:Z17)/COUNT(Z$2:Z17)</f>
        <v>3.1875</v>
      </c>
      <c r="AK17" s="56">
        <f>SUM(AA$2:AA17)/COUNT(AA$2:AA17)</f>
        <v>3.875</v>
      </c>
      <c r="AL17" s="121">
        <f>SUM(AB$2:AB17)/COUNT(AB$2:AB17)</f>
        <v>1.75</v>
      </c>
      <c r="AM17" s="56">
        <f>SUM(AC$2:AC17)/COUNT(AC$2:AC17)</f>
        <v>4.3125</v>
      </c>
      <c r="AN17" s="56">
        <f>SUM(AD$2:AD17)/COUNT(AD$2:AD17)</f>
        <v>3.8125</v>
      </c>
      <c r="AO17" s="56">
        <f>SUM(AE$2:AE17)/COUNT(AE$2:AE17)</f>
        <v>4.875</v>
      </c>
      <c r="AP17" s="56">
        <f>SUM(AF$2:AF17)/COUNT(AF$2:AF17)</f>
        <v>6.25</v>
      </c>
      <c r="AQ17" s="121">
        <f>SUM(AG$2:AG17)/COUNT(AG$2:AG17)</f>
        <v>2.6875</v>
      </c>
    </row>
    <row r="18" spans="1:43" x14ac:dyDescent="0.2">
      <c r="A18" s="68" t="s">
        <v>193</v>
      </c>
      <c r="B18" s="47" t="s">
        <v>174</v>
      </c>
      <c r="C18" s="47" t="s">
        <v>174</v>
      </c>
      <c r="D18" s="47" t="s">
        <v>174</v>
      </c>
      <c r="E18" s="47" t="s">
        <v>174</v>
      </c>
      <c r="F18" s="115" t="s">
        <v>174</v>
      </c>
      <c r="G18" s="102" t="s">
        <v>66</v>
      </c>
      <c r="H18" s="102" t="s">
        <v>66</v>
      </c>
      <c r="I18" s="102" t="s">
        <v>174</v>
      </c>
      <c r="J18" s="102" t="s">
        <v>66</v>
      </c>
      <c r="K18" s="103" t="s">
        <v>174</v>
      </c>
      <c r="L18" s="116">
        <f>COUNTIF(B$2:B18, "C")/COUNTA(B$2:B18)</f>
        <v>0.41176470588235292</v>
      </c>
      <c r="M18" s="116">
        <f>COUNTIF(C$2:C18, "C")/COUNTA(C$2:C18)</f>
        <v>0.35294117647058826</v>
      </c>
      <c r="N18" s="116">
        <f>COUNTIF(D$2:D18, "C")/COUNTA(D$2:D18)</f>
        <v>0.47058823529411764</v>
      </c>
      <c r="O18" s="116">
        <f>COUNTIF(E$2:E18, "C")/COUNTA(E$2:E18)</f>
        <v>0.35294117647058826</v>
      </c>
      <c r="P18" s="117">
        <f>COUNTIF(F$2:F18, "C")/COUNTA(F$2:F18)</f>
        <v>0.41176470588235292</v>
      </c>
      <c r="Q18" s="116">
        <f>COUNTIF(G$2:G18, "C")/COUNTA(G$2:G18)</f>
        <v>0.70588235294117652</v>
      </c>
      <c r="R18" s="116">
        <f>COUNTIF(H$2:H18, "C")/COUNTA(H$2:H18)</f>
        <v>0.58823529411764708</v>
      </c>
      <c r="S18" s="116">
        <f>COUNTIF(I$2:I18, "C")/COUNTA(I$2:I18)</f>
        <v>0.76470588235294112</v>
      </c>
      <c r="T18" s="116">
        <f>COUNTIF(J$2:J18, "C")/COUNTA(J$2:J18)</f>
        <v>0.58823529411764708</v>
      </c>
      <c r="U18" s="117">
        <f>COUNTIF(K$2:K18, "C")/COUNTA(K$2:K18)</f>
        <v>0.6470588235294118</v>
      </c>
      <c r="W18" s="68" t="s">
        <v>203</v>
      </c>
      <c r="X18" s="47">
        <v>0</v>
      </c>
      <c r="Y18" s="47">
        <v>0</v>
      </c>
      <c r="Z18" s="47">
        <v>1</v>
      </c>
      <c r="AA18" s="47">
        <v>0</v>
      </c>
      <c r="AB18" s="115">
        <v>0</v>
      </c>
      <c r="AC18" s="47">
        <v>5</v>
      </c>
      <c r="AD18" s="47">
        <v>3</v>
      </c>
      <c r="AE18" s="47">
        <v>5</v>
      </c>
      <c r="AF18" s="47">
        <v>6</v>
      </c>
      <c r="AG18" s="115">
        <v>3</v>
      </c>
      <c r="AH18" s="56">
        <f>SUM(X$2:X18)/COUNT(X$2:X18)</f>
        <v>2.5882352941176472</v>
      </c>
      <c r="AI18" s="56">
        <f>SUM(Y$2:Y18)/COUNT(Y$2:Y18)</f>
        <v>2.2352941176470589</v>
      </c>
      <c r="AJ18" s="56">
        <f>SUM(Z$2:Z18)/COUNT(Z$2:Z18)</f>
        <v>3.0588235294117645</v>
      </c>
      <c r="AK18" s="56">
        <f>SUM(AA$2:AA18)/COUNT(AA$2:AA18)</f>
        <v>3.6470588235294117</v>
      </c>
      <c r="AL18" s="121">
        <f>SUM(AB$2:AB18)/COUNT(AB$2:AB18)</f>
        <v>1.6470588235294117</v>
      </c>
      <c r="AM18" s="56">
        <f>SUM(AC$2:AC18)/COUNT(AC$2:AC18)</f>
        <v>4.3529411764705879</v>
      </c>
      <c r="AN18" s="56">
        <f>SUM(AD$2:AD18)/COUNT(AD$2:AD18)</f>
        <v>3.7647058823529411</v>
      </c>
      <c r="AO18" s="56">
        <f>SUM(AE$2:AE18)/COUNT(AE$2:AE18)</f>
        <v>4.882352941176471</v>
      </c>
      <c r="AP18" s="56">
        <f>SUM(AF$2:AF18)/COUNT(AF$2:AF18)</f>
        <v>6.2352941176470589</v>
      </c>
      <c r="AQ18" s="121">
        <f>SUM(AG$2:AG18)/COUNT(AG$2:AG18)</f>
        <v>2.7058823529411766</v>
      </c>
    </row>
    <row r="19" spans="1:43" x14ac:dyDescent="0.2">
      <c r="A19" s="68" t="s">
        <v>194</v>
      </c>
      <c r="B19" s="47" t="s">
        <v>174</v>
      </c>
      <c r="C19" s="47" t="s">
        <v>174</v>
      </c>
      <c r="D19" s="47" t="s">
        <v>174</v>
      </c>
      <c r="E19" s="47" t="s">
        <v>174</v>
      </c>
      <c r="F19" s="115" t="s">
        <v>174</v>
      </c>
      <c r="G19" s="102" t="s">
        <v>66</v>
      </c>
      <c r="H19" s="102" t="s">
        <v>174</v>
      </c>
      <c r="I19" s="102" t="s">
        <v>66</v>
      </c>
      <c r="J19" s="102" t="s">
        <v>66</v>
      </c>
      <c r="K19" s="103" t="s">
        <v>66</v>
      </c>
      <c r="L19" s="116">
        <f>COUNTIF(B$2:B19, "C")/COUNTA(B$2:B19)</f>
        <v>0.3888888888888889</v>
      </c>
      <c r="M19" s="116">
        <f>COUNTIF(C$2:C19, "C")/COUNTA(C$2:C19)</f>
        <v>0.33333333333333331</v>
      </c>
      <c r="N19" s="116">
        <f>COUNTIF(D$2:D19, "C")/COUNTA(D$2:D19)</f>
        <v>0.44444444444444442</v>
      </c>
      <c r="O19" s="116">
        <f>COUNTIF(E$2:E19, "C")/COUNTA(E$2:E19)</f>
        <v>0.33333333333333331</v>
      </c>
      <c r="P19" s="117">
        <f>COUNTIF(F$2:F19, "C")/COUNTA(F$2:F19)</f>
        <v>0.3888888888888889</v>
      </c>
      <c r="Q19" s="116">
        <f>COUNTIF(G$2:G19, "C")/COUNTA(G$2:G19)</f>
        <v>0.72222222222222221</v>
      </c>
      <c r="R19" s="116">
        <f>COUNTIF(H$2:H19, "C")/COUNTA(H$2:H19)</f>
        <v>0.55555555555555558</v>
      </c>
      <c r="S19" s="116">
        <f>COUNTIF(I$2:I19, "C")/COUNTA(I$2:I19)</f>
        <v>0.77777777777777779</v>
      </c>
      <c r="T19" s="116">
        <f>COUNTIF(J$2:J19, "C")/COUNTA(J$2:J19)</f>
        <v>0.61111111111111116</v>
      </c>
      <c r="U19" s="117">
        <f>COUNTIF(K$2:K19, "C")/COUNTA(K$2:K19)</f>
        <v>0.66666666666666663</v>
      </c>
      <c r="W19" s="68" t="s">
        <v>204</v>
      </c>
      <c r="X19" s="47">
        <v>1</v>
      </c>
      <c r="Y19" s="47">
        <v>0</v>
      </c>
      <c r="Z19" s="47">
        <v>0</v>
      </c>
      <c r="AA19" s="47">
        <v>0</v>
      </c>
      <c r="AB19" s="115">
        <v>0</v>
      </c>
      <c r="AC19" s="47">
        <v>4</v>
      </c>
      <c r="AD19" s="47">
        <v>4</v>
      </c>
      <c r="AE19" s="47">
        <v>5</v>
      </c>
      <c r="AF19" s="47">
        <v>6</v>
      </c>
      <c r="AG19" s="115">
        <v>2</v>
      </c>
      <c r="AH19" s="56">
        <f>SUM(X$2:X19)/COUNT(X$2:X19)</f>
        <v>2.5</v>
      </c>
      <c r="AI19" s="56">
        <f>SUM(Y$2:Y19)/COUNT(Y$2:Y19)</f>
        <v>2.1111111111111112</v>
      </c>
      <c r="AJ19" s="56">
        <f>SUM(Z$2:Z19)/COUNT(Z$2:Z19)</f>
        <v>2.8888888888888888</v>
      </c>
      <c r="AK19" s="56">
        <f>SUM(AA$2:AA19)/COUNT(AA$2:AA19)</f>
        <v>3.4444444444444446</v>
      </c>
      <c r="AL19" s="121">
        <f>SUM(AB$2:AB19)/COUNT(AB$2:AB19)</f>
        <v>1.5555555555555556</v>
      </c>
      <c r="AM19" s="56">
        <f>SUM(AC$2:AC19)/COUNT(AC$2:AC19)</f>
        <v>4.333333333333333</v>
      </c>
      <c r="AN19" s="56">
        <f>SUM(AD$2:AD19)/COUNT(AD$2:AD19)</f>
        <v>3.7777777777777777</v>
      </c>
      <c r="AO19" s="56">
        <f>SUM(AE$2:AE19)/COUNT(AE$2:AE19)</f>
        <v>4.8888888888888893</v>
      </c>
      <c r="AP19" s="56">
        <f>SUM(AF$2:AF19)/COUNT(AF$2:AF19)</f>
        <v>6.2222222222222223</v>
      </c>
      <c r="AQ19" s="121">
        <f>SUM(AG$2:AG19)/COUNT(AG$2:AG19)</f>
        <v>2.6666666666666665</v>
      </c>
    </row>
    <row r="20" spans="1:43" x14ac:dyDescent="0.2">
      <c r="A20" s="68" t="s">
        <v>195</v>
      </c>
      <c r="B20" s="47" t="s">
        <v>174</v>
      </c>
      <c r="C20" s="47" t="s">
        <v>174</v>
      </c>
      <c r="D20" s="47" t="s">
        <v>174</v>
      </c>
      <c r="E20" s="47" t="s">
        <v>174</v>
      </c>
      <c r="F20" s="115" t="s">
        <v>174</v>
      </c>
      <c r="G20" s="102" t="s">
        <v>174</v>
      </c>
      <c r="H20" s="102" t="s">
        <v>66</v>
      </c>
      <c r="I20" s="102" t="s">
        <v>66</v>
      </c>
      <c r="J20" s="102" t="s">
        <v>174</v>
      </c>
      <c r="K20" s="103" t="s">
        <v>66</v>
      </c>
      <c r="L20" s="116">
        <f>COUNTIF(B$2:B20, "C")/COUNTA(B$2:B20)</f>
        <v>0.36842105263157893</v>
      </c>
      <c r="M20" s="116">
        <f>COUNTIF(C$2:C20, "C")/COUNTA(C$2:C20)</f>
        <v>0.31578947368421051</v>
      </c>
      <c r="N20" s="116">
        <f>COUNTIF(D$2:D20, "C")/COUNTA(D$2:D20)</f>
        <v>0.42105263157894735</v>
      </c>
      <c r="O20" s="116">
        <f>COUNTIF(E$2:E20, "C")/COUNTA(E$2:E20)</f>
        <v>0.31578947368421051</v>
      </c>
      <c r="P20" s="117">
        <f>COUNTIF(F$2:F20, "C")/COUNTA(F$2:F20)</f>
        <v>0.36842105263157893</v>
      </c>
      <c r="Q20" s="116">
        <f>COUNTIF(G$2:G20, "C")/COUNTA(G$2:G20)</f>
        <v>0.68421052631578949</v>
      </c>
      <c r="R20" s="116">
        <f>COUNTIF(H$2:H20, "C")/COUNTA(H$2:H20)</f>
        <v>0.57894736842105265</v>
      </c>
      <c r="S20" s="116">
        <f>COUNTIF(I$2:I20, "C")/COUNTA(I$2:I20)</f>
        <v>0.78947368421052633</v>
      </c>
      <c r="T20" s="116">
        <f>COUNTIF(J$2:J20, "C")/COUNTA(J$2:J20)</f>
        <v>0.57894736842105265</v>
      </c>
      <c r="U20" s="117">
        <f>COUNTIF(K$2:K20, "C")/COUNTA(K$2:K20)</f>
        <v>0.68421052631578949</v>
      </c>
      <c r="W20" s="68" t="s">
        <v>205</v>
      </c>
      <c r="X20" s="47">
        <v>0</v>
      </c>
      <c r="Y20" s="47">
        <v>1</v>
      </c>
      <c r="Z20" s="47">
        <v>0</v>
      </c>
      <c r="AA20" s="47">
        <v>0</v>
      </c>
      <c r="AB20" s="115">
        <v>0</v>
      </c>
      <c r="AC20" s="47">
        <v>4</v>
      </c>
      <c r="AD20" s="47">
        <v>4</v>
      </c>
      <c r="AE20" s="47">
        <v>5</v>
      </c>
      <c r="AF20" s="47">
        <v>6</v>
      </c>
      <c r="AG20" s="115">
        <v>3</v>
      </c>
      <c r="AH20" s="56">
        <f>SUM(X$2:X20)/COUNT(X$2:X20)</f>
        <v>2.3684210526315788</v>
      </c>
      <c r="AI20" s="56">
        <f>SUM(Y$2:Y20)/COUNT(Y$2:Y20)</f>
        <v>2.0526315789473686</v>
      </c>
      <c r="AJ20" s="56">
        <f>SUM(Z$2:Z20)/COUNT(Z$2:Z20)</f>
        <v>2.736842105263158</v>
      </c>
      <c r="AK20" s="56">
        <f>SUM(AA$2:AA20)/COUNT(AA$2:AA20)</f>
        <v>3.263157894736842</v>
      </c>
      <c r="AL20" s="121">
        <f>SUM(AB$2:AB20)/COUNT(AB$2:AB20)</f>
        <v>1.4736842105263157</v>
      </c>
      <c r="AM20" s="56">
        <f>SUM(AC$2:AC20)/COUNT(AC$2:AC20)</f>
        <v>4.3157894736842106</v>
      </c>
      <c r="AN20" s="56">
        <f>SUM(AD$2:AD20)/COUNT(AD$2:AD20)</f>
        <v>3.7894736842105261</v>
      </c>
      <c r="AO20" s="56">
        <f>SUM(AE$2:AE20)/COUNT(AE$2:AE20)</f>
        <v>4.8947368421052628</v>
      </c>
      <c r="AP20" s="56">
        <f>SUM(AF$2:AF20)/COUNT(AF$2:AF20)</f>
        <v>6.2105263157894735</v>
      </c>
      <c r="AQ20" s="121">
        <f>SUM(AG$2:AG20)/COUNT(AG$2:AG20)</f>
        <v>2.6842105263157894</v>
      </c>
    </row>
    <row r="21" spans="1:43" x14ac:dyDescent="0.2">
      <c r="A21" s="68" t="s">
        <v>196</v>
      </c>
      <c r="B21" s="47" t="s">
        <v>174</v>
      </c>
      <c r="C21" s="47" t="s">
        <v>174</v>
      </c>
      <c r="D21" s="47" t="s">
        <v>174</v>
      </c>
      <c r="E21" s="47" t="s">
        <v>174</v>
      </c>
      <c r="F21" s="115" t="s">
        <v>174</v>
      </c>
      <c r="G21" s="102" t="s">
        <v>66</v>
      </c>
      <c r="H21" s="102" t="s">
        <v>66</v>
      </c>
      <c r="I21" s="102" t="s">
        <v>66</v>
      </c>
      <c r="J21" s="102" t="s">
        <v>66</v>
      </c>
      <c r="K21" s="103" t="s">
        <v>66</v>
      </c>
      <c r="L21" s="116">
        <f>COUNTIF(B$2:B21, "C")/COUNTA(B$2:B21)</f>
        <v>0.35</v>
      </c>
      <c r="M21" s="116">
        <f>COUNTIF(C$2:C21, "C")/COUNTA(C$2:C21)</f>
        <v>0.3</v>
      </c>
      <c r="N21" s="116">
        <f>COUNTIF(D$2:D21, "C")/COUNTA(D$2:D21)</f>
        <v>0.4</v>
      </c>
      <c r="O21" s="116">
        <f>COUNTIF(E$2:E21, "C")/COUNTA(E$2:E21)</f>
        <v>0.3</v>
      </c>
      <c r="P21" s="117">
        <f>COUNTIF(F$2:F21, "C")/COUNTA(F$2:F21)</f>
        <v>0.35</v>
      </c>
      <c r="Q21" s="116">
        <f>COUNTIF(G$2:G21, "C")/COUNTA(G$2:G21)</f>
        <v>0.7</v>
      </c>
      <c r="R21" s="116">
        <f>COUNTIF(H$2:H21, "C")/COUNTA(H$2:H21)</f>
        <v>0.6</v>
      </c>
      <c r="S21" s="116">
        <f>COUNTIF(I$2:I21, "C")/COUNTA(I$2:I21)</f>
        <v>0.8</v>
      </c>
      <c r="T21" s="116">
        <f>COUNTIF(J$2:J21, "C")/COUNTA(J$2:J21)</f>
        <v>0.6</v>
      </c>
      <c r="U21" s="117">
        <f>COUNTIF(K$2:K21, "C")/COUNTA(K$2:K21)</f>
        <v>0.7</v>
      </c>
      <c r="W21" s="68" t="s">
        <v>206</v>
      </c>
      <c r="X21" s="47">
        <v>0</v>
      </c>
      <c r="Y21" s="47">
        <v>0</v>
      </c>
      <c r="Z21" s="47">
        <v>0</v>
      </c>
      <c r="AA21" s="47">
        <v>0</v>
      </c>
      <c r="AB21" s="115">
        <v>0</v>
      </c>
      <c r="AC21" s="47">
        <v>4</v>
      </c>
      <c r="AD21" s="47">
        <v>4</v>
      </c>
      <c r="AE21" s="47">
        <v>5</v>
      </c>
      <c r="AF21" s="47">
        <v>6</v>
      </c>
      <c r="AG21" s="115">
        <v>3</v>
      </c>
      <c r="AH21" s="56">
        <f>SUM(X$2:X21)/COUNT(X$2:X21)</f>
        <v>2.25</v>
      </c>
      <c r="AI21" s="56">
        <f>SUM(Y$2:Y21)/COUNT(Y$2:Y21)</f>
        <v>1.95</v>
      </c>
      <c r="AJ21" s="56">
        <f>SUM(Z$2:Z21)/COUNT(Z$2:Z21)</f>
        <v>2.6</v>
      </c>
      <c r="AK21" s="56">
        <f>SUM(AA$2:AA21)/COUNT(AA$2:AA21)</f>
        <v>3.1</v>
      </c>
      <c r="AL21" s="121">
        <f>SUM(AB$2:AB21)/COUNT(AB$2:AB21)</f>
        <v>1.4</v>
      </c>
      <c r="AM21" s="56">
        <f>SUM(AC$2:AC21)/COUNT(AC$2:AC21)</f>
        <v>4.3</v>
      </c>
      <c r="AN21" s="56">
        <f>SUM(AD$2:AD21)/COUNT(AD$2:AD21)</f>
        <v>3.8</v>
      </c>
      <c r="AO21" s="56">
        <f>SUM(AE$2:AE21)/COUNT(AE$2:AE21)</f>
        <v>4.9000000000000004</v>
      </c>
      <c r="AP21" s="56">
        <f>SUM(AF$2:AF21)/COUNT(AF$2:AF21)</f>
        <v>6.2</v>
      </c>
      <c r="AQ21" s="121">
        <f>SUM(AG$2:AG21)/COUNT(AG$2:AG21)</f>
        <v>2.7</v>
      </c>
    </row>
    <row r="22" spans="1:43" s="1" customFormat="1" x14ac:dyDescent="0.2">
      <c r="V22" s="123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</row>
    <row r="23" spans="1:43" s="1" customFormat="1" x14ac:dyDescent="0.2">
      <c r="V23" s="123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</row>
    <row r="24" spans="1:43" s="1" customFormat="1" x14ac:dyDescent="0.2">
      <c r="V24" s="123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</row>
    <row r="25" spans="1:43" s="1" customFormat="1" x14ac:dyDescent="0.2">
      <c r="V25" s="123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</row>
    <row r="26" spans="1:43" s="1" customFormat="1" x14ac:dyDescent="0.2">
      <c r="V26" s="123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</row>
    <row r="27" spans="1:43" s="1" customFormat="1" x14ac:dyDescent="0.2">
      <c r="V27" s="123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</row>
    <row r="28" spans="1:43" s="1" customFormat="1" x14ac:dyDescent="0.2">
      <c r="V28" s="123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</row>
    <row r="29" spans="1:43" s="1" customFormat="1" x14ac:dyDescent="0.2">
      <c r="V29" s="123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</row>
    <row r="30" spans="1:43" s="1" customFormat="1" x14ac:dyDescent="0.2">
      <c r="V30" s="123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</row>
    <row r="31" spans="1:43" s="1" customFormat="1" x14ac:dyDescent="0.2">
      <c r="V31" s="123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</row>
    <row r="32" spans="1:43" s="1" customFormat="1" x14ac:dyDescent="0.2">
      <c r="V32" s="123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</row>
    <row r="33" spans="4:43" s="1" customFormat="1" x14ac:dyDescent="0.2">
      <c r="V33" s="123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</row>
    <row r="34" spans="4:43" s="1" customFormat="1" x14ac:dyDescent="0.2">
      <c r="V34" s="123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</row>
    <row r="35" spans="4:43" s="1" customFormat="1" x14ac:dyDescent="0.2">
      <c r="V35" s="123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</row>
    <row r="36" spans="4:43" s="1" customFormat="1" x14ac:dyDescent="0.2">
      <c r="V36" s="123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</row>
    <row r="37" spans="4:43" s="1" customFormat="1" x14ac:dyDescent="0.2"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24"/>
      <c r="W37" s="118"/>
      <c r="X37" s="118"/>
      <c r="Y37" s="118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</row>
    <row r="38" spans="4:43" s="1" customFormat="1" x14ac:dyDescent="0.2">
      <c r="D38" s="110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25"/>
      <c r="W38" s="108"/>
      <c r="X38" s="108"/>
      <c r="Y38" s="119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</row>
    <row r="39" spans="4:43" s="1" customFormat="1" x14ac:dyDescent="0.2">
      <c r="D39" s="110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25"/>
      <c r="W39" s="108"/>
      <c r="X39" s="108"/>
      <c r="Y39" s="119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</row>
    <row r="40" spans="4:43" s="1" customFormat="1" x14ac:dyDescent="0.2">
      <c r="D40" s="110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25"/>
      <c r="W40" s="108"/>
      <c r="X40" s="108"/>
      <c r="Y40" s="119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</row>
    <row r="41" spans="4:43" s="1" customFormat="1" x14ac:dyDescent="0.2">
      <c r="D41" s="110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25"/>
      <c r="W41" s="108"/>
      <c r="X41" s="108"/>
      <c r="Y41" s="119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</row>
    <row r="42" spans="4:43" s="1" customFormat="1" x14ac:dyDescent="0.2">
      <c r="D42" s="110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25"/>
      <c r="W42" s="108"/>
      <c r="X42" s="108"/>
      <c r="Y42" s="119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</row>
    <row r="43" spans="4:43" s="1" customFormat="1" x14ac:dyDescent="0.2">
      <c r="D43" s="110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25"/>
      <c r="W43" s="108"/>
      <c r="X43" s="108"/>
      <c r="Y43" s="119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</row>
    <row r="44" spans="4:43" s="1" customFormat="1" x14ac:dyDescent="0.2">
      <c r="D44" s="110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19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</row>
    <row r="45" spans="4:43" s="1" customFormat="1" x14ac:dyDescent="0.2">
      <c r="D45" s="110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19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</row>
    <row r="46" spans="4:43" s="1" customFormat="1" x14ac:dyDescent="0.2">
      <c r="D46" s="110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19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</row>
    <row r="47" spans="4:43" s="1" customFormat="1" x14ac:dyDescent="0.2">
      <c r="D47" s="110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19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</row>
    <row r="48" spans="4:43" s="1" customFormat="1" x14ac:dyDescent="0.2"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</row>
    <row r="49" spans="4:43" s="1" customFormat="1" x14ac:dyDescent="0.2"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26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</row>
    <row r="50" spans="4:43" s="1" customFormat="1" x14ac:dyDescent="0.2">
      <c r="D50" s="110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</row>
    <row r="51" spans="4:43" s="1" customFormat="1" x14ac:dyDescent="0.2">
      <c r="D51" s="110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</row>
    <row r="52" spans="4:43" s="1" customFormat="1" x14ac:dyDescent="0.2">
      <c r="D52" s="110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</row>
    <row r="53" spans="4:43" s="1" customFormat="1" x14ac:dyDescent="0.2">
      <c r="D53" s="110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</row>
    <row r="54" spans="4:43" s="1" customFormat="1" x14ac:dyDescent="0.2">
      <c r="D54" s="110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</row>
    <row r="55" spans="4:43" s="1" customFormat="1" x14ac:dyDescent="0.2">
      <c r="D55" s="110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</row>
    <row r="56" spans="4:43" x14ac:dyDescent="0.2">
      <c r="D56" s="50"/>
    </row>
    <row r="57" spans="4:43" x14ac:dyDescent="0.2">
      <c r="D57" s="50"/>
    </row>
    <row r="58" spans="4:43" x14ac:dyDescent="0.2">
      <c r="D58" s="50"/>
    </row>
    <row r="59" spans="4:43" x14ac:dyDescent="0.2">
      <c r="D59" s="50"/>
    </row>
  </sheetData>
  <phoneticPr fontId="14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E39-B337-2348-A004-F79258B8B968}">
  <dimension ref="A1:AC50"/>
  <sheetViews>
    <sheetView zoomScale="80" zoomScaleNormal="80" workbookViewId="0">
      <selection activeCell="M34" sqref="M34"/>
    </sheetView>
  </sheetViews>
  <sheetFormatPr baseColWidth="10" defaultRowHeight="16" x14ac:dyDescent="0.2"/>
  <cols>
    <col min="1" max="1" width="6.83203125" style="81" customWidth="1"/>
    <col min="2" max="2" width="10.33203125" style="76" bestFit="1" customWidth="1"/>
    <col min="3" max="3" width="10.33203125" style="81" bestFit="1" customWidth="1"/>
    <col min="4" max="4" width="10.83203125" style="81" bestFit="1" customWidth="1"/>
    <col min="5" max="5" width="9.1640625" style="81" bestFit="1" customWidth="1"/>
    <col min="6" max="6" width="7.83203125" style="81" bestFit="1" customWidth="1"/>
    <col min="7" max="7" width="10.33203125" style="81" bestFit="1" customWidth="1"/>
    <col min="8" max="8" width="8.6640625" style="81" customWidth="1"/>
    <col min="9" max="9" width="6.83203125" style="81" customWidth="1"/>
    <col min="10" max="10" width="9" style="81" bestFit="1" customWidth="1"/>
    <col min="11" max="11" width="9.1640625" style="81" bestFit="1" customWidth="1"/>
    <col min="12" max="12" width="6.83203125" style="81" customWidth="1"/>
    <col min="13" max="13" width="7.5" style="81" customWidth="1"/>
    <col min="14" max="16" width="6.83203125" style="81" customWidth="1"/>
    <col min="17" max="17" width="10.83203125" style="83"/>
    <col min="18" max="18" width="16.83203125" style="83" bestFit="1" customWidth="1"/>
    <col min="19" max="29" width="10.83203125" style="83"/>
    <col min="30" max="16384" width="10.83203125" style="81"/>
  </cols>
  <sheetData>
    <row r="1" spans="1:29" s="76" customFormat="1" x14ac:dyDescent="0.2">
      <c r="B1" s="77"/>
      <c r="C1" s="155" t="s">
        <v>127</v>
      </c>
      <c r="D1" s="155"/>
      <c r="E1" s="155"/>
      <c r="F1" s="155"/>
      <c r="G1" s="155"/>
      <c r="H1" s="155"/>
      <c r="I1" s="156"/>
      <c r="J1" s="155" t="s">
        <v>128</v>
      </c>
      <c r="K1" s="155"/>
      <c r="L1" s="155"/>
      <c r="M1" s="155"/>
      <c r="N1" s="155"/>
      <c r="O1" s="155"/>
      <c r="P1" s="156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</row>
    <row r="2" spans="1:29" s="80" customFormat="1" ht="34" x14ac:dyDescent="0.2">
      <c r="A2" s="152" t="s">
        <v>135</v>
      </c>
      <c r="B2" s="91" t="s">
        <v>122</v>
      </c>
      <c r="C2" s="89" t="s">
        <v>123</v>
      </c>
      <c r="D2" s="89" t="s">
        <v>124</v>
      </c>
      <c r="E2" s="89" t="s">
        <v>125</v>
      </c>
      <c r="F2" s="89" t="s">
        <v>126</v>
      </c>
      <c r="G2" s="89" t="s">
        <v>129</v>
      </c>
      <c r="H2" s="89" t="s">
        <v>130</v>
      </c>
      <c r="I2" s="90" t="s">
        <v>131</v>
      </c>
      <c r="J2" s="89" t="s">
        <v>123</v>
      </c>
      <c r="K2" s="89" t="s">
        <v>124</v>
      </c>
      <c r="L2" s="89" t="s">
        <v>125</v>
      </c>
      <c r="M2" s="89" t="s">
        <v>126</v>
      </c>
      <c r="N2" s="89" t="s">
        <v>129</v>
      </c>
      <c r="O2" s="89" t="s">
        <v>130</v>
      </c>
      <c r="P2" s="90" t="s">
        <v>131</v>
      </c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</row>
    <row r="3" spans="1:29" x14ac:dyDescent="0.2">
      <c r="A3" s="152"/>
      <c r="B3" s="92">
        <v>1</v>
      </c>
      <c r="C3" s="81">
        <v>8.3413940652971998</v>
      </c>
      <c r="G3" s="81">
        <f>AVERAGE($F$3:$F$22)</f>
        <v>3.4551288839138579</v>
      </c>
      <c r="H3" s="81">
        <f>G3+STDEV($F$3:$F$22)</f>
        <v>4.7885323465679264</v>
      </c>
      <c r="I3" s="82">
        <f>G3-STDEV($F$3:$F$22)</f>
        <v>2.1217254212597894</v>
      </c>
      <c r="J3" s="81">
        <v>8.3413940652971998</v>
      </c>
      <c r="N3" s="81">
        <f t="shared" ref="N3:N22" si="0">AVERAGE($M$3:$M$22)</f>
        <v>4.6551288839138474</v>
      </c>
      <c r="O3" s="81">
        <f t="shared" ref="O3:O22" si="1">N3+STDEV($M$3:$M$22)</f>
        <v>7.4259290852955848</v>
      </c>
      <c r="P3" s="82">
        <f t="shared" ref="P3:P22" si="2">N3-STDEV($M$3:$M$22)</f>
        <v>1.8843286825321099</v>
      </c>
    </row>
    <row r="4" spans="1:29" x14ac:dyDescent="0.2">
      <c r="A4" s="152"/>
      <c r="B4" s="92">
        <f>B3+1</f>
        <v>2</v>
      </c>
      <c r="D4" s="81">
        <v>1.4274878645228455</v>
      </c>
      <c r="G4" s="81">
        <f t="shared" ref="G4:G22" si="3">AVERAGE($F$3:$F$22)</f>
        <v>3.4551288839138579</v>
      </c>
      <c r="H4" s="81">
        <f t="shared" ref="H4:H22" si="4">G4+STDEV($F$3:$F$22)</f>
        <v>4.7885323465679264</v>
      </c>
      <c r="I4" s="82">
        <f t="shared" ref="I4:I22" si="5">G4-STDEV($F$3:$F$22)</f>
        <v>2.1217254212597894</v>
      </c>
      <c r="K4" s="81">
        <v>1.4274878645228455</v>
      </c>
      <c r="N4" s="81">
        <f t="shared" si="0"/>
        <v>4.6551288839138474</v>
      </c>
      <c r="O4" s="81">
        <f t="shared" si="1"/>
        <v>7.4259290852955848</v>
      </c>
      <c r="P4" s="82">
        <f t="shared" si="2"/>
        <v>1.8843286825321099</v>
      </c>
    </row>
    <row r="5" spans="1:29" x14ac:dyDescent="0.2">
      <c r="A5" s="152"/>
      <c r="B5" s="92">
        <f t="shared" ref="B5:B22" si="6">B4+1</f>
        <v>3</v>
      </c>
      <c r="E5" s="81">
        <v>3.6021969056746457</v>
      </c>
      <c r="G5" s="81">
        <f t="shared" si="3"/>
        <v>3.4551288839138579</v>
      </c>
      <c r="H5" s="81">
        <f t="shared" si="4"/>
        <v>4.7885323465679264</v>
      </c>
      <c r="I5" s="82">
        <f t="shared" si="5"/>
        <v>2.1217254212597894</v>
      </c>
      <c r="L5" s="81">
        <v>3.6021969056746457</v>
      </c>
      <c r="N5" s="81">
        <f t="shared" si="0"/>
        <v>4.6551288839138474</v>
      </c>
      <c r="O5" s="81">
        <f t="shared" si="1"/>
        <v>7.4259290852955848</v>
      </c>
      <c r="P5" s="82">
        <f t="shared" si="2"/>
        <v>1.8843286825321099</v>
      </c>
    </row>
    <row r="6" spans="1:29" x14ac:dyDescent="0.2">
      <c r="A6" s="152"/>
      <c r="B6" s="92">
        <f t="shared" si="6"/>
        <v>4</v>
      </c>
      <c r="F6" s="81">
        <v>5.4094424588838592</v>
      </c>
      <c r="G6" s="81">
        <f t="shared" si="3"/>
        <v>3.4551288839138579</v>
      </c>
      <c r="H6" s="81">
        <f t="shared" si="4"/>
        <v>4.7885323465679264</v>
      </c>
      <c r="I6" s="82">
        <f t="shared" si="5"/>
        <v>2.1217254212597894</v>
      </c>
      <c r="M6" s="81">
        <v>8.4094424588838006</v>
      </c>
      <c r="N6" s="81">
        <f t="shared" si="0"/>
        <v>4.6551288839138474</v>
      </c>
      <c r="O6" s="81">
        <f t="shared" si="1"/>
        <v>7.4259290852955848</v>
      </c>
      <c r="P6" s="82">
        <f t="shared" si="2"/>
        <v>1.8843286825321099</v>
      </c>
    </row>
    <row r="7" spans="1:29" x14ac:dyDescent="0.2">
      <c r="A7" s="152"/>
      <c r="B7" s="92">
        <f t="shared" si="6"/>
        <v>5</v>
      </c>
      <c r="C7" s="81">
        <v>5.9674832906748598</v>
      </c>
      <c r="G7" s="81">
        <f t="shared" si="3"/>
        <v>3.4551288839138579</v>
      </c>
      <c r="H7" s="81">
        <f t="shared" si="4"/>
        <v>4.7885323465679264</v>
      </c>
      <c r="I7" s="82">
        <f t="shared" si="5"/>
        <v>2.1217254212597894</v>
      </c>
      <c r="J7" s="81">
        <v>5.9674832906748598</v>
      </c>
      <c r="N7" s="81">
        <f t="shared" si="0"/>
        <v>4.6551288839138474</v>
      </c>
      <c r="O7" s="81">
        <f t="shared" si="1"/>
        <v>7.4259290852955848</v>
      </c>
      <c r="P7" s="82">
        <f t="shared" si="2"/>
        <v>1.8843286825321099</v>
      </c>
    </row>
    <row r="8" spans="1:29" x14ac:dyDescent="0.2">
      <c r="A8" s="152"/>
      <c r="B8" s="92">
        <f t="shared" si="6"/>
        <v>6</v>
      </c>
      <c r="D8" s="81">
        <v>1.1761251294519752</v>
      </c>
      <c r="G8" s="81">
        <f t="shared" si="3"/>
        <v>3.4551288839138579</v>
      </c>
      <c r="H8" s="81">
        <f t="shared" si="4"/>
        <v>4.7885323465679264</v>
      </c>
      <c r="I8" s="82">
        <f t="shared" si="5"/>
        <v>2.1217254212597894</v>
      </c>
      <c r="K8" s="81">
        <v>3.1761251294519801</v>
      </c>
      <c r="N8" s="81">
        <f t="shared" si="0"/>
        <v>4.6551288839138474</v>
      </c>
      <c r="O8" s="81">
        <f t="shared" si="1"/>
        <v>7.4259290852955848</v>
      </c>
      <c r="P8" s="82">
        <f t="shared" si="2"/>
        <v>1.8843286825321099</v>
      </c>
    </row>
    <row r="9" spans="1:29" x14ac:dyDescent="0.2">
      <c r="A9" s="152"/>
      <c r="B9" s="92">
        <f t="shared" si="6"/>
        <v>7</v>
      </c>
      <c r="E9" s="81">
        <v>3.9275549928133842</v>
      </c>
      <c r="G9" s="81">
        <f t="shared" si="3"/>
        <v>3.4551288839138579</v>
      </c>
      <c r="H9" s="81">
        <f t="shared" si="4"/>
        <v>4.7885323465679264</v>
      </c>
      <c r="I9" s="82">
        <f t="shared" si="5"/>
        <v>2.1217254212597894</v>
      </c>
      <c r="L9" s="81">
        <v>3.9275549928133842</v>
      </c>
      <c r="N9" s="81">
        <f t="shared" si="0"/>
        <v>4.6551288839138474</v>
      </c>
      <c r="O9" s="81">
        <f t="shared" si="1"/>
        <v>7.4259290852955848</v>
      </c>
      <c r="P9" s="82">
        <f t="shared" si="2"/>
        <v>1.8843286825321099</v>
      </c>
    </row>
    <row r="10" spans="1:29" x14ac:dyDescent="0.2">
      <c r="A10" s="152"/>
      <c r="B10" s="92">
        <f t="shared" si="6"/>
        <v>8</v>
      </c>
      <c r="F10" s="81">
        <v>3.6337279501167359</v>
      </c>
      <c r="G10" s="81">
        <f t="shared" si="3"/>
        <v>3.4551288839138579</v>
      </c>
      <c r="H10" s="81">
        <f t="shared" si="4"/>
        <v>4.7885323465679264</v>
      </c>
      <c r="I10" s="82">
        <f t="shared" si="5"/>
        <v>2.1217254212597894</v>
      </c>
      <c r="M10" s="81">
        <v>6.6337279501167403</v>
      </c>
      <c r="N10" s="81">
        <f t="shared" si="0"/>
        <v>4.6551288839138474</v>
      </c>
      <c r="O10" s="81">
        <f t="shared" si="1"/>
        <v>7.4259290852955848</v>
      </c>
      <c r="P10" s="82">
        <f t="shared" si="2"/>
        <v>1.8843286825321099</v>
      </c>
    </row>
    <row r="11" spans="1:29" x14ac:dyDescent="0.2">
      <c r="A11" s="152"/>
      <c r="B11" s="92">
        <f t="shared" si="6"/>
        <v>9</v>
      </c>
      <c r="C11" s="81">
        <v>8.8003591978631004</v>
      </c>
      <c r="G11" s="81">
        <f t="shared" si="3"/>
        <v>3.4551288839138579</v>
      </c>
      <c r="H11" s="81">
        <f t="shared" si="4"/>
        <v>4.7885323465679264</v>
      </c>
      <c r="I11" s="82">
        <f t="shared" si="5"/>
        <v>2.1217254212597894</v>
      </c>
      <c r="J11" s="81">
        <v>8.8003591978631004</v>
      </c>
      <c r="N11" s="81">
        <f t="shared" si="0"/>
        <v>4.6551288839138474</v>
      </c>
      <c r="O11" s="81">
        <f t="shared" si="1"/>
        <v>7.4259290852955848</v>
      </c>
      <c r="P11" s="82">
        <f t="shared" si="2"/>
        <v>1.8843286825321099</v>
      </c>
    </row>
    <row r="12" spans="1:29" x14ac:dyDescent="0.2">
      <c r="A12" s="152"/>
      <c r="B12" s="92">
        <f t="shared" si="6"/>
        <v>10</v>
      </c>
      <c r="D12" s="81">
        <v>2.0497732344229007</v>
      </c>
      <c r="G12" s="81">
        <f t="shared" si="3"/>
        <v>3.4551288839138579</v>
      </c>
      <c r="H12" s="81">
        <f t="shared" si="4"/>
        <v>4.7885323465679264</v>
      </c>
      <c r="I12" s="82">
        <f t="shared" si="5"/>
        <v>2.1217254212597894</v>
      </c>
      <c r="K12" s="81">
        <v>4.0497732344228998</v>
      </c>
      <c r="N12" s="81">
        <f t="shared" si="0"/>
        <v>4.6551288839138474</v>
      </c>
      <c r="O12" s="81">
        <f t="shared" si="1"/>
        <v>7.4259290852955848</v>
      </c>
      <c r="P12" s="82">
        <f t="shared" si="2"/>
        <v>1.8843286825321099</v>
      </c>
    </row>
    <row r="13" spans="1:29" x14ac:dyDescent="0.2">
      <c r="A13" s="152"/>
      <c r="B13" s="92">
        <f t="shared" si="6"/>
        <v>11</v>
      </c>
      <c r="E13" s="81">
        <v>5.3734332899039146</v>
      </c>
      <c r="G13" s="81">
        <f t="shared" si="3"/>
        <v>3.4551288839138579</v>
      </c>
      <c r="H13" s="81">
        <f t="shared" si="4"/>
        <v>4.7885323465679264</v>
      </c>
      <c r="I13" s="82">
        <f t="shared" si="5"/>
        <v>2.1217254212597894</v>
      </c>
      <c r="L13" s="81">
        <v>5.3734332899039146</v>
      </c>
      <c r="N13" s="81">
        <f t="shared" si="0"/>
        <v>4.6551288839138474</v>
      </c>
      <c r="O13" s="81">
        <f t="shared" si="1"/>
        <v>7.4259290852955848</v>
      </c>
      <c r="P13" s="82">
        <f t="shared" si="2"/>
        <v>1.8843286825321099</v>
      </c>
    </row>
    <row r="14" spans="1:29" x14ac:dyDescent="0.2">
      <c r="A14" s="152"/>
      <c r="B14" s="92">
        <f t="shared" si="6"/>
        <v>12</v>
      </c>
      <c r="F14" s="81">
        <v>1.8113700055691879</v>
      </c>
      <c r="G14" s="81">
        <f t="shared" si="3"/>
        <v>3.4551288839138579</v>
      </c>
      <c r="H14" s="81">
        <f t="shared" si="4"/>
        <v>4.7885323465679264</v>
      </c>
      <c r="I14" s="82">
        <f t="shared" si="5"/>
        <v>2.1217254212597894</v>
      </c>
      <c r="M14" s="81">
        <v>1.8113700055691879</v>
      </c>
      <c r="N14" s="81">
        <f t="shared" si="0"/>
        <v>4.6551288839138474</v>
      </c>
      <c r="O14" s="81">
        <f t="shared" si="1"/>
        <v>7.4259290852955848</v>
      </c>
      <c r="P14" s="82">
        <f t="shared" si="2"/>
        <v>1.8843286825321099</v>
      </c>
    </row>
    <row r="15" spans="1:29" x14ac:dyDescent="0.2">
      <c r="A15" s="152"/>
      <c r="B15" s="92">
        <f t="shared" si="6"/>
        <v>13</v>
      </c>
      <c r="C15" s="81">
        <v>6.0753699320485</v>
      </c>
      <c r="G15" s="81">
        <f t="shared" si="3"/>
        <v>3.4551288839138579</v>
      </c>
      <c r="H15" s="81">
        <f t="shared" si="4"/>
        <v>4.7885323465679264</v>
      </c>
      <c r="I15" s="82">
        <f t="shared" si="5"/>
        <v>2.1217254212597894</v>
      </c>
      <c r="J15" s="81">
        <v>6.0753699320485</v>
      </c>
      <c r="N15" s="81">
        <f t="shared" si="0"/>
        <v>4.6551288839138474</v>
      </c>
      <c r="O15" s="81">
        <f t="shared" si="1"/>
        <v>7.4259290852955848</v>
      </c>
      <c r="P15" s="82">
        <f t="shared" si="2"/>
        <v>1.8843286825321099</v>
      </c>
    </row>
    <row r="16" spans="1:29" x14ac:dyDescent="0.2">
      <c r="A16" s="152"/>
      <c r="B16" s="92">
        <f t="shared" si="6"/>
        <v>14</v>
      </c>
      <c r="D16" s="81">
        <v>0.68450913709239103</v>
      </c>
      <c r="G16" s="81">
        <f t="shared" si="3"/>
        <v>3.4551288839138579</v>
      </c>
      <c r="H16" s="81">
        <f t="shared" si="4"/>
        <v>4.7885323465679264</v>
      </c>
      <c r="I16" s="82">
        <f t="shared" si="5"/>
        <v>2.1217254212597894</v>
      </c>
      <c r="K16" s="81">
        <v>5.6845091370923901</v>
      </c>
      <c r="N16" s="81">
        <f t="shared" si="0"/>
        <v>4.6551288839138474</v>
      </c>
      <c r="O16" s="81">
        <f t="shared" si="1"/>
        <v>7.4259290852955848</v>
      </c>
      <c r="P16" s="82">
        <f t="shared" si="2"/>
        <v>1.8843286825321099</v>
      </c>
    </row>
    <row r="17" spans="1:29" x14ac:dyDescent="0.2">
      <c r="A17" s="152"/>
      <c r="B17" s="92">
        <f t="shared" si="6"/>
        <v>15</v>
      </c>
      <c r="E17" s="81">
        <v>2.9888933643887867</v>
      </c>
      <c r="G17" s="81">
        <f t="shared" si="3"/>
        <v>3.4551288839138579</v>
      </c>
      <c r="H17" s="81">
        <f t="shared" si="4"/>
        <v>4.7885323465679264</v>
      </c>
      <c r="I17" s="82">
        <f t="shared" si="5"/>
        <v>2.1217254212597894</v>
      </c>
      <c r="L17" s="81">
        <v>2.9888933643887867</v>
      </c>
      <c r="N17" s="81">
        <f t="shared" si="0"/>
        <v>4.6551288839138474</v>
      </c>
      <c r="O17" s="81">
        <f t="shared" si="1"/>
        <v>7.4259290852955848</v>
      </c>
      <c r="P17" s="82">
        <f t="shared" si="2"/>
        <v>1.8843286825321099</v>
      </c>
    </row>
    <row r="18" spans="1:29" x14ac:dyDescent="0.2">
      <c r="A18" s="152"/>
      <c r="B18" s="92">
        <f t="shared" si="6"/>
        <v>16</v>
      </c>
      <c r="F18" s="81">
        <v>3.6790821771573974</v>
      </c>
      <c r="G18" s="81">
        <f t="shared" si="3"/>
        <v>3.4551288839138579</v>
      </c>
      <c r="H18" s="81">
        <f t="shared" si="4"/>
        <v>4.7885323465679264</v>
      </c>
      <c r="I18" s="82">
        <f t="shared" si="5"/>
        <v>2.1217254212597894</v>
      </c>
      <c r="M18" s="81">
        <v>3.6790821771573974</v>
      </c>
      <c r="N18" s="81">
        <f t="shared" si="0"/>
        <v>4.6551288839138474</v>
      </c>
      <c r="O18" s="81">
        <f t="shared" si="1"/>
        <v>7.4259290852955848</v>
      </c>
      <c r="P18" s="82">
        <f t="shared" si="2"/>
        <v>1.8843286825321099</v>
      </c>
    </row>
    <row r="19" spans="1:29" x14ac:dyDescent="0.2">
      <c r="A19" s="152"/>
      <c r="B19" s="92">
        <f t="shared" si="6"/>
        <v>17</v>
      </c>
      <c r="C19" s="81">
        <v>7.9992704740871003</v>
      </c>
      <c r="G19" s="81">
        <f t="shared" si="3"/>
        <v>3.4551288839138579</v>
      </c>
      <c r="H19" s="81">
        <f t="shared" si="4"/>
        <v>4.7885323465679264</v>
      </c>
      <c r="I19" s="82">
        <f t="shared" si="5"/>
        <v>2.1217254212597894</v>
      </c>
      <c r="J19" s="81">
        <v>7.9992704740871003</v>
      </c>
      <c r="N19" s="81">
        <f t="shared" si="0"/>
        <v>4.6551288839138474</v>
      </c>
      <c r="O19" s="81">
        <f t="shared" si="1"/>
        <v>7.4259290852955848</v>
      </c>
      <c r="P19" s="82">
        <f t="shared" si="2"/>
        <v>1.8843286825321099</v>
      </c>
    </row>
    <row r="20" spans="1:29" x14ac:dyDescent="0.2">
      <c r="A20" s="152"/>
      <c r="B20" s="92">
        <f t="shared" si="6"/>
        <v>18</v>
      </c>
      <c r="D20" s="81">
        <v>2.7001835911069065</v>
      </c>
      <c r="G20" s="81">
        <f t="shared" si="3"/>
        <v>3.4551288839138579</v>
      </c>
      <c r="H20" s="81">
        <f t="shared" si="4"/>
        <v>4.7885323465679264</v>
      </c>
      <c r="I20" s="82">
        <f t="shared" si="5"/>
        <v>2.1217254212597894</v>
      </c>
      <c r="K20" s="81">
        <v>6.7001835911069101</v>
      </c>
      <c r="N20" s="81">
        <f t="shared" si="0"/>
        <v>4.6551288839138474</v>
      </c>
      <c r="O20" s="81">
        <f t="shared" si="1"/>
        <v>7.4259290852955848</v>
      </c>
      <c r="P20" s="82">
        <f t="shared" si="2"/>
        <v>1.8843286825321099</v>
      </c>
    </row>
    <row r="21" spans="1:29" x14ac:dyDescent="0.2">
      <c r="A21" s="152"/>
      <c r="B21" s="92">
        <f t="shared" si="6"/>
        <v>19</v>
      </c>
      <c r="E21" s="81">
        <v>4.5713783341197995</v>
      </c>
      <c r="G21" s="81">
        <f t="shared" si="3"/>
        <v>3.4551288839138579</v>
      </c>
      <c r="H21" s="81">
        <f t="shared" si="4"/>
        <v>4.7885323465679264</v>
      </c>
      <c r="I21" s="82">
        <f t="shared" si="5"/>
        <v>2.1217254212597894</v>
      </c>
      <c r="L21" s="81">
        <v>4.5713783341197995</v>
      </c>
      <c r="N21" s="81">
        <f t="shared" si="0"/>
        <v>4.6551288839138474</v>
      </c>
      <c r="O21" s="81">
        <f t="shared" si="1"/>
        <v>7.4259290852955848</v>
      </c>
      <c r="P21" s="82">
        <f t="shared" si="2"/>
        <v>1.8843286825321099</v>
      </c>
    </row>
    <row r="22" spans="1:29" x14ac:dyDescent="0.2">
      <c r="A22" s="153"/>
      <c r="B22" s="93">
        <f t="shared" si="6"/>
        <v>20</v>
      </c>
      <c r="C22" s="84"/>
      <c r="D22" s="84"/>
      <c r="E22" s="84"/>
      <c r="F22" s="84">
        <v>2.7420218278421089</v>
      </c>
      <c r="G22" s="84">
        <f t="shared" si="3"/>
        <v>3.4551288839138579</v>
      </c>
      <c r="H22" s="84">
        <f t="shared" si="4"/>
        <v>4.7885323465679264</v>
      </c>
      <c r="I22" s="85">
        <f t="shared" si="5"/>
        <v>2.1217254212597894</v>
      </c>
      <c r="J22" s="84"/>
      <c r="K22" s="84"/>
      <c r="L22" s="84"/>
      <c r="M22" s="84">
        <v>2.7420218278421089</v>
      </c>
      <c r="N22" s="84">
        <f t="shared" si="0"/>
        <v>4.6551288839138474</v>
      </c>
      <c r="O22" s="84">
        <f t="shared" si="1"/>
        <v>7.4259290852955848</v>
      </c>
      <c r="P22" s="85">
        <f t="shared" si="2"/>
        <v>1.8843286825321099</v>
      </c>
    </row>
    <row r="23" spans="1:29" ht="16" customHeight="1" x14ac:dyDescent="0.2">
      <c r="A23" s="154" t="s">
        <v>138</v>
      </c>
      <c r="B23" s="94"/>
      <c r="C23" s="157" t="s">
        <v>127</v>
      </c>
      <c r="D23" s="157"/>
      <c r="E23" s="157"/>
      <c r="F23" s="158"/>
      <c r="G23" s="157" t="s">
        <v>137</v>
      </c>
      <c r="H23" s="157"/>
      <c r="I23" s="157"/>
      <c r="J23" s="158"/>
    </row>
    <row r="24" spans="1:29" s="86" customFormat="1" ht="34" x14ac:dyDescent="0.2">
      <c r="A24" s="152"/>
      <c r="B24" s="91" t="s">
        <v>121</v>
      </c>
      <c r="C24" s="89" t="s">
        <v>132</v>
      </c>
      <c r="D24" s="89" t="s">
        <v>133</v>
      </c>
      <c r="E24" s="89" t="s">
        <v>134</v>
      </c>
      <c r="F24" s="90" t="s">
        <v>136</v>
      </c>
      <c r="G24" s="89" t="s">
        <v>132</v>
      </c>
      <c r="H24" s="89" t="s">
        <v>133</v>
      </c>
      <c r="I24" s="89" t="s">
        <v>134</v>
      </c>
      <c r="J24" s="90" t="s">
        <v>136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 x14ac:dyDescent="0.2">
      <c r="A25" s="152"/>
      <c r="B25" s="95">
        <v>1</v>
      </c>
      <c r="C25" s="81">
        <v>3.9450036486669</v>
      </c>
      <c r="F25" s="82"/>
      <c r="G25" s="81">
        <v>0.94500364866690001</v>
      </c>
      <c r="J25" s="82"/>
    </row>
    <row r="26" spans="1:29" x14ac:dyDescent="0.2">
      <c r="A26" s="152"/>
      <c r="B26" s="95">
        <f>B25+1</f>
        <v>2</v>
      </c>
      <c r="C26" s="81">
        <v>1.3337488629331347</v>
      </c>
      <c r="F26" s="82"/>
      <c r="G26" s="81">
        <v>4.3337488629331302</v>
      </c>
      <c r="J26" s="82"/>
    </row>
    <row r="27" spans="1:29" x14ac:dyDescent="0.2">
      <c r="A27" s="152"/>
      <c r="B27" s="95">
        <f t="shared" ref="B27:B29" si="7">B26+1</f>
        <v>3</v>
      </c>
      <c r="C27" s="81">
        <v>3.8206990287362714</v>
      </c>
      <c r="F27" s="82"/>
      <c r="G27" s="81">
        <v>5.3206990287362697</v>
      </c>
      <c r="J27" s="82"/>
    </row>
    <row r="28" spans="1:29" x14ac:dyDescent="0.2">
      <c r="A28" s="152"/>
      <c r="B28" s="95">
        <f t="shared" si="7"/>
        <v>4</v>
      </c>
      <c r="C28" s="81">
        <v>5.3125403458834626</v>
      </c>
      <c r="F28" s="82"/>
      <c r="G28" s="81">
        <v>4.3125403458834004</v>
      </c>
      <c r="J28" s="82"/>
    </row>
    <row r="29" spans="1:29" x14ac:dyDescent="0.2">
      <c r="A29" s="152"/>
      <c r="B29" s="95">
        <f t="shared" si="7"/>
        <v>5</v>
      </c>
      <c r="C29" s="81">
        <v>1.2940596510161413</v>
      </c>
      <c r="F29" s="82"/>
      <c r="G29" s="81">
        <v>3.29405965101614</v>
      </c>
      <c r="J29" s="82"/>
    </row>
    <row r="30" spans="1:29" x14ac:dyDescent="0.2">
      <c r="A30" s="152"/>
      <c r="B30" s="95">
        <f>B29+0.5</f>
        <v>5.5</v>
      </c>
      <c r="D30" s="81">
        <v>0</v>
      </c>
      <c r="F30" s="82"/>
      <c r="H30" s="81">
        <v>0</v>
      </c>
      <c r="J30" s="82"/>
    </row>
    <row r="31" spans="1:29" x14ac:dyDescent="0.2">
      <c r="A31" s="152"/>
      <c r="B31" s="95">
        <f>B30</f>
        <v>5.5</v>
      </c>
      <c r="D31" s="81">
        <f>MAX(E$25:F$50)+2</f>
        <v>26.428022948116837</v>
      </c>
      <c r="F31" s="82"/>
      <c r="H31" s="81">
        <f>MAX(G$25:G$50)+2</f>
        <v>20.809012933837899</v>
      </c>
      <c r="J31" s="82"/>
    </row>
    <row r="32" spans="1:29" x14ac:dyDescent="0.2">
      <c r="A32" s="152"/>
      <c r="B32" s="95">
        <f>B29+1</f>
        <v>6</v>
      </c>
      <c r="C32" s="81">
        <v>9.8090129338379484</v>
      </c>
      <c r="E32" s="81">
        <f>SLOPE(C$25:C$29, B$25:B$29)*B32+INTERCEPT(C$25:C$29, B$25:B$29)+STDEV(C$25:C$29)</f>
        <v>4.5121434251802599</v>
      </c>
      <c r="F32" s="82">
        <f>AVERAGE(C$25:C$29)+STDEV(C$25:C$29)</f>
        <v>4.9090723788856163</v>
      </c>
      <c r="G32" s="81">
        <v>18.809012933837899</v>
      </c>
      <c r="I32" s="81">
        <f>SLOPE(G$25:G$29, B$25:B$29)*B32+INTERCEPT(G$25:G$29, B$25:B$29)+STDEV(G$25:G$29)</f>
        <v>6.7131896766725516</v>
      </c>
      <c r="J32" s="82">
        <f>AVERAGE(G$25:G$29)+STDEV(G$25:G$29)</f>
        <v>5.3101186303779269</v>
      </c>
    </row>
    <row r="33" spans="1:10" x14ac:dyDescent="0.2">
      <c r="A33" s="152"/>
      <c r="B33" s="95">
        <f>B32+1</f>
        <v>7</v>
      </c>
      <c r="C33" s="81">
        <v>12.445655577001199</v>
      </c>
      <c r="E33" s="81">
        <f t="shared" ref="E33:E35" si="8">SLOPE(C$25:C$29, B$25:B$29)*B33+INTERCEPT(C$25:C$29, B$25:B$29)+STDEV(C$25:C$29)</f>
        <v>4.3798337739451405</v>
      </c>
      <c r="F33" s="82">
        <f t="shared" ref="F33:F36" si="9">AVERAGE(C$25:C$29)+STDEV(C$25:C$29)</f>
        <v>4.9090723788856163</v>
      </c>
      <c r="G33" s="81">
        <v>11.445655577001199</v>
      </c>
      <c r="I33" s="81">
        <f>SLOPE(G$25:G$29, B$25:B$29)*B33+INTERCEPT(G$25:G$29, B$25:B$29)+STDEV(G$25:G$29)</f>
        <v>7.1808800254374274</v>
      </c>
      <c r="J33" s="82">
        <f>J32</f>
        <v>5.3101186303779269</v>
      </c>
    </row>
    <row r="34" spans="1:10" x14ac:dyDescent="0.2">
      <c r="A34" s="152"/>
      <c r="B34" s="95">
        <f>B33+1</f>
        <v>8</v>
      </c>
      <c r="C34" s="81">
        <v>16.4927550283609</v>
      </c>
      <c r="E34" s="81">
        <f t="shared" si="8"/>
        <v>4.247524122710022</v>
      </c>
      <c r="F34" s="82">
        <f t="shared" si="9"/>
        <v>4.9090723788856163</v>
      </c>
      <c r="G34" s="81">
        <v>8.4927550283609001</v>
      </c>
      <c r="I34" s="81">
        <f>SLOPE(G$25:G$29, B$25:B$29)*B34+INTERCEPT(G$25:G$29, B$25:B$29)+STDEV(G$25:G$29)</f>
        <v>7.6485703742023015</v>
      </c>
      <c r="J34" s="82">
        <f t="shared" ref="J34:J36" si="10">J33</f>
        <v>5.3101186303779269</v>
      </c>
    </row>
    <row r="35" spans="1:10" x14ac:dyDescent="0.2">
      <c r="A35" s="152"/>
      <c r="B35" s="95">
        <f>B34+1</f>
        <v>9</v>
      </c>
      <c r="C35" s="81">
        <v>15.208894117444199</v>
      </c>
      <c r="E35" s="81">
        <f t="shared" si="8"/>
        <v>4.1152144714749035</v>
      </c>
      <c r="F35" s="82">
        <f t="shared" si="9"/>
        <v>4.9090723788856163</v>
      </c>
      <c r="G35" s="81">
        <v>12.708894117444199</v>
      </c>
      <c r="I35" s="81">
        <f>SLOPE(G$25:G$29, B$25:B$29)*B35+INTERCEPT(G$25:G$29, B$25:B$29)+STDEV(G$25:G$29)</f>
        <v>8.1162607229671764</v>
      </c>
      <c r="J35" s="82">
        <f t="shared" si="10"/>
        <v>5.3101186303779269</v>
      </c>
    </row>
    <row r="36" spans="1:10" x14ac:dyDescent="0.2">
      <c r="A36" s="152"/>
      <c r="B36" s="95">
        <f>B35+1</f>
        <v>10</v>
      </c>
      <c r="C36" s="81">
        <v>17.931844159727898</v>
      </c>
      <c r="E36" s="81">
        <f>SLOPE(C$25:C$29, B$25:B$29)*B36+INTERCEPT(C$25:C$29, B$25:B$29)+STDEV(C$25:C$29)</f>
        <v>3.9829048202397841</v>
      </c>
      <c r="F36" s="82">
        <f t="shared" si="9"/>
        <v>4.9090723788856163</v>
      </c>
      <c r="G36" s="81">
        <v>9.9318441597279001</v>
      </c>
      <c r="I36" s="81">
        <f>SLOPE(G$25:G$29, B$25:B$29)*B36+INTERCEPT(G$25:G$29, B$25:B$29)+STDEV(G$25:G$29)</f>
        <v>8.5839510717320504</v>
      </c>
      <c r="J36" s="82">
        <f t="shared" si="10"/>
        <v>5.3101186303779269</v>
      </c>
    </row>
    <row r="37" spans="1:10" x14ac:dyDescent="0.2">
      <c r="A37" s="152"/>
      <c r="B37" s="95">
        <f>B36+0.5</f>
        <v>10.5</v>
      </c>
      <c r="D37" s="81">
        <v>0</v>
      </c>
      <c r="F37" s="82"/>
      <c r="H37" s="81">
        <v>0</v>
      </c>
      <c r="J37" s="82"/>
    </row>
    <row r="38" spans="1:10" x14ac:dyDescent="0.2">
      <c r="A38" s="152"/>
      <c r="B38" s="95">
        <f>B37</f>
        <v>10.5</v>
      </c>
      <c r="D38" s="81">
        <f>MAX(E$25:F$50)+2</f>
        <v>26.428022948116837</v>
      </c>
      <c r="F38" s="82"/>
      <c r="H38" s="81">
        <f>MAX(G$25:G$50)+2</f>
        <v>20.809012933837899</v>
      </c>
      <c r="J38" s="82"/>
    </row>
    <row r="39" spans="1:10" x14ac:dyDescent="0.2">
      <c r="A39" s="152"/>
      <c r="B39" s="95">
        <f>B36+1</f>
        <v>11</v>
      </c>
      <c r="C39" s="81">
        <v>4.5690546938931202</v>
      </c>
      <c r="E39" s="81">
        <f>SLOPE(C$32:C$36, B$32:B$36)*B39+INTERCEPT(C$32:C$36, B$32:B$36)-STDEV(C$32:C$36)</f>
        <v>16.824462551227679</v>
      </c>
      <c r="F39" s="82">
        <f>AVERAGE(C$32:C$36)-STDEV(C$32:C$36)</f>
        <v>11.121792253560809</v>
      </c>
      <c r="G39" s="81">
        <v>4.5690546938931202</v>
      </c>
      <c r="I39" s="81">
        <f>SLOPE(G$32:G$36, B$32:B$36)*B39+INTERCEPT(G$32:G$36, B$32:B$36)-STDEV(G$32:G$36)</f>
        <v>3.3501920165219601</v>
      </c>
      <c r="J39" s="82">
        <f>AVERAGE(G$32:G$36)-STDEV(G$32:G$36)</f>
        <v>8.297521718855057</v>
      </c>
    </row>
    <row r="40" spans="1:10" x14ac:dyDescent="0.2">
      <c r="A40" s="152"/>
      <c r="B40" s="95">
        <f>B39+1</f>
        <v>12</v>
      </c>
      <c r="C40" s="81">
        <v>2.4006645920308074</v>
      </c>
      <c r="E40" s="81">
        <f t="shared" ref="E40:E43" si="11">SLOPE(C$32:C$36, B$32:B$36)*B40+INTERCEPT(C$32:C$36, B$32:B$36)-STDEV(C$32:C$36)</f>
        <v>18.72535265044997</v>
      </c>
      <c r="F40" s="82">
        <f t="shared" ref="F40:F43" si="12">AVERAGE(C$32:C$36)-STDEV(C$32:C$36)</f>
        <v>11.121792253560809</v>
      </c>
      <c r="G40" s="81">
        <v>2.4006645920308074</v>
      </c>
      <c r="I40" s="81">
        <f>SLOPE(G$32:G$36, B$32:B$36)*B40+INTERCEPT(G$32:G$36, B$32:B$36)-STDEV(G$32:G$36)</f>
        <v>1.7010821157442613</v>
      </c>
      <c r="J40" s="82">
        <f>J39</f>
        <v>8.297521718855057</v>
      </c>
    </row>
    <row r="41" spans="1:10" x14ac:dyDescent="0.2">
      <c r="A41" s="152"/>
      <c r="B41" s="95">
        <f>B40+1</f>
        <v>13</v>
      </c>
      <c r="C41" s="81">
        <v>3.7534548634139302</v>
      </c>
      <c r="E41" s="81">
        <f t="shared" si="11"/>
        <v>20.626242749672258</v>
      </c>
      <c r="F41" s="82">
        <f t="shared" si="12"/>
        <v>11.121792253560809</v>
      </c>
      <c r="G41" s="81">
        <v>5.7534548634139302</v>
      </c>
      <c r="I41" s="81">
        <f>SLOPE(G$32:G$36, B$32:B$36)*B41+INTERCEPT(G$32:G$36, B$32:B$36)-STDEV(G$32:G$36)</f>
        <v>5.1972214966562458E-2</v>
      </c>
      <c r="J41" s="82">
        <f t="shared" ref="J41:J43" si="13">J40</f>
        <v>8.297521718855057</v>
      </c>
    </row>
    <row r="42" spans="1:10" x14ac:dyDescent="0.2">
      <c r="A42" s="152"/>
      <c r="B42" s="95">
        <f>B41+1</f>
        <v>14</v>
      </c>
      <c r="C42" s="81">
        <v>4.5402019926114008</v>
      </c>
      <c r="E42" s="81">
        <f t="shared" si="11"/>
        <v>22.527132848894549</v>
      </c>
      <c r="F42" s="82">
        <f t="shared" si="12"/>
        <v>11.121792253560809</v>
      </c>
      <c r="G42" s="81">
        <v>4.5402019926114008</v>
      </c>
      <c r="I42" s="81">
        <f>SLOPE(G$32:G$36, B$32:B$36)*B42+INTERCEPT(G$32:G$36, B$32:B$36)-STDEV(G$32:G$36)</f>
        <v>-1.5971376858111399</v>
      </c>
      <c r="J42" s="82">
        <f t="shared" si="13"/>
        <v>8.297521718855057</v>
      </c>
    </row>
    <row r="43" spans="1:10" x14ac:dyDescent="0.2">
      <c r="A43" s="152"/>
      <c r="B43" s="95">
        <f>B42+1</f>
        <v>15</v>
      </c>
      <c r="C43" s="81">
        <v>1.09845290757948</v>
      </c>
      <c r="E43" s="81">
        <f t="shared" si="11"/>
        <v>24.428022948116837</v>
      </c>
      <c r="F43" s="82">
        <f t="shared" si="12"/>
        <v>11.121792253560809</v>
      </c>
      <c r="G43" s="81">
        <v>4.09845290757948</v>
      </c>
      <c r="I43" s="81">
        <f>SLOPE(G$32:G$36, B$32:B$36)*B43+INTERCEPT(G$32:G$36, B$32:B$36)-STDEV(G$32:G$36)</f>
        <v>-3.2462475865888387</v>
      </c>
      <c r="J43" s="82">
        <f t="shared" si="13"/>
        <v>8.297521718855057</v>
      </c>
    </row>
    <row r="44" spans="1:10" x14ac:dyDescent="0.2">
      <c r="A44" s="152"/>
      <c r="B44" s="95">
        <f>B43+0.5</f>
        <v>15.5</v>
      </c>
      <c r="D44" s="81">
        <v>0</v>
      </c>
      <c r="F44" s="82"/>
      <c r="H44" s="81">
        <v>0</v>
      </c>
      <c r="J44" s="82"/>
    </row>
    <row r="45" spans="1:10" x14ac:dyDescent="0.2">
      <c r="A45" s="152"/>
      <c r="B45" s="95">
        <f>B44</f>
        <v>15.5</v>
      </c>
      <c r="D45" s="81">
        <f>MAX(E$25:F$50)+2</f>
        <v>26.428022948116837</v>
      </c>
      <c r="F45" s="82"/>
      <c r="H45" s="81">
        <f>MAX(G$25:G$50)+2</f>
        <v>20.809012933837899</v>
      </c>
      <c r="J45" s="82"/>
    </row>
    <row r="46" spans="1:10" x14ac:dyDescent="0.2">
      <c r="A46" s="152"/>
      <c r="B46" s="95">
        <f>B43+1</f>
        <v>16</v>
      </c>
      <c r="C46" s="81">
        <v>12.7857676236017</v>
      </c>
      <c r="E46" s="81">
        <f>SLOPE(C$39:C$43, B$39:B$43)*B46+INTERCEPT(C$39:C$43, B$39:B$43)+STDEV(C$39:C$43)</f>
        <v>3.3323673449609394</v>
      </c>
      <c r="F46" s="82">
        <f>AVERAGE(C$39:C$43)+STDEV(C$39:C$43)</f>
        <v>4.7728671965749454</v>
      </c>
      <c r="G46" s="81">
        <v>12.7857676236017</v>
      </c>
      <c r="I46" s="81">
        <f>SLOPE(G$39:G$43, B$39:B$43)*B46+INTERCEPT(G$39:G$43, B$39:B$43)+STDEV(G$39:G$43)</f>
        <v>5.8450123267959562</v>
      </c>
      <c r="J46" s="82">
        <f>AVERAGE(G$39:G$43)+STDEV(G$39:G$43)</f>
        <v>5.4855121784099623</v>
      </c>
    </row>
    <row r="47" spans="1:10" x14ac:dyDescent="0.2">
      <c r="A47" s="152"/>
      <c r="B47" s="95">
        <f>B46+1</f>
        <v>17</v>
      </c>
      <c r="C47" s="81">
        <v>14.0741946476191</v>
      </c>
      <c r="E47" s="81">
        <f t="shared" ref="E47:E50" si="14">SLOPE(C$39:C$43, B$39:B$43)*B47+INTERCEPT(C$39:C$43, B$39:B$43)+STDEV(C$39:C$43)</f>
        <v>2.8522007277562711</v>
      </c>
      <c r="F47" s="82">
        <f>F46</f>
        <v>4.7728671965749454</v>
      </c>
      <c r="G47" s="81">
        <v>9.0741946476191</v>
      </c>
      <c r="I47" s="81">
        <f>SLOPE(G$39:G$43, B$39:B$43)*B47+INTERCEPT(G$39:G$43, B$39:B$43)+STDEV(G$39:G$43)</f>
        <v>5.9648457095912875</v>
      </c>
      <c r="J47" s="82">
        <f>J46</f>
        <v>5.4855121784099623</v>
      </c>
    </row>
    <row r="48" spans="1:10" x14ac:dyDescent="0.2">
      <c r="A48" s="152"/>
      <c r="B48" s="95">
        <f>B47+1</f>
        <v>18</v>
      </c>
      <c r="C48" s="81">
        <v>16.556317101858401</v>
      </c>
      <c r="E48" s="81">
        <f t="shared" si="14"/>
        <v>2.3720341105516027</v>
      </c>
      <c r="F48" s="82">
        <f t="shared" ref="F48:F50" si="15">F47</f>
        <v>4.7728671965749454</v>
      </c>
      <c r="G48" s="81">
        <v>12.556317101858401</v>
      </c>
      <c r="I48" s="81">
        <f>SLOPE(G$39:G$43, B$39:B$43)*B48+INTERCEPT(G$39:G$43, B$39:B$43)+STDEV(G$39:G$43)</f>
        <v>6.0846790923866187</v>
      </c>
      <c r="J48" s="82">
        <f t="shared" ref="J48:J50" si="16">J47</f>
        <v>5.4855121784099623</v>
      </c>
    </row>
    <row r="49" spans="1:10" x14ac:dyDescent="0.2">
      <c r="A49" s="152"/>
      <c r="B49" s="95">
        <f>B48+1</f>
        <v>19</v>
      </c>
      <c r="C49" s="81">
        <v>15.300216798787005</v>
      </c>
      <c r="E49" s="81">
        <f t="shared" si="14"/>
        <v>1.8918674933469326</v>
      </c>
      <c r="F49" s="82">
        <f t="shared" si="15"/>
        <v>4.7728671965749454</v>
      </c>
      <c r="G49" s="81">
        <v>15.300216798787005</v>
      </c>
      <c r="I49" s="81">
        <f>SLOPE(G$39:G$43, B$39:B$43)*B49+INTERCEPT(G$39:G$43, B$39:B$43)+STDEV(G$39:G$43)</f>
        <v>6.20451247518195</v>
      </c>
      <c r="J49" s="82">
        <f t="shared" si="16"/>
        <v>5.4855121784099623</v>
      </c>
    </row>
    <row r="50" spans="1:10" x14ac:dyDescent="0.2">
      <c r="A50" s="153"/>
      <c r="B50" s="96">
        <f>B49+1</f>
        <v>20</v>
      </c>
      <c r="C50" s="84">
        <v>19.108948026740102</v>
      </c>
      <c r="D50" s="84"/>
      <c r="E50" s="84">
        <f t="shared" si="14"/>
        <v>1.4117008761422642</v>
      </c>
      <c r="F50" s="85">
        <f t="shared" si="15"/>
        <v>4.7728671965749454</v>
      </c>
      <c r="G50" s="84">
        <v>10.1089480267401</v>
      </c>
      <c r="H50" s="84"/>
      <c r="I50" s="84">
        <f>SLOPE(G$39:G$43, B$39:B$43)*B50+INTERCEPT(G$39:G$43, B$39:B$43)+STDEV(G$39:G$43)</f>
        <v>6.3243458579772813</v>
      </c>
      <c r="J50" s="85">
        <f t="shared" si="16"/>
        <v>5.4855121784099623</v>
      </c>
    </row>
  </sheetData>
  <mergeCells count="6">
    <mergeCell ref="A2:A22"/>
    <mergeCell ref="A23:A50"/>
    <mergeCell ref="C1:I1"/>
    <mergeCell ref="J1:P1"/>
    <mergeCell ref="C23:F23"/>
    <mergeCell ref="G23:J2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B066-2F61-7547-8E70-52FBA5247164}">
  <dimension ref="A1:V46"/>
  <sheetViews>
    <sheetView zoomScale="80" zoomScaleNormal="80" workbookViewId="0"/>
  </sheetViews>
  <sheetFormatPr baseColWidth="10" defaultRowHeight="16" x14ac:dyDescent="0.2"/>
  <cols>
    <col min="1" max="1" width="10.33203125" style="76" bestFit="1" customWidth="1"/>
    <col min="2" max="8" width="11.6640625" style="81" customWidth="1"/>
    <col min="9" max="9" width="8.6640625" style="81" customWidth="1"/>
    <col min="10" max="10" width="10.83203125" style="83"/>
    <col min="11" max="11" width="16.83203125" style="83" bestFit="1" customWidth="1"/>
    <col min="12" max="22" width="10.83203125" style="83"/>
    <col min="23" max="16384" width="10.83203125" style="81"/>
  </cols>
  <sheetData>
    <row r="1" spans="1:22" s="76" customFormat="1" x14ac:dyDescent="0.2">
      <c r="A1" s="93"/>
      <c r="B1" s="159" t="s">
        <v>139</v>
      </c>
      <c r="C1" s="155"/>
      <c r="D1" s="155"/>
      <c r="E1" s="156"/>
      <c r="F1" s="159" t="s">
        <v>140</v>
      </c>
      <c r="G1" s="155"/>
      <c r="H1" s="155"/>
      <c r="I1" s="155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22" s="80" customFormat="1" ht="34" x14ac:dyDescent="0.2">
      <c r="A2" s="91" t="s">
        <v>121</v>
      </c>
      <c r="B2" s="88" t="s">
        <v>132</v>
      </c>
      <c r="C2" s="90" t="s">
        <v>133</v>
      </c>
      <c r="D2" s="99" t="s">
        <v>132</v>
      </c>
      <c r="E2" s="100" t="s">
        <v>133</v>
      </c>
      <c r="F2" s="89" t="s">
        <v>132</v>
      </c>
      <c r="G2" s="90" t="s">
        <v>133</v>
      </c>
      <c r="H2" s="99" t="s">
        <v>132</v>
      </c>
      <c r="I2" s="100" t="s">
        <v>133</v>
      </c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x14ac:dyDescent="0.2">
      <c r="A3" s="95">
        <v>1</v>
      </c>
      <c r="B3" s="97">
        <v>0.39450036486668999</v>
      </c>
      <c r="C3" s="82"/>
      <c r="D3" s="97"/>
      <c r="E3" s="82"/>
      <c r="F3">
        <v>5.0223737808642896</v>
      </c>
      <c r="G3" s="82"/>
      <c r="H3"/>
      <c r="I3" s="82"/>
    </row>
    <row r="4" spans="1:22" x14ac:dyDescent="0.2">
      <c r="A4" s="95">
        <f>A3+1</f>
        <v>2</v>
      </c>
      <c r="B4" s="97">
        <v>0.13337488629331345</v>
      </c>
      <c r="C4" s="82"/>
      <c r="D4" s="97">
        <f>ABS(B4-B3)</f>
        <v>0.26112547857337653</v>
      </c>
      <c r="E4" s="82"/>
      <c r="F4">
        <v>6.8811934473342298</v>
      </c>
      <c r="G4" s="82"/>
      <c r="H4">
        <f>ABS(F4-F3)</f>
        <v>1.8588196664699401</v>
      </c>
      <c r="I4" s="82"/>
    </row>
    <row r="5" spans="1:22" x14ac:dyDescent="0.2">
      <c r="A5" s="95">
        <f t="shared" ref="A5:A7" si="0">A4+1</f>
        <v>3</v>
      </c>
      <c r="B5" s="97">
        <v>0.38206990287362713</v>
      </c>
      <c r="C5" s="82"/>
      <c r="D5" s="97">
        <f t="shared" ref="D5:D12" si="1">ABS(B5-B4)</f>
        <v>0.24869501658031368</v>
      </c>
      <c r="E5" s="82"/>
      <c r="F5">
        <v>4.3535433279466798</v>
      </c>
      <c r="G5" s="82"/>
      <c r="H5">
        <f t="shared" ref="H5:H12" si="2">ABS(F5-F4)</f>
        <v>2.52765011938755</v>
      </c>
      <c r="I5" s="82"/>
    </row>
    <row r="6" spans="1:22" x14ac:dyDescent="0.2">
      <c r="A6" s="95">
        <f t="shared" si="0"/>
        <v>4</v>
      </c>
      <c r="B6" s="97">
        <v>0.5312540345883463</v>
      </c>
      <c r="C6" s="82"/>
      <c r="D6" s="97">
        <f t="shared" si="1"/>
        <v>0.14918413171471917</v>
      </c>
      <c r="E6" s="82"/>
      <c r="F6">
        <v>8.5761012289440295</v>
      </c>
      <c r="G6" s="82"/>
      <c r="H6">
        <f t="shared" si="2"/>
        <v>4.2225579009973497</v>
      </c>
      <c r="I6" s="82"/>
    </row>
    <row r="7" spans="1:22" x14ac:dyDescent="0.2">
      <c r="A7" s="95">
        <f t="shared" si="0"/>
        <v>5</v>
      </c>
      <c r="B7" s="97">
        <v>0.62940596510161406</v>
      </c>
      <c r="C7" s="82"/>
      <c r="D7" s="97">
        <f t="shared" si="1"/>
        <v>9.815193051326776E-2</v>
      </c>
      <c r="E7" s="82"/>
      <c r="F7">
        <v>3.0172667569131599</v>
      </c>
      <c r="G7" s="82"/>
      <c r="H7">
        <f t="shared" si="2"/>
        <v>5.5588344720308696</v>
      </c>
      <c r="I7" s="82"/>
    </row>
    <row r="8" spans="1:22" x14ac:dyDescent="0.2">
      <c r="A8" s="95">
        <f>A7+1</f>
        <v>6</v>
      </c>
      <c r="B8" s="97">
        <v>0.98090129338379484</v>
      </c>
      <c r="C8" s="82"/>
      <c r="D8" s="97">
        <f t="shared" si="1"/>
        <v>0.35149532828218077</v>
      </c>
      <c r="E8" s="82"/>
      <c r="F8">
        <v>9.4070822140201908</v>
      </c>
      <c r="G8" s="82"/>
      <c r="H8">
        <f t="shared" si="2"/>
        <v>6.3898154571070309</v>
      </c>
      <c r="I8" s="82"/>
    </row>
    <row r="9" spans="1:22" x14ac:dyDescent="0.2">
      <c r="A9" s="95">
        <f>A8+1</f>
        <v>7</v>
      </c>
      <c r="B9" s="97">
        <v>1.24456555770012</v>
      </c>
      <c r="C9" s="82"/>
      <c r="D9" s="97">
        <f t="shared" si="1"/>
        <v>0.26366426431632517</v>
      </c>
      <c r="E9" s="82"/>
      <c r="F9">
        <v>2.8493922248599</v>
      </c>
      <c r="G9" s="82"/>
      <c r="H9">
        <f t="shared" si="2"/>
        <v>6.5576899891602913</v>
      </c>
      <c r="I9" s="82"/>
    </row>
    <row r="10" spans="1:22" x14ac:dyDescent="0.2">
      <c r="A10" s="95">
        <f>A9+1</f>
        <v>8</v>
      </c>
      <c r="B10" s="97">
        <v>1.6492755028360899</v>
      </c>
      <c r="C10" s="82"/>
      <c r="D10" s="97">
        <f t="shared" si="1"/>
        <v>0.40470994513596992</v>
      </c>
      <c r="E10" s="82"/>
      <c r="F10">
        <v>11.8986685416894</v>
      </c>
      <c r="G10" s="82"/>
      <c r="H10">
        <f t="shared" si="2"/>
        <v>9.0492763168295003</v>
      </c>
      <c r="I10" s="82"/>
    </row>
    <row r="11" spans="1:22" x14ac:dyDescent="0.2">
      <c r="A11" s="95">
        <f>A10+1</f>
        <v>9</v>
      </c>
      <c r="B11" s="97">
        <v>1.5208894117444198</v>
      </c>
      <c r="C11" s="82"/>
      <c r="D11" s="97">
        <f t="shared" si="1"/>
        <v>0.1283860910916701</v>
      </c>
      <c r="E11" s="82"/>
      <c r="F11">
        <v>0.89378772827330999</v>
      </c>
      <c r="G11" s="82"/>
      <c r="H11">
        <f t="shared" si="2"/>
        <v>11.00488081341609</v>
      </c>
      <c r="I11" s="82"/>
    </row>
    <row r="12" spans="1:22" x14ac:dyDescent="0.2">
      <c r="A12" s="95">
        <f>A11+1</f>
        <v>10</v>
      </c>
      <c r="B12" s="97">
        <v>1.7931844159727899</v>
      </c>
      <c r="C12" s="82"/>
      <c r="D12" s="97">
        <f t="shared" si="1"/>
        <v>0.27229500422837005</v>
      </c>
      <c r="E12" s="82"/>
      <c r="F12">
        <v>16.008756530098601</v>
      </c>
      <c r="G12" s="82"/>
      <c r="H12">
        <f t="shared" si="2"/>
        <v>15.114968801825292</v>
      </c>
      <c r="I12" s="82"/>
    </row>
    <row r="13" spans="1:22" x14ac:dyDescent="0.2">
      <c r="A13" s="95">
        <f>A12+0.5</f>
        <v>10.5</v>
      </c>
      <c r="B13" s="97"/>
      <c r="C13" s="82">
        <v>0</v>
      </c>
      <c r="D13" s="97"/>
      <c r="E13" s="82">
        <v>0</v>
      </c>
      <c r="G13" s="82">
        <v>0</v>
      </c>
      <c r="I13" s="82">
        <v>0</v>
      </c>
    </row>
    <row r="14" spans="1:22" x14ac:dyDescent="0.2">
      <c r="A14" s="95">
        <f>A13</f>
        <v>10.5</v>
      </c>
      <c r="B14" s="97"/>
      <c r="C14" s="82">
        <v>4.5</v>
      </c>
      <c r="D14" s="97"/>
      <c r="E14" s="82">
        <v>4.5</v>
      </c>
      <c r="G14" s="82">
        <f>MAX(F$3:F$24)+2</f>
        <v>21.831162196846002</v>
      </c>
      <c r="I14" s="82">
        <f>MAX(H$3:H$24)+2</f>
        <v>17.114968801825292</v>
      </c>
    </row>
    <row r="15" spans="1:22" x14ac:dyDescent="0.2">
      <c r="A15" s="95">
        <f>A12+1</f>
        <v>11</v>
      </c>
      <c r="B15" s="97">
        <f>B3+2</f>
        <v>2.39450036486669</v>
      </c>
      <c r="C15" s="82"/>
      <c r="D15" s="97"/>
      <c r="E15" s="82"/>
      <c r="F15">
        <v>16.975690793187823</v>
      </c>
      <c r="G15" s="82"/>
      <c r="H15"/>
      <c r="I15" s="82"/>
    </row>
    <row r="16" spans="1:22" x14ac:dyDescent="0.2">
      <c r="A16" s="95">
        <f t="shared" ref="A16:A24" si="3">A15+1</f>
        <v>12</v>
      </c>
      <c r="B16" s="97">
        <f t="shared" ref="B16:B24" si="4">B4+2</f>
        <v>2.1333748862933133</v>
      </c>
      <c r="C16" s="82"/>
      <c r="D16" s="97">
        <f t="shared" ref="D16:D24" si="5">ABS(B16-B15)</f>
        <v>0.26112547857337676</v>
      </c>
      <c r="E16" s="82"/>
      <c r="F16">
        <v>18.369371602777399</v>
      </c>
      <c r="G16" s="82"/>
      <c r="H16">
        <f>ABS(F16-F15)</f>
        <v>1.3936808095895756</v>
      </c>
      <c r="I16" s="82"/>
    </row>
    <row r="17" spans="1:22" x14ac:dyDescent="0.2">
      <c r="A17" s="95">
        <f t="shared" si="3"/>
        <v>13</v>
      </c>
      <c r="B17" s="97">
        <f t="shared" si="4"/>
        <v>2.382069902873627</v>
      </c>
      <c r="C17" s="82"/>
      <c r="D17" s="97">
        <f t="shared" si="5"/>
        <v>0.24869501658031368</v>
      </c>
      <c r="E17" s="82"/>
      <c r="F17">
        <v>16.104819264379302</v>
      </c>
      <c r="G17" s="82"/>
      <c r="H17">
        <f t="shared" ref="H17:H24" si="6">ABS(F17-F16)</f>
        <v>2.2645523383980972</v>
      </c>
      <c r="I17" s="82"/>
    </row>
    <row r="18" spans="1:22" x14ac:dyDescent="0.2">
      <c r="A18" s="95">
        <f t="shared" si="3"/>
        <v>14</v>
      </c>
      <c r="B18" s="97">
        <f t="shared" si="4"/>
        <v>2.5312540345883461</v>
      </c>
      <c r="C18" s="82"/>
      <c r="D18" s="97">
        <f t="shared" si="5"/>
        <v>0.14918413171471911</v>
      </c>
      <c r="E18" s="82"/>
      <c r="F18">
        <v>16.357757355435751</v>
      </c>
      <c r="G18" s="82"/>
      <c r="H18">
        <f t="shared" si="6"/>
        <v>0.25293809105644982</v>
      </c>
      <c r="I18" s="82"/>
    </row>
    <row r="19" spans="1:22" x14ac:dyDescent="0.2">
      <c r="A19" s="95">
        <f t="shared" si="3"/>
        <v>15</v>
      </c>
      <c r="B19" s="97">
        <f t="shared" si="4"/>
        <v>2.629405965101614</v>
      </c>
      <c r="C19" s="82"/>
      <c r="D19" s="97">
        <f t="shared" si="5"/>
        <v>9.8151930513267871E-2</v>
      </c>
      <c r="E19" s="82"/>
      <c r="F19">
        <v>19.831162196846002</v>
      </c>
      <c r="G19" s="82"/>
      <c r="H19">
        <f t="shared" si="6"/>
        <v>3.4734048414102503</v>
      </c>
      <c r="I19" s="82"/>
    </row>
    <row r="20" spans="1:22" s="86" customFormat="1" x14ac:dyDescent="0.2">
      <c r="A20" s="95">
        <f t="shared" si="3"/>
        <v>16</v>
      </c>
      <c r="B20" s="97">
        <f t="shared" si="4"/>
        <v>2.9809012933837948</v>
      </c>
      <c r="C20" s="82"/>
      <c r="D20" s="97">
        <f t="shared" si="5"/>
        <v>0.35149532828218089</v>
      </c>
      <c r="E20" s="101"/>
      <c r="F20">
        <v>16.736657395667862</v>
      </c>
      <c r="G20" s="82"/>
      <c r="H20">
        <f t="shared" si="6"/>
        <v>3.0945048011781395</v>
      </c>
      <c r="I20" s="82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 x14ac:dyDescent="0.2">
      <c r="A21" s="95">
        <f t="shared" si="3"/>
        <v>17</v>
      </c>
      <c r="B21" s="97">
        <f t="shared" si="4"/>
        <v>3.24456555770012</v>
      </c>
      <c r="C21" s="82"/>
      <c r="D21" s="97">
        <f t="shared" si="5"/>
        <v>0.26366426431632517</v>
      </c>
      <c r="E21" s="82"/>
      <c r="F21">
        <v>17.082033461192623</v>
      </c>
      <c r="G21" s="82"/>
      <c r="H21">
        <f t="shared" si="6"/>
        <v>0.34537606552476063</v>
      </c>
      <c r="I21" s="82"/>
    </row>
    <row r="22" spans="1:22" x14ac:dyDescent="0.2">
      <c r="A22" s="95">
        <f t="shared" si="3"/>
        <v>18</v>
      </c>
      <c r="B22" s="97">
        <f t="shared" si="4"/>
        <v>3.6492755028360899</v>
      </c>
      <c r="C22" s="82"/>
      <c r="D22" s="97">
        <f t="shared" si="5"/>
        <v>0.40470994513596992</v>
      </c>
      <c r="E22" s="82"/>
      <c r="F22">
        <v>17.191100065829232</v>
      </c>
      <c r="G22" s="82"/>
      <c r="H22">
        <f t="shared" si="6"/>
        <v>0.10906660463660955</v>
      </c>
      <c r="I22" s="82"/>
    </row>
    <row r="23" spans="1:22" x14ac:dyDescent="0.2">
      <c r="A23" s="95">
        <f t="shared" si="3"/>
        <v>19</v>
      </c>
      <c r="B23" s="97">
        <f t="shared" si="4"/>
        <v>3.5208894117444198</v>
      </c>
      <c r="C23" s="82"/>
      <c r="D23" s="97">
        <f t="shared" si="5"/>
        <v>0.1283860910916701</v>
      </c>
      <c r="E23" s="82"/>
      <c r="F23">
        <v>19.142269982461599</v>
      </c>
      <c r="G23" s="82"/>
      <c r="H23">
        <f t="shared" si="6"/>
        <v>1.9511699166323666</v>
      </c>
      <c r="I23" s="82"/>
    </row>
    <row r="24" spans="1:22" x14ac:dyDescent="0.2">
      <c r="A24" s="96">
        <f t="shared" si="3"/>
        <v>20</v>
      </c>
      <c r="B24" s="98">
        <f t="shared" si="4"/>
        <v>3.7931844159727897</v>
      </c>
      <c r="C24" s="85"/>
      <c r="D24" s="97">
        <f t="shared" si="5"/>
        <v>0.27229500422836983</v>
      </c>
      <c r="E24" s="85"/>
      <c r="F24" s="67">
        <v>17.934529917780299</v>
      </c>
      <c r="G24" s="85"/>
      <c r="H24">
        <f t="shared" si="6"/>
        <v>1.2077400646812997</v>
      </c>
      <c r="I24" s="85"/>
    </row>
    <row r="25" spans="1:22" x14ac:dyDescent="0.2">
      <c r="A25" s="81" t="s">
        <v>141</v>
      </c>
      <c r="B25" s="81">
        <f>COUNTIF(B15:B24, "&gt;="&amp;MAX(B3:B12))/COUNT(B3:B12)*100</f>
        <v>100</v>
      </c>
      <c r="D25" s="81">
        <f>COUNTIF(D15:D24, "&gt;="&amp;MAX(D3:D12))/COUNT(D3:D12)*100</f>
        <v>11.111111111111111</v>
      </c>
      <c r="F25" s="81">
        <f>COUNTIF(F15:F24, "&gt;="&amp;MAX(F3:F12))/COUNT(F3:F12)*100</f>
        <v>100</v>
      </c>
      <c r="H25" s="81">
        <f>COUNTIF(H15:H24, "&gt;="&amp;MAX(H3:H12))/COUNT(H3:H12)*100</f>
        <v>0</v>
      </c>
    </row>
    <row r="26" spans="1:22" x14ac:dyDescent="0.2">
      <c r="A26" s="81" t="s">
        <v>142</v>
      </c>
      <c r="B26" s="81">
        <f>COUNTIF(B3, "&gt;="&amp;MIN(B$15:B$24)) + COUNTIF(B4, "&gt;="&amp;MIN(B$15:B$24)  + COUNTIF(B5, "&gt;="&amp;MIN(B$15:B$24) + COUNTIF(B6, "&gt;="&amp;MIN(B$15:B$24) + COUNTIF(B7, "&gt;="&amp;MIN(B$15:B$24) + COUNTIF(B8, "&gt;="&amp;MIN(B$15:B$24) + COUNTIF(B9, "&gt;="&amp;MIN(B$15:B$24) + COUNTIF(B10, "&gt;="&amp;MIN(B$15:B$24) + COUNTIF(B11, "&gt;="&amp;MIN(B$15:B$24) + COUNTIF(B12, "&gt;="&amp;MIN(B$15:B$24))))))))))*100</f>
        <v>0</v>
      </c>
      <c r="D26" s="81">
        <f>COUNTIF(D3, "&gt;="&amp;MIN(D$15:D$24)) + COUNTIF(D4, "&gt;="&amp;MIN(D$15:D$24)  + COUNTIF(D5, "&gt;="&amp;MIN(D$15:D$24) + COUNTIF(D6, "&gt;="&amp;MIN(D$15:D$24) + COUNTIF(D7, "&gt;="&amp;MIN(D$15:D$24) + COUNTIF(D8, "&gt;="&amp;MIN(D$15:D$24) + COUNTIF(D9, "&gt;="&amp;MIN(D$15:D$24) + COUNTIF(D10, "&gt;="&amp;MIN(D$15:D$24) + COUNTIF(D11, "&gt;="&amp;MIN(D$15:D$24) + COUNTIF(D12, "&gt;="&amp;MIN(D$15:D$24))))))))))*100</f>
        <v>100</v>
      </c>
      <c r="F26" s="81">
        <f>COUNTIF(F3, "&gt;="&amp;MIN(F$15:F$24)) + COUNTIF(F4, "&gt;="&amp;MIN(F$15:F$24)  + COUNTIF(F5, "&gt;="&amp;MIN(F$15:F$24) + COUNTIF(F6, "&gt;="&amp;MIN(F$15:F$24) + COUNTIF(F7, "&gt;="&amp;MIN(F$15:F$24) + COUNTIF(F8, "&gt;="&amp;MIN(F$15:F$24) + COUNTIF(F9, "&gt;="&amp;MIN(F$15:F$24) + COUNTIF(F10, "&gt;="&amp;MIN(F$15:F$24) + COUNTIF(F11, "&gt;="&amp;MIN(F$15:F$24) + COUNTIF(F12, "&gt;="&amp;MIN(F$15:F$24))))))))))*100</f>
        <v>0</v>
      </c>
      <c r="H26" s="81">
        <f>COUNTIF(H3, "&gt;="&amp;MIN(H$15:H$24)) + COUNTIF(H4, "&gt;="&amp;MIN(H$15:H$24)  + COUNTIF(H5, "&gt;="&amp;MIN(H$15:H$24) + COUNTIF(H6, "&gt;="&amp;MIN(H$15:H$24) + COUNTIF(H7, "&gt;="&amp;MIN(H$15:H$24) + COUNTIF(H8, "&gt;="&amp;MIN(H$15:H$24) + COUNTIF(H9, "&gt;="&amp;MIN(H$15:H$24) + COUNTIF(H10, "&gt;="&amp;MIN(H$15:H$24) + COUNTIF(H11, "&gt;="&amp;MIN(H$15:H$24) + COUNTIF(H12, "&gt;="&amp;MIN(H$15:H$24))))))))))*100</f>
        <v>100</v>
      </c>
    </row>
    <row r="27" spans="1:22" x14ac:dyDescent="0.2">
      <c r="A27" s="81" t="s">
        <v>143</v>
      </c>
      <c r="B27" s="81">
        <f>(COUNTIF(B3:B12, "&gt;="&amp;MIN(B15:B24)))*100</f>
        <v>0</v>
      </c>
      <c r="D27" s="81">
        <f>(COUNTIF(D3:D12, "&gt;="&amp;MIN(D15:D24)))*100</f>
        <v>800</v>
      </c>
      <c r="F27" s="81">
        <f>(COUNTIF(F3:F12, "&gt;="&amp;MIN(F15:F24)))*100</f>
        <v>0</v>
      </c>
      <c r="H27" s="81">
        <f>(COUNTIF(H3:H12, "&gt;="&amp;MIN(H15:H24)))*100</f>
        <v>900</v>
      </c>
    </row>
    <row r="28" spans="1:22" x14ac:dyDescent="0.2">
      <c r="A28" s="81" t="s">
        <v>144</v>
      </c>
      <c r="B28" s="81">
        <f>(COUNTIF(B15:B24, "&gt;="&amp;MEDIAN(B3:B12))/10)*100</f>
        <v>100</v>
      </c>
      <c r="D28" s="81">
        <f>(COUNTIF(D15:D24, "&gt;="&amp;MEDIAN(D3:D12))/10)*100</f>
        <v>50</v>
      </c>
      <c r="F28" s="81">
        <f>(COUNTIF(F15:F24, "&gt;="&amp;MEDIAN(F3:F12))/10)*100</f>
        <v>100</v>
      </c>
      <c r="H28" s="81">
        <f>(COUNTIF(H15:H24, "&gt;="&amp;MEDIAN(H3:H12))/10)*100</f>
        <v>0</v>
      </c>
    </row>
    <row r="29" spans="1:22" x14ac:dyDescent="0.2">
      <c r="A29" s="81"/>
    </row>
    <row r="30" spans="1:22" x14ac:dyDescent="0.2">
      <c r="A30" s="81"/>
    </row>
    <row r="31" spans="1:22" x14ac:dyDescent="0.2">
      <c r="A31" s="81"/>
    </row>
    <row r="32" spans="1:22" x14ac:dyDescent="0.2">
      <c r="A32" s="81"/>
    </row>
    <row r="33" spans="1:1" x14ac:dyDescent="0.2">
      <c r="A33" s="81"/>
    </row>
    <row r="34" spans="1:1" x14ac:dyDescent="0.2">
      <c r="A34" s="81"/>
    </row>
    <row r="35" spans="1:1" x14ac:dyDescent="0.2">
      <c r="A35" s="81"/>
    </row>
    <row r="36" spans="1:1" x14ac:dyDescent="0.2">
      <c r="A36" s="81"/>
    </row>
    <row r="37" spans="1:1" x14ac:dyDescent="0.2">
      <c r="A37" s="81"/>
    </row>
    <row r="38" spans="1:1" x14ac:dyDescent="0.2">
      <c r="A38" s="81"/>
    </row>
    <row r="39" spans="1:1" x14ac:dyDescent="0.2">
      <c r="A39" s="81"/>
    </row>
    <row r="40" spans="1:1" x14ac:dyDescent="0.2">
      <c r="A40" s="81"/>
    </row>
    <row r="41" spans="1:1" x14ac:dyDescent="0.2">
      <c r="A41" s="81"/>
    </row>
    <row r="42" spans="1:1" x14ac:dyDescent="0.2">
      <c r="A42" s="81"/>
    </row>
    <row r="43" spans="1:1" x14ac:dyDescent="0.2">
      <c r="A43" s="81"/>
    </row>
    <row r="44" spans="1:1" x14ac:dyDescent="0.2">
      <c r="A44" s="81"/>
    </row>
    <row r="45" spans="1:1" x14ac:dyDescent="0.2">
      <c r="A45" s="81"/>
    </row>
    <row r="46" spans="1:1" x14ac:dyDescent="0.2">
      <c r="A46" s="81"/>
    </row>
  </sheetData>
  <mergeCells count="2">
    <mergeCell ref="F1:I1"/>
    <mergeCell ref="B1:E1"/>
  </mergeCells>
  <pageMargins left="0.7" right="0.7" top="0.75" bottom="0.75" header="0.3" footer="0.3"/>
  <pageSetup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544-9ADA-1E40-A196-B29FDAB4149D}">
  <dimension ref="A1:X6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13" sqref="X13"/>
    </sheetView>
  </sheetViews>
  <sheetFormatPr baseColWidth="10" defaultRowHeight="16" x14ac:dyDescent="0.2"/>
  <cols>
    <col min="1" max="1" width="11" style="102" bestFit="1" customWidth="1"/>
    <col min="2" max="3" width="9.83203125" style="102" customWidth="1"/>
    <col min="4" max="4" width="8.5" style="102" bestFit="1" customWidth="1"/>
    <col min="5" max="5" width="8.33203125" style="102" bestFit="1" customWidth="1"/>
    <col min="6" max="6" width="5.83203125" style="102" bestFit="1" customWidth="1"/>
    <col min="7" max="7" width="10.1640625" style="102" bestFit="1" customWidth="1"/>
    <col min="8" max="8" width="9.83203125" style="102" customWidth="1"/>
    <col min="9" max="11" width="10.1640625" style="102" bestFit="1" customWidth="1"/>
    <col min="12" max="13" width="9.83203125" style="102" customWidth="1"/>
    <col min="14" max="14" width="7.33203125" style="102" customWidth="1"/>
    <col min="15" max="16" width="6.6640625" style="102" customWidth="1"/>
    <col min="17" max="17" width="10.1640625" style="102" bestFit="1" customWidth="1"/>
    <col min="18" max="18" width="9.83203125" style="102" customWidth="1"/>
    <col min="19" max="21" width="10.1640625" style="102" bestFit="1" customWidth="1"/>
    <col min="22" max="16384" width="10.83203125" style="102"/>
  </cols>
  <sheetData>
    <row r="1" spans="1:21" s="51" customFormat="1" ht="34" x14ac:dyDescent="0.2">
      <c r="A1" s="104" t="s">
        <v>121</v>
      </c>
      <c r="B1" s="104" t="s">
        <v>151</v>
      </c>
      <c r="C1" s="104" t="s">
        <v>133</v>
      </c>
      <c r="D1" s="104" t="s">
        <v>148</v>
      </c>
      <c r="E1" s="104" t="s">
        <v>149</v>
      </c>
      <c r="F1" s="105" t="s">
        <v>150</v>
      </c>
      <c r="G1" s="104" t="s">
        <v>145</v>
      </c>
      <c r="H1" s="104" t="s">
        <v>133</v>
      </c>
      <c r="I1" s="104" t="s">
        <v>152</v>
      </c>
      <c r="J1" s="104" t="s">
        <v>153</v>
      </c>
      <c r="K1" s="105" t="s">
        <v>154</v>
      </c>
      <c r="L1" s="104" t="s">
        <v>146</v>
      </c>
      <c r="M1" s="104" t="s">
        <v>133</v>
      </c>
      <c r="N1" s="104" t="s">
        <v>148</v>
      </c>
      <c r="O1" s="104" t="s">
        <v>149</v>
      </c>
      <c r="P1" s="105" t="s">
        <v>150</v>
      </c>
      <c r="Q1" s="104" t="s">
        <v>147</v>
      </c>
      <c r="R1" s="104" t="s">
        <v>133</v>
      </c>
      <c r="S1" s="104" t="s">
        <v>152</v>
      </c>
      <c r="T1" s="104" t="s">
        <v>153</v>
      </c>
      <c r="U1" s="105" t="s">
        <v>154</v>
      </c>
    </row>
    <row r="2" spans="1:21" x14ac:dyDescent="0.2">
      <c r="A2" s="102">
        <v>1</v>
      </c>
      <c r="B2">
        <v>5.4319019808463</v>
      </c>
      <c r="C2"/>
      <c r="F2" s="103"/>
      <c r="H2"/>
      <c r="K2" s="103"/>
      <c r="L2">
        <v>10.431901980846305</v>
      </c>
      <c r="M2"/>
      <c r="N2" s="102">
        <f>10/(A2^N$30)</f>
        <v>10</v>
      </c>
      <c r="P2" s="103"/>
      <c r="R2"/>
      <c r="U2" s="103"/>
    </row>
    <row r="3" spans="1:21" x14ac:dyDescent="0.2">
      <c r="A3" s="102">
        <f>A2+1</f>
        <v>2</v>
      </c>
      <c r="B3">
        <v>9.8679004420409004</v>
      </c>
      <c r="C3"/>
      <c r="F3" s="103"/>
      <c r="G3" s="102">
        <f>(B3-B2)</f>
        <v>4.4359984611946004</v>
      </c>
      <c r="H3"/>
      <c r="K3" s="103"/>
      <c r="L3">
        <v>8.8679004420409004</v>
      </c>
      <c r="M3"/>
      <c r="N3" s="102">
        <f t="shared" ref="N3:N6" si="0">10/(A3^N$30)</f>
        <v>8.1225239635623545</v>
      </c>
      <c r="P3" s="103"/>
      <c r="Q3" s="102">
        <f>(L3-L2)</f>
        <v>-1.5640015388054049</v>
      </c>
      <c r="R3"/>
      <c r="U3" s="103"/>
    </row>
    <row r="4" spans="1:21" x14ac:dyDescent="0.2">
      <c r="A4" s="102">
        <f t="shared" ref="A4:A27" si="1">A3+1</f>
        <v>3</v>
      </c>
      <c r="B4">
        <v>5.8597596711770201</v>
      </c>
      <c r="C4"/>
      <c r="F4" s="103"/>
      <c r="G4" s="102">
        <f>(B4-B3)</f>
        <v>-4.0081407708638803</v>
      </c>
      <c r="H4"/>
      <c r="K4" s="103"/>
      <c r="L4">
        <v>6.3597596711770201</v>
      </c>
      <c r="M4"/>
      <c r="N4" s="102">
        <f t="shared" si="0"/>
        <v>7.192230933248644</v>
      </c>
      <c r="P4" s="103"/>
      <c r="Q4" s="102">
        <f>(L4-L3)</f>
        <v>-2.5081407708638803</v>
      </c>
      <c r="R4"/>
      <c r="U4" s="103"/>
    </row>
    <row r="5" spans="1:21" x14ac:dyDescent="0.2">
      <c r="A5" s="102">
        <f t="shared" si="1"/>
        <v>4</v>
      </c>
      <c r="B5">
        <v>9.2343508741469105</v>
      </c>
      <c r="C5"/>
      <c r="F5" s="103"/>
      <c r="G5" s="102">
        <f>(B5-B4)</f>
        <v>3.3745912029698903</v>
      </c>
      <c r="H5"/>
      <c r="K5" s="103"/>
      <c r="L5">
        <v>6.7343508741469096</v>
      </c>
      <c r="M5"/>
      <c r="N5" s="102">
        <f t="shared" si="0"/>
        <v>6.5975395538644719</v>
      </c>
      <c r="P5" s="103"/>
      <c r="Q5" s="102">
        <f>(L5-L4)</f>
        <v>0.37459120296988946</v>
      </c>
      <c r="R5"/>
      <c r="U5" s="103"/>
    </row>
    <row r="6" spans="1:21" x14ac:dyDescent="0.2">
      <c r="A6" s="102">
        <f t="shared" si="1"/>
        <v>5</v>
      </c>
      <c r="B6">
        <v>5.5763748706377001</v>
      </c>
      <c r="C6"/>
      <c r="F6" s="103"/>
      <c r="G6" s="102">
        <f>(B6-B5)</f>
        <v>-3.6579760035092104</v>
      </c>
      <c r="H6"/>
      <c r="K6" s="103"/>
      <c r="L6">
        <v>6.2763748706377003</v>
      </c>
      <c r="M6"/>
      <c r="N6" s="102">
        <f t="shared" si="0"/>
        <v>6.1703386272000964</v>
      </c>
      <c r="P6" s="103"/>
      <c r="Q6" s="102">
        <f>(L6-L5)</f>
        <v>-0.45797600350920931</v>
      </c>
      <c r="R6"/>
      <c r="U6" s="103"/>
    </row>
    <row r="7" spans="1:21" x14ac:dyDescent="0.2">
      <c r="A7" s="102">
        <v>5.5</v>
      </c>
      <c r="C7" s="102">
        <v>0</v>
      </c>
      <c r="F7" s="103"/>
      <c r="H7" s="102">
        <v>-100</v>
      </c>
      <c r="K7" s="103"/>
      <c r="M7" s="102">
        <v>0</v>
      </c>
      <c r="P7" s="103"/>
      <c r="R7" s="102">
        <v>-100</v>
      </c>
      <c r="U7" s="103"/>
    </row>
    <row r="8" spans="1:21" x14ac:dyDescent="0.2">
      <c r="A8" s="102">
        <v>5.5</v>
      </c>
      <c r="C8" s="102">
        <v>100</v>
      </c>
      <c r="F8" s="103"/>
      <c r="H8" s="102">
        <v>100</v>
      </c>
      <c r="K8" s="103"/>
      <c r="M8" s="102">
        <v>100</v>
      </c>
      <c r="P8" s="103"/>
      <c r="R8" s="102">
        <v>100</v>
      </c>
      <c r="U8" s="103"/>
    </row>
    <row r="9" spans="1:21" x14ac:dyDescent="0.2">
      <c r="A9" s="102">
        <v>6</v>
      </c>
      <c r="B9">
        <v>15.9399931261432</v>
      </c>
      <c r="C9"/>
      <c r="D9" s="102">
        <f>SLOPE(B$2:B$6, $A$2:$A$6)*A9+INTERCEPT(B$2:B$6, $A$2:$A$6)</f>
        <v>7.0906764312764095</v>
      </c>
      <c r="F9" s="103"/>
      <c r="G9" s="113"/>
      <c r="H9"/>
      <c r="I9" s="102">
        <f>SLOPE(G$2:G$6, $A$2:$A$6)*A9+INTERCEPT(G$2:G$6, $A$2:$A$6)</f>
        <v>-4.1886796326215645</v>
      </c>
      <c r="K9" s="103"/>
      <c r="L9">
        <v>12.9399931261432</v>
      </c>
      <c r="M9"/>
      <c r="N9" s="102">
        <f>10/(A9^N$30)</f>
        <v>5.8419068106786556</v>
      </c>
      <c r="O9" s="102">
        <f>13*A2^O$30</f>
        <v>13</v>
      </c>
      <c r="P9" s="103"/>
      <c r="R9"/>
      <c r="S9" s="102">
        <f>SLOPE(Q$2:Q$6, $A$2:$A$6)*A9+INTERCEPT(Q$2:Q$6, $A$2:$A$6)</f>
        <v>0.51132036737843745</v>
      </c>
      <c r="U9" s="103"/>
    </row>
    <row r="10" spans="1:21" x14ac:dyDescent="0.2">
      <c r="A10" s="102">
        <f t="shared" si="1"/>
        <v>7</v>
      </c>
      <c r="B10">
        <v>12.209371602162699</v>
      </c>
      <c r="C10"/>
      <c r="D10" s="102">
        <f>SLOPE(B$2:B$6, $A$2:$A$6)*A10+INTERCEPT(B$2:B$6, $A$2:$A$6)</f>
        <v>7.0562160524452899</v>
      </c>
      <c r="F10" s="103"/>
      <c r="G10" s="102">
        <f>(B10-B9)</f>
        <v>-3.730621523980501</v>
      </c>
      <c r="H10"/>
      <c r="I10" s="102">
        <f>SLOPE(G$2:G$6, $A$2:$A$6)*A10+INTERCEPT(G$2:G$6, $A$2:$A$6)</f>
        <v>-5.8785987746493316</v>
      </c>
      <c r="K10" s="103"/>
      <c r="L10">
        <v>15.209371602162699</v>
      </c>
      <c r="M10"/>
      <c r="N10" s="102">
        <f t="shared" ref="N10:N13" si="2">10/(A10^N$30)</f>
        <v>5.5778982530324601</v>
      </c>
      <c r="O10" s="102">
        <f>13*A3^O$30</f>
        <v>14.933078614961456</v>
      </c>
      <c r="P10" s="103"/>
      <c r="Q10" s="102">
        <f>(L10-L9)</f>
        <v>2.269378476019499</v>
      </c>
      <c r="R10"/>
      <c r="S10" s="102">
        <f>SLOPE(Q$2:Q$6, $A$2:$A$6)*A10+INTERCEPT(Q$2:Q$6, $A$2:$A$6)</f>
        <v>1.1314012253506736</v>
      </c>
      <c r="U10" s="103"/>
    </row>
    <row r="11" spans="1:21" x14ac:dyDescent="0.2">
      <c r="A11" s="102">
        <f t="shared" si="1"/>
        <v>8</v>
      </c>
      <c r="B11">
        <v>13.844103300943971</v>
      </c>
      <c r="C11"/>
      <c r="D11" s="102">
        <f>SLOPE(B$2:B$6, $A$2:$A$6)*A11+INTERCEPT(B$2:B$6, $A$2:$A$6)</f>
        <v>7.0217556736141713</v>
      </c>
      <c r="F11" s="103"/>
      <c r="G11" s="102">
        <f>(B11-B10)</f>
        <v>1.6347316987812714</v>
      </c>
      <c r="H11"/>
      <c r="I11" s="102">
        <f t="shared" ref="I11:I13" si="3">SLOPE(G$2:G$6, $A$2:$A$6)*A11+INTERCEPT(G$2:G$6, $A$2:$A$6)</f>
        <v>-7.5685179166770968</v>
      </c>
      <c r="K11" s="103"/>
      <c r="L11">
        <v>16.844103300943999</v>
      </c>
      <c r="M11"/>
      <c r="N11" s="102">
        <f t="shared" si="2"/>
        <v>5.3588673126814657</v>
      </c>
      <c r="O11" s="102">
        <f>13*A4^O$30</f>
        <v>16.194502215001727</v>
      </c>
      <c r="P11" s="103"/>
      <c r="Q11" s="102">
        <f>(L11-L10)</f>
        <v>1.6347316987812999</v>
      </c>
      <c r="R11"/>
      <c r="S11" s="102">
        <f t="shared" ref="S11:S13" si="4">SLOPE(Q$2:Q$6, $A$2:$A$6)*A11+INTERCEPT(Q$2:Q$6, $A$2:$A$6)</f>
        <v>1.7514820833229088</v>
      </c>
      <c r="U11" s="103"/>
    </row>
    <row r="12" spans="1:21" x14ac:dyDescent="0.2">
      <c r="A12" s="102">
        <f t="shared" si="1"/>
        <v>9</v>
      </c>
      <c r="B12">
        <v>16.403636603441601</v>
      </c>
      <c r="C12"/>
      <c r="D12" s="102">
        <f>SLOPE(B$2:B$6, $A$2:$A$6)*A12+INTERCEPT(B$2:B$6, $A$2:$A$6)</f>
        <v>6.9872952947830518</v>
      </c>
      <c r="F12" s="103"/>
      <c r="G12" s="102">
        <f>(B12-B11)</f>
        <v>2.5595333024976306</v>
      </c>
      <c r="H12"/>
      <c r="I12" s="102">
        <f t="shared" si="3"/>
        <v>-9.2584370587048621</v>
      </c>
      <c r="K12" s="103"/>
      <c r="L12">
        <v>17.403636603441601</v>
      </c>
      <c r="M12"/>
      <c r="N12" s="102">
        <f t="shared" si="2"/>
        <v>5.1728185797178661</v>
      </c>
      <c r="O12" s="102">
        <f>13*A5^O$30</f>
        <v>17.153602840047625</v>
      </c>
      <c r="P12" s="103"/>
      <c r="Q12" s="102">
        <f>(L12-L11)</f>
        <v>0.55953330249760214</v>
      </c>
      <c r="R12"/>
      <c r="S12" s="102">
        <f t="shared" si="4"/>
        <v>2.371562941295144</v>
      </c>
      <c r="U12" s="103"/>
    </row>
    <row r="13" spans="1:21" x14ac:dyDescent="0.2">
      <c r="A13" s="102">
        <f t="shared" si="1"/>
        <v>10</v>
      </c>
      <c r="B13">
        <v>13.3752542347065</v>
      </c>
      <c r="C13"/>
      <c r="D13" s="102">
        <f>SLOPE(B$2:B$6, $A$2:$A$6)*A13+INTERCEPT(B$2:B$6, $A$2:$A$6)</f>
        <v>6.9528349159519331</v>
      </c>
      <c r="F13" s="103"/>
      <c r="G13" s="102">
        <f>(B13-B12)</f>
        <v>-3.0283823687351017</v>
      </c>
      <c r="H13"/>
      <c r="I13" s="102">
        <f t="shared" si="3"/>
        <v>-10.948356200732629</v>
      </c>
      <c r="K13" s="103"/>
      <c r="L13">
        <v>16.8752542347065</v>
      </c>
      <c r="M13"/>
      <c r="N13" s="102">
        <f t="shared" si="2"/>
        <v>5.0118723362727229</v>
      </c>
      <c r="O13" s="102">
        <f>13*A6^O$30</f>
        <v>17.936485598995795</v>
      </c>
      <c r="P13" s="103"/>
      <c r="Q13" s="102">
        <f>(L13-L12)</f>
        <v>-0.52838236873510169</v>
      </c>
      <c r="R13"/>
      <c r="S13" s="102">
        <f t="shared" si="4"/>
        <v>2.9916437992673801</v>
      </c>
      <c r="U13" s="103"/>
    </row>
    <row r="14" spans="1:21" x14ac:dyDescent="0.2">
      <c r="A14" s="102">
        <v>10.5</v>
      </c>
      <c r="C14" s="102">
        <v>0</v>
      </c>
      <c r="F14" s="103"/>
      <c r="H14" s="102">
        <v>-100</v>
      </c>
      <c r="K14" s="103"/>
      <c r="M14" s="102">
        <v>0</v>
      </c>
      <c r="P14" s="103"/>
      <c r="R14" s="102">
        <v>-100</v>
      </c>
      <c r="U14" s="103"/>
    </row>
    <row r="15" spans="1:21" x14ac:dyDescent="0.2">
      <c r="A15" s="102">
        <v>10.5</v>
      </c>
      <c r="C15" s="102">
        <v>100</v>
      </c>
      <c r="F15" s="103"/>
      <c r="H15" s="102">
        <v>100</v>
      </c>
      <c r="K15" s="103"/>
      <c r="M15" s="102">
        <v>100</v>
      </c>
      <c r="P15" s="103"/>
      <c r="R15" s="102">
        <v>100</v>
      </c>
      <c r="U15" s="103"/>
    </row>
    <row r="16" spans="1:21" x14ac:dyDescent="0.2">
      <c r="A16" s="102">
        <v>11</v>
      </c>
      <c r="B16">
        <v>5.7497448122012429</v>
      </c>
      <c r="C16"/>
      <c r="D16" s="102">
        <f>SLOPE(B$2:B$6, $A$2:$A$6)*A16+INTERCEPT(B$2:B$6, $A$2:$A$6)</f>
        <v>6.9183745371208145</v>
      </c>
      <c r="E16" s="102">
        <f>SLOPE(B$9:B$13, $A$9:$A$13)*A16+INTERCEPT(B$9:B$13, $A$9:$A$13)</f>
        <v>14.073907939001243</v>
      </c>
      <c r="F16" s="103"/>
      <c r="G16" s="113">
        <f>(B16-B6)</f>
        <v>0.1733699415635428</v>
      </c>
      <c r="H16"/>
      <c r="I16" s="102">
        <f t="shared" ref="I16" si="5">SLOPE(G$2:G$6, $A$2:$A$6)*A16+INTERCEPT(G$2:G$6, $A$2:$A$6)</f>
        <v>-12.638275342760394</v>
      </c>
      <c r="J16" s="102">
        <f t="shared" ref="J16" si="6">SLOPE(G$9:G$13, $A$9:$A$13)*A16+INTERCEPT(G$9:G$13, $A$9:$A$13)</f>
        <v>0.11669504450396406</v>
      </c>
      <c r="K16" s="103"/>
      <c r="L16">
        <v>10.7497448122012</v>
      </c>
      <c r="M16"/>
      <c r="N16" s="102">
        <f>10/(A16^N$30)</f>
        <v>4.8705969722582854</v>
      </c>
      <c r="O16" s="102">
        <v>18.350000000000001</v>
      </c>
      <c r="P16" s="103">
        <f>10/(A2^P$30)</f>
        <v>10</v>
      </c>
      <c r="Q16" s="102">
        <f>(L16-L6)</f>
        <v>4.4733699415635</v>
      </c>
      <c r="R16"/>
      <c r="S16" s="102">
        <f>SLOPE(Q$2:Q$6, $A$2:$A$6)*A16+INTERCEPT(Q$2:Q$6, $A$2:$A$6)</f>
        <v>3.6117246572396162</v>
      </c>
      <c r="T16" s="102">
        <f>SLOPE(Q$9:Q$13, $A$9:$A$13)*A16+INTERCEPT(Q$9:Q$13, $A$9:$A$13)</f>
        <v>-1.383304955496051</v>
      </c>
      <c r="U16" s="103"/>
    </row>
    <row r="17" spans="1:24" x14ac:dyDescent="0.2">
      <c r="A17" s="102">
        <f t="shared" si="1"/>
        <v>12</v>
      </c>
      <c r="B17">
        <v>10.8441691079497</v>
      </c>
      <c r="C17"/>
      <c r="D17" s="102">
        <f>SLOPE(B$2:B$6, $A$2:$A$6)*A17+INTERCEPT(B$2:B$6, $A$2:$A$6)</f>
        <v>6.883914158289695</v>
      </c>
      <c r="E17" s="102">
        <f>SLOPE(B$9:B$13, $A$9:$A$13)*A17+INTERCEPT(B$9:B$13, $A$9:$A$13)</f>
        <v>13.980386660841793</v>
      </c>
      <c r="F17" s="103"/>
      <c r="G17" s="102">
        <f>(B17-B16)</f>
        <v>5.0944242957484569</v>
      </c>
      <c r="H17"/>
      <c r="I17" s="102">
        <f t="shared" ref="I17:I20" si="7">SLOPE(G$2:G$6, $A$2:$A$6)*A17+INTERCEPT(G$2:G$6, $A$2:$A$6)</f>
        <v>-14.32819448478816</v>
      </c>
      <c r="J17" s="102">
        <f t="shared" ref="J17:J20" si="8">SLOPE(G$9:G$13, $A$9:$A$13)*A17+INTERCEPT(G$9:G$13, $A$9:$A$13)</f>
        <v>0.41984695144921957</v>
      </c>
      <c r="K17" s="103"/>
      <c r="L17">
        <v>8.8441691079496998</v>
      </c>
      <c r="M17"/>
      <c r="N17" s="102">
        <f t="shared" ref="N17:N20" si="9">10/(A17^N$30)</f>
        <v>4.7451028062635512</v>
      </c>
      <c r="O17" s="102">
        <v>18.7</v>
      </c>
      <c r="P17" s="103">
        <f t="shared" ref="P17:P20" si="10">10/(A3^P$30)</f>
        <v>8.4089641525371466</v>
      </c>
      <c r="Q17" s="102">
        <f>(L17-L16)</f>
        <v>-1.9055757042515005</v>
      </c>
      <c r="R17"/>
      <c r="S17" s="102">
        <f>SLOPE(Q$2:Q$6, $A$2:$A$6)*A17+INTERCEPT(Q$2:Q$6, $A$2:$A$6)</f>
        <v>4.2318055152118514</v>
      </c>
      <c r="T17" s="102">
        <f>SLOPE(Q$9:Q$13, $A$9:$A$13)*A17+INTERCEPT(Q$9:Q$13, $A$9:$A$13)</f>
        <v>-2.3301530485508017</v>
      </c>
      <c r="U17" s="103"/>
    </row>
    <row r="18" spans="1:24" x14ac:dyDescent="0.2">
      <c r="A18" s="102">
        <f t="shared" si="1"/>
        <v>13</v>
      </c>
      <c r="B18">
        <v>5.8991003142</v>
      </c>
      <c r="C18"/>
      <c r="D18" s="102">
        <f>SLOPE(B$2:B$6, $A$2:$A$6)*A18+INTERCEPT(B$2:B$6, $A$2:$A$6)</f>
        <v>6.8494537794585764</v>
      </c>
      <c r="E18" s="102">
        <f>SLOPE(B$9:B$13, $A$9:$A$13)*A18+INTERCEPT(B$9:B$13, $A$9:$A$13)</f>
        <v>13.886865382682343</v>
      </c>
      <c r="F18" s="103"/>
      <c r="G18" s="102">
        <f>(B18-B17)</f>
        <v>-4.9450687937496998</v>
      </c>
      <c r="H18"/>
      <c r="I18" s="102">
        <f t="shared" si="7"/>
        <v>-16.018113626815925</v>
      </c>
      <c r="J18" s="102">
        <f t="shared" si="8"/>
        <v>0.72299885839447509</v>
      </c>
      <c r="K18" s="103"/>
      <c r="L18">
        <v>6.8991003142</v>
      </c>
      <c r="M18"/>
      <c r="N18" s="102">
        <f t="shared" si="9"/>
        <v>4.6325167075036715</v>
      </c>
      <c r="O18" s="102">
        <v>18.899999999999999</v>
      </c>
      <c r="P18" s="103">
        <f t="shared" si="10"/>
        <v>7.5983568565159247</v>
      </c>
      <c r="Q18" s="102">
        <f>(L18-L17)</f>
        <v>-1.9450687937496998</v>
      </c>
      <c r="R18"/>
      <c r="S18" s="102">
        <f t="shared" ref="S18:S20" si="11">SLOPE(Q$2:Q$6, $A$2:$A$6)*A18+INTERCEPT(Q$2:Q$6, $A$2:$A$6)</f>
        <v>4.8518863731840867</v>
      </c>
      <c r="T18" s="102">
        <f t="shared" ref="T18:T20" si="12">SLOPE(Q$9:Q$13, $A$9:$A$13)*A18+INTERCEPT(Q$9:Q$13, $A$9:$A$13)</f>
        <v>-3.2770011416055507</v>
      </c>
      <c r="U18" s="103"/>
    </row>
    <row r="19" spans="1:24" x14ac:dyDescent="0.2">
      <c r="A19" s="102">
        <f t="shared" si="1"/>
        <v>14</v>
      </c>
      <c r="B19">
        <v>10.560792846546899</v>
      </c>
      <c r="C19"/>
      <c r="D19" s="102">
        <f>SLOPE(B$2:B$6, $A$2:$A$6)*A19+INTERCEPT(B$2:B$6, $A$2:$A$6)</f>
        <v>6.8149934006274568</v>
      </c>
      <c r="E19" s="102">
        <f>SLOPE(B$9:B$13, $A$9:$A$13)*A19+INTERCEPT(B$9:B$13, $A$9:$A$13)</f>
        <v>13.793344104522893</v>
      </c>
      <c r="F19" s="103"/>
      <c r="G19" s="102">
        <f>(B19-B18)</f>
        <v>4.6616925323468994</v>
      </c>
      <c r="H19"/>
      <c r="I19" s="102">
        <f t="shared" si="7"/>
        <v>-17.708032768843694</v>
      </c>
      <c r="J19" s="102">
        <f t="shared" si="8"/>
        <v>1.026150765339731</v>
      </c>
      <c r="K19" s="103"/>
      <c r="L19">
        <v>6.5607928465469696</v>
      </c>
      <c r="M19"/>
      <c r="N19" s="102">
        <f t="shared" si="9"/>
        <v>4.5306612226568763</v>
      </c>
      <c r="O19" s="102">
        <v>19</v>
      </c>
      <c r="P19" s="103">
        <f t="shared" si="10"/>
        <v>7.0710678118654755</v>
      </c>
      <c r="Q19" s="102">
        <f>(L19-L18)</f>
        <v>-0.33830746765303044</v>
      </c>
      <c r="R19"/>
      <c r="S19" s="102">
        <f t="shared" si="11"/>
        <v>5.4719672311563237</v>
      </c>
      <c r="T19" s="102">
        <f t="shared" si="12"/>
        <v>-4.2238492346603014</v>
      </c>
      <c r="U19" s="103"/>
    </row>
    <row r="20" spans="1:24" x14ac:dyDescent="0.2">
      <c r="A20" s="102">
        <f t="shared" si="1"/>
        <v>15</v>
      </c>
      <c r="B20">
        <v>6.1604703457851429</v>
      </c>
      <c r="C20"/>
      <c r="D20" s="102">
        <f>SLOPE(B$2:B$6, $A$2:$A$6)*A20+INTERCEPT(B$2:B$6, $A$2:$A$6)</f>
        <v>6.7805330217963382</v>
      </c>
      <c r="E20" s="102">
        <f>SLOPE(B$9:B$13, $A$9:$A$13)*A20+INTERCEPT(B$9:B$13, $A$9:$A$13)</f>
        <v>13.699822826363445</v>
      </c>
      <c r="F20" s="103"/>
      <c r="G20" s="102">
        <f>(B20-B19)</f>
        <v>-4.4003225007617566</v>
      </c>
      <c r="H20"/>
      <c r="I20" s="102">
        <f t="shared" si="7"/>
        <v>-19.397951910871459</v>
      </c>
      <c r="J20" s="102">
        <f t="shared" si="8"/>
        <v>1.3293026722849866</v>
      </c>
      <c r="K20" s="103"/>
      <c r="L20">
        <v>6.8604703457851404</v>
      </c>
      <c r="M20"/>
      <c r="N20" s="102">
        <f t="shared" si="9"/>
        <v>4.4378500343167504</v>
      </c>
      <c r="O20" s="102">
        <v>19.05</v>
      </c>
      <c r="P20" s="103">
        <f t="shared" si="10"/>
        <v>6.6874030497642201</v>
      </c>
      <c r="Q20" s="102">
        <f>(L20-L19)</f>
        <v>0.29967749923817077</v>
      </c>
      <c r="R20"/>
      <c r="S20" s="102">
        <f t="shared" si="11"/>
        <v>6.0920480891285589</v>
      </c>
      <c r="T20" s="102">
        <f t="shared" si="12"/>
        <v>-5.1706973277150503</v>
      </c>
      <c r="U20" s="103"/>
    </row>
    <row r="21" spans="1:24" x14ac:dyDescent="0.2">
      <c r="A21" s="102">
        <v>15.5</v>
      </c>
      <c r="C21" s="102">
        <v>0</v>
      </c>
      <c r="F21" s="103"/>
      <c r="H21" s="102">
        <v>-100</v>
      </c>
      <c r="K21" s="103"/>
      <c r="M21" s="102">
        <v>0</v>
      </c>
      <c r="P21" s="103"/>
      <c r="R21" s="102">
        <v>-100</v>
      </c>
      <c r="U21" s="103"/>
    </row>
    <row r="22" spans="1:24" x14ac:dyDescent="0.2">
      <c r="A22" s="102">
        <v>15.5</v>
      </c>
      <c r="C22" s="102">
        <v>100</v>
      </c>
      <c r="F22" s="103"/>
      <c r="H22" s="102">
        <v>100</v>
      </c>
      <c r="K22" s="103"/>
      <c r="M22" s="102">
        <v>100</v>
      </c>
      <c r="P22" s="103"/>
      <c r="R22" s="102">
        <v>100</v>
      </c>
      <c r="U22" s="103"/>
    </row>
    <row r="23" spans="1:24" x14ac:dyDescent="0.2">
      <c r="A23" s="102">
        <v>16</v>
      </c>
      <c r="B23">
        <v>12.2705152382841</v>
      </c>
      <c r="C23"/>
      <c r="E23" s="102">
        <f>SLOPE(B$9:B$13, $A$9:$A$13)*A23+INTERCEPT(B$9:B$13, $A$9:$A$13)</f>
        <v>13.606301548203994</v>
      </c>
      <c r="F23" s="103">
        <f>SLOPE(B$16:B$20, $A$16:$A$20)*A23+INTERCEPT(B$16:B$20, $A$16:$A$20)</f>
        <v>8.0042779270660969</v>
      </c>
      <c r="G23" s="113">
        <f>(B23-B13)</f>
        <v>-1.1047389964223999</v>
      </c>
      <c r="H23"/>
      <c r="J23" s="102">
        <f t="shared" ref="J23" si="13">SLOPE(G$9:G$13, $A$9:$A$13)*A23+INTERCEPT(G$9:G$13, $A$9:$A$13)</f>
        <v>1.6324545792302421</v>
      </c>
      <c r="K23" s="103">
        <f t="shared" ref="K23" si="14">SLOPE(G$16:G$20, $A$16:$A$20)*A23+INTERCEPT(G$16:G$20, $A$16:$A$20)</f>
        <v>-2.7572158993861589</v>
      </c>
      <c r="L23">
        <v>13.2705152382841</v>
      </c>
      <c r="M23"/>
      <c r="O23" s="102">
        <v>19.25</v>
      </c>
      <c r="P23" s="103">
        <v>6.5</v>
      </c>
      <c r="Q23" s="102">
        <f>(L23-L13)</f>
        <v>-3.6047389964223999</v>
      </c>
      <c r="R23"/>
      <c r="T23" s="102">
        <f>SLOPE(Q$9:Q$13, $A$9:$A$13)*A23+INTERCEPT(Q$9:Q$13, $A$9:$A$13)</f>
        <v>-6.117545420769801</v>
      </c>
      <c r="U23" s="103">
        <v>-1</v>
      </c>
    </row>
    <row r="24" spans="1:24" x14ac:dyDescent="0.2">
      <c r="A24" s="102">
        <f t="shared" si="1"/>
        <v>17</v>
      </c>
      <c r="B24">
        <v>18.3301851241558</v>
      </c>
      <c r="C24"/>
      <c r="E24" s="102">
        <f>SLOPE(B$9:B$13, $A$9:$A$13)*A24+INTERCEPT(B$9:B$13, $A$9:$A$13)</f>
        <v>13.512780270044544</v>
      </c>
      <c r="F24" s="103">
        <f>SLOPE(B$16:B$20, $A$16:$A$20)*A24+INTERCEPT(B$16:B$20, $A$16:$A$20)</f>
        <v>8.0580854076425972</v>
      </c>
      <c r="G24" s="102">
        <f>(B24-B23)</f>
        <v>6.0596698858717009</v>
      </c>
      <c r="H24"/>
      <c r="J24" s="102">
        <f t="shared" ref="J24:J27" si="15">SLOPE(G$9:G$13, $A$9:$A$13)*A24+INTERCEPT(G$9:G$13, $A$9:$A$13)</f>
        <v>1.9356064861754976</v>
      </c>
      <c r="K24" s="103">
        <f t="shared" ref="K24:K27" si="16">SLOPE(G$16:G$20, $A$16:$A$20)*A24+INTERCEPT(G$16:G$20, $A$16:$A$20)</f>
        <v>-3.7152275641913732</v>
      </c>
      <c r="L24">
        <v>15.3301851241558</v>
      </c>
      <c r="M24"/>
      <c r="O24" s="102">
        <v>19.375</v>
      </c>
      <c r="P24" s="103">
        <v>6.3</v>
      </c>
      <c r="Q24" s="102">
        <f>(L24-L23)</f>
        <v>2.0596698858717009</v>
      </c>
      <c r="R24"/>
      <c r="T24" s="102">
        <f>SLOPE(Q$9:Q$13, $A$9:$A$13)*A24+INTERCEPT(Q$9:Q$13, $A$9:$A$13)</f>
        <v>-7.0643935138245517</v>
      </c>
      <c r="U24" s="103">
        <v>-0.4</v>
      </c>
    </row>
    <row r="25" spans="1:24" x14ac:dyDescent="0.2">
      <c r="A25" s="102">
        <f t="shared" si="1"/>
        <v>18</v>
      </c>
      <c r="B25">
        <v>15.087628334062201</v>
      </c>
      <c r="C25"/>
      <c r="E25" s="102">
        <f>SLOPE(B$9:B$13, $A$9:$A$13)*A25+INTERCEPT(B$9:B$13, $A$9:$A$13)</f>
        <v>13.419258991885094</v>
      </c>
      <c r="F25" s="103">
        <f>SLOPE(B$16:B$20, $A$16:$A$20)*A25+INTERCEPT(B$16:B$20, $A$16:$A$20)</f>
        <v>8.1118928882190957</v>
      </c>
      <c r="G25" s="102">
        <f>(B25-B24)</f>
        <v>-3.2425567900935999</v>
      </c>
      <c r="H25"/>
      <c r="J25" s="102">
        <f t="shared" si="15"/>
        <v>2.2387583931207531</v>
      </c>
      <c r="K25" s="103">
        <f t="shared" si="16"/>
        <v>-4.6732392289965894</v>
      </c>
      <c r="L25">
        <v>17.087628334062199</v>
      </c>
      <c r="M25"/>
      <c r="O25" s="102">
        <v>19.440000000000001</v>
      </c>
      <c r="P25" s="103">
        <v>6.2</v>
      </c>
      <c r="Q25" s="102">
        <f>(L25-L24)</f>
        <v>1.7574432099063984</v>
      </c>
      <c r="R25"/>
      <c r="T25" s="102">
        <f t="shared" ref="T25:T27" si="17">SLOPE(Q$9:Q$13, $A$9:$A$13)*A25+INTERCEPT(Q$9:Q$13, $A$9:$A$13)</f>
        <v>-8.0112416068793024</v>
      </c>
      <c r="U25" s="103">
        <v>0</v>
      </c>
    </row>
    <row r="26" spans="1:24" x14ac:dyDescent="0.2">
      <c r="A26" s="102">
        <f t="shared" si="1"/>
        <v>19</v>
      </c>
      <c r="B26">
        <v>13.998435563000401</v>
      </c>
      <c r="C26"/>
      <c r="E26" s="102">
        <f>SLOPE(B$9:B$13, $A$9:$A$13)*A26+INTERCEPT(B$9:B$13, $A$9:$A$13)</f>
        <v>13.325737713725644</v>
      </c>
      <c r="F26" s="103">
        <f>SLOPE(B$16:B$20, $A$16:$A$20)*A26+INTERCEPT(B$16:B$20, $A$16:$A$20)</f>
        <v>8.165700368795596</v>
      </c>
      <c r="G26" s="102">
        <f>(B26-B25)</f>
        <v>-1.0891927710617999</v>
      </c>
      <c r="H26"/>
      <c r="J26" s="102">
        <f t="shared" si="15"/>
        <v>2.5419103000660086</v>
      </c>
      <c r="K26" s="103">
        <f t="shared" si="16"/>
        <v>-5.6312508938018055</v>
      </c>
      <c r="L26">
        <v>16.998435563000385</v>
      </c>
      <c r="M26"/>
      <c r="O26" s="102">
        <v>19.47</v>
      </c>
      <c r="P26" s="103">
        <v>6.15</v>
      </c>
      <c r="Q26" s="102">
        <f>(L26-L25)</f>
        <v>-8.9192771061814113E-2</v>
      </c>
      <c r="R26"/>
      <c r="T26" s="102">
        <f t="shared" si="17"/>
        <v>-8.9580896999340496</v>
      </c>
      <c r="U26" s="103">
        <v>0.2</v>
      </c>
    </row>
    <row r="27" spans="1:24" x14ac:dyDescent="0.2">
      <c r="A27" s="106">
        <f t="shared" si="1"/>
        <v>20</v>
      </c>
      <c r="B27" s="67">
        <v>15.8975147516466</v>
      </c>
      <c r="C27" s="67"/>
      <c r="D27" s="106"/>
      <c r="E27" s="106">
        <f>SLOPE(B$9:B$13, $A$9:$A$13)*A27+INTERCEPT(B$9:B$13, $A$9:$A$13)</f>
        <v>13.232216435566194</v>
      </c>
      <c r="F27" s="107">
        <f>SLOPE(B$16:B$20, $A$16:$A$20)*A27+INTERCEPT(B$16:B$20, $A$16:$A$20)</f>
        <v>8.2195078493720963</v>
      </c>
      <c r="G27" s="106">
        <f>(B27-B26)</f>
        <v>1.8990791886461995</v>
      </c>
      <c r="H27" s="67"/>
      <c r="I27" s="106"/>
      <c r="J27" s="106">
        <f t="shared" si="15"/>
        <v>2.8450622070112641</v>
      </c>
      <c r="K27" s="107">
        <f t="shared" si="16"/>
        <v>-6.5892625586070217</v>
      </c>
      <c r="L27" s="67">
        <v>16.8975147516466</v>
      </c>
      <c r="M27" s="67"/>
      <c r="N27" s="106"/>
      <c r="O27" s="106">
        <v>19.48</v>
      </c>
      <c r="P27" s="107">
        <v>6.125</v>
      </c>
      <c r="Q27" s="106">
        <f>(L27-L26)</f>
        <v>-0.1009208113537845</v>
      </c>
      <c r="R27" s="67"/>
      <c r="S27" s="106"/>
      <c r="T27" s="106">
        <f t="shared" si="17"/>
        <v>-9.9049377929888003</v>
      </c>
      <c r="U27" s="107">
        <v>0.3</v>
      </c>
    </row>
    <row r="29" spans="1:24" x14ac:dyDescent="0.2">
      <c r="A29" s="102" t="s">
        <v>155</v>
      </c>
      <c r="D29" s="102">
        <f>CONFIDENCE(0.05, STDEV(B2:B6), 5)</f>
        <v>1.9009969952254504</v>
      </c>
      <c r="E29" s="102">
        <f>CONFIDENCE(0.05, STDEV(B9:B13), 5)</f>
        <v>1.5515781133094975</v>
      </c>
      <c r="F29" s="102">
        <f>CONFIDENCE(0.05, STDEV(B16:B20), 5)</f>
        <v>2.2934419207378474</v>
      </c>
      <c r="I29" s="102">
        <f>CONFIDENCE(0.05, STDEV(G2:G6), 5)</f>
        <v>3.936445421484926</v>
      </c>
      <c r="J29" s="102">
        <f>CONFIDENCE(0.05, STDEV(G9:G13), 5)</f>
        <v>2.8024845886401235</v>
      </c>
      <c r="K29" s="102">
        <f>CONFIDENCE(0.05, STDEV(G16:G20), 5)</f>
        <v>4.1913659861951</v>
      </c>
      <c r="N29" s="102">
        <f>CONFIDENCE(0.05, STDEV(L2:L6), 5)</f>
        <v>1.6148551818101875</v>
      </c>
      <c r="O29" s="102">
        <f>CONFIDENCE(0.05, STDEV(L9:L13), 5)</f>
        <v>1.6002010141062912</v>
      </c>
      <c r="P29" s="102">
        <f>CONFIDENCE(0.05, STDEV(L16:L20), 5)</f>
        <v>1.5712796397099937</v>
      </c>
      <c r="S29" s="102">
        <f>CONFIDENCE(0.05, STDEV(Q2:Q6), 5)</f>
        <v>1.1052331897868242</v>
      </c>
      <c r="T29" s="102">
        <f>CONFIDENCE(0.05, STDEV(Q9:Q13), 5)</f>
        <v>1.0786477790137758</v>
      </c>
      <c r="U29" s="102">
        <f>CONFIDENCE(0.05, STDEV(Q16:Q20), 5)</f>
        <v>2.300833062151578</v>
      </c>
    </row>
    <row r="30" spans="1:24" x14ac:dyDescent="0.2">
      <c r="N30" s="102">
        <v>0.3</v>
      </c>
      <c r="O30" s="102">
        <v>0.2</v>
      </c>
      <c r="P30" s="102">
        <v>0.25</v>
      </c>
    </row>
    <row r="31" spans="1:24" x14ac:dyDescent="0.2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</row>
    <row r="32" spans="1:24" x14ac:dyDescent="0.2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</row>
    <row r="33" spans="1:24" x14ac:dyDescent="0.2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</row>
    <row r="34" spans="1:24" x14ac:dyDescent="0.2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</row>
    <row r="35" spans="1:24" x14ac:dyDescent="0.2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</row>
    <row r="36" spans="1:24" x14ac:dyDescent="0.2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</row>
    <row r="37" spans="1:24" x14ac:dyDescent="0.2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</row>
    <row r="38" spans="1:24" x14ac:dyDescent="0.2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</row>
    <row r="39" spans="1:24" x14ac:dyDescent="0.2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</row>
    <row r="40" spans="1:24" x14ac:dyDescent="0.2">
      <c r="A40" s="109"/>
      <c r="B40" s="110"/>
      <c r="C40" s="110"/>
      <c r="D40" s="110"/>
      <c r="E40" s="108"/>
      <c r="F40" s="108"/>
      <c r="G40" s="108"/>
      <c r="H40" s="110"/>
      <c r="I40" s="108"/>
      <c r="J40" s="108"/>
      <c r="K40" s="108"/>
      <c r="L40" s="108"/>
      <c r="M40" s="108"/>
      <c r="N40" s="108"/>
      <c r="O40" s="108"/>
      <c r="P40" s="108"/>
      <c r="Q40" s="108"/>
      <c r="R40" s="110"/>
      <c r="S40" s="108"/>
      <c r="T40" s="108"/>
      <c r="U40" s="108"/>
      <c r="V40" s="108"/>
      <c r="W40" s="108"/>
      <c r="X40" s="108"/>
    </row>
    <row r="41" spans="1:24" x14ac:dyDescent="0.2">
      <c r="A41" s="111"/>
      <c r="B41" s="112"/>
      <c r="C41" s="112"/>
      <c r="D41" s="112"/>
      <c r="E41" s="108"/>
      <c r="F41" s="108"/>
      <c r="G41" s="108"/>
      <c r="H41" s="112"/>
      <c r="I41" s="108"/>
      <c r="J41" s="108"/>
      <c r="K41" s="108"/>
      <c r="L41" s="108"/>
      <c r="M41" s="108"/>
      <c r="N41" s="108"/>
      <c r="O41" s="108"/>
      <c r="P41" s="108"/>
      <c r="Q41" s="108"/>
      <c r="R41" s="112"/>
      <c r="S41" s="108"/>
      <c r="T41" s="108"/>
      <c r="U41" s="108"/>
      <c r="V41" s="108"/>
      <c r="W41" s="108"/>
      <c r="X41" s="108"/>
    </row>
    <row r="42" spans="1:24" x14ac:dyDescent="0.2">
      <c r="A42" s="111"/>
      <c r="B42" s="112"/>
      <c r="C42" s="112"/>
      <c r="D42" s="112"/>
      <c r="E42" s="108"/>
      <c r="F42" s="108"/>
      <c r="G42" s="108"/>
      <c r="H42" s="112"/>
      <c r="I42" s="108"/>
      <c r="J42" s="108"/>
      <c r="K42" s="108"/>
      <c r="L42" s="108"/>
      <c r="M42" s="108"/>
      <c r="N42" s="108"/>
      <c r="O42" s="108"/>
      <c r="P42" s="108"/>
      <c r="Q42" s="108"/>
      <c r="R42" s="112"/>
      <c r="S42" s="108"/>
      <c r="T42" s="108"/>
      <c r="U42" s="108"/>
      <c r="V42" s="108"/>
      <c r="W42" s="108"/>
      <c r="X42" s="108"/>
    </row>
    <row r="43" spans="1:24" x14ac:dyDescent="0.2">
      <c r="A43" s="109"/>
      <c r="B43" s="110"/>
      <c r="C43" s="110"/>
      <c r="D43" s="110"/>
      <c r="E43" s="108"/>
      <c r="F43" s="108"/>
      <c r="G43" s="108"/>
      <c r="H43" s="110"/>
      <c r="I43" s="108"/>
      <c r="J43" s="108"/>
      <c r="K43" s="108"/>
      <c r="L43" s="108"/>
      <c r="M43" s="108"/>
      <c r="N43" s="108"/>
      <c r="O43" s="108"/>
      <c r="P43" s="108"/>
      <c r="Q43" s="108"/>
      <c r="R43" s="110"/>
      <c r="S43" s="108"/>
      <c r="T43" s="108"/>
      <c r="U43" s="108"/>
      <c r="V43" s="108"/>
      <c r="W43" s="108"/>
      <c r="X43" s="108"/>
    </row>
    <row r="44" spans="1:24" x14ac:dyDescent="0.2">
      <c r="A44" s="110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</row>
    <row r="45" spans="1:24" x14ac:dyDescent="0.2">
      <c r="A45" s="110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</row>
    <row r="46" spans="1:24" x14ac:dyDescent="0.2">
      <c r="A46" s="110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</row>
    <row r="47" spans="1:24" x14ac:dyDescent="0.2">
      <c r="A47" s="109"/>
      <c r="B47" s="110"/>
      <c r="C47" s="110"/>
      <c r="D47" s="110"/>
      <c r="E47" s="108"/>
      <c r="F47" s="108"/>
      <c r="G47" s="108"/>
      <c r="H47" s="110"/>
      <c r="I47" s="108"/>
      <c r="J47" s="108"/>
      <c r="K47" s="108"/>
      <c r="L47" s="108"/>
      <c r="M47" s="108"/>
      <c r="N47" s="108"/>
      <c r="O47" s="108"/>
      <c r="P47" s="108"/>
      <c r="Q47" s="108"/>
      <c r="R47" s="110"/>
      <c r="S47" s="108"/>
      <c r="T47" s="108"/>
      <c r="U47" s="108"/>
      <c r="V47" s="108"/>
      <c r="W47" s="108"/>
      <c r="X47" s="108"/>
    </row>
    <row r="48" spans="1:24" x14ac:dyDescent="0.2">
      <c r="A48" s="110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</row>
    <row r="49" spans="1:24" x14ac:dyDescent="0.2">
      <c r="A49" s="110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</row>
    <row r="50" spans="1:24" x14ac:dyDescent="0.2">
      <c r="A50" s="110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</row>
    <row r="51" spans="1:24" x14ac:dyDescent="0.2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</row>
    <row r="52" spans="1:24" x14ac:dyDescent="0.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</row>
    <row r="53" spans="1:24" x14ac:dyDescent="0.2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</row>
    <row r="54" spans="1:24" x14ac:dyDescent="0.2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</row>
    <row r="55" spans="1:24" x14ac:dyDescent="0.2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</row>
    <row r="56" spans="1:24" x14ac:dyDescent="0.2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</row>
    <row r="57" spans="1:24" x14ac:dyDescent="0.2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</row>
    <row r="58" spans="1:24" x14ac:dyDescent="0.2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</row>
    <row r="59" spans="1:24" x14ac:dyDescent="0.2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</row>
    <row r="60" spans="1:24" x14ac:dyDescent="0.2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</row>
    <row r="61" spans="1:24" x14ac:dyDescent="0.2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</row>
    <row r="62" spans="1:24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</row>
    <row r="63" spans="1:24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</row>
    <row r="64" spans="1:24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</row>
    <row r="65" spans="1:24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4FF4-627E-9E4D-B2EC-A4A9C36C95E0}">
  <dimension ref="A1:X128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58" sqref="U58"/>
    </sheetView>
  </sheetViews>
  <sheetFormatPr baseColWidth="10" defaultRowHeight="16" x14ac:dyDescent="0.2"/>
  <cols>
    <col min="1" max="1" width="11" style="102" bestFit="1" customWidth="1"/>
    <col min="2" max="3" width="9.83203125" style="102" customWidth="1"/>
    <col min="4" max="4" width="8.5" style="102" bestFit="1" customWidth="1"/>
    <col min="5" max="5" width="8.33203125" style="102" bestFit="1" customWidth="1"/>
    <col min="6" max="6" width="5.83203125" style="102" bestFit="1" customWidth="1"/>
    <col min="7" max="7" width="10.1640625" style="102" bestFit="1" customWidth="1"/>
    <col min="8" max="8" width="9.83203125" style="102" customWidth="1"/>
    <col min="9" max="11" width="10.1640625" style="102" bestFit="1" customWidth="1"/>
    <col min="12" max="13" width="9.83203125" style="102" customWidth="1"/>
    <col min="14" max="14" width="7.33203125" style="102" customWidth="1"/>
    <col min="15" max="16" width="6.6640625" style="102" customWidth="1"/>
    <col min="17" max="17" width="10.1640625" style="102" bestFit="1" customWidth="1"/>
    <col min="18" max="18" width="9.83203125" style="102" customWidth="1"/>
    <col min="19" max="21" width="10.1640625" style="102" bestFit="1" customWidth="1"/>
    <col min="22" max="16384" width="10.83203125" style="102"/>
  </cols>
  <sheetData>
    <row r="1" spans="1:21" s="51" customFormat="1" ht="34" x14ac:dyDescent="0.2">
      <c r="A1" s="104" t="s">
        <v>121</v>
      </c>
      <c r="B1" s="104" t="s">
        <v>151</v>
      </c>
      <c r="C1" s="104" t="s">
        <v>133</v>
      </c>
      <c r="D1" s="104" t="s">
        <v>148</v>
      </c>
      <c r="E1" s="104" t="s">
        <v>149</v>
      </c>
      <c r="F1" s="105" t="s">
        <v>150</v>
      </c>
      <c r="G1" s="104" t="s">
        <v>145</v>
      </c>
      <c r="H1" s="104" t="s">
        <v>133</v>
      </c>
      <c r="I1" s="104" t="s">
        <v>152</v>
      </c>
      <c r="J1" s="104" t="s">
        <v>153</v>
      </c>
      <c r="K1" s="105" t="s">
        <v>154</v>
      </c>
      <c r="L1" s="104" t="s">
        <v>146</v>
      </c>
      <c r="M1" s="104" t="s">
        <v>133</v>
      </c>
      <c r="N1" s="104" t="s">
        <v>148</v>
      </c>
      <c r="O1" s="104" t="s">
        <v>149</v>
      </c>
      <c r="P1" s="105" t="s">
        <v>150</v>
      </c>
      <c r="Q1" s="104" t="s">
        <v>147</v>
      </c>
      <c r="R1" s="104" t="s">
        <v>133</v>
      </c>
      <c r="S1" s="104" t="s">
        <v>152</v>
      </c>
      <c r="T1" s="104" t="s">
        <v>153</v>
      </c>
      <c r="U1" s="105" t="s">
        <v>154</v>
      </c>
    </row>
    <row r="2" spans="1:21" x14ac:dyDescent="0.2">
      <c r="A2" s="102">
        <v>1</v>
      </c>
      <c r="B2">
        <v>5.4319019808463</v>
      </c>
      <c r="C2"/>
      <c r="F2" s="103"/>
      <c r="H2"/>
      <c r="K2" s="103"/>
      <c r="L2">
        <v>10.431901980846305</v>
      </c>
      <c r="M2"/>
      <c r="N2" s="102">
        <f>10/(A2^N$30)</f>
        <v>10</v>
      </c>
      <c r="P2" s="103"/>
      <c r="R2"/>
      <c r="U2" s="103"/>
    </row>
    <row r="3" spans="1:21" x14ac:dyDescent="0.2">
      <c r="A3" s="102">
        <f>A2+1</f>
        <v>2</v>
      </c>
      <c r="B3">
        <v>9.8679004420409004</v>
      </c>
      <c r="C3"/>
      <c r="F3" s="103"/>
      <c r="G3" s="102">
        <f>(B3-B2)</f>
        <v>4.4359984611946004</v>
      </c>
      <c r="H3"/>
      <c r="K3" s="103"/>
      <c r="L3">
        <v>8.8679004420409004</v>
      </c>
      <c r="M3"/>
      <c r="N3" s="102">
        <f t="shared" ref="N3:N6" si="0">10/(A3^N$30)</f>
        <v>8.1225239635623545</v>
      </c>
      <c r="P3" s="103"/>
      <c r="Q3" s="102">
        <f>(L3-L2)</f>
        <v>-1.5640015388054049</v>
      </c>
      <c r="R3"/>
      <c r="U3" s="103"/>
    </row>
    <row r="4" spans="1:21" x14ac:dyDescent="0.2">
      <c r="A4" s="102">
        <f t="shared" ref="A4:A27" si="1">A3+1</f>
        <v>3</v>
      </c>
      <c r="B4">
        <v>5.8597596711770201</v>
      </c>
      <c r="C4"/>
      <c r="F4" s="103"/>
      <c r="G4" s="102">
        <f>(B4-B3)</f>
        <v>-4.0081407708638803</v>
      </c>
      <c r="H4"/>
      <c r="K4" s="103"/>
      <c r="L4">
        <v>6.3597596711770201</v>
      </c>
      <c r="M4"/>
      <c r="N4" s="102">
        <f t="shared" si="0"/>
        <v>7.192230933248644</v>
      </c>
      <c r="P4" s="103"/>
      <c r="Q4" s="102">
        <f>(L4-L3)</f>
        <v>-2.5081407708638803</v>
      </c>
      <c r="R4"/>
      <c r="U4" s="103"/>
    </row>
    <row r="5" spans="1:21" x14ac:dyDescent="0.2">
      <c r="A5" s="102">
        <f t="shared" si="1"/>
        <v>4</v>
      </c>
      <c r="B5">
        <v>9.2343508741469105</v>
      </c>
      <c r="C5"/>
      <c r="F5" s="103"/>
      <c r="G5" s="102">
        <f>(B5-B4)</f>
        <v>3.3745912029698903</v>
      </c>
      <c r="H5"/>
      <c r="K5" s="103"/>
      <c r="L5">
        <v>6.7343508741469096</v>
      </c>
      <c r="M5"/>
      <c r="N5" s="102">
        <f t="shared" si="0"/>
        <v>6.5975395538644719</v>
      </c>
      <c r="P5" s="103"/>
      <c r="Q5" s="102">
        <f>(L5-L4)</f>
        <v>0.37459120296988946</v>
      </c>
      <c r="R5"/>
      <c r="U5" s="103"/>
    </row>
    <row r="6" spans="1:21" x14ac:dyDescent="0.2">
      <c r="A6" s="102">
        <f t="shared" si="1"/>
        <v>5</v>
      </c>
      <c r="B6">
        <v>5.5763748706377001</v>
      </c>
      <c r="C6"/>
      <c r="F6" s="103"/>
      <c r="G6" s="102">
        <f>(B6-B5)</f>
        <v>-3.6579760035092104</v>
      </c>
      <c r="H6"/>
      <c r="K6" s="103"/>
      <c r="L6">
        <v>6.2763748706377003</v>
      </c>
      <c r="M6"/>
      <c r="N6" s="102">
        <f t="shared" si="0"/>
        <v>6.1703386272000964</v>
      </c>
      <c r="P6" s="103"/>
      <c r="Q6" s="102">
        <f>(L6-L5)</f>
        <v>-0.45797600350920931</v>
      </c>
      <c r="R6"/>
      <c r="U6" s="103"/>
    </row>
    <row r="7" spans="1:21" x14ac:dyDescent="0.2">
      <c r="A7" s="102">
        <v>5.5</v>
      </c>
      <c r="C7" s="102">
        <v>0</v>
      </c>
      <c r="F7" s="103"/>
      <c r="H7" s="102">
        <v>-100</v>
      </c>
      <c r="K7" s="103"/>
      <c r="M7" s="102">
        <v>0</v>
      </c>
      <c r="P7" s="103"/>
      <c r="R7" s="102">
        <v>-100</v>
      </c>
      <c r="U7" s="103"/>
    </row>
    <row r="8" spans="1:21" x14ac:dyDescent="0.2">
      <c r="A8" s="102">
        <v>5.5</v>
      </c>
      <c r="C8" s="102">
        <v>100</v>
      </c>
      <c r="F8" s="103"/>
      <c r="H8" s="102">
        <v>100</v>
      </c>
      <c r="K8" s="103"/>
      <c r="M8" s="102">
        <v>100</v>
      </c>
      <c r="P8" s="103"/>
      <c r="R8" s="102">
        <v>100</v>
      </c>
      <c r="U8" s="103"/>
    </row>
    <row r="9" spans="1:21" x14ac:dyDescent="0.2">
      <c r="A9" s="102">
        <v>6</v>
      </c>
      <c r="B9">
        <v>15.9399931261432</v>
      </c>
      <c r="C9"/>
      <c r="D9" s="102">
        <f>SLOPE(B$2:B$6, $A$2:$A$6)*A9+INTERCEPT(B$2:B$6, $A$2:$A$6)</f>
        <v>7.0906764312764095</v>
      </c>
      <c r="F9" s="103"/>
      <c r="G9" s="113"/>
      <c r="H9"/>
      <c r="I9" s="102">
        <f>SLOPE(G$2:G$6, $A$2:$A$6)*A9+INTERCEPT(G$2:G$6, $A$2:$A$6)</f>
        <v>-4.1886796326215645</v>
      </c>
      <c r="K9" s="103"/>
      <c r="L9">
        <v>12.9399931261432</v>
      </c>
      <c r="M9"/>
      <c r="N9" s="102">
        <f>10/(A9^N$30)</f>
        <v>5.8419068106786556</v>
      </c>
      <c r="O9" s="102">
        <f>13*A2^O$30</f>
        <v>13</v>
      </c>
      <c r="P9" s="103"/>
      <c r="R9"/>
      <c r="S9" s="102">
        <f>SLOPE(Q$2:Q$6, $A$2:$A$6)*A9+INTERCEPT(Q$2:Q$6, $A$2:$A$6)</f>
        <v>0.51132036737843745</v>
      </c>
      <c r="U9" s="103"/>
    </row>
    <row r="10" spans="1:21" x14ac:dyDescent="0.2">
      <c r="A10" s="102">
        <f t="shared" si="1"/>
        <v>7</v>
      </c>
      <c r="B10">
        <v>12.209371602162699</v>
      </c>
      <c r="C10"/>
      <c r="D10" s="102">
        <f>SLOPE(B$2:B$6, $A$2:$A$6)*A10+INTERCEPT(B$2:B$6, $A$2:$A$6)</f>
        <v>7.0562160524452899</v>
      </c>
      <c r="F10" s="103"/>
      <c r="G10" s="102">
        <f>(B10-B9)</f>
        <v>-3.730621523980501</v>
      </c>
      <c r="H10"/>
      <c r="I10" s="102">
        <f>SLOPE(G$2:G$6, $A$2:$A$6)*A10+INTERCEPT(G$2:G$6, $A$2:$A$6)</f>
        <v>-5.8785987746493316</v>
      </c>
      <c r="K10" s="103"/>
      <c r="L10">
        <v>15.209371602162699</v>
      </c>
      <c r="M10"/>
      <c r="N10" s="102">
        <f t="shared" ref="N10:N13" si="2">10/(A10^N$30)</f>
        <v>5.5778982530324601</v>
      </c>
      <c r="O10" s="102">
        <f>13*A3^O$30</f>
        <v>14.933078614961456</v>
      </c>
      <c r="P10" s="103"/>
      <c r="Q10" s="102">
        <f>(L10-L9)</f>
        <v>2.269378476019499</v>
      </c>
      <c r="R10"/>
      <c r="S10" s="102">
        <f>SLOPE(Q$2:Q$6, $A$2:$A$6)*A10+INTERCEPT(Q$2:Q$6, $A$2:$A$6)</f>
        <v>1.1314012253506736</v>
      </c>
      <c r="U10" s="103"/>
    </row>
    <row r="11" spans="1:21" x14ac:dyDescent="0.2">
      <c r="A11" s="102">
        <f t="shared" si="1"/>
        <v>8</v>
      </c>
      <c r="B11">
        <v>13.844103300943971</v>
      </c>
      <c r="C11"/>
      <c r="D11" s="102">
        <f>SLOPE(B$2:B$6, $A$2:$A$6)*A11+INTERCEPT(B$2:B$6, $A$2:$A$6)</f>
        <v>7.0217556736141713</v>
      </c>
      <c r="F11" s="103"/>
      <c r="G11" s="102">
        <f>(B11-B10)</f>
        <v>1.6347316987812714</v>
      </c>
      <c r="H11"/>
      <c r="I11" s="102">
        <f t="shared" ref="I11:I13" si="3">SLOPE(G$2:G$6, $A$2:$A$6)*A11+INTERCEPT(G$2:G$6, $A$2:$A$6)</f>
        <v>-7.5685179166770968</v>
      </c>
      <c r="K11" s="103"/>
      <c r="L11">
        <v>16.844103300943999</v>
      </c>
      <c r="M11"/>
      <c r="N11" s="102">
        <f t="shared" si="2"/>
        <v>5.3588673126814657</v>
      </c>
      <c r="O11" s="102">
        <f>13*A4^O$30</f>
        <v>16.194502215001727</v>
      </c>
      <c r="P11" s="103"/>
      <c r="Q11" s="102">
        <f>(L11-L10)</f>
        <v>1.6347316987812999</v>
      </c>
      <c r="R11"/>
      <c r="S11" s="102">
        <f t="shared" ref="S11:S13" si="4">SLOPE(Q$2:Q$6, $A$2:$A$6)*A11+INTERCEPT(Q$2:Q$6, $A$2:$A$6)</f>
        <v>1.7514820833229088</v>
      </c>
      <c r="U11" s="103"/>
    </row>
    <row r="12" spans="1:21" x14ac:dyDescent="0.2">
      <c r="A12" s="102">
        <f t="shared" si="1"/>
        <v>9</v>
      </c>
      <c r="B12">
        <v>16.403636603441601</v>
      </c>
      <c r="C12"/>
      <c r="D12" s="102">
        <f>SLOPE(B$2:B$6, $A$2:$A$6)*A12+INTERCEPT(B$2:B$6, $A$2:$A$6)</f>
        <v>6.9872952947830518</v>
      </c>
      <c r="F12" s="103"/>
      <c r="G12" s="102">
        <f>(B12-B11)</f>
        <v>2.5595333024976306</v>
      </c>
      <c r="H12"/>
      <c r="I12" s="102">
        <f t="shared" si="3"/>
        <v>-9.2584370587048621</v>
      </c>
      <c r="K12" s="103"/>
      <c r="L12">
        <v>17.403636603441601</v>
      </c>
      <c r="M12"/>
      <c r="N12" s="102">
        <f t="shared" si="2"/>
        <v>5.1728185797178661</v>
      </c>
      <c r="O12" s="102">
        <f>13*A5^O$30</f>
        <v>17.153602840047625</v>
      </c>
      <c r="P12" s="103"/>
      <c r="Q12" s="102">
        <f>(L12-L11)</f>
        <v>0.55953330249760214</v>
      </c>
      <c r="R12"/>
      <c r="S12" s="102">
        <f t="shared" si="4"/>
        <v>2.371562941295144</v>
      </c>
      <c r="U12" s="103"/>
    </row>
    <row r="13" spans="1:21" x14ac:dyDescent="0.2">
      <c r="A13" s="102">
        <f t="shared" si="1"/>
        <v>10</v>
      </c>
      <c r="B13">
        <v>13.3752542347065</v>
      </c>
      <c r="C13"/>
      <c r="D13" s="102">
        <f>SLOPE(B$2:B$6, $A$2:$A$6)*A13+INTERCEPT(B$2:B$6, $A$2:$A$6)</f>
        <v>6.9528349159519331</v>
      </c>
      <c r="F13" s="103"/>
      <c r="G13" s="102">
        <f>(B13-B12)</f>
        <v>-3.0283823687351017</v>
      </c>
      <c r="H13"/>
      <c r="I13" s="102">
        <f t="shared" si="3"/>
        <v>-10.948356200732629</v>
      </c>
      <c r="K13" s="103"/>
      <c r="L13">
        <v>16.8752542347065</v>
      </c>
      <c r="M13"/>
      <c r="N13" s="102">
        <f t="shared" si="2"/>
        <v>5.0118723362727229</v>
      </c>
      <c r="O13" s="102">
        <f>13*A6^O$30</f>
        <v>17.936485598995795</v>
      </c>
      <c r="P13" s="103"/>
      <c r="Q13" s="102">
        <f>(L13-L12)</f>
        <v>-0.52838236873510169</v>
      </c>
      <c r="R13"/>
      <c r="S13" s="102">
        <f t="shared" si="4"/>
        <v>2.9916437992673801</v>
      </c>
      <c r="U13" s="103"/>
    </row>
    <row r="14" spans="1:21" x14ac:dyDescent="0.2">
      <c r="A14" s="102">
        <v>10.5</v>
      </c>
      <c r="C14" s="102">
        <v>0</v>
      </c>
      <c r="F14" s="103"/>
      <c r="H14" s="102">
        <v>-100</v>
      </c>
      <c r="K14" s="103"/>
      <c r="M14" s="102">
        <v>0</v>
      </c>
      <c r="P14" s="103"/>
      <c r="R14" s="102">
        <v>-100</v>
      </c>
      <c r="U14" s="103"/>
    </row>
    <row r="15" spans="1:21" x14ac:dyDescent="0.2">
      <c r="A15" s="102">
        <v>10.5</v>
      </c>
      <c r="C15" s="102">
        <v>100</v>
      </c>
      <c r="F15" s="103"/>
      <c r="H15" s="102">
        <v>100</v>
      </c>
      <c r="K15" s="103"/>
      <c r="M15" s="102">
        <v>100</v>
      </c>
      <c r="P15" s="103"/>
      <c r="R15" s="102">
        <v>100</v>
      </c>
      <c r="U15" s="103"/>
    </row>
    <row r="16" spans="1:21" x14ac:dyDescent="0.2">
      <c r="A16" s="102">
        <v>11</v>
      </c>
      <c r="B16">
        <v>5.7497448122012429</v>
      </c>
      <c r="C16"/>
      <c r="D16" s="102">
        <f>SLOPE(B$2:B$6, $A$2:$A$6)*A16+INTERCEPT(B$2:B$6, $A$2:$A$6)</f>
        <v>6.9183745371208145</v>
      </c>
      <c r="E16" s="102">
        <f>SLOPE(B$9:B$13, $A$9:$A$13)*A16+INTERCEPT(B$9:B$13, $A$9:$A$13)</f>
        <v>14.073907939001243</v>
      </c>
      <c r="F16" s="103"/>
      <c r="G16" s="113">
        <f>(B16-B6)</f>
        <v>0.1733699415635428</v>
      </c>
      <c r="H16"/>
      <c r="I16" s="102">
        <f t="shared" ref="I16:I20" si="5">SLOPE(G$2:G$6, $A$2:$A$6)*A16+INTERCEPT(G$2:G$6, $A$2:$A$6)</f>
        <v>-12.638275342760394</v>
      </c>
      <c r="J16" s="102">
        <f t="shared" ref="J16:J20" si="6">SLOPE(G$9:G$13, $A$9:$A$13)*A16+INTERCEPT(G$9:G$13, $A$9:$A$13)</f>
        <v>0.11669504450396406</v>
      </c>
      <c r="K16" s="103"/>
      <c r="L16">
        <v>10.7497448122012</v>
      </c>
      <c r="M16"/>
      <c r="N16" s="102">
        <f>10/(A16^N$30)</f>
        <v>4.8705969722582854</v>
      </c>
      <c r="O16" s="102">
        <v>18.350000000000001</v>
      </c>
      <c r="P16" s="103">
        <f>10/(A2^P$30)</f>
        <v>10</v>
      </c>
      <c r="Q16" s="102">
        <f>(L16-L6)</f>
        <v>4.4733699415635</v>
      </c>
      <c r="R16"/>
      <c r="S16" s="102">
        <f>SLOPE(Q$2:Q$6, $A$2:$A$6)*A16+INTERCEPT(Q$2:Q$6, $A$2:$A$6)</f>
        <v>3.6117246572396162</v>
      </c>
      <c r="T16" s="102">
        <f>SLOPE(Q$9:Q$13, $A$9:$A$13)*A16+INTERCEPT(Q$9:Q$13, $A$9:$A$13)</f>
        <v>-1.383304955496051</v>
      </c>
      <c r="U16" s="103"/>
    </row>
    <row r="17" spans="1:24" x14ac:dyDescent="0.2">
      <c r="A17" s="102">
        <f t="shared" si="1"/>
        <v>12</v>
      </c>
      <c r="B17">
        <v>10.8441691079497</v>
      </c>
      <c r="C17"/>
      <c r="D17" s="102">
        <f>SLOPE(B$2:B$6, $A$2:$A$6)*A17+INTERCEPT(B$2:B$6, $A$2:$A$6)</f>
        <v>6.883914158289695</v>
      </c>
      <c r="E17" s="102">
        <f>SLOPE(B$9:B$13, $A$9:$A$13)*A17+INTERCEPT(B$9:B$13, $A$9:$A$13)</f>
        <v>13.980386660841793</v>
      </c>
      <c r="F17" s="103"/>
      <c r="G17" s="102">
        <f>(B17-B16)</f>
        <v>5.0944242957484569</v>
      </c>
      <c r="H17"/>
      <c r="I17" s="102">
        <f t="shared" si="5"/>
        <v>-14.32819448478816</v>
      </c>
      <c r="J17" s="102">
        <f t="shared" si="6"/>
        <v>0.41984695144921957</v>
      </c>
      <c r="K17" s="103"/>
      <c r="L17">
        <v>8.8441691079496998</v>
      </c>
      <c r="M17"/>
      <c r="N17" s="102">
        <f t="shared" ref="N17:N20" si="7">10/(A17^N$30)</f>
        <v>4.7451028062635512</v>
      </c>
      <c r="O17" s="102">
        <v>18.7</v>
      </c>
      <c r="P17" s="103">
        <f t="shared" ref="P17:P20" si="8">10/(A3^P$30)</f>
        <v>8.4089641525371466</v>
      </c>
      <c r="Q17" s="102">
        <f>(L17-L16)</f>
        <v>-1.9055757042515005</v>
      </c>
      <c r="R17"/>
      <c r="S17" s="102">
        <f>SLOPE(Q$2:Q$6, $A$2:$A$6)*A17+INTERCEPT(Q$2:Q$6, $A$2:$A$6)</f>
        <v>4.2318055152118514</v>
      </c>
      <c r="T17" s="102">
        <f>SLOPE(Q$9:Q$13, $A$9:$A$13)*A17+INTERCEPT(Q$9:Q$13, $A$9:$A$13)</f>
        <v>-2.3301530485508017</v>
      </c>
      <c r="U17" s="103"/>
    </row>
    <row r="18" spans="1:24" x14ac:dyDescent="0.2">
      <c r="A18" s="102">
        <f t="shared" si="1"/>
        <v>13</v>
      </c>
      <c r="B18">
        <v>5.8991003142</v>
      </c>
      <c r="C18"/>
      <c r="D18" s="102">
        <f>SLOPE(B$2:B$6, $A$2:$A$6)*A18+INTERCEPT(B$2:B$6, $A$2:$A$6)</f>
        <v>6.8494537794585764</v>
      </c>
      <c r="E18" s="102">
        <f>SLOPE(B$9:B$13, $A$9:$A$13)*A18+INTERCEPT(B$9:B$13, $A$9:$A$13)</f>
        <v>13.886865382682343</v>
      </c>
      <c r="F18" s="103"/>
      <c r="G18" s="102">
        <f>(B18-B17)</f>
        <v>-4.9450687937496998</v>
      </c>
      <c r="H18"/>
      <c r="I18" s="102">
        <f t="shared" si="5"/>
        <v>-16.018113626815925</v>
      </c>
      <c r="J18" s="102">
        <f t="shared" si="6"/>
        <v>0.72299885839447509</v>
      </c>
      <c r="K18" s="103"/>
      <c r="L18">
        <v>6.8991003142</v>
      </c>
      <c r="M18"/>
      <c r="N18" s="102">
        <f t="shared" si="7"/>
        <v>4.6325167075036715</v>
      </c>
      <c r="O18" s="102">
        <v>18.899999999999999</v>
      </c>
      <c r="P18" s="103">
        <f t="shared" si="8"/>
        <v>7.5983568565159247</v>
      </c>
      <c r="Q18" s="102">
        <f>(L18-L17)</f>
        <v>-1.9450687937496998</v>
      </c>
      <c r="R18"/>
      <c r="S18" s="102">
        <f t="shared" ref="S18:S20" si="9">SLOPE(Q$2:Q$6, $A$2:$A$6)*A18+INTERCEPT(Q$2:Q$6, $A$2:$A$6)</f>
        <v>4.8518863731840867</v>
      </c>
      <c r="T18" s="102">
        <f t="shared" ref="T18:T20" si="10">SLOPE(Q$9:Q$13, $A$9:$A$13)*A18+INTERCEPT(Q$9:Q$13, $A$9:$A$13)</f>
        <v>-3.2770011416055507</v>
      </c>
      <c r="U18" s="103"/>
    </row>
    <row r="19" spans="1:24" x14ac:dyDescent="0.2">
      <c r="A19" s="102">
        <f t="shared" si="1"/>
        <v>14</v>
      </c>
      <c r="B19">
        <v>10.560792846546899</v>
      </c>
      <c r="C19"/>
      <c r="D19" s="102">
        <f>SLOPE(B$2:B$6, $A$2:$A$6)*A19+INTERCEPT(B$2:B$6, $A$2:$A$6)</f>
        <v>6.8149934006274568</v>
      </c>
      <c r="E19" s="102">
        <f>SLOPE(B$9:B$13, $A$9:$A$13)*A19+INTERCEPT(B$9:B$13, $A$9:$A$13)</f>
        <v>13.793344104522893</v>
      </c>
      <c r="F19" s="103"/>
      <c r="G19" s="102">
        <f>(B19-B18)</f>
        <v>4.6616925323468994</v>
      </c>
      <c r="H19"/>
      <c r="I19" s="102">
        <f t="shared" si="5"/>
        <v>-17.708032768843694</v>
      </c>
      <c r="J19" s="102">
        <f t="shared" si="6"/>
        <v>1.026150765339731</v>
      </c>
      <c r="K19" s="103"/>
      <c r="L19">
        <v>6.5607928465469696</v>
      </c>
      <c r="M19"/>
      <c r="N19" s="102">
        <f t="shared" si="7"/>
        <v>4.5306612226568763</v>
      </c>
      <c r="O19" s="102">
        <v>19</v>
      </c>
      <c r="P19" s="103">
        <f t="shared" si="8"/>
        <v>7.0710678118654755</v>
      </c>
      <c r="Q19" s="102">
        <f>(L19-L18)</f>
        <v>-0.33830746765303044</v>
      </c>
      <c r="R19"/>
      <c r="S19" s="102">
        <f t="shared" si="9"/>
        <v>5.4719672311563237</v>
      </c>
      <c r="T19" s="102">
        <f t="shared" si="10"/>
        <v>-4.2238492346603014</v>
      </c>
      <c r="U19" s="103"/>
    </row>
    <row r="20" spans="1:24" x14ac:dyDescent="0.2">
      <c r="A20" s="102">
        <f t="shared" si="1"/>
        <v>15</v>
      </c>
      <c r="B20">
        <v>6.1604703457851429</v>
      </c>
      <c r="C20"/>
      <c r="D20" s="102">
        <f>SLOPE(B$2:B$6, $A$2:$A$6)*A20+INTERCEPT(B$2:B$6, $A$2:$A$6)</f>
        <v>6.7805330217963382</v>
      </c>
      <c r="E20" s="102">
        <f>SLOPE(B$9:B$13, $A$9:$A$13)*A20+INTERCEPT(B$9:B$13, $A$9:$A$13)</f>
        <v>13.699822826363445</v>
      </c>
      <c r="F20" s="103"/>
      <c r="G20" s="102">
        <f>(B20-B19)</f>
        <v>-4.4003225007617566</v>
      </c>
      <c r="H20"/>
      <c r="I20" s="102">
        <f t="shared" si="5"/>
        <v>-19.397951910871459</v>
      </c>
      <c r="J20" s="102">
        <f t="shared" si="6"/>
        <v>1.3293026722849866</v>
      </c>
      <c r="K20" s="103"/>
      <c r="L20">
        <v>6.8604703457851404</v>
      </c>
      <c r="M20"/>
      <c r="N20" s="102">
        <f t="shared" si="7"/>
        <v>4.4378500343167504</v>
      </c>
      <c r="O20" s="102">
        <v>19.05</v>
      </c>
      <c r="P20" s="103">
        <f t="shared" si="8"/>
        <v>6.6874030497642201</v>
      </c>
      <c r="Q20" s="102">
        <f>(L20-L19)</f>
        <v>0.29967749923817077</v>
      </c>
      <c r="R20"/>
      <c r="S20" s="102">
        <f t="shared" si="9"/>
        <v>6.0920480891285589</v>
      </c>
      <c r="T20" s="102">
        <f t="shared" si="10"/>
        <v>-5.1706973277150503</v>
      </c>
      <c r="U20" s="103"/>
    </row>
    <row r="21" spans="1:24" x14ac:dyDescent="0.2">
      <c r="A21" s="102">
        <v>15.5</v>
      </c>
      <c r="C21" s="102">
        <v>0</v>
      </c>
      <c r="F21" s="103"/>
      <c r="H21" s="102">
        <v>-100</v>
      </c>
      <c r="K21" s="103"/>
      <c r="M21" s="102">
        <v>0</v>
      </c>
      <c r="P21" s="103"/>
      <c r="R21" s="102">
        <v>-100</v>
      </c>
      <c r="U21" s="103"/>
    </row>
    <row r="22" spans="1:24" x14ac:dyDescent="0.2">
      <c r="A22" s="102">
        <v>15.5</v>
      </c>
      <c r="C22" s="102">
        <v>100</v>
      </c>
      <c r="F22" s="103"/>
      <c r="H22" s="102">
        <v>100</v>
      </c>
      <c r="K22" s="103"/>
      <c r="M22" s="102">
        <v>100</v>
      </c>
      <c r="P22" s="103"/>
      <c r="R22" s="102">
        <v>100</v>
      </c>
      <c r="U22" s="103"/>
    </row>
    <row r="23" spans="1:24" x14ac:dyDescent="0.2">
      <c r="A23" s="102">
        <v>16</v>
      </c>
      <c r="B23">
        <v>12.2705152382841</v>
      </c>
      <c r="C23"/>
      <c r="E23" s="102">
        <f>SLOPE(B$9:B$13, $A$9:$A$13)*A23+INTERCEPT(B$9:B$13, $A$9:$A$13)</f>
        <v>13.606301548203994</v>
      </c>
      <c r="F23" s="103">
        <f>SLOPE(B$16:B$20, $A$16:$A$20)*A23+INTERCEPT(B$16:B$20, $A$16:$A$20)</f>
        <v>8.0042779270660969</v>
      </c>
      <c r="G23" s="113">
        <f>(B23-B13)</f>
        <v>-1.1047389964223999</v>
      </c>
      <c r="H23"/>
      <c r="J23" s="102">
        <f t="shared" ref="J23:J27" si="11">SLOPE(G$9:G$13, $A$9:$A$13)*A23+INTERCEPT(G$9:G$13, $A$9:$A$13)</f>
        <v>1.6324545792302421</v>
      </c>
      <c r="K23" s="103">
        <f t="shared" ref="K23:K27" si="12">SLOPE(G$16:G$20, $A$16:$A$20)*A23+INTERCEPT(G$16:G$20, $A$16:$A$20)</f>
        <v>-2.7572158993861589</v>
      </c>
      <c r="L23">
        <v>13.2705152382841</v>
      </c>
      <c r="M23"/>
      <c r="O23" s="102">
        <v>19.25</v>
      </c>
      <c r="P23" s="103">
        <v>6.5</v>
      </c>
      <c r="Q23" s="102">
        <f>(L23-L13)</f>
        <v>-3.6047389964223999</v>
      </c>
      <c r="R23"/>
      <c r="T23" s="102">
        <f>SLOPE(Q$9:Q$13, $A$9:$A$13)*A23+INTERCEPT(Q$9:Q$13, $A$9:$A$13)</f>
        <v>-6.117545420769801</v>
      </c>
      <c r="U23" s="103">
        <v>-1</v>
      </c>
    </row>
    <row r="24" spans="1:24" x14ac:dyDescent="0.2">
      <c r="A24" s="102">
        <f t="shared" si="1"/>
        <v>17</v>
      </c>
      <c r="B24">
        <v>18.3301851241558</v>
      </c>
      <c r="C24"/>
      <c r="E24" s="102">
        <f>SLOPE(B$9:B$13, $A$9:$A$13)*A24+INTERCEPT(B$9:B$13, $A$9:$A$13)</f>
        <v>13.512780270044544</v>
      </c>
      <c r="F24" s="103">
        <f>SLOPE(B$16:B$20, $A$16:$A$20)*A24+INTERCEPT(B$16:B$20, $A$16:$A$20)</f>
        <v>8.0580854076425972</v>
      </c>
      <c r="G24" s="102">
        <f>(B24-B23)</f>
        <v>6.0596698858717009</v>
      </c>
      <c r="H24"/>
      <c r="J24" s="102">
        <f t="shared" si="11"/>
        <v>1.9356064861754976</v>
      </c>
      <c r="K24" s="103">
        <f t="shared" si="12"/>
        <v>-3.7152275641913732</v>
      </c>
      <c r="L24">
        <v>15.3301851241558</v>
      </c>
      <c r="M24"/>
      <c r="O24" s="102">
        <v>19.375</v>
      </c>
      <c r="P24" s="103">
        <v>6.3</v>
      </c>
      <c r="Q24" s="102">
        <f>(L24-L23)</f>
        <v>2.0596698858717009</v>
      </c>
      <c r="R24"/>
      <c r="T24" s="102">
        <f>SLOPE(Q$9:Q$13, $A$9:$A$13)*A24+INTERCEPT(Q$9:Q$13, $A$9:$A$13)</f>
        <v>-7.0643935138245517</v>
      </c>
      <c r="U24" s="103">
        <v>-0.4</v>
      </c>
    </row>
    <row r="25" spans="1:24" x14ac:dyDescent="0.2">
      <c r="A25" s="102">
        <f t="shared" si="1"/>
        <v>18</v>
      </c>
      <c r="B25">
        <v>15.087628334062201</v>
      </c>
      <c r="C25"/>
      <c r="E25" s="102">
        <f>SLOPE(B$9:B$13, $A$9:$A$13)*A25+INTERCEPT(B$9:B$13, $A$9:$A$13)</f>
        <v>13.419258991885094</v>
      </c>
      <c r="F25" s="103">
        <f>SLOPE(B$16:B$20, $A$16:$A$20)*A25+INTERCEPT(B$16:B$20, $A$16:$A$20)</f>
        <v>8.1118928882190957</v>
      </c>
      <c r="G25" s="102">
        <f>(B25-B24)</f>
        <v>-3.2425567900935999</v>
      </c>
      <c r="H25"/>
      <c r="J25" s="102">
        <f t="shared" si="11"/>
        <v>2.2387583931207531</v>
      </c>
      <c r="K25" s="103">
        <f t="shared" si="12"/>
        <v>-4.6732392289965894</v>
      </c>
      <c r="L25">
        <v>17.087628334062199</v>
      </c>
      <c r="M25"/>
      <c r="O25" s="102">
        <v>19.440000000000001</v>
      </c>
      <c r="P25" s="103">
        <v>6.2</v>
      </c>
      <c r="Q25" s="102">
        <f>(L25-L24)</f>
        <v>1.7574432099063984</v>
      </c>
      <c r="R25"/>
      <c r="T25" s="102">
        <f t="shared" ref="T25:T27" si="13">SLOPE(Q$9:Q$13, $A$9:$A$13)*A25+INTERCEPT(Q$9:Q$13, $A$9:$A$13)</f>
        <v>-8.0112416068793024</v>
      </c>
      <c r="U25" s="103">
        <v>0</v>
      </c>
    </row>
    <row r="26" spans="1:24" x14ac:dyDescent="0.2">
      <c r="A26" s="102">
        <f t="shared" si="1"/>
        <v>19</v>
      </c>
      <c r="B26">
        <v>13.998435563000401</v>
      </c>
      <c r="C26"/>
      <c r="E26" s="102">
        <f>SLOPE(B$9:B$13, $A$9:$A$13)*A26+INTERCEPT(B$9:B$13, $A$9:$A$13)</f>
        <v>13.325737713725644</v>
      </c>
      <c r="F26" s="103">
        <f>SLOPE(B$16:B$20, $A$16:$A$20)*A26+INTERCEPT(B$16:B$20, $A$16:$A$20)</f>
        <v>8.165700368795596</v>
      </c>
      <c r="G26" s="102">
        <f>(B26-B25)</f>
        <v>-1.0891927710617999</v>
      </c>
      <c r="H26"/>
      <c r="J26" s="102">
        <f t="shared" si="11"/>
        <v>2.5419103000660086</v>
      </c>
      <c r="K26" s="103">
        <f t="shared" si="12"/>
        <v>-5.6312508938018055</v>
      </c>
      <c r="L26">
        <v>16.998435563000385</v>
      </c>
      <c r="M26"/>
      <c r="O26" s="102">
        <v>19.47</v>
      </c>
      <c r="P26" s="103">
        <v>6.15</v>
      </c>
      <c r="Q26" s="102">
        <f>(L26-L25)</f>
        <v>-8.9192771061814113E-2</v>
      </c>
      <c r="R26"/>
      <c r="T26" s="102">
        <f t="shared" si="13"/>
        <v>-8.9580896999340496</v>
      </c>
      <c r="U26" s="103">
        <v>0.2</v>
      </c>
    </row>
    <row r="27" spans="1:24" x14ac:dyDescent="0.2">
      <c r="A27" s="106">
        <f t="shared" si="1"/>
        <v>20</v>
      </c>
      <c r="B27" s="67">
        <v>15.8975147516466</v>
      </c>
      <c r="C27" s="67"/>
      <c r="D27" s="106"/>
      <c r="E27" s="106">
        <f>SLOPE(B$9:B$13, $A$9:$A$13)*A27+INTERCEPT(B$9:B$13, $A$9:$A$13)</f>
        <v>13.232216435566194</v>
      </c>
      <c r="F27" s="107">
        <f>SLOPE(B$16:B$20, $A$16:$A$20)*A27+INTERCEPT(B$16:B$20, $A$16:$A$20)</f>
        <v>8.2195078493720963</v>
      </c>
      <c r="G27" s="106">
        <f>(B27-B26)</f>
        <v>1.8990791886461995</v>
      </c>
      <c r="H27" s="67"/>
      <c r="I27" s="106"/>
      <c r="J27" s="106">
        <f t="shared" si="11"/>
        <v>2.8450622070112641</v>
      </c>
      <c r="K27" s="107">
        <f t="shared" si="12"/>
        <v>-6.5892625586070217</v>
      </c>
      <c r="L27" s="67">
        <v>16.8975147516466</v>
      </c>
      <c r="M27" s="67"/>
      <c r="N27" s="106"/>
      <c r="O27" s="106">
        <v>19.48</v>
      </c>
      <c r="P27" s="107">
        <v>6.125</v>
      </c>
      <c r="Q27" s="106">
        <f>(L27-L26)</f>
        <v>-0.1009208113537845</v>
      </c>
      <c r="R27" s="67"/>
      <c r="S27" s="106"/>
      <c r="T27" s="106">
        <f t="shared" si="13"/>
        <v>-9.9049377929888003</v>
      </c>
      <c r="U27" s="107">
        <v>0.3</v>
      </c>
    </row>
    <row r="29" spans="1:24" x14ac:dyDescent="0.2">
      <c r="A29" s="102" t="s">
        <v>155</v>
      </c>
      <c r="D29" s="102">
        <f>CONFIDENCE(0.05, STDEV(B2:B6), 5)</f>
        <v>1.9009969952254504</v>
      </c>
      <c r="E29" s="102">
        <f>CONFIDENCE(0.05, STDEV(B9:B13), 5)</f>
        <v>1.5515781133094975</v>
      </c>
      <c r="F29" s="102">
        <f>CONFIDENCE(0.05, STDEV(B16:B20), 5)</f>
        <v>2.2934419207378474</v>
      </c>
      <c r="I29" s="102">
        <f>CONFIDENCE(0.05, STDEV(G2:G6), 5)</f>
        <v>3.936445421484926</v>
      </c>
      <c r="J29" s="102">
        <f>CONFIDENCE(0.05, STDEV(G9:G13), 5)</f>
        <v>2.8024845886401235</v>
      </c>
      <c r="K29" s="102">
        <f>CONFIDENCE(0.05, STDEV(G16:G20), 5)</f>
        <v>4.1913659861951</v>
      </c>
      <c r="N29" s="102">
        <f>CONFIDENCE(0.05, STDEV(L2:L6), 5)</f>
        <v>1.6148551818101875</v>
      </c>
      <c r="O29" s="102">
        <f>CONFIDENCE(0.05, STDEV(L9:L13), 5)</f>
        <v>1.6002010141062912</v>
      </c>
      <c r="P29" s="102">
        <f>CONFIDENCE(0.05, STDEV(L16:L20), 5)</f>
        <v>1.5712796397099937</v>
      </c>
      <c r="S29" s="102">
        <f>CONFIDENCE(0.05, STDEV(Q2:Q6), 5)</f>
        <v>1.1052331897868242</v>
      </c>
      <c r="T29" s="102">
        <f>CONFIDENCE(0.05, STDEV(Q9:Q13), 5)</f>
        <v>1.0786477790137758</v>
      </c>
      <c r="U29" s="102">
        <f>CONFIDENCE(0.05, STDEV(Q16:Q20), 5)</f>
        <v>2.300833062151578</v>
      </c>
    </row>
    <row r="30" spans="1:24" x14ac:dyDescent="0.2">
      <c r="N30" s="102">
        <v>0.3</v>
      </c>
      <c r="O30" s="102">
        <v>0.2</v>
      </c>
      <c r="P30" s="102">
        <v>0.25</v>
      </c>
    </row>
    <row r="31" spans="1:24" x14ac:dyDescent="0.2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</row>
    <row r="32" spans="1:24" x14ac:dyDescent="0.2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</row>
    <row r="33" spans="1:24" x14ac:dyDescent="0.2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</row>
    <row r="34" spans="1:24" x14ac:dyDescent="0.2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</row>
    <row r="35" spans="1:24" x14ac:dyDescent="0.2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</row>
    <row r="36" spans="1:24" x14ac:dyDescent="0.2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</row>
    <row r="37" spans="1:24" x14ac:dyDescent="0.2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</row>
    <row r="38" spans="1:24" x14ac:dyDescent="0.2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</row>
    <row r="39" spans="1:24" x14ac:dyDescent="0.2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</row>
    <row r="40" spans="1:24" x14ac:dyDescent="0.2">
      <c r="A40" s="109"/>
      <c r="B40" s="110"/>
      <c r="C40" s="110"/>
      <c r="D40" s="110"/>
      <c r="E40" s="108"/>
      <c r="F40" s="108"/>
      <c r="G40" s="108"/>
      <c r="H40" s="110"/>
      <c r="I40" s="108"/>
      <c r="J40" s="108"/>
      <c r="K40" s="108"/>
      <c r="L40" s="108"/>
      <c r="M40" s="108"/>
      <c r="N40" s="108"/>
      <c r="O40" s="108"/>
      <c r="P40" s="108"/>
      <c r="Q40" s="108"/>
      <c r="R40" s="110"/>
      <c r="S40" s="108"/>
      <c r="T40" s="108"/>
      <c r="U40" s="108"/>
      <c r="V40" s="108"/>
      <c r="W40" s="108"/>
      <c r="X40" s="108"/>
    </row>
    <row r="41" spans="1:24" x14ac:dyDescent="0.2">
      <c r="A41" s="111"/>
      <c r="B41" s="112"/>
      <c r="C41" s="112"/>
      <c r="D41" s="112"/>
      <c r="E41" s="108"/>
      <c r="F41" s="108"/>
      <c r="G41" s="108"/>
      <c r="H41" s="112"/>
      <c r="I41" s="108"/>
      <c r="J41" s="108"/>
      <c r="K41" s="108"/>
      <c r="L41" s="108"/>
      <c r="M41" s="108"/>
      <c r="N41" s="108"/>
      <c r="O41" s="108"/>
      <c r="P41" s="108"/>
      <c r="Q41" s="108"/>
      <c r="R41" s="112"/>
      <c r="S41" s="108"/>
      <c r="T41" s="108"/>
      <c r="U41" s="108"/>
      <c r="V41" s="108"/>
      <c r="W41" s="108"/>
      <c r="X41" s="108"/>
    </row>
    <row r="42" spans="1:24" x14ac:dyDescent="0.2">
      <c r="A42" s="111"/>
      <c r="B42" s="112"/>
      <c r="C42" s="112"/>
      <c r="D42" s="112"/>
      <c r="E42" s="108"/>
      <c r="F42" s="108"/>
      <c r="G42" s="108"/>
      <c r="H42" s="112"/>
      <c r="I42" s="108"/>
      <c r="J42" s="108"/>
      <c r="K42" s="108"/>
      <c r="L42" s="108"/>
      <c r="M42" s="108"/>
      <c r="N42" s="108"/>
      <c r="O42" s="108"/>
      <c r="P42" s="108"/>
      <c r="Q42" s="108"/>
      <c r="R42" s="112"/>
      <c r="S42" s="108"/>
      <c r="T42" s="108"/>
      <c r="U42" s="108"/>
      <c r="V42" s="108"/>
      <c r="W42" s="108"/>
      <c r="X42" s="108"/>
    </row>
    <row r="43" spans="1:24" x14ac:dyDescent="0.2">
      <c r="A43" s="109"/>
      <c r="B43" s="110"/>
      <c r="C43" s="110"/>
      <c r="D43" s="110"/>
      <c r="E43" s="108"/>
      <c r="F43" s="108"/>
      <c r="G43" s="108"/>
      <c r="H43" s="110"/>
      <c r="I43" s="108"/>
      <c r="J43" s="108"/>
      <c r="K43" s="108"/>
      <c r="L43" s="108"/>
      <c r="M43" s="108"/>
      <c r="N43" s="108"/>
      <c r="O43" s="108"/>
      <c r="P43" s="108"/>
      <c r="Q43" s="108"/>
      <c r="R43" s="110"/>
      <c r="S43" s="108"/>
      <c r="T43" s="108"/>
      <c r="U43" s="108"/>
      <c r="V43" s="108"/>
      <c r="W43" s="108"/>
      <c r="X43" s="108"/>
    </row>
    <row r="44" spans="1:24" x14ac:dyDescent="0.2">
      <c r="A44" s="110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</row>
    <row r="45" spans="1:24" x14ac:dyDescent="0.2">
      <c r="A45" s="110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</row>
    <row r="46" spans="1:24" x14ac:dyDescent="0.2">
      <c r="A46" s="110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</row>
    <row r="47" spans="1:24" x14ac:dyDescent="0.2">
      <c r="A47" s="109"/>
      <c r="B47" s="110"/>
      <c r="C47" s="110"/>
      <c r="D47" s="110"/>
      <c r="E47" s="108"/>
      <c r="F47" s="108"/>
      <c r="G47" s="108"/>
      <c r="H47" s="110"/>
      <c r="I47" s="108"/>
      <c r="J47" s="108"/>
      <c r="K47" s="108"/>
      <c r="L47" s="108"/>
      <c r="M47" s="108"/>
      <c r="N47" s="108"/>
      <c r="O47" s="108"/>
      <c r="P47" s="108"/>
      <c r="Q47" s="108"/>
      <c r="R47" s="110"/>
      <c r="S47" s="108"/>
      <c r="T47" s="108"/>
      <c r="U47" s="108"/>
      <c r="V47" s="108"/>
      <c r="W47" s="108"/>
      <c r="X47" s="108"/>
    </row>
    <row r="48" spans="1:24" x14ac:dyDescent="0.2">
      <c r="A48" s="110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</row>
    <row r="49" spans="1:24" x14ac:dyDescent="0.2">
      <c r="A49" s="110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</row>
    <row r="50" spans="1:24" x14ac:dyDescent="0.2">
      <c r="A50" s="110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</row>
    <row r="51" spans="1:24" x14ac:dyDescent="0.2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</row>
    <row r="52" spans="1:24" x14ac:dyDescent="0.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</row>
    <row r="53" spans="1:24" x14ac:dyDescent="0.2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</row>
    <row r="54" spans="1:24" x14ac:dyDescent="0.2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</row>
    <row r="55" spans="1:24" x14ac:dyDescent="0.2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</row>
    <row r="56" spans="1:24" x14ac:dyDescent="0.2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</row>
    <row r="57" spans="1:24" x14ac:dyDescent="0.2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</row>
    <row r="58" spans="1:24" x14ac:dyDescent="0.2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 t="s">
        <v>215</v>
      </c>
      <c r="V58" s="108"/>
      <c r="W58" s="108"/>
      <c r="X58" s="108"/>
    </row>
    <row r="59" spans="1:24" x14ac:dyDescent="0.2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</row>
    <row r="60" spans="1:24" x14ac:dyDescent="0.2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</row>
    <row r="61" spans="1:24" x14ac:dyDescent="0.2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</row>
    <row r="62" spans="1:24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</row>
    <row r="63" spans="1:24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</row>
    <row r="64" spans="1:24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</row>
    <row r="65" spans="1:24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</row>
    <row r="66" spans="1:24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</row>
    <row r="67" spans="1:24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</row>
    <row r="68" spans="1:24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</row>
    <row r="69" spans="1:24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</row>
    <row r="70" spans="1:24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</row>
    <row r="71" spans="1:24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</row>
    <row r="72" spans="1:24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</row>
    <row r="73" spans="1:24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</row>
    <row r="74" spans="1:24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</row>
    <row r="75" spans="1:24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</row>
    <row r="76" spans="1:24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</row>
    <row r="77" spans="1:24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</row>
    <row r="78" spans="1:24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</row>
    <row r="79" spans="1:24" x14ac:dyDescent="0.2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</row>
    <row r="80" spans="1:24" x14ac:dyDescent="0.2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</row>
    <row r="81" spans="1:24" x14ac:dyDescent="0.2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</row>
    <row r="82" spans="1:24" x14ac:dyDescent="0.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</row>
    <row r="83" spans="1:24" x14ac:dyDescent="0.2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</row>
    <row r="84" spans="1:24" x14ac:dyDescent="0.2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</row>
    <row r="85" spans="1:24" x14ac:dyDescent="0.2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</row>
    <row r="86" spans="1:24" x14ac:dyDescent="0.2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</row>
    <row r="87" spans="1:24" x14ac:dyDescent="0.2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</row>
    <row r="88" spans="1:24" x14ac:dyDescent="0.2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</row>
    <row r="89" spans="1:24" x14ac:dyDescent="0.2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</row>
    <row r="90" spans="1:24" x14ac:dyDescent="0.2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</row>
    <row r="91" spans="1:24" x14ac:dyDescent="0.2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</row>
    <row r="92" spans="1:24" x14ac:dyDescent="0.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</row>
    <row r="93" spans="1:24" x14ac:dyDescent="0.2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</row>
    <row r="94" spans="1:24" x14ac:dyDescent="0.2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</row>
    <row r="95" spans="1:24" x14ac:dyDescent="0.2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</row>
    <row r="96" spans="1:24" x14ac:dyDescent="0.2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</row>
    <row r="97" spans="1:24" x14ac:dyDescent="0.2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</row>
    <row r="98" spans="1:24" x14ac:dyDescent="0.2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</row>
    <row r="99" spans="1:24" x14ac:dyDescent="0.2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</row>
    <row r="100" spans="1:24" x14ac:dyDescent="0.2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</row>
    <row r="101" spans="1:24" x14ac:dyDescent="0.2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</row>
    <row r="102" spans="1:24" x14ac:dyDescent="0.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</row>
    <row r="103" spans="1:24" x14ac:dyDescent="0.2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</row>
    <row r="104" spans="1:24" x14ac:dyDescent="0.2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</row>
    <row r="105" spans="1:24" x14ac:dyDescent="0.2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</row>
    <row r="106" spans="1:24" x14ac:dyDescent="0.2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</row>
    <row r="107" spans="1:24" x14ac:dyDescent="0.2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</row>
    <row r="108" spans="1:24" x14ac:dyDescent="0.2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</row>
    <row r="109" spans="1:24" x14ac:dyDescent="0.2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</row>
    <row r="110" spans="1:24" x14ac:dyDescent="0.2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</row>
    <row r="111" spans="1:24" x14ac:dyDescent="0.2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</row>
    <row r="112" spans="1:24" x14ac:dyDescent="0.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</row>
    <row r="113" spans="1:24" x14ac:dyDescent="0.2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</row>
    <row r="114" spans="1:24" x14ac:dyDescent="0.2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</row>
    <row r="115" spans="1:24" x14ac:dyDescent="0.2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</row>
    <row r="116" spans="1:24" x14ac:dyDescent="0.2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</row>
    <row r="117" spans="1:24" x14ac:dyDescent="0.2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</row>
    <row r="118" spans="1:24" x14ac:dyDescent="0.2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</row>
    <row r="119" spans="1:24" x14ac:dyDescent="0.2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</row>
    <row r="120" spans="1:24" x14ac:dyDescent="0.2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</row>
    <row r="121" spans="1:24" x14ac:dyDescent="0.2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</row>
    <row r="122" spans="1:24" x14ac:dyDescent="0.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</row>
    <row r="123" spans="1:24" x14ac:dyDescent="0.2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</row>
    <row r="124" spans="1:24" x14ac:dyDescent="0.2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</row>
    <row r="125" spans="1:24" x14ac:dyDescent="0.2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</row>
    <row r="126" spans="1:24" x14ac:dyDescent="0.2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</row>
    <row r="127" spans="1:24" x14ac:dyDescent="0.2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</row>
    <row r="128" spans="1:24" x14ac:dyDescent="0.2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CH. 2 - Binomial</vt:lpstr>
      <vt:lpstr>Ch. 2 - Distribution Summary</vt:lpstr>
      <vt:lpstr>Ch. 3 - Levels of Aggregating</vt:lpstr>
      <vt:lpstr>Ch. 3- Means</vt:lpstr>
      <vt:lpstr>Figure 4.1</vt:lpstr>
      <vt:lpstr>Figure 4.4</vt:lpstr>
      <vt:lpstr>Figure 5.2</vt:lpstr>
      <vt:lpstr>Figure 6.1</vt:lpstr>
      <vt:lpstr>Figure 6.n</vt:lpstr>
      <vt:lpstr>Figure 6.n2</vt:lpstr>
      <vt:lpstr>Figure 6.n3</vt:lpstr>
      <vt:lpstr>Figure 7.1</vt:lpstr>
      <vt:lpstr>Figure 7.2</vt:lpstr>
      <vt:lpstr>Figure 8.1</vt:lpstr>
      <vt:lpstr>Figure 8.2</vt:lpstr>
      <vt:lpstr>Figure 8.3</vt:lpstr>
      <vt:lpstr>Figure 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</dc:creator>
  <cp:lastModifiedBy>David Cox</cp:lastModifiedBy>
  <dcterms:created xsi:type="dcterms:W3CDTF">2022-11-23T11:11:36Z</dcterms:created>
  <dcterms:modified xsi:type="dcterms:W3CDTF">2023-05-07T19:07:50Z</dcterms:modified>
</cp:coreProperties>
</file>