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.sharepoint.com/sites/VaccineAbsandEfficacy/Shared Documents/18 PROPHYLAXIS MABs/Manuscript/Nature Comms revisions/Extracted Data/"/>
    </mc:Choice>
  </mc:AlternateContent>
  <xr:revisionPtr revIDLastSave="164" documentId="8_{1EE4BBB3-F748-42D8-9A67-D6AB1E5D96AF}" xr6:coauthVersionLast="47" xr6:coauthVersionMax="47" xr10:uidLastSave="{ACD698A3-239D-CF40-9BFF-B7774AED5B25}"/>
  <bookViews>
    <workbookView xWindow="15060" yWindow="2100" windowWidth="33940" windowHeight="18960" activeTab="3" xr2:uid="{2A280CDA-A8D0-5942-8EAE-DFF4E33996CD}"/>
  </bookViews>
  <sheets>
    <sheet name="Herman" sheetId="1" r:id="rId1"/>
    <sheet name="O'Brien" sheetId="2" r:id="rId2"/>
    <sheet name="Levin" sheetId="4" r:id="rId3"/>
    <sheet name="Isa" sheetId="5" r:id="rId4"/>
    <sheet name="Schmidt (delta)" sheetId="7" r:id="rId5"/>
    <sheet name="Schmidt (omicron)" sheetId="8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2" l="1"/>
  <c r="I2" i="2"/>
  <c r="E3" i="2"/>
  <c r="I3" i="8"/>
  <c r="J3" i="8"/>
  <c r="K3" i="8"/>
  <c r="I4" i="8"/>
  <c r="J4" i="8"/>
  <c r="K4" i="8"/>
  <c r="K2" i="8"/>
  <c r="G4" i="8"/>
  <c r="G3" i="8"/>
  <c r="G2" i="8"/>
  <c r="E4" i="8"/>
  <c r="E3" i="8"/>
  <c r="E2" i="8"/>
  <c r="J2" i="8" s="1"/>
  <c r="G2" i="7"/>
  <c r="K2" i="7" s="1"/>
  <c r="G3" i="7"/>
  <c r="J3" i="7" s="1"/>
  <c r="E2" i="7"/>
  <c r="E3" i="7"/>
  <c r="K2" i="4"/>
  <c r="J2" i="4"/>
  <c r="J3" i="5"/>
  <c r="J4" i="5"/>
  <c r="J5" i="5"/>
  <c r="J6" i="5"/>
  <c r="J7" i="5"/>
  <c r="J8" i="5"/>
  <c r="J2" i="5"/>
  <c r="J3" i="4"/>
  <c r="J4" i="4"/>
  <c r="J5" i="4"/>
  <c r="J6" i="4"/>
  <c r="J7" i="4"/>
  <c r="J8" i="4"/>
  <c r="J9" i="4"/>
  <c r="J2" i="1"/>
  <c r="K3" i="5"/>
  <c r="K4" i="5"/>
  <c r="K5" i="5"/>
  <c r="K6" i="5"/>
  <c r="K7" i="5"/>
  <c r="K8" i="5"/>
  <c r="K2" i="5"/>
  <c r="K3" i="4"/>
  <c r="K4" i="4"/>
  <c r="K5" i="4"/>
  <c r="K6" i="4"/>
  <c r="K7" i="4"/>
  <c r="K8" i="4"/>
  <c r="K9" i="4"/>
  <c r="K3" i="1"/>
  <c r="K4" i="1"/>
  <c r="K5" i="1"/>
  <c r="K6" i="1"/>
  <c r="K2" i="1"/>
  <c r="K2" i="2"/>
  <c r="I3" i="5"/>
  <c r="I4" i="5"/>
  <c r="I5" i="5"/>
  <c r="I6" i="5"/>
  <c r="I7" i="5"/>
  <c r="I8" i="5"/>
  <c r="I2" i="5"/>
  <c r="C3" i="5"/>
  <c r="C4" i="5"/>
  <c r="C5" i="5"/>
  <c r="C6" i="5"/>
  <c r="C7" i="5"/>
  <c r="C2" i="5"/>
  <c r="I2" i="8" l="1"/>
  <c r="K3" i="7"/>
  <c r="I3" i="7"/>
  <c r="I2" i="7"/>
  <c r="J2" i="7"/>
  <c r="I3" i="4"/>
  <c r="I4" i="4"/>
  <c r="I5" i="4"/>
  <c r="I6" i="4"/>
  <c r="I7" i="4"/>
  <c r="I8" i="4"/>
  <c r="I9" i="4"/>
  <c r="I2" i="4"/>
  <c r="C3" i="4"/>
  <c r="C4" i="4"/>
  <c r="C5" i="4"/>
  <c r="C6" i="4"/>
  <c r="C7" i="4"/>
  <c r="C8" i="4"/>
  <c r="C2" i="4"/>
  <c r="A3" i="4"/>
  <c r="G3" i="2"/>
  <c r="G4" i="2" s="1"/>
  <c r="G5" i="2" s="1"/>
  <c r="C3" i="2"/>
  <c r="B4" i="2" s="1"/>
  <c r="C4" i="2"/>
  <c r="B5" i="2" s="1"/>
  <c r="C5" i="2"/>
  <c r="C2" i="2"/>
  <c r="B3" i="2" s="1"/>
  <c r="I2" i="1"/>
  <c r="G3" i="1"/>
  <c r="G4" i="1" s="1"/>
  <c r="G5" i="1" s="1"/>
  <c r="G6" i="1" s="1"/>
  <c r="G7" i="1" s="1"/>
  <c r="G8" i="1" s="1"/>
  <c r="G9" i="1" s="1"/>
  <c r="E3" i="1"/>
  <c r="C3" i="1"/>
  <c r="B4" i="1" s="1"/>
  <c r="C4" i="1"/>
  <c r="B5" i="1" s="1"/>
  <c r="C5" i="1"/>
  <c r="B6" i="1" s="1"/>
  <c r="C6" i="1"/>
  <c r="B7" i="1" s="1"/>
  <c r="C7" i="1"/>
  <c r="B8" i="1" s="1"/>
  <c r="C8" i="1"/>
  <c r="B9" i="1" s="1"/>
  <c r="C9" i="1"/>
  <c r="C2" i="1"/>
  <c r="B3" i="1" s="1"/>
  <c r="E4" i="2" l="1"/>
  <c r="E5" i="2" s="1"/>
  <c r="K3" i="2"/>
  <c r="J3" i="2"/>
  <c r="I3" i="2"/>
  <c r="I3" i="1"/>
  <c r="J3" i="1"/>
  <c r="E4" i="1"/>
  <c r="I4" i="2" l="1"/>
  <c r="I5" i="2"/>
  <c r="K5" i="2"/>
  <c r="J5" i="2"/>
  <c r="K4" i="2"/>
  <c r="J4" i="2"/>
  <c r="I4" i="1"/>
  <c r="J4" i="1"/>
  <c r="E5" i="1"/>
  <c r="J5" i="1" s="1"/>
  <c r="E6" i="1" l="1"/>
  <c r="J6" i="1" s="1"/>
  <c r="I5" i="1"/>
  <c r="E7" i="1"/>
  <c r="I6" i="1"/>
  <c r="K7" i="1" l="1"/>
  <c r="J7" i="1"/>
  <c r="E8" i="1"/>
  <c r="I7" i="1"/>
  <c r="K8" i="1" l="1"/>
  <c r="J8" i="1"/>
  <c r="E9" i="1"/>
  <c r="I8" i="1"/>
  <c r="I9" i="1" l="1"/>
  <c r="J9" i="1"/>
  <c r="K9" i="1"/>
</calcChain>
</file>

<file path=xl/sharedStrings.xml><?xml version="1.0" encoding="utf-8"?>
<sst xmlns="http://schemas.openxmlformats.org/spreadsheetml/2006/main" count="98" uniqueCount="15">
  <si>
    <t>Month</t>
  </si>
  <si>
    <t>mAb</t>
  </si>
  <si>
    <t>Efficacy</t>
  </si>
  <si>
    <t>Week</t>
  </si>
  <si>
    <t>adintrevimab</t>
  </si>
  <si>
    <t>casirivimab + imdevimab</t>
  </si>
  <si>
    <t>Day_min</t>
  </si>
  <si>
    <t>Day_max</t>
  </si>
  <si>
    <t>N_treatment</t>
  </si>
  <si>
    <t>Events_treatment</t>
  </si>
  <si>
    <t>N_control</t>
  </si>
  <si>
    <t>Events_control</t>
  </si>
  <si>
    <t>cilgavimab + tixagevimab</t>
  </si>
  <si>
    <t>Efficacy_lower</t>
  </si>
  <si>
    <t>Efficacy_upper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</si>
</sst>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48449-126D-9142-961B-AC8DB8BE632E}">
  <dimension ref="A1:K9"/>
  <sheetViews>
    <sheetView zoomScale="130" zoomScaleNormal="130" workbookViewId="0">
      <selection activeCell="D14" sqref="D14"/>
    </sheetView>
  </sheetViews>
  <sheetFormatPr baseColWidth="10" defaultColWidth="11" defaultRowHeight="16" x14ac:dyDescent="0.2"/>
  <cols>
    <col min="1" max="1" width="7" customWidth="1"/>
    <col min="2" max="2" width="8.83203125" customWidth="1"/>
    <col min="3" max="3" width="10" customWidth="1"/>
    <col min="4" max="4" width="23" customWidth="1"/>
    <col min="5" max="5" width="12.5" customWidth="1"/>
    <col min="6" max="6" width="17.33203125" customWidth="1"/>
    <col min="7" max="7" width="10.5" customWidth="1"/>
    <col min="8" max="8" width="14.1640625" customWidth="1"/>
    <col min="9" max="9" width="8.5" customWidth="1"/>
    <col min="10" max="10" width="14" customWidth="1"/>
    <col min="11" max="11" width="14.33203125" customWidth="1"/>
    <col min="12" max="12" width="9.33203125" customWidth="1"/>
    <col min="13" max="13" width="14.5" customWidth="1"/>
    <col min="14" max="14" width="16.33203125" customWidth="1"/>
  </cols>
  <sheetData>
    <row r="1" spans="1:11" s="1" customFormat="1" x14ac:dyDescent="0.2">
      <c r="A1" s="1" t="s">
        <v>0</v>
      </c>
      <c r="B1" s="1" t="s">
        <v>6</v>
      </c>
      <c r="C1" s="1" t="s">
        <v>7</v>
      </c>
      <c r="D1" s="1" t="s">
        <v>1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2</v>
      </c>
      <c r="J1" s="1" t="s">
        <v>13</v>
      </c>
      <c r="K1" s="1" t="s">
        <v>14</v>
      </c>
    </row>
    <row r="2" spans="1:11" x14ac:dyDescent="0.2">
      <c r="A2">
        <v>1</v>
      </c>
      <c r="B2">
        <v>1</v>
      </c>
      <c r="C2">
        <f t="shared" ref="C2:C9" si="0">A2*30</f>
        <v>30</v>
      </c>
      <c r="D2" t="s">
        <v>5</v>
      </c>
      <c r="E2">
        <v>841</v>
      </c>
      <c r="F2">
        <v>13</v>
      </c>
      <c r="G2">
        <v>842</v>
      </c>
      <c r="H2">
        <v>70</v>
      </c>
      <c r="I2">
        <f>100*(1-(F2/E2)/(H2/G2))</f>
        <v>81.406488873789712</v>
      </c>
      <c r="J2">
        <f>100*MAX(IF(AND(F2&gt;0,H2&gt;0),1-(F2/E2)/(H2/G2)*EXP(_xlfn.NORM.INV(0.975,0,1)*SQRT(1/F2+1/H2-1/E2-1/G2)),IF(F2=0,1-((F2+0.5)/E2)/(H2/G2)*EXP(_xlfn.NORM.INV(0.975,0,1)*SQRT(1/(F2+0.5)+1/H2-1/E2-1/G2)),IF(H2=0,1-(F2/E2)/((H2+0.5)/G2)*EXP(_xlfn.NORM.INV(0.975,0,1)*SQRT(1/F2+1/(H2+0.5)-1/E2-1/G2)),-1))),0)</f>
        <v>66.652784866529416</v>
      </c>
      <c r="K2">
        <f>100*IF(AND(F2&gt;0,H2&gt;0),1-(F2/E2)/(H2/G2)*EXP(-_xlfn.NORM.INV(0.975,0,1)*SQRT(1/F2+1/H2-1/E2-1/G2)),IF(F2=0,1,IF(H2=0,1-(F2/E2)/((H2+0.5)/G2)*EXP(-_xlfn.NORM.INV(0.975,0,1)*SQRT(1/F2+1/(H2+0.5)-1/E2-1/G2)),-1)))</f>
        <v>89.63275779951087</v>
      </c>
    </row>
    <row r="3" spans="1:11" x14ac:dyDescent="0.2">
      <c r="A3">
        <v>2</v>
      </c>
      <c r="B3">
        <f>C2+1</f>
        <v>31</v>
      </c>
      <c r="C3">
        <f t="shared" si="0"/>
        <v>60</v>
      </c>
      <c r="D3" t="s">
        <v>5</v>
      </c>
      <c r="E3">
        <f>E2-F2</f>
        <v>828</v>
      </c>
      <c r="F3">
        <v>0</v>
      </c>
      <c r="G3">
        <f>G2-H2</f>
        <v>772</v>
      </c>
      <c r="H3">
        <v>14</v>
      </c>
      <c r="I3">
        <f t="shared" ref="I3:I9" si="1">100*(1-(F3/E3)/(H3/G3))</f>
        <v>100</v>
      </c>
      <c r="J3">
        <f t="shared" ref="J3:J9" si="2">100*MAX(IF(AND(F3&gt;0,H3&gt;0),1-(F3/E3)/(H3/G3)*EXP(_xlfn.NORM.INV(0.975,0,1)*SQRT(1/F3+1/H3-1/E3-1/G3)),IF(F3=0,1-((F3+0.5)/E3)/(H3/G3)*EXP(_xlfn.NORM.INV(0.975,0,1)*SQRT(1/(F3+0.5)+1/H3-1/E3-1/G3)),IF(H3=0,1-(F3/E3)/((H3+0.5)/G3)*EXP(_xlfn.NORM.INV(0.975,0,1)*SQRT(1/F3+1/(H3+0.5)-1/E3-1/G3)),-1))),0)</f>
        <v>44.181675062925137</v>
      </c>
      <c r="K3">
        <f t="shared" ref="K3:K9" si="3">100*IF(AND(F3&gt;0,H3&gt;0),1-(F3/E3)/(H3/G3)*EXP(-_xlfn.NORM.INV(0.975,0,1)*SQRT(1/F3+1/H3-1/E3-1/G3)),IF(F3=0,1,IF(H3=0,1-(F3/E3)/((H3+0.5)/G3)*EXP(-_xlfn.NORM.INV(0.975,0,1)*SQRT(1/F3+1/(H3+0.5)-1/E3-1/G3)),-1)))</f>
        <v>100</v>
      </c>
    </row>
    <row r="4" spans="1:11" x14ac:dyDescent="0.2">
      <c r="A4">
        <v>3</v>
      </c>
      <c r="B4">
        <f t="shared" ref="B4:B9" si="4">C3+1</f>
        <v>61</v>
      </c>
      <c r="C4">
        <f t="shared" si="0"/>
        <v>90</v>
      </c>
      <c r="D4" t="s">
        <v>5</v>
      </c>
      <c r="E4">
        <f t="shared" ref="E4:E9" si="5">E3-F3</f>
        <v>828</v>
      </c>
      <c r="F4">
        <v>0</v>
      </c>
      <c r="G4">
        <f t="shared" ref="G4:G9" si="6">G3-H3</f>
        <v>758</v>
      </c>
      <c r="H4">
        <v>10</v>
      </c>
      <c r="I4">
        <f t="shared" si="1"/>
        <v>100</v>
      </c>
      <c r="J4">
        <f t="shared" si="2"/>
        <v>21.769750255101684</v>
      </c>
      <c r="K4">
        <f t="shared" si="3"/>
        <v>100</v>
      </c>
    </row>
    <row r="5" spans="1:11" x14ac:dyDescent="0.2">
      <c r="A5">
        <v>4</v>
      </c>
      <c r="B5">
        <f t="shared" si="4"/>
        <v>91</v>
      </c>
      <c r="C5">
        <f t="shared" si="0"/>
        <v>120</v>
      </c>
      <c r="D5" t="s">
        <v>5</v>
      </c>
      <c r="E5">
        <f t="shared" si="5"/>
        <v>828</v>
      </c>
      <c r="F5">
        <v>0</v>
      </c>
      <c r="G5">
        <f t="shared" si="6"/>
        <v>748</v>
      </c>
      <c r="H5">
        <v>5</v>
      </c>
      <c r="I5">
        <f t="shared" si="1"/>
        <v>100</v>
      </c>
      <c r="J5">
        <f t="shared" si="2"/>
        <v>0</v>
      </c>
      <c r="K5">
        <f t="shared" si="3"/>
        <v>100</v>
      </c>
    </row>
    <row r="6" spans="1:11" x14ac:dyDescent="0.2">
      <c r="A6">
        <v>5</v>
      </c>
      <c r="B6">
        <f t="shared" si="4"/>
        <v>121</v>
      </c>
      <c r="C6">
        <f t="shared" si="0"/>
        <v>150</v>
      </c>
      <c r="D6" t="s">
        <v>5</v>
      </c>
      <c r="E6">
        <f t="shared" si="5"/>
        <v>828</v>
      </c>
      <c r="F6">
        <v>0</v>
      </c>
      <c r="G6">
        <f t="shared" si="6"/>
        <v>743</v>
      </c>
      <c r="H6">
        <v>3</v>
      </c>
      <c r="I6">
        <f t="shared" si="1"/>
        <v>100</v>
      </c>
      <c r="J6">
        <f t="shared" si="2"/>
        <v>0</v>
      </c>
      <c r="K6">
        <f t="shared" si="3"/>
        <v>100</v>
      </c>
    </row>
    <row r="7" spans="1:11" x14ac:dyDescent="0.2">
      <c r="A7">
        <v>6</v>
      </c>
      <c r="B7">
        <f t="shared" si="4"/>
        <v>151</v>
      </c>
      <c r="C7">
        <f t="shared" si="0"/>
        <v>180</v>
      </c>
      <c r="D7" t="s">
        <v>5</v>
      </c>
      <c r="E7">
        <f t="shared" si="5"/>
        <v>828</v>
      </c>
      <c r="F7">
        <v>2</v>
      </c>
      <c r="G7">
        <f t="shared" si="6"/>
        <v>740</v>
      </c>
      <c r="H7">
        <v>2</v>
      </c>
      <c r="I7">
        <f t="shared" si="1"/>
        <v>10.628019323671511</v>
      </c>
      <c r="J7">
        <f t="shared" si="2"/>
        <v>0</v>
      </c>
      <c r="K7">
        <f t="shared" si="3"/>
        <v>87.379118641754857</v>
      </c>
    </row>
    <row r="8" spans="1:11" x14ac:dyDescent="0.2">
      <c r="A8">
        <v>7</v>
      </c>
      <c r="B8">
        <f t="shared" si="4"/>
        <v>181</v>
      </c>
      <c r="C8">
        <f t="shared" si="0"/>
        <v>210</v>
      </c>
      <c r="D8" t="s">
        <v>5</v>
      </c>
      <c r="E8">
        <f t="shared" si="5"/>
        <v>826</v>
      </c>
      <c r="F8">
        <v>2</v>
      </c>
      <c r="G8">
        <f t="shared" si="6"/>
        <v>738</v>
      </c>
      <c r="H8">
        <v>2</v>
      </c>
      <c r="I8">
        <f t="shared" si="1"/>
        <v>10.653753026634384</v>
      </c>
      <c r="J8">
        <f t="shared" si="2"/>
        <v>0</v>
      </c>
      <c r="K8">
        <f t="shared" si="3"/>
        <v>87.382671144603094</v>
      </c>
    </row>
    <row r="9" spans="1:11" x14ac:dyDescent="0.2">
      <c r="A9">
        <v>8</v>
      </c>
      <c r="B9">
        <f t="shared" si="4"/>
        <v>211</v>
      </c>
      <c r="C9">
        <f t="shared" si="0"/>
        <v>240</v>
      </c>
      <c r="D9" t="s">
        <v>5</v>
      </c>
      <c r="E9">
        <f t="shared" si="5"/>
        <v>824</v>
      </c>
      <c r="F9">
        <v>4</v>
      </c>
      <c r="G9">
        <f t="shared" si="6"/>
        <v>736</v>
      </c>
      <c r="H9">
        <v>6</v>
      </c>
      <c r="I9">
        <f t="shared" si="1"/>
        <v>40.453074433656965</v>
      </c>
      <c r="J9">
        <f t="shared" si="2"/>
        <v>0</v>
      </c>
      <c r="K9">
        <f t="shared" si="3"/>
        <v>83.130207429097979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CE0C4-EC68-B342-8DD7-A692063C8632}">
  <dimension ref="A1:L5"/>
  <sheetViews>
    <sheetView zoomScale="130" zoomScaleNormal="130" workbookViewId="0">
      <selection activeCell="B1" sqref="B1:K1"/>
    </sheetView>
  </sheetViews>
  <sheetFormatPr baseColWidth="10" defaultColWidth="11" defaultRowHeight="16" x14ac:dyDescent="0.2"/>
  <cols>
    <col min="1" max="1" width="6.83203125" customWidth="1"/>
    <col min="2" max="2" width="10.83203125" customWidth="1"/>
    <col min="3" max="3" width="10.5" customWidth="1"/>
    <col min="4" max="4" width="23.6640625" customWidth="1"/>
    <col min="5" max="5" width="12.83203125" customWidth="1"/>
    <col min="6" max="6" width="17.33203125" customWidth="1"/>
    <col min="7" max="7" width="10" customWidth="1"/>
    <col min="8" max="8" width="15" customWidth="1"/>
    <col min="9" max="9" width="9" customWidth="1"/>
    <col min="10" max="10" width="13.33203125" customWidth="1"/>
    <col min="11" max="11" width="14.33203125" customWidth="1"/>
    <col min="12" max="12" width="15.5" customWidth="1"/>
    <col min="13" max="13" width="7.83203125" customWidth="1"/>
    <col min="14" max="15" width="13.33203125" customWidth="1"/>
    <col min="16" max="16" width="13" customWidth="1"/>
    <col min="17" max="17" width="15.83203125" customWidth="1"/>
  </cols>
  <sheetData>
    <row r="1" spans="1:12" s="1" customFormat="1" x14ac:dyDescent="0.2">
      <c r="A1" s="1" t="s">
        <v>3</v>
      </c>
      <c r="B1" s="1" t="s">
        <v>6</v>
      </c>
      <c r="C1" s="1" t="s">
        <v>7</v>
      </c>
      <c r="D1" s="1" t="s">
        <v>1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2</v>
      </c>
      <c r="J1" s="1" t="s">
        <v>13</v>
      </c>
      <c r="K1" s="1" t="s">
        <v>14</v>
      </c>
    </row>
    <row r="2" spans="1:12" x14ac:dyDescent="0.2">
      <c r="A2">
        <v>1</v>
      </c>
      <c r="B2">
        <v>1</v>
      </c>
      <c r="C2">
        <f>A2*7</f>
        <v>7</v>
      </c>
      <c r="D2" t="s">
        <v>5</v>
      </c>
      <c r="E2">
        <v>753</v>
      </c>
      <c r="F2">
        <v>9</v>
      </c>
      <c r="G2">
        <v>752</v>
      </c>
      <c r="H2">
        <v>32</v>
      </c>
      <c r="I2">
        <f>100*(1-(F2/E2)/(H2/G2))</f>
        <v>71.91235059760956</v>
      </c>
      <c r="J2">
        <f>100*MAX(IF(AND(F2&gt;0,H2&gt;0),1-(F2/E2)/(H2/G2)*EXP(_xlfn.NORM.INV(0.975,0,1)*SQRT(1/F2+1/H2-1/E2-1/G2)),IF(F2=0,1-((F2+0.5)/E2)/(H2/G2)*EXP(_xlfn.NORM.INV(0.975,0,1)*SQRT(1/(F2+0.5)+1/H2-1/E2-1/G2)),IF(H2=0,1-(F2/E2)/((H2+0.5)/G2)*EXP(_xlfn.NORM.INV(0.975,0,1)*SQRT(1/F2+1/(H2+0.5)-1/E2-1/G2)),-1))),0)</f>
        <v>41.565654027803198</v>
      </c>
      <c r="K2">
        <f>100*IF(AND(F2&gt;0,H2&gt;0),1-(F2/E2)/(H2/G2)*EXP(-_xlfn.NORM.INV(0.975,0,1)*SQRT(1/F2+1/H2-1/E2-1/G2)),IF(F2=0,1,IF(H2=0,1-(F2/E2)/((H2+0.5)/G2)*EXP(-_xlfn.NORM.INV(0.975,0,1)*SQRT(1/F2+1/(H2+0.5)-1/E2-1/G2)),-1)))</f>
        <v>86.49910363800474</v>
      </c>
      <c r="L2" s="3"/>
    </row>
    <row r="3" spans="1:12" x14ac:dyDescent="0.2">
      <c r="A3">
        <v>2</v>
      </c>
      <c r="B3">
        <f>C2+1</f>
        <v>8</v>
      </c>
      <c r="C3">
        <f>A3*7</f>
        <v>14</v>
      </c>
      <c r="D3" t="s">
        <v>5</v>
      </c>
      <c r="E3">
        <f>E2-F2</f>
        <v>744</v>
      </c>
      <c r="F3">
        <v>0</v>
      </c>
      <c r="G3">
        <f>G2-H2</f>
        <v>720</v>
      </c>
      <c r="H3">
        <v>13</v>
      </c>
      <c r="I3">
        <f>100*(1-(F3/E3)/(H3/G3))</f>
        <v>100</v>
      </c>
      <c r="J3">
        <f>100*MAX(IF(AND(F3&gt;0,H3&gt;0),1-(F3/E3)/(H3/G3)*EXP(_xlfn.NORM.INV(0.975,0,1)*SQRT(1/F3+1/H3-1/E3-1/G3)),IF(F3=0,1-((F3+0.5)/E3)/(H3/G3)*EXP(_xlfn.NORM.INV(0.975,0,1)*SQRT(1/(F3+0.5)+1/H3-1/E3-1/G3)),IF(H3=0,1-(F3/E3)/((H3+0.5)/G3)*EXP(_xlfn.NORM.INV(0.975,0,1)*SQRT(1/F3+1/(H3+0.5)-1/E3-1/G3)),-1))),0)</f>
        <v>37.383205545975841</v>
      </c>
      <c r="K3">
        <f>100*IF(AND(F3&gt;0,H3&gt;0),1-(F3/E3)/(H3/G3)*EXP(-_xlfn.NORM.INV(0.975,0,1)*SQRT(1/F3+1/H3-1/E3-1/G3)),IF(F3=0,1,IF(H3=0,1-(F3/E3)/((H3+0.5)/G3)*EXP(-_xlfn.NORM.INV(0.975,0,1)*SQRT(1/F3+1/(H3+0.5)-1/E3-1/G3)),-1)))</f>
        <v>100</v>
      </c>
      <c r="L3" s="3"/>
    </row>
    <row r="4" spans="1:12" x14ac:dyDescent="0.2">
      <c r="A4">
        <v>3</v>
      </c>
      <c r="B4">
        <f t="shared" ref="B4:B5" si="0">C3+1</f>
        <v>15</v>
      </c>
      <c r="C4">
        <f>A4*7</f>
        <v>21</v>
      </c>
      <c r="D4" t="s">
        <v>5</v>
      </c>
      <c r="E4">
        <f>E3-F3</f>
        <v>744</v>
      </c>
      <c r="F4">
        <v>1</v>
      </c>
      <c r="G4">
        <f>G3-H3</f>
        <v>707</v>
      </c>
      <c r="H4">
        <v>7</v>
      </c>
      <c r="I4">
        <f>100*(1-(F4/E4)/(H4/G4))</f>
        <v>86.424731182795696</v>
      </c>
      <c r="J4">
        <f>100*MAX(IF(AND(F4&gt;0,H4&gt;0),1-(F4/E4)/(H4/G4)*EXP(_xlfn.NORM.INV(0.975,0,1)*SQRT(1/F4+1/H4-1/E4-1/G4)),IF(F4=0,1-((F4+0.5)/E4)/(H4/G4)*EXP(_xlfn.NORM.INV(0.975,0,1)*SQRT(1/(F4+0.5)+1/H4-1/E4-1/G4)),IF(H4=0,1-(F4/E4)/((H4+0.5)/G4)*EXP(_xlfn.NORM.INV(0.975,0,1)*SQRT(1/F4+1/(H4+0.5)-1/E4-1/G4)),-1))),0)</f>
        <v>0</v>
      </c>
      <c r="K4">
        <f>100*IF(AND(F4&gt;0,H4&gt;0),1-(F4/E4)/(H4/G4)*EXP(-_xlfn.NORM.INV(0.975,0,1)*SQRT(1/F4+1/H4-1/E4-1/G4)),IF(F4=0,1,IF(H4=0,1-(F4/E4)/((H4+0.5)/G4)*EXP(-_xlfn.NORM.INV(0.975,0,1)*SQRT(1/F4+1/(H4+0.5)-1/E4-1/G4)),-1)))</f>
        <v>98.325540778097348</v>
      </c>
      <c r="L4" s="3"/>
    </row>
    <row r="5" spans="1:12" x14ac:dyDescent="0.2">
      <c r="A5">
        <v>4</v>
      </c>
      <c r="B5">
        <f t="shared" si="0"/>
        <v>22</v>
      </c>
      <c r="C5">
        <f>A5*7</f>
        <v>28</v>
      </c>
      <c r="D5" t="s">
        <v>5</v>
      </c>
      <c r="E5">
        <f>E4-F4</f>
        <v>743</v>
      </c>
      <c r="F5">
        <v>1</v>
      </c>
      <c r="G5">
        <f>G4-H4</f>
        <v>700</v>
      </c>
      <c r="H5">
        <v>7</v>
      </c>
      <c r="I5">
        <f>100*(1-(F5/E5)/(H5/G5))</f>
        <v>86.54104979811575</v>
      </c>
      <c r="J5">
        <f>100*MAX(IF(AND(F5&gt;0,H5&gt;0),1-(F5/E5)/(H5/G5)*EXP(_xlfn.NORM.INV(0.975,0,1)*SQRT(1/F5+1/H5-1/E5-1/G5)),IF(F5=0,1-((F5+0.5)/E5)/(H5/G5)*EXP(_xlfn.NORM.INV(0.975,0,1)*SQRT(1/(F5+0.5)+1/H5-1/E5-1/G5)),IF(H5=0,1-(F5/E5)/((H5+0.5)/G5)*EXP(_xlfn.NORM.INV(0.975,0,1)*SQRT(1/F5+1/(H5+0.5)-1/E5-1/G5)),-1))),0)</f>
        <v>0</v>
      </c>
      <c r="K5">
        <f>100*IF(AND(F5&gt;0,H5&gt;0),1-(F5/E5)/(H5/G5)*EXP(-_xlfn.NORM.INV(0.975,0,1)*SQRT(1/F5+1/H5-1/E5-1/G5)),IF(F5=0,1,IF(H5=0,1-(F5/E5)/((H5+0.5)/G5)*EXP(-_xlfn.NORM.INV(0.975,0,1)*SQRT(1/F5+1/(H5+0.5)-1/E5-1/G5)),-1)))</f>
        <v>98.339863941869581</v>
      </c>
      <c r="L5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BC9F0-4918-3A47-AD9A-5F86D5599BEE}">
  <dimension ref="A1:K9"/>
  <sheetViews>
    <sheetView zoomScale="130" zoomScaleNormal="130" workbookViewId="0">
      <selection sqref="A1:K1"/>
    </sheetView>
  </sheetViews>
  <sheetFormatPr baseColWidth="10" defaultColWidth="11" defaultRowHeight="16" x14ac:dyDescent="0.2"/>
  <cols>
    <col min="1" max="1" width="7.5" customWidth="1"/>
    <col min="2" max="2" width="9.1640625" customWidth="1"/>
    <col min="3" max="3" width="10.33203125" customWidth="1"/>
    <col min="4" max="4" width="23" customWidth="1"/>
    <col min="5" max="5" width="12.6640625" customWidth="1"/>
    <col min="6" max="6" width="16.83203125" customWidth="1"/>
    <col min="7" max="7" width="10.1640625" customWidth="1"/>
    <col min="8" max="8" width="14.33203125" customWidth="1"/>
    <col min="9" max="9" width="10.83203125" customWidth="1"/>
    <col min="10" max="10" width="14" customWidth="1"/>
    <col min="11" max="11" width="15" customWidth="1"/>
    <col min="13" max="13" width="13.5" customWidth="1"/>
    <col min="14" max="14" width="14.5" customWidth="1"/>
  </cols>
  <sheetData>
    <row r="1" spans="1:11" s="1" customFormat="1" x14ac:dyDescent="0.2">
      <c r="A1" s="1" t="s">
        <v>0</v>
      </c>
      <c r="B1" s="1" t="s">
        <v>6</v>
      </c>
      <c r="C1" s="1" t="s">
        <v>7</v>
      </c>
      <c r="D1" s="1" t="s">
        <v>1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2</v>
      </c>
      <c r="J1" s="1" t="s">
        <v>13</v>
      </c>
      <c r="K1" s="1" t="s">
        <v>14</v>
      </c>
    </row>
    <row r="2" spans="1:11" x14ac:dyDescent="0.2">
      <c r="A2">
        <v>0</v>
      </c>
      <c r="B2">
        <v>0</v>
      </c>
      <c r="C2">
        <f t="shared" ref="C2:C8" si="0">B3-1</f>
        <v>10</v>
      </c>
      <c r="D2" t="s">
        <v>12</v>
      </c>
      <c r="E2">
        <v>3441</v>
      </c>
      <c r="F2">
        <v>4</v>
      </c>
      <c r="G2">
        <v>1731</v>
      </c>
      <c r="H2">
        <v>4</v>
      </c>
      <c r="I2">
        <f t="shared" ref="I2" si="1">100*(1-(F2/E2)/(H2/G2))</f>
        <v>49.69485614646905</v>
      </c>
      <c r="J2">
        <f>100*MAX(IF(AND(F2&gt;0,H2&gt;0),1-(F2/E2)/(H2/G2)*EXP(_xlfn.NORM.INV(0.975,0,1)*SQRT(1/F2+1/H2-1/E2-1/G2)),IF(F2=0,1-((F2+0.5)/E2)/(H2/G2)*EXP(_xlfn.NORM.INV(0.975,0,1)*SQRT(1/(F2+0.5)+1/H2-1/E2-1/G2)),IF(H2=0,1-(F2/E2)/((H2+0.5)/G2)*EXP(_xlfn.NORM.INV(0.975,0,1)*SQRT(1/F2+1/(H2+0.5)-1/E2-1/G2)),-1))),0)</f>
        <v>0</v>
      </c>
      <c r="K2">
        <f>100*IF(AND(F2&gt;0,H2&gt;0),1-(F2/E2)/(H2/G2)*EXP(-_xlfn.NORM.INV(0.975,0,1)*SQRT(1/F2+1/H2-1/E2-1/G2)),IF(F2=0,1,IF(H2=0,1-(F2/E2)/((H2+0.5)/G2)*EXP(-_xlfn.NORM.INV(0.975,0,1)*SQRT(1/F2+1/(H2+0.5)-1/E2-1/G2)),-1)))</f>
        <v>87.40364566558415</v>
      </c>
    </row>
    <row r="3" spans="1:11" x14ac:dyDescent="0.2">
      <c r="A3" s="2">
        <f>11/30</f>
        <v>0.36666666666666664</v>
      </c>
      <c r="B3">
        <v>11</v>
      </c>
      <c r="C3">
        <f t="shared" si="0"/>
        <v>29</v>
      </c>
      <c r="D3" t="s">
        <v>12</v>
      </c>
      <c r="E3">
        <v>3323</v>
      </c>
      <c r="F3">
        <v>1</v>
      </c>
      <c r="G3">
        <v>1680</v>
      </c>
      <c r="H3">
        <v>4</v>
      </c>
      <c r="I3">
        <f t="shared" ref="I3" si="2">100*(1-(F3/E3)/(H3/G3))</f>
        <v>87.360818537466145</v>
      </c>
      <c r="J3">
        <f t="shared" ref="J3:J9" si="3">100*MAX(IF(AND(F3&gt;0,H3&gt;0),1-(F3/E3)/(H3/G3)*EXP(_xlfn.NORM.INV(0.975,0,1)*SQRT(1/F3+1/H3-1/E3-1/G3)),IF(F3=0,1-((F3+0.5)/E3)/(H3/G3)*EXP(_xlfn.NORM.INV(0.975,0,1)*SQRT(1/(F3+0.5)+1/H3-1/E3-1/G3)),IF(H3=0,1-(F3/E3)/((H3+0.5)/G3)*EXP(_xlfn.NORM.INV(0.975,0,1)*SQRT(1/F3+1/(H3+0.5)-1/E3-1/G3)),-1))),0)</f>
        <v>0</v>
      </c>
      <c r="K3">
        <f t="shared" ref="K3:K9" si="4">100*IF(AND(F3&gt;0,H3&gt;0),1-(F3/E3)/(H3/G3)*EXP(-_xlfn.NORM.INV(0.975,0,1)*SQRT(1/F3+1/H3-1/E3-1/G3)),IF(F3=0,1,IF(H3=0,1-(F3/E3)/((H3+0.5)/G3)*EXP(-_xlfn.NORM.INV(0.975,0,1)*SQRT(1/F3+1/(H3+0.5)-1/E3-1/G3)),-1)))</f>
        <v>98.586200257839323</v>
      </c>
    </row>
    <row r="4" spans="1:11" x14ac:dyDescent="0.2">
      <c r="A4">
        <v>1</v>
      </c>
      <c r="B4">
        <v>30</v>
      </c>
      <c r="C4">
        <f t="shared" si="0"/>
        <v>59</v>
      </c>
      <c r="D4" t="s">
        <v>12</v>
      </c>
      <c r="E4">
        <v>2957</v>
      </c>
      <c r="F4">
        <v>3</v>
      </c>
      <c r="G4">
        <v>1483</v>
      </c>
      <c r="H4">
        <v>5</v>
      </c>
      <c r="I4">
        <f t="shared" ref="I4:I9" si="5">100*(1-(F4/E4)/(H4/G4))</f>
        <v>69.908691241122753</v>
      </c>
      <c r="J4">
        <f t="shared" si="3"/>
        <v>0</v>
      </c>
      <c r="K4">
        <f t="shared" si="4"/>
        <v>92.79885263138253</v>
      </c>
    </row>
    <row r="5" spans="1:11" x14ac:dyDescent="0.2">
      <c r="A5">
        <v>2</v>
      </c>
      <c r="B5">
        <v>60</v>
      </c>
      <c r="C5">
        <f t="shared" si="0"/>
        <v>89</v>
      </c>
      <c r="D5" t="s">
        <v>12</v>
      </c>
      <c r="E5">
        <v>2393</v>
      </c>
      <c r="F5">
        <v>0</v>
      </c>
      <c r="G5">
        <v>1177</v>
      </c>
      <c r="H5">
        <v>4</v>
      </c>
      <c r="I5">
        <f t="shared" si="5"/>
        <v>100</v>
      </c>
      <c r="J5">
        <f t="shared" si="3"/>
        <v>0</v>
      </c>
      <c r="K5">
        <f t="shared" si="4"/>
        <v>100</v>
      </c>
    </row>
    <row r="6" spans="1:11" x14ac:dyDescent="0.2">
      <c r="A6">
        <v>3</v>
      </c>
      <c r="B6">
        <v>90</v>
      </c>
      <c r="C6">
        <f t="shared" si="0"/>
        <v>119</v>
      </c>
      <c r="D6" t="s">
        <v>12</v>
      </c>
      <c r="E6">
        <v>2054</v>
      </c>
      <c r="F6">
        <v>0</v>
      </c>
      <c r="G6">
        <v>991</v>
      </c>
      <c r="H6">
        <v>3</v>
      </c>
      <c r="I6">
        <f t="shared" si="5"/>
        <v>100</v>
      </c>
      <c r="J6">
        <f t="shared" si="3"/>
        <v>0</v>
      </c>
      <c r="K6">
        <f t="shared" si="4"/>
        <v>100</v>
      </c>
    </row>
    <row r="7" spans="1:11" x14ac:dyDescent="0.2">
      <c r="A7">
        <v>4</v>
      </c>
      <c r="B7">
        <v>120</v>
      </c>
      <c r="C7">
        <f t="shared" si="0"/>
        <v>149</v>
      </c>
      <c r="D7" t="s">
        <v>12</v>
      </c>
      <c r="E7">
        <v>1815</v>
      </c>
      <c r="F7">
        <v>0</v>
      </c>
      <c r="G7">
        <v>856</v>
      </c>
      <c r="H7">
        <v>3</v>
      </c>
      <c r="I7">
        <f t="shared" si="5"/>
        <v>100</v>
      </c>
      <c r="J7">
        <f t="shared" si="3"/>
        <v>0</v>
      </c>
      <c r="K7">
        <f t="shared" si="4"/>
        <v>100</v>
      </c>
    </row>
    <row r="8" spans="1:11" x14ac:dyDescent="0.2">
      <c r="A8">
        <v>5</v>
      </c>
      <c r="B8">
        <v>150</v>
      </c>
      <c r="C8">
        <f t="shared" si="0"/>
        <v>179</v>
      </c>
      <c r="D8" t="s">
        <v>12</v>
      </c>
      <c r="E8">
        <v>1667</v>
      </c>
      <c r="F8">
        <v>2</v>
      </c>
      <c r="G8">
        <v>774</v>
      </c>
      <c r="H8">
        <v>7</v>
      </c>
      <c r="I8">
        <f t="shared" si="5"/>
        <v>86.734081755077554</v>
      </c>
      <c r="J8">
        <f t="shared" si="3"/>
        <v>36.289372311621072</v>
      </c>
      <c r="K8">
        <f t="shared" si="4"/>
        <v>97.237751482503981</v>
      </c>
    </row>
    <row r="9" spans="1:11" x14ac:dyDescent="0.2">
      <c r="A9">
        <v>6</v>
      </c>
      <c r="B9">
        <v>180</v>
      </c>
      <c r="C9">
        <v>183</v>
      </c>
      <c r="D9" t="s">
        <v>12</v>
      </c>
      <c r="E9">
        <v>1044</v>
      </c>
      <c r="F9">
        <v>1</v>
      </c>
      <c r="G9">
        <v>472</v>
      </c>
      <c r="H9">
        <v>1</v>
      </c>
      <c r="I9">
        <f t="shared" si="5"/>
        <v>54.78927203065134</v>
      </c>
      <c r="J9">
        <f t="shared" si="3"/>
        <v>0</v>
      </c>
      <c r="K9">
        <f t="shared" si="4"/>
        <v>97.166084171016138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7420-7CD0-9846-9850-8226FDFAED65}">
  <dimension ref="A1:K8"/>
  <sheetViews>
    <sheetView tabSelected="1" zoomScale="130" zoomScaleNormal="130" workbookViewId="0">
      <selection activeCell="D12" sqref="D12"/>
    </sheetView>
  </sheetViews>
  <sheetFormatPr baseColWidth="10" defaultColWidth="11" defaultRowHeight="16" x14ac:dyDescent="0.2"/>
  <cols>
    <col min="1" max="1" width="7.1640625" customWidth="1"/>
    <col min="2" max="2" width="8.6640625" customWidth="1"/>
    <col min="3" max="3" width="9" customWidth="1"/>
    <col min="4" max="4" width="23" customWidth="1"/>
    <col min="5" max="5" width="12.5" customWidth="1"/>
    <col min="6" max="6" width="16.83203125" customWidth="1"/>
    <col min="7" max="7" width="10.1640625" customWidth="1"/>
    <col min="8" max="8" width="15" customWidth="1"/>
    <col min="9" max="9" width="11.5" customWidth="1"/>
    <col min="10" max="10" width="14.6640625" customWidth="1"/>
    <col min="11" max="11" width="15" customWidth="1"/>
  </cols>
  <sheetData>
    <row r="1" spans="1:11" s="1" customFormat="1" x14ac:dyDescent="0.2">
      <c r="A1" s="1" t="s">
        <v>0</v>
      </c>
      <c r="B1" s="1" t="s">
        <v>6</v>
      </c>
      <c r="C1" s="1" t="s">
        <v>7</v>
      </c>
      <c r="D1" s="1" t="s">
        <v>1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2</v>
      </c>
      <c r="J1" s="1" t="s">
        <v>13</v>
      </c>
      <c r="K1" s="1" t="s">
        <v>14</v>
      </c>
    </row>
    <row r="2" spans="1:11" x14ac:dyDescent="0.2">
      <c r="B2">
        <v>0</v>
      </c>
      <c r="C2">
        <f>B3-1</f>
        <v>27</v>
      </c>
      <c r="D2" t="s">
        <v>5</v>
      </c>
      <c r="E2">
        <v>729</v>
      </c>
      <c r="F2">
        <v>0</v>
      </c>
      <c r="G2">
        <v>240</v>
      </c>
      <c r="H2">
        <v>0</v>
      </c>
      <c r="I2" t="e">
        <f t="shared" ref="I2" si="0">100*(1-(F2/E2)/(H2/G2))</f>
        <v>#DIV/0!</v>
      </c>
      <c r="J2" t="e">
        <f>100*MAX(IF(AND(F2&gt;0,H2&gt;0),1-(F2/E2)/(H2/G2)*EXP(_xlfn.NORM.INV(0.975,0,1)*SQRT(1/F2+1/H2-1/E2-1/G2)),IF(F2=0,1-((F2+0.5)/E2)/(H2/G2)*EXP(_xlfn.NORM.INV(0.975,0,1)*SQRT(1/(F2+0.5)+1/H2-1/E2-1/G2)),IF(H2=0,1-(F2/E2)/((H2+0.5)/G2)*EXP(_xlfn.NORM.INV(0.975,0,1)*SQRT(1/F2+1/(H2+0.5)-1/E2-1/G2)),-1))),0)</f>
        <v>#DIV/0!</v>
      </c>
      <c r="K2">
        <f>100*IF(AND(F2&gt;0,H2&gt;0),1-(F2/E2)/(H2/G2)*EXP(-_xlfn.NORM.INV(0.975,0,1)*SQRT(1/F2+1/H2-1/E2-1/G2)),IF(F2=0,1,IF(H2=0,1-(F2/E2)/((H2+0.5)/G2)*EXP(-_xlfn.NORM.INV(0.975,0,1)*SQRT(1/F2+1/(H2+0.5)-1/E2-1/G2)),-1)))</f>
        <v>100</v>
      </c>
    </row>
    <row r="3" spans="1:11" x14ac:dyDescent="0.2">
      <c r="B3">
        <v>28</v>
      </c>
      <c r="C3">
        <f t="shared" ref="C3:C7" si="1">B4-1</f>
        <v>55</v>
      </c>
      <c r="D3" t="s">
        <v>5</v>
      </c>
      <c r="E3">
        <v>715</v>
      </c>
      <c r="F3">
        <v>0</v>
      </c>
      <c r="G3">
        <v>236</v>
      </c>
      <c r="H3">
        <v>1</v>
      </c>
      <c r="I3">
        <f t="shared" ref="I3:I8" si="2">100*(1-(F3/E3)/(H3/G3))</f>
        <v>100</v>
      </c>
      <c r="J3">
        <f t="shared" ref="J3:J8" si="3">100*MAX(IF(AND(F3&gt;0,H3&gt;0),1-(F3/E3)/(H3/G3)*EXP(_xlfn.NORM.INV(0.975,0,1)*SQRT(1/F3+1/H3-1/E3-1/G3)),IF(F3=0,1-((F3+0.5)/E3)/(H3/G3)*EXP(_xlfn.NORM.INV(0.975,0,1)*SQRT(1/(F3+0.5)+1/H3-1/E3-1/G3)),IF(H3=0,1-(F3/E3)/((H3+0.5)/G3)*EXP(_xlfn.NORM.INV(0.975,0,1)*SQRT(1/F3+1/(H3+0.5)-1/E3-1/G3)),-1))),0)</f>
        <v>0</v>
      </c>
      <c r="K3">
        <f t="shared" ref="K3:K8" si="4">100*IF(AND(F3&gt;0,H3&gt;0),1-(F3/E3)/(H3/G3)*EXP(-_xlfn.NORM.INV(0.975,0,1)*SQRT(1/F3+1/H3-1/E3-1/G3)),IF(F3=0,1,IF(H3=0,1-(F3/E3)/((H3+0.5)/G3)*EXP(-_xlfn.NORM.INV(0.975,0,1)*SQRT(1/F3+1/(H3+0.5)-1/E3-1/G3)),-1)))</f>
        <v>100</v>
      </c>
    </row>
    <row r="4" spans="1:11" x14ac:dyDescent="0.2">
      <c r="B4">
        <v>56</v>
      </c>
      <c r="C4">
        <f t="shared" si="1"/>
        <v>83</v>
      </c>
      <c r="D4" t="s">
        <v>5</v>
      </c>
      <c r="E4">
        <v>696</v>
      </c>
      <c r="F4">
        <v>2</v>
      </c>
      <c r="G4">
        <v>230</v>
      </c>
      <c r="H4">
        <v>4</v>
      </c>
      <c r="I4">
        <f t="shared" si="2"/>
        <v>83.477011494252878</v>
      </c>
      <c r="J4">
        <f t="shared" si="3"/>
        <v>10.380511215379906</v>
      </c>
      <c r="K4">
        <f t="shared" si="4"/>
        <v>96.95368548891004</v>
      </c>
    </row>
    <row r="5" spans="1:11" x14ac:dyDescent="0.2">
      <c r="B5">
        <v>84</v>
      </c>
      <c r="C5">
        <f t="shared" si="1"/>
        <v>111</v>
      </c>
      <c r="D5" t="s">
        <v>5</v>
      </c>
      <c r="E5">
        <v>674</v>
      </c>
      <c r="F5">
        <v>0</v>
      </c>
      <c r="G5">
        <v>219</v>
      </c>
      <c r="H5">
        <v>6</v>
      </c>
      <c r="I5">
        <f t="shared" si="2"/>
        <v>100</v>
      </c>
      <c r="J5">
        <f t="shared" si="3"/>
        <v>51.717779157675224</v>
      </c>
      <c r="K5">
        <f t="shared" si="4"/>
        <v>100</v>
      </c>
    </row>
    <row r="6" spans="1:11" x14ac:dyDescent="0.2">
      <c r="B6">
        <v>112</v>
      </c>
      <c r="C6">
        <f t="shared" si="1"/>
        <v>139</v>
      </c>
      <c r="D6" t="s">
        <v>5</v>
      </c>
      <c r="E6">
        <v>639</v>
      </c>
      <c r="F6">
        <v>0</v>
      </c>
      <c r="G6">
        <v>205</v>
      </c>
      <c r="H6">
        <v>0</v>
      </c>
      <c r="I6" t="e">
        <f t="shared" si="2"/>
        <v>#DIV/0!</v>
      </c>
      <c r="J6" t="e">
        <f t="shared" si="3"/>
        <v>#DIV/0!</v>
      </c>
      <c r="K6">
        <f t="shared" si="4"/>
        <v>100</v>
      </c>
    </row>
    <row r="7" spans="1:11" x14ac:dyDescent="0.2">
      <c r="B7">
        <v>140</v>
      </c>
      <c r="C7">
        <f t="shared" si="1"/>
        <v>167</v>
      </c>
      <c r="D7" t="s">
        <v>5</v>
      </c>
      <c r="E7">
        <v>608</v>
      </c>
      <c r="F7">
        <v>1</v>
      </c>
      <c r="G7">
        <v>186</v>
      </c>
      <c r="H7">
        <v>2</v>
      </c>
      <c r="I7">
        <f t="shared" si="2"/>
        <v>84.703947368421055</v>
      </c>
      <c r="J7">
        <f t="shared" si="3"/>
        <v>0</v>
      </c>
      <c r="K7">
        <f t="shared" si="4"/>
        <v>98.605182642765158</v>
      </c>
    </row>
    <row r="8" spans="1:11" x14ac:dyDescent="0.2">
      <c r="B8">
        <v>168</v>
      </c>
      <c r="C8">
        <v>196</v>
      </c>
      <c r="D8" t="s">
        <v>5</v>
      </c>
      <c r="E8">
        <v>324</v>
      </c>
      <c r="F8">
        <v>0</v>
      </c>
      <c r="G8">
        <v>90</v>
      </c>
      <c r="H8">
        <v>0</v>
      </c>
      <c r="I8" t="e">
        <f t="shared" si="2"/>
        <v>#DIV/0!</v>
      </c>
      <c r="J8" t="e">
        <f t="shared" si="3"/>
        <v>#DIV/0!</v>
      </c>
      <c r="K8">
        <f t="shared" si="4"/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0C614-E37B-9547-BEE0-4A84C58EDD97}">
  <dimension ref="A1:K3"/>
  <sheetViews>
    <sheetView zoomScale="130" zoomScaleNormal="130" workbookViewId="0">
      <selection sqref="A1:XFD1"/>
    </sheetView>
  </sheetViews>
  <sheetFormatPr baseColWidth="10" defaultColWidth="11" defaultRowHeight="16" x14ac:dyDescent="0.2"/>
  <cols>
    <col min="4" max="4" width="12.5" customWidth="1"/>
    <col min="5" max="5" width="12" customWidth="1"/>
    <col min="6" max="6" width="16.83203125" customWidth="1"/>
    <col min="7" max="7" width="9.83203125" customWidth="1"/>
    <col min="8" max="8" width="14.83203125" customWidth="1"/>
    <col min="9" max="9" width="10" customWidth="1"/>
    <col min="10" max="10" width="13.6640625" customWidth="1"/>
    <col min="11" max="11" width="14" customWidth="1"/>
    <col min="13" max="13" width="13.5" customWidth="1"/>
    <col min="14" max="14" width="14" customWidth="1"/>
  </cols>
  <sheetData>
    <row r="1" spans="1:11" s="1" customFormat="1" x14ac:dyDescent="0.2">
      <c r="A1" s="1" t="s">
        <v>0</v>
      </c>
      <c r="B1" s="1" t="s">
        <v>6</v>
      </c>
      <c r="C1" s="1" t="s">
        <v>7</v>
      </c>
      <c r="D1" s="1" t="s">
        <v>1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2</v>
      </c>
      <c r="J1" s="1" t="s">
        <v>13</v>
      </c>
      <c r="K1" s="1" t="s">
        <v>14</v>
      </c>
    </row>
    <row r="2" spans="1:11" x14ac:dyDescent="0.2">
      <c r="B2">
        <v>1</v>
      </c>
      <c r="C2">
        <v>90</v>
      </c>
      <c r="D2" t="s">
        <v>4</v>
      </c>
      <c r="E2">
        <f>F2/0.02</f>
        <v>600</v>
      </c>
      <c r="F2">
        <v>12</v>
      </c>
      <c r="G2">
        <f>ROUND(H2/0.06,0)</f>
        <v>667</v>
      </c>
      <c r="H2">
        <v>40</v>
      </c>
      <c r="I2">
        <f>100*(1-(F2/E2)/(H2/G2))</f>
        <v>66.649999999999991</v>
      </c>
      <c r="J2">
        <f>100*MAX(IF(AND(F2&gt;0,H2&gt;0),1-(F2/E2)/(H2/G2)*EXP(_xlfn.NORM.INV(0.975,0,1)*SQRT(1/F2+1/H2-1/E2-1/G2)),IF(F2=0,1-((F2+0.5)/E2)/(H2/G2)*EXP(_xlfn.NORM.INV(0.975,0,1)*SQRT(1/(F2+0.5)+1/H2-1/E2-1/G2)),IF(H2=0,1-(F2/E2)/((H2+0.5)/G2)*EXP(_xlfn.NORM.INV(0.975,0,1)*SQRT(1/F2+1/(H2+0.5)-1/E2-1/G2)),-1))),0)</f>
        <v>37.029598141050322</v>
      </c>
      <c r="K2">
        <f>100*IF(AND(F2&gt;0,H2&gt;0),1-(F2/E2)/(H2/G2)*EXP(-_xlfn.NORM.INV(0.975,0,1)*SQRT(1/F2+1/H2-1/E2-1/G2)),IF(F2=0,1,IF(H2=0,1-(F2/E2)/((H2+0.5)/G2)*EXP(-_xlfn.NORM.INV(0.975,0,1)*SQRT(1/F2+1/(H2+0.5)-1/E2-1/G2)),-1)))</f>
        <v>82.3373764948917</v>
      </c>
    </row>
    <row r="3" spans="1:11" x14ac:dyDescent="0.2">
      <c r="B3">
        <v>91</v>
      </c>
      <c r="C3">
        <v>180</v>
      </c>
      <c r="D3" t="s">
        <v>4</v>
      </c>
      <c r="E3">
        <f>F3/0.02</f>
        <v>50</v>
      </c>
      <c r="F3">
        <v>1</v>
      </c>
      <c r="G3">
        <f>ROUND(H3/0.11,0)</f>
        <v>55</v>
      </c>
      <c r="H3">
        <v>6</v>
      </c>
      <c r="I3">
        <f>100*(1-(F3/E3)/(H3/G3))</f>
        <v>81.666666666666671</v>
      </c>
      <c r="J3">
        <f>100*MAX(IF(AND(F3&gt;0,H3&gt;0),1-(F3/E3)/(H3/G3)*EXP(_xlfn.NORM.INV(0.975,0,1)*SQRT(1/F3+1/H3-1/E3-1/G3)),IF(F3=0,1-((F3+0.5)/E3)/(H3/G3)*EXP(_xlfn.NORM.INV(0.975,0,1)*SQRT(1/(F3+0.5)+1/H3-1/E3-1/G3)),IF(H3=0,1-(F3/E3)/((H3+0.5)/G3)*EXP(_xlfn.NORM.INV(0.975,0,1)*SQRT(1/F3+1/(H3+0.5)-1/E3-1/G3)),-1))),0)</f>
        <v>0</v>
      </c>
      <c r="K3">
        <f>100*IF(AND(F3&gt;0,H3&gt;0),1-(F3/E3)/(H3/G3)*EXP(-_xlfn.NORM.INV(0.975,0,1)*SQRT(1/F3+1/H3-1/E3-1/G3)),IF(F3=0,1,IF(H3=0,1-(F3/E3)/((H3+0.5)/G3)*EXP(-_xlfn.NORM.INV(0.975,0,1)*SQRT(1/F3+1/(H3+0.5)-1/E3-1/G3)),-1)))</f>
        <v>97.714355884936595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6DB89-2ED7-3C4E-8356-CCE840E6E332}">
  <dimension ref="A1:K4"/>
  <sheetViews>
    <sheetView zoomScale="130" zoomScaleNormal="130" workbookViewId="0">
      <selection activeCell="B7" sqref="B7"/>
    </sheetView>
  </sheetViews>
  <sheetFormatPr baseColWidth="10" defaultColWidth="11" defaultRowHeight="16" x14ac:dyDescent="0.2"/>
  <cols>
    <col min="4" max="4" width="12.5" customWidth="1"/>
    <col min="5" max="5" width="12" customWidth="1"/>
    <col min="6" max="6" width="17.33203125" customWidth="1"/>
    <col min="7" max="7" width="10.1640625" customWidth="1"/>
    <col min="8" max="8" width="14.33203125" customWidth="1"/>
    <col min="9" max="9" width="10.5" customWidth="1"/>
    <col min="10" max="10" width="14.33203125" customWidth="1"/>
    <col min="11" max="11" width="15" customWidth="1"/>
    <col min="13" max="13" width="13" customWidth="1"/>
    <col min="14" max="14" width="13.5" customWidth="1"/>
  </cols>
  <sheetData>
    <row r="1" spans="1:11" s="1" customFormat="1" x14ac:dyDescent="0.2">
      <c r="A1" s="1" t="s">
        <v>0</v>
      </c>
      <c r="B1" s="1" t="s">
        <v>6</v>
      </c>
      <c r="C1" s="1" t="s">
        <v>7</v>
      </c>
      <c r="D1" s="1" t="s">
        <v>1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2</v>
      </c>
      <c r="J1" s="1" t="s">
        <v>13</v>
      </c>
      <c r="K1" s="1" t="s">
        <v>14</v>
      </c>
    </row>
    <row r="2" spans="1:11" x14ac:dyDescent="0.2">
      <c r="B2">
        <v>1</v>
      </c>
      <c r="C2">
        <v>28</v>
      </c>
      <c r="D2" t="s">
        <v>4</v>
      </c>
      <c r="E2">
        <f>ROUND(F2/0.036,0)</f>
        <v>194</v>
      </c>
      <c r="F2">
        <v>7</v>
      </c>
      <c r="G2">
        <f>ROUND(H2/0.098,0)</f>
        <v>184</v>
      </c>
      <c r="H2">
        <v>18</v>
      </c>
      <c r="I2">
        <f>100*(1-(F2/E2)/(H2/G2))</f>
        <v>63.115693012600225</v>
      </c>
      <c r="J2">
        <f>100*MAX(IF(AND(F2&gt;0,H2&gt;0),1-(F2/E2)/(H2/G2)*EXP(_xlfn.NORM.INV(0.975,0,1)*SQRT(1/F2+1/H2-1/E2-1/G2)),IF(F2=0,1-((F2+0.5)/E2)/(H2/G2)*EXP(_xlfn.NORM.INV(0.975,0,1)*SQRT(1/(F2+0.5)+1/H2-1/E2-1/G2)),IF(H2=0,1-(F2/E2)/((H2+0.5)/G2)*EXP(_xlfn.NORM.INV(0.975,0,1)*SQRT(1/F2+1/(H2+0.5)-1/E2-1/G2)),-1))),0)</f>
        <v>13.753731465678765</v>
      </c>
      <c r="K2">
        <f>100*IF(AND(F2&gt;0,H2&gt;0),1-(F2/E2)/(H2/G2)*EXP(-_xlfn.NORM.INV(0.975,0,1)*SQRT(1/F2+1/H2-1/E2-1/G2)),IF(F2=0,1,IF(H2=0,1-(F2/E2)/((H2+0.5)/G2)*EXP(-_xlfn.NORM.INV(0.975,0,1)*SQRT(1/F2+1/(H2+0.5)-1/E2-1/G2)),-1)))</f>
        <v>84.225959858201136</v>
      </c>
    </row>
    <row r="3" spans="1:11" x14ac:dyDescent="0.2">
      <c r="B3">
        <v>29</v>
      </c>
      <c r="C3">
        <v>60</v>
      </c>
      <c r="D3" t="s">
        <v>4</v>
      </c>
      <c r="E3">
        <f>ROUND(F3/0.15,0)</f>
        <v>167</v>
      </c>
      <c r="F3">
        <v>25</v>
      </c>
      <c r="G3">
        <f>ROUND(H3/0.28,0)</f>
        <v>154</v>
      </c>
      <c r="H3">
        <v>43</v>
      </c>
      <c r="I3">
        <f t="shared" ref="I3:I4" si="0">100*(1-(F3/E3)/(H3/G3))</f>
        <v>46.38629717309567</v>
      </c>
      <c r="J3">
        <f t="shared" ref="J3:J4" si="1">100*MAX(IF(AND(F3&gt;0,H3&gt;0),1-(F3/E3)/(H3/G3)*EXP(_xlfn.NORM.INV(0.975,0,1)*SQRT(1/F3+1/H3-1/E3-1/G3)),IF(F3=0,1-((F3+0.5)/E3)/(H3/G3)*EXP(_xlfn.NORM.INV(0.975,0,1)*SQRT(1/(F3+0.5)+1/H3-1/E3-1/G3)),IF(H3=0,1-(F3/E3)/((H3+0.5)/G3)*EXP(_xlfn.NORM.INV(0.975,0,1)*SQRT(1/F3+1/(H3+0.5)-1/E3-1/G3)),-1))),0)</f>
        <v>16.616845569152517</v>
      </c>
      <c r="K3">
        <f t="shared" ref="K3:K4" si="2">100*IF(AND(F3&gt;0,H3&gt;0),1-(F3/E3)/(H3/G3)*EXP(-_xlfn.NORM.INV(0.975,0,1)*SQRT(1/F3+1/H3-1/E3-1/G3)),IF(F3=0,1,IF(H3=0,1-(F3/E3)/((H3+0.5)/G3)*EXP(-_xlfn.NORM.INV(0.975,0,1)*SQRT(1/F3+1/(H3+0.5)-1/E3-1/G3)),-1)))</f>
        <v>65.527459947614815</v>
      </c>
    </row>
    <row r="4" spans="1:11" x14ac:dyDescent="0.2">
      <c r="B4">
        <v>61</v>
      </c>
      <c r="C4">
        <v>90</v>
      </c>
      <c r="D4" t="s">
        <v>4</v>
      </c>
      <c r="E4">
        <f>ROUND(F4/0.17,0)</f>
        <v>159</v>
      </c>
      <c r="F4">
        <v>27</v>
      </c>
      <c r="G4">
        <f>ROUND(H4/0.28,0)</f>
        <v>157</v>
      </c>
      <c r="H4">
        <v>44</v>
      </c>
      <c r="I4">
        <f t="shared" si="0"/>
        <v>39.408233276157809</v>
      </c>
      <c r="J4">
        <f t="shared" si="1"/>
        <v>7.2835369264915624</v>
      </c>
      <c r="K4">
        <f t="shared" si="2"/>
        <v>60.402262197968646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f2fb40f-cad9-42b1-8429-6e3e59365347" xsi:nil="true"/>
    <lcf76f155ced4ddcb4097134ff3c332f xmlns="940c4600-7d1a-49e1-aa15-219fdccaff2c">
      <Terms xmlns="http://schemas.microsoft.com/office/infopath/2007/PartnerControls"/>
    </lcf76f155ced4ddcb4097134ff3c332f>
    <_Flow_SignoffStatus xmlns="940c4600-7d1a-49e1-aa15-219fdccaff2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C82A2D3555884CB771BE97E52D3115" ma:contentTypeVersion="16" ma:contentTypeDescription="Create a new document." ma:contentTypeScope="" ma:versionID="020850bde0e0af57df64c11dbbb6fc9d">
  <xsd:schema xmlns:xsd="http://www.w3.org/2001/XMLSchema" xmlns:xs="http://www.w3.org/2001/XMLSchema" xmlns:p="http://schemas.microsoft.com/office/2006/metadata/properties" xmlns:ns2="940c4600-7d1a-49e1-aa15-219fdccaff2c" xmlns:ns3="4f2fb40f-cad9-42b1-8429-6e3e59365347" targetNamespace="http://schemas.microsoft.com/office/2006/metadata/properties" ma:root="true" ma:fieldsID="114c9a5d27f68716dd01d9b4e5714533" ns2:_="" ns3:_="">
    <xsd:import namespace="940c4600-7d1a-49e1-aa15-219fdccaff2c"/>
    <xsd:import namespace="4f2fb40f-cad9-42b1-8429-6e3e593653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c4600-7d1a-49e1-aa15-219fdccaff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_Flow_SignoffStatus" ma:index="19" nillable="true" ma:displayName="Sign-off status" ma:internalName="Sign_x002d_off_x0020_status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b026aac-6b52-4d7e-a64d-f3ee90946f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2fb40f-cad9-42b1-8429-6e3e5936534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463b1c2-3797-41fa-8f39-2c02c56891ab}" ma:internalName="TaxCatchAll" ma:showField="CatchAllData" ma:web="4f2fb40f-cad9-42b1-8429-6e3e593653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BA6BD6-A307-4FDD-9F46-3EF6350308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F97F81-1635-4838-B85F-CEA422C4D954}">
  <ds:schemaRefs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4f2fb40f-cad9-42b1-8429-6e3e59365347"/>
    <ds:schemaRef ds:uri="http://www.w3.org/XML/1998/namespace"/>
    <ds:schemaRef ds:uri="http://purl.org/dc/elements/1.1/"/>
    <ds:schemaRef ds:uri="http://purl.org/dc/terms/"/>
    <ds:schemaRef ds:uri="http://schemas.microsoft.com/office/infopath/2007/PartnerControls"/>
    <ds:schemaRef ds:uri="940c4600-7d1a-49e1-aa15-219fdccaff2c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F4D91524-D0C3-4823-8089-CF238967D6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0c4600-7d1a-49e1-aa15-219fdccaff2c"/>
    <ds:schemaRef ds:uri="4f2fb40f-cad9-42b1-8429-6e3e593653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Herman</vt:lpstr>
      <vt:lpstr>O'Brien</vt:lpstr>
      <vt:lpstr>Levin</vt:lpstr>
      <vt:lpstr>Isa</vt:lpstr>
      <vt:lpstr>Schmidt (delta)</vt:lpstr>
      <vt:lpstr>Schmidt (omicron)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Eva Stadler</cp:lastModifiedBy>
  <cp:revision/>
  <dcterms:created xsi:type="dcterms:W3CDTF">2022-08-16T22:39:24Z</dcterms:created>
  <dcterms:modified xsi:type="dcterms:W3CDTF">2023-05-16T07:30:52Z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0x01010086C82A2D3555884CB771BE97E52D3115</vt:lpwstr>
  </property>
  <property fmtid="{D5CDD505-2E9C-101B-9397-08002B2CF9AE}" pid="3" name="MediaServiceImageTags">
    <vt:lpwstr/>
  </property>
</Properties>
</file>