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5.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87" documentId="8_{171278F1-B54B-42C6-ABE0-534BAEBB2394}" xr6:coauthVersionLast="47" xr6:coauthVersionMax="47" xr10:uidLastSave="{B47BA9A7-E7A6-46A7-8F92-F63F1203B157}"/>
  <bookViews>
    <workbookView xWindow="-108" yWindow="-108" windowWidth="23256" windowHeight="12456" tabRatio="757" activeTab="1" xr2:uid="{5AE9A327-56C9-4D44-A1D7-B2A946B1E1BB}"/>
  </bookViews>
  <sheets>
    <sheet name="Inputs" sheetId="7" r:id="rId1"/>
    <sheet name="Excel Tests" sheetId="20" r:id="rId2"/>
    <sheet name="Website tests" sheetId="21" r:id="rId3"/>
    <sheet name="Testing" sheetId="18" r:id="rId4"/>
    <sheet name="Sheet2" sheetId="17" r:id="rId5"/>
    <sheet name="Calculations" sheetId="6" r:id="rId6"/>
    <sheet name="New Calcs for Span" sheetId="14" r:id="rId7"/>
    <sheet name="reference tables" sheetId="5" r:id="rId8"/>
    <sheet name="ConduitTable" sheetId="15" r:id="rId9"/>
    <sheet name="Strut loads" sheetId="4" r:id="rId10"/>
    <sheet name="Pictures" sheetId="9" state="hidden" r:id="rId11"/>
    <sheet name="Quoting tool" sheetId="11" state="hidden" r:id="rId12"/>
    <sheet name="Strut loadsAltered" sheetId="13" state="hidden" r:id="rId13"/>
    <sheet name="Pipe weight, hangers, spacing" sheetId="3" state="hidden" r:id="rId14"/>
    <sheet name="Pallet and shipping info" sheetId="12" state="hidden" r:id="rId15"/>
    <sheet name="H-frame item list" sheetId="1" state="hidden" r:id="rId16"/>
    <sheet name="Hanger_list" sheetId="2" state="hidden" r:id="rId17"/>
    <sheet name="Duct gauge weights" sheetId="8" state="hidden" r:id="rId18"/>
  </sheets>
  <functionGroups builtInGroupCount="19"/>
  <externalReferences>
    <externalReference r:id="rId19"/>
  </externalReferences>
  <definedNames>
    <definedName name="city" localSheetId="3">[1]Inputs!#REF!</definedName>
    <definedName name="city">Inputs!#REF!</definedName>
    <definedName name="DWGLookup" localSheetId="3">_xlfn.XLOOKUP([1]Pictures!$E$2,[1]Pictures!$A$2:$A$6,[1]Pictures!$B$2:$B$6)</definedName>
    <definedName name="DWGLookup">_xlfn.XLOOKUP(Pictures!$E$2,Pictures!$A$2:$A$6,Pictures!$B$2:$B$6)</definedName>
    <definedName name="ExternalData_1" localSheetId="2">'Website tests'!$A$1:$L$13</definedName>
    <definedName name="state" localSheetId="3">[1]Inputs!#REF!</definedName>
    <definedName name="state">Inputs!#REF!</definedName>
    <definedName name="street_address" localSheetId="3">[1]Inputs!#REF!</definedName>
    <definedName name="street_address">Inputs!#REF!</definedName>
    <definedName name="zip" localSheetId="3">[1]Inputs!#REF!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6" l="1"/>
  <c r="B18" i="6"/>
  <c r="B13" i="6"/>
  <c r="B11" i="6"/>
  <c r="B9" i="6"/>
  <c r="E3" i="17"/>
  <c r="F3" i="17"/>
  <c r="D3" i="17"/>
  <c r="B3" i="17"/>
  <c r="F2" i="17" l="1"/>
  <c r="E2" i="17"/>
  <c r="D2" i="17"/>
  <c r="B2" i="17"/>
  <c r="B19" i="6"/>
  <c r="D38" i="15" s="1"/>
  <c r="B12" i="6" l="1"/>
  <c r="B13" i="7"/>
  <c r="B18" i="7"/>
  <c r="B17" i="7"/>
  <c r="B16" i="7"/>
  <c r="B19" i="7"/>
  <c r="B14" i="7"/>
  <c r="B12" i="7"/>
  <c r="E34" i="15"/>
  <c r="F34" i="15" s="1"/>
  <c r="G34" i="15" s="1"/>
  <c r="H34" i="15" s="1"/>
  <c r="I34" i="15" s="1"/>
  <c r="E33" i="15"/>
  <c r="F33" i="15" s="1"/>
  <c r="G33" i="15" s="1"/>
  <c r="H33" i="15" s="1"/>
  <c r="I33" i="15" s="1"/>
  <c r="E32" i="15"/>
  <c r="F32" i="15" s="1"/>
  <c r="G32" i="15" s="1"/>
  <c r="H32" i="15" s="1"/>
  <c r="I32" i="15" s="1"/>
  <c r="E31" i="15"/>
  <c r="F31" i="15" s="1"/>
  <c r="G31" i="15" s="1"/>
  <c r="H31" i="15" s="1"/>
  <c r="I31" i="15" s="1"/>
  <c r="E30" i="15"/>
  <c r="F30" i="15" s="1"/>
  <c r="G30" i="15" s="1"/>
  <c r="H30" i="15" s="1"/>
  <c r="I30" i="15" s="1"/>
  <c r="E29" i="15"/>
  <c r="F29" i="15" s="1"/>
  <c r="G29" i="15" s="1"/>
  <c r="H29" i="15" s="1"/>
  <c r="I29" i="15" s="1"/>
  <c r="E28" i="15"/>
  <c r="F28" i="15" s="1"/>
  <c r="G28" i="15" s="1"/>
  <c r="H28" i="15" s="1"/>
  <c r="I28" i="15" s="1"/>
  <c r="E27" i="15"/>
  <c r="F27" i="15" s="1"/>
  <c r="G27" i="15" s="1"/>
  <c r="H27" i="15" s="1"/>
  <c r="I27" i="15" s="1"/>
  <c r="E26" i="15"/>
  <c r="F26" i="15" s="1"/>
  <c r="G26" i="15" s="1"/>
  <c r="H26" i="15" s="1"/>
  <c r="I26" i="15" s="1"/>
  <c r="E25" i="15"/>
  <c r="F25" i="15" s="1"/>
  <c r="G25" i="15" s="1"/>
  <c r="H25" i="15" s="1"/>
  <c r="I25" i="15" s="1"/>
  <c r="F24" i="15"/>
  <c r="G24" i="15" s="1"/>
  <c r="H24" i="15" s="1"/>
  <c r="I24" i="15" s="1"/>
  <c r="E24" i="15"/>
  <c r="E23" i="15"/>
  <c r="F23" i="15" s="1"/>
  <c r="G23" i="15" s="1"/>
  <c r="H23" i="15" s="1"/>
  <c r="I23" i="15" s="1"/>
  <c r="E22" i="15"/>
  <c r="F22" i="15" s="1"/>
  <c r="G22" i="15" s="1"/>
  <c r="H22" i="15" s="1"/>
  <c r="I22" i="15" s="1"/>
  <c r="E21" i="15"/>
  <c r="F21" i="15" s="1"/>
  <c r="G21" i="15" s="1"/>
  <c r="H21" i="15" s="1"/>
  <c r="I21" i="15" s="1"/>
  <c r="E20" i="15"/>
  <c r="F20" i="15" s="1"/>
  <c r="G20" i="15" s="1"/>
  <c r="H20" i="15" s="1"/>
  <c r="I20" i="15" s="1"/>
  <c r="E19" i="15"/>
  <c r="F19" i="15" s="1"/>
  <c r="G19" i="15" s="1"/>
  <c r="H19" i="15" s="1"/>
  <c r="I19" i="15" s="1"/>
  <c r="E18" i="15"/>
  <c r="F18" i="15" s="1"/>
  <c r="G18" i="15" s="1"/>
  <c r="H18" i="15" s="1"/>
  <c r="I18" i="15" s="1"/>
  <c r="F17" i="15"/>
  <c r="G17" i="15" s="1"/>
  <c r="H17" i="15" s="1"/>
  <c r="I17" i="15" s="1"/>
  <c r="E17" i="15"/>
  <c r="E16" i="15"/>
  <c r="F16" i="15" s="1"/>
  <c r="G16" i="15" s="1"/>
  <c r="H16" i="15" s="1"/>
  <c r="I16" i="15" s="1"/>
  <c r="E15" i="15"/>
  <c r="F15" i="15" s="1"/>
  <c r="G15" i="15" s="1"/>
  <c r="H15" i="15" s="1"/>
  <c r="I15" i="15" s="1"/>
  <c r="E14" i="15"/>
  <c r="F14" i="15" s="1"/>
  <c r="G14" i="15" s="1"/>
  <c r="H14" i="15" s="1"/>
  <c r="I14" i="15" s="1"/>
  <c r="E13" i="15"/>
  <c r="F13" i="15" s="1"/>
  <c r="G13" i="15" s="1"/>
  <c r="H13" i="15" s="1"/>
  <c r="I13" i="15" s="1"/>
  <c r="E12" i="15"/>
  <c r="F12" i="15" s="1"/>
  <c r="G12" i="15" s="1"/>
  <c r="H12" i="15" s="1"/>
  <c r="I12" i="15" s="1"/>
  <c r="E11" i="15"/>
  <c r="F11" i="15" s="1"/>
  <c r="G11" i="15" s="1"/>
  <c r="H11" i="15" s="1"/>
  <c r="I11" i="15" s="1"/>
  <c r="E10" i="15"/>
  <c r="F10" i="15" s="1"/>
  <c r="G10" i="15" s="1"/>
  <c r="H10" i="15" s="1"/>
  <c r="I10" i="15" s="1"/>
  <c r="E9" i="15"/>
  <c r="F9" i="15" s="1"/>
  <c r="G9" i="15" s="1"/>
  <c r="H9" i="15" s="1"/>
  <c r="I9" i="15" s="1"/>
  <c r="E8" i="15"/>
  <c r="F8" i="15" s="1"/>
  <c r="G8" i="15" s="1"/>
  <c r="H8" i="15" s="1"/>
  <c r="I8" i="15" s="1"/>
  <c r="E7" i="15"/>
  <c r="F7" i="15" s="1"/>
  <c r="G7" i="15" s="1"/>
  <c r="H7" i="15" s="1"/>
  <c r="I7" i="15" s="1"/>
  <c r="E6" i="15"/>
  <c r="F6" i="15" s="1"/>
  <c r="G6" i="15" s="1"/>
  <c r="H6" i="15" s="1"/>
  <c r="I6" i="15" s="1"/>
  <c r="E5" i="15"/>
  <c r="F5" i="15" s="1"/>
  <c r="G5" i="15" s="1"/>
  <c r="H5" i="15" s="1"/>
  <c r="I5" i="15" s="1"/>
  <c r="D37" i="15" l="1"/>
  <c r="B6" i="6"/>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27" i="6"/>
  <c r="E22"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K16" i="7"/>
  <c r="D28" i="7"/>
  <c r="B7" i="6"/>
  <c r="R236" i="3"/>
  <c r="R239" i="3"/>
  <c r="L256" i="3"/>
  <c r="B17" i="6"/>
  <c r="B38" i="15" s="1"/>
  <c r="L255" i="3"/>
  <c r="B10" i="6"/>
  <c r="B3" i="6"/>
  <c r="B4" i="6"/>
  <c r="B5" i="6"/>
  <c r="B26" i="6" s="1"/>
  <c r="B2" i="6"/>
  <c r="B8" i="6" s="1"/>
  <c r="A12" i="7"/>
  <c r="J256" i="3" l="1"/>
  <c r="B117" i="3"/>
  <c r="B37" i="15"/>
  <c r="C117" i="3"/>
  <c r="C37" i="15"/>
  <c r="E39" i="14"/>
  <c r="E40" i="14"/>
  <c r="E23" i="14"/>
  <c r="E24" i="14"/>
  <c r="E20" i="14"/>
  <c r="E35" i="14"/>
  <c r="E38" i="14"/>
  <c r="E12" i="14"/>
  <c r="E13" i="14"/>
  <c r="E14" i="14"/>
  <c r="E16" i="14"/>
  <c r="E17" i="14"/>
  <c r="E15" i="14"/>
  <c r="E18" i="14"/>
  <c r="E36" i="14"/>
  <c r="E37" i="14"/>
  <c r="E25" i="14"/>
  <c r="E2" i="14"/>
  <c r="E26" i="14"/>
  <c r="E11" i="14"/>
  <c r="E10" i="14"/>
  <c r="E27" i="14"/>
  <c r="E9" i="14"/>
  <c r="E28" i="14"/>
  <c r="E29" i="14"/>
  <c r="E7" i="14"/>
  <c r="E30" i="14"/>
  <c r="E6" i="14"/>
  <c r="E31" i="14"/>
  <c r="E8" i="14"/>
  <c r="E5" i="14"/>
  <c r="E32" i="14"/>
  <c r="E4" i="14"/>
  <c r="E33" i="14"/>
  <c r="E3" i="14"/>
  <c r="E34" i="14"/>
  <c r="E41" i="14"/>
  <c r="E19" i="14"/>
  <c r="E42" i="14"/>
  <c r="E21" i="14"/>
  <c r="G29" i="4"/>
  <c r="H29" i="4" s="1"/>
  <c r="I8" i="2"/>
  <c r="I7" i="2"/>
  <c r="J8" i="2"/>
  <c r="J9" i="2" s="1"/>
  <c r="J10" i="2" s="1"/>
  <c r="W5" i="1"/>
  <c r="Q236" i="3"/>
  <c r="P236" i="3"/>
  <c r="Q239" i="3"/>
  <c r="F117" i="3"/>
  <c r="J255" i="3"/>
  <c r="K255" i="3"/>
  <c r="A119" i="3" a="1"/>
  <c r="C38" i="15" l="1"/>
  <c r="I38" i="15" s="1" a="1"/>
  <c r="I38" i="15" s="1"/>
  <c r="B23" i="6"/>
  <c r="I37" i="15" a="1"/>
  <c r="I37" i="15" s="1"/>
  <c r="S236" i="3" a="1"/>
  <c r="S236" i="3" s="1"/>
  <c r="B25" i="6"/>
  <c r="H2" i="17" s="1"/>
  <c r="G117" i="3"/>
  <c r="E119" i="3" s="1" a="1"/>
  <c r="E119" i="3" s="1"/>
  <c r="P239" i="3"/>
  <c r="S239" i="3" s="1" a="1"/>
  <c r="S239" i="3" s="1"/>
  <c r="K256" i="3"/>
  <c r="M256" i="3" s="1" a="1"/>
  <c r="M256" i="3" s="1"/>
  <c r="B16" i="6"/>
  <c r="D29" i="7"/>
  <c r="E37" i="15" a="1"/>
  <c r="E37" i="15" s="1"/>
  <c r="F37" i="15" a="1"/>
  <c r="F37" i="15" s="1"/>
  <c r="G37" i="15" s="1"/>
  <c r="L44" i="2" a="1"/>
  <c r="L44" i="2" s="1"/>
  <c r="M255" i="3" a="1"/>
  <c r="M255" i="3" s="1"/>
  <c r="A119" i="3"/>
  <c r="I9" i="2"/>
  <c r="J11" i="2"/>
  <c r="I10" i="2"/>
  <c r="W6" i="1"/>
  <c r="Q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E38" i="15" l="1" a="1"/>
  <c r="E38" i="15" s="1"/>
  <c r="F38" i="15" a="1"/>
  <c r="F38" i="15" s="1"/>
  <c r="I39" i="15"/>
  <c r="B2" i="14" s="1"/>
  <c r="H37" i="15"/>
  <c r="B14" i="6" s="1"/>
  <c r="S241" i="3"/>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G38" i="15" l="1"/>
  <c r="H38" i="15" s="1"/>
  <c r="B21" i="6" s="1"/>
  <c r="B22" i="6" s="1"/>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6" i="14"/>
  <c r="B46" i="14"/>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15" i="6"/>
  <c r="A41" i="4"/>
  <c r="B3" i="14"/>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4" i="6" l="1"/>
  <c r="C123" i="14" s="1"/>
  <c r="R44" i="13" a="1"/>
  <c r="R44" i="13" s="1"/>
  <c r="B41" i="4"/>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C116" i="14" l="1"/>
  <c r="C108" i="14"/>
  <c r="G2" i="17"/>
  <c r="C87" i="14"/>
  <c r="C51" i="14"/>
  <c r="D51" i="14" s="1"/>
  <c r="C47" i="14"/>
  <c r="D47" i="14" s="1"/>
  <c r="C130" i="14"/>
  <c r="C85" i="14"/>
  <c r="C84" i="14"/>
  <c r="C78" i="14"/>
  <c r="C37" i="14"/>
  <c r="C66" i="14"/>
  <c r="C25" i="14"/>
  <c r="C140" i="14"/>
  <c r="C77" i="14"/>
  <c r="C122" i="14"/>
  <c r="C26" i="14"/>
  <c r="C23" i="14"/>
  <c r="C55" i="14"/>
  <c r="D55" i="14" s="1"/>
  <c r="C38" i="14"/>
  <c r="C21" i="14"/>
  <c r="C60" i="14"/>
  <c r="C105" i="14"/>
  <c r="D105" i="14" s="1"/>
  <c r="C103" i="14"/>
  <c r="D103" i="14" s="1"/>
  <c r="C137" i="14"/>
  <c r="C113" i="14"/>
  <c r="C18" i="14"/>
  <c r="C83" i="14"/>
  <c r="C39" i="14"/>
  <c r="C35" i="14"/>
  <c r="C32" i="14"/>
  <c r="C115" i="14"/>
  <c r="C80" i="14"/>
  <c r="C27" i="14"/>
  <c r="C104" i="14"/>
  <c r="D104" i="14" s="1"/>
  <c r="C119" i="14"/>
  <c r="C12" i="14"/>
  <c r="D12" i="14" s="1"/>
  <c r="F12" i="14" s="1"/>
  <c r="C30" i="14"/>
  <c r="C64" i="14"/>
  <c r="C111" i="14"/>
  <c r="C59" i="14"/>
  <c r="C89" i="14"/>
  <c r="C4" i="14"/>
  <c r="D4" i="14" s="1"/>
  <c r="F4" i="14" s="1"/>
  <c r="C41" i="14"/>
  <c r="C81" i="14"/>
  <c r="C34" i="14"/>
  <c r="C142" i="14"/>
  <c r="C141" i="14"/>
  <c r="C70" i="14"/>
  <c r="C20" i="14"/>
  <c r="C79" i="14"/>
  <c r="C99" i="14"/>
  <c r="D99" i="14" s="1"/>
  <c r="C127" i="14"/>
  <c r="C74" i="14"/>
  <c r="C132" i="14"/>
  <c r="C52" i="14"/>
  <c r="D52" i="14" s="1"/>
  <c r="C61" i="14"/>
  <c r="C65" i="14"/>
  <c r="C31" i="14"/>
  <c r="C95" i="14"/>
  <c r="D95" i="14" s="1"/>
  <c r="C58" i="14"/>
  <c r="C50" i="14"/>
  <c r="D50" i="14" s="1"/>
  <c r="C49" i="14"/>
  <c r="D49" i="14" s="1"/>
  <c r="C67" i="14"/>
  <c r="C112" i="14"/>
  <c r="C109" i="14"/>
  <c r="C106" i="14"/>
  <c r="C24" i="14"/>
  <c r="C7" i="14"/>
  <c r="D7" i="14" s="1"/>
  <c r="F7" i="14" s="1"/>
  <c r="C82" i="14"/>
  <c r="C97" i="14"/>
  <c r="D97" i="14" s="1"/>
  <c r="C16" i="14"/>
  <c r="C22" i="14"/>
  <c r="C5" i="14"/>
  <c r="D5" i="14" s="1"/>
  <c r="F5" i="14" s="1"/>
  <c r="C96" i="14"/>
  <c r="D96" i="14" s="1"/>
  <c r="C3" i="14"/>
  <c r="D3" i="14" s="1"/>
  <c r="F3" i="14" s="1"/>
  <c r="C29" i="14"/>
  <c r="C134" i="14"/>
  <c r="C6" i="14"/>
  <c r="D6" i="14" s="1"/>
  <c r="F6" i="14" s="1"/>
  <c r="C149" i="14"/>
  <c r="C14" i="14"/>
  <c r="C28" i="14"/>
  <c r="C68" i="14"/>
  <c r="C110" i="14"/>
  <c r="C13" i="14"/>
  <c r="D13" i="14" s="1"/>
  <c r="F13" i="14" s="1"/>
  <c r="C90" i="14"/>
  <c r="C118" i="14"/>
  <c r="C100" i="14"/>
  <c r="D100" i="14" s="1"/>
  <c r="C107" i="14"/>
  <c r="C53" i="14"/>
  <c r="D53" i="14" s="1"/>
  <c r="C15" i="14"/>
  <c r="C124" i="14"/>
  <c r="C11" i="14"/>
  <c r="D11" i="14" s="1"/>
  <c r="F11" i="14" s="1"/>
  <c r="C10" i="14"/>
  <c r="D10" i="14" s="1"/>
  <c r="F10" i="14" s="1"/>
  <c r="C102" i="14"/>
  <c r="D102" i="14" s="1"/>
  <c r="C86" i="14"/>
  <c r="C114" i="14"/>
  <c r="C17" i="14"/>
  <c r="C8" i="14"/>
  <c r="D8" i="14" s="1"/>
  <c r="F8" i="14" s="1"/>
  <c r="C75" i="14"/>
  <c r="C121" i="14"/>
  <c r="C88" i="14"/>
  <c r="C33" i="14"/>
  <c r="C9" i="14"/>
  <c r="D9" i="14" s="1"/>
  <c r="F9" i="14" s="1"/>
  <c r="C54" i="14"/>
  <c r="D54" i="14" s="1"/>
  <c r="C101" i="14"/>
  <c r="D101" i="14" s="1"/>
  <c r="C125" i="14"/>
  <c r="C2" i="14"/>
  <c r="D2" i="14" s="1"/>
  <c r="F2" i="14" s="1"/>
  <c r="C91" i="14"/>
  <c r="C133" i="14"/>
  <c r="C139" i="14"/>
  <c r="C76" i="14"/>
  <c r="C40" i="14"/>
  <c r="C98" i="14"/>
  <c r="D98" i="14" s="1"/>
  <c r="C136" i="14"/>
  <c r="C63" i="14"/>
  <c r="C117" i="14"/>
  <c r="C46" i="14"/>
  <c r="D46" i="14" s="1"/>
  <c r="C42" i="14"/>
  <c r="C128" i="14"/>
  <c r="C71" i="14"/>
  <c r="C138" i="14"/>
  <c r="C120" i="14"/>
  <c r="C57" i="14"/>
  <c r="D57" i="14" s="1"/>
  <c r="C19" i="14"/>
  <c r="C72" i="14"/>
  <c r="C73" i="14"/>
  <c r="C62" i="14"/>
  <c r="C48" i="14"/>
  <c r="D48" i="14" s="1"/>
  <c r="C69" i="14"/>
  <c r="C135" i="14"/>
  <c r="C126" i="14"/>
  <c r="C129" i="14"/>
  <c r="C131" i="14"/>
  <c r="C36" i="14"/>
  <c r="C56" i="14"/>
  <c r="D56" i="14" s="1"/>
  <c r="D41" i="4"/>
  <c r="L2" i="17" s="1"/>
  <c r="K2" i="17"/>
  <c r="N44" i="13" a="1"/>
  <c r="N44" i="13" s="1"/>
  <c r="E44" i="13" a="1"/>
  <c r="E44" i="13" s="1"/>
  <c r="F29" i="13" s="1"/>
  <c r="V44" i="13" a="1"/>
  <c r="V44" i="13" s="1"/>
  <c r="J44" i="13" a="1"/>
  <c r="J44" i="13" s="1"/>
  <c r="D106" i="14"/>
  <c r="L14" i="4"/>
  <c r="L11" i="4" s="1" a="1"/>
  <c r="L11" i="4" s="1"/>
  <c r="I29" i="4"/>
  <c r="M2" i="17"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137" i="14" l="1"/>
  <c r="E123" i="14"/>
  <c r="E102" i="14"/>
  <c r="E101" i="14"/>
  <c r="E117" i="14"/>
  <c r="E115" i="14"/>
  <c r="E134" i="14"/>
  <c r="E95" i="14"/>
  <c r="E129" i="14"/>
  <c r="E139" i="14"/>
  <c r="E106" i="14"/>
  <c r="E120" i="14"/>
  <c r="E109" i="14"/>
  <c r="E130" i="14"/>
  <c r="E141" i="14"/>
  <c r="E114" i="14"/>
  <c r="E113" i="14"/>
  <c r="E108" i="14"/>
  <c r="E131" i="14"/>
  <c r="E116" i="14"/>
  <c r="E138" i="14"/>
  <c r="E128" i="14"/>
  <c r="E107" i="14"/>
  <c r="E132" i="14"/>
  <c r="E140" i="14"/>
  <c r="E118" i="14"/>
  <c r="E127" i="14"/>
  <c r="E99" i="14"/>
  <c r="E121" i="14"/>
  <c r="E133" i="14"/>
  <c r="E142" i="14"/>
  <c r="E96" i="14"/>
  <c r="E104" i="14"/>
  <c r="E103" i="14"/>
  <c r="E122" i="14"/>
  <c r="E110" i="14"/>
  <c r="E100" i="14"/>
  <c r="E124" i="14"/>
  <c r="E111" i="14"/>
  <c r="E98" i="14"/>
  <c r="E125" i="14"/>
  <c r="E135" i="14"/>
  <c r="E97" i="14"/>
  <c r="E119" i="14"/>
  <c r="E112" i="14"/>
  <c r="E105" i="14"/>
  <c r="E126" i="14"/>
  <c r="E136" i="14"/>
  <c r="G29" i="13"/>
  <c r="J29" i="13" s="1"/>
  <c r="H29" i="13"/>
  <c r="E46" i="14"/>
  <c r="F46" i="14" s="1"/>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F56" i="14" s="1"/>
  <c r="E81" i="14"/>
  <c r="E57" i="14"/>
  <c r="F57" i="14" s="1"/>
  <c r="E80" i="14"/>
  <c r="D58" i="14"/>
  <c r="D14" i="14"/>
  <c r="F14" i="14" s="1"/>
  <c r="E50" i="14"/>
  <c r="F50" i="14" s="1"/>
  <c r="E48" i="14"/>
  <c r="F48" i="14" s="1"/>
  <c r="E47" i="14"/>
  <c r="F47" i="14" s="1"/>
  <c r="E53" i="14"/>
  <c r="F53" i="14" s="1"/>
  <c r="E49" i="14"/>
  <c r="F49" i="14" s="1"/>
  <c r="E51" i="14"/>
  <c r="F51" i="14" s="1"/>
  <c r="E55" i="14"/>
  <c r="F55" i="14" s="1"/>
  <c r="E52" i="14"/>
  <c r="F52" i="14" s="1"/>
  <c r="E54" i="14"/>
  <c r="F54" i="14" s="1"/>
  <c r="D107" i="14"/>
  <c r="W11" i="1"/>
  <c r="V10" i="1"/>
  <c r="J14" i="2"/>
  <c r="F58" i="14" l="1"/>
  <c r="D59" i="14"/>
  <c r="F59" i="14" s="1"/>
  <c r="D15" i="14"/>
  <c r="F15" i="14" s="1"/>
  <c r="D108" i="14"/>
  <c r="W12" i="1"/>
  <c r="V11" i="1"/>
  <c r="J15" i="2"/>
  <c r="D109" i="14" l="1"/>
  <c r="D60" i="14"/>
  <c r="F60" i="14" s="1"/>
  <c r="D16" i="14"/>
  <c r="F16" i="14" s="1"/>
  <c r="W13" i="1"/>
  <c r="V12" i="1"/>
  <c r="J16" i="2"/>
  <c r="D110" i="14" l="1"/>
  <c r="F110" i="14" s="1"/>
  <c r="D61" i="14"/>
  <c r="F61" i="14" s="1"/>
  <c r="D17" i="14"/>
  <c r="F17" i="14" s="1"/>
  <c r="W14" i="1"/>
  <c r="V13" i="1"/>
  <c r="J17" i="2"/>
  <c r="D111" i="14" l="1"/>
  <c r="F111" i="14" s="1"/>
  <c r="D62" i="14"/>
  <c r="F62" i="14" s="1"/>
  <c r="D18" i="14"/>
  <c r="F18" i="14" s="1"/>
  <c r="W15" i="1"/>
  <c r="V14" i="1"/>
  <c r="J18" i="2"/>
  <c r="D112" i="14" l="1"/>
  <c r="F112" i="14" s="1"/>
  <c r="D63" i="14"/>
  <c r="F63" i="14" s="1"/>
  <c r="D19" i="14"/>
  <c r="F19" i="14" s="1"/>
  <c r="W16" i="1"/>
  <c r="V15" i="1"/>
  <c r="J19" i="2"/>
  <c r="D113" i="14" l="1"/>
  <c r="F113" i="14" s="1"/>
  <c r="D64" i="14"/>
  <c r="F64" i="14" s="1"/>
  <c r="D20" i="14"/>
  <c r="F20" i="14" s="1"/>
  <c r="W17" i="1"/>
  <c r="V16" i="1"/>
  <c r="J20" i="2"/>
  <c r="D114" i="14" l="1"/>
  <c r="F114" i="14" s="1"/>
  <c r="D65" i="14"/>
  <c r="F65" i="14" s="1"/>
  <c r="D21" i="14"/>
  <c r="F21" i="14" s="1"/>
  <c r="W18" i="1"/>
  <c r="V17" i="1"/>
  <c r="J21" i="2"/>
  <c r="D115" i="14" l="1"/>
  <c r="F115" i="14" s="1"/>
  <c r="D66" i="14"/>
  <c r="F66" i="14" s="1"/>
  <c r="D22" i="14"/>
  <c r="F22" i="14" s="1"/>
  <c r="W19" i="1"/>
  <c r="V18" i="1"/>
  <c r="J22" i="2"/>
  <c r="D116" i="14" l="1"/>
  <c r="F116" i="14" s="1"/>
  <c r="D67" i="14"/>
  <c r="F67" i="14" s="1"/>
  <c r="D23" i="14"/>
  <c r="F23" i="14" s="1"/>
  <c r="W20" i="1"/>
  <c r="V19" i="1"/>
  <c r="J23" i="2"/>
  <c r="D117" i="14" l="1"/>
  <c r="F117" i="14" s="1"/>
  <c r="D68" i="14"/>
  <c r="F68" i="14" s="1"/>
  <c r="D24" i="14"/>
  <c r="F24" i="14" s="1"/>
  <c r="W21" i="1"/>
  <c r="V20" i="1"/>
  <c r="J24" i="2"/>
  <c r="D118" i="14" l="1"/>
  <c r="F118" i="14" s="1"/>
  <c r="D69" i="14"/>
  <c r="F69" i="14" s="1"/>
  <c r="D25" i="14"/>
  <c r="F25" i="14" s="1"/>
  <c r="W22" i="1"/>
  <c r="V21" i="1"/>
  <c r="J25" i="2"/>
  <c r="D119" i="14" l="1"/>
  <c r="F119" i="14" s="1"/>
  <c r="D70" i="14"/>
  <c r="F70" i="14" s="1"/>
  <c r="D26" i="14"/>
  <c r="F26" i="14" s="1"/>
  <c r="W23" i="1"/>
  <c r="V22" i="1"/>
  <c r="J26" i="2"/>
  <c r="D120" i="14" l="1"/>
  <c r="F120" i="14" s="1"/>
  <c r="D71" i="14"/>
  <c r="F71" i="14" s="1"/>
  <c r="D27" i="14"/>
  <c r="F27" i="14" s="1"/>
  <c r="W24" i="1"/>
  <c r="V23" i="1"/>
  <c r="J27" i="2"/>
  <c r="D121" i="14" l="1"/>
  <c r="F121" i="14" s="1"/>
  <c r="D72" i="14"/>
  <c r="F72" i="14" s="1"/>
  <c r="D28" i="14"/>
  <c r="F28" i="14" s="1"/>
  <c r="W25" i="1"/>
  <c r="V24" i="1"/>
  <c r="J28" i="2"/>
  <c r="D122" i="14" l="1"/>
  <c r="F122" i="14" s="1"/>
  <c r="D73" i="14"/>
  <c r="F73" i="14" s="1"/>
  <c r="D29" i="14"/>
  <c r="F29" i="14" s="1"/>
  <c r="W26" i="1"/>
  <c r="V25" i="1"/>
  <c r="J29" i="2"/>
  <c r="D123" i="14" l="1"/>
  <c r="F123" i="14" s="1"/>
  <c r="D74" i="14"/>
  <c r="F74" i="14" s="1"/>
  <c r="D30" i="14"/>
  <c r="F30" i="14" s="1"/>
  <c r="W27" i="1"/>
  <c r="V26" i="1"/>
  <c r="J30" i="2"/>
  <c r="D124" i="14" l="1"/>
  <c r="F124" i="14" s="1"/>
  <c r="D75" i="14"/>
  <c r="F75" i="14" s="1"/>
  <c r="D31" i="14"/>
  <c r="F31" i="14" s="1"/>
  <c r="W28" i="1"/>
  <c r="V27" i="1"/>
  <c r="J31" i="2"/>
  <c r="D125" i="14" l="1"/>
  <c r="F125" i="14" s="1"/>
  <c r="D76" i="14"/>
  <c r="F76" i="14" s="1"/>
  <c r="D32" i="14"/>
  <c r="F32" i="14" s="1"/>
  <c r="W29" i="1"/>
  <c r="V28" i="1"/>
  <c r="J32" i="2"/>
  <c r="D126" i="14" l="1"/>
  <c r="F126" i="14" s="1"/>
  <c r="D77" i="14"/>
  <c r="F77" i="14" s="1"/>
  <c r="D33" i="14"/>
  <c r="F33" i="14" s="1"/>
  <c r="W30" i="1"/>
  <c r="V29" i="1"/>
  <c r="J33" i="2"/>
  <c r="D127" i="14" l="1"/>
  <c r="F127" i="14" s="1"/>
  <c r="D78" i="14"/>
  <c r="F78" i="14" s="1"/>
  <c r="D34" i="14"/>
  <c r="F34" i="14" s="1"/>
  <c r="W31" i="1"/>
  <c r="V30" i="1"/>
  <c r="J34" i="2"/>
  <c r="D128" i="14" l="1"/>
  <c r="F128" i="14" s="1"/>
  <c r="D79" i="14"/>
  <c r="F79" i="14" s="1"/>
  <c r="D35" i="14"/>
  <c r="F35" i="14" s="1"/>
  <c r="W32" i="1"/>
  <c r="V31" i="1"/>
  <c r="J35" i="2"/>
  <c r="D129" i="14" l="1"/>
  <c r="F129" i="14" s="1"/>
  <c r="D80" i="14"/>
  <c r="F80" i="14" s="1"/>
  <c r="D36" i="14"/>
  <c r="F36" i="14" s="1"/>
  <c r="W33" i="1"/>
  <c r="V32" i="1"/>
  <c r="J36" i="2"/>
  <c r="D130" i="14" l="1"/>
  <c r="F130" i="14" s="1"/>
  <c r="D81" i="14"/>
  <c r="F81" i="14" s="1"/>
  <c r="D37" i="14"/>
  <c r="F37" i="14" s="1"/>
  <c r="W34" i="1"/>
  <c r="V33" i="1"/>
  <c r="J37" i="2"/>
  <c r="D131" i="14" l="1"/>
  <c r="F131" i="14" s="1"/>
  <c r="D82" i="14"/>
  <c r="F82" i="14" s="1"/>
  <c r="D38" i="14"/>
  <c r="F38" i="14" s="1"/>
  <c r="W35" i="1"/>
  <c r="V34" i="1"/>
  <c r="J38" i="2"/>
  <c r="D132" i="14" l="1"/>
  <c r="F132" i="14" s="1"/>
  <c r="D83" i="14"/>
  <c r="F83" i="14" s="1"/>
  <c r="D39" i="14"/>
  <c r="F39" i="14" s="1"/>
  <c r="W36" i="1"/>
  <c r="V35" i="1"/>
  <c r="J39" i="2"/>
  <c r="D133" i="14" l="1"/>
  <c r="F133" i="14" s="1"/>
  <c r="D84" i="14"/>
  <c r="F84" i="14" s="1"/>
  <c r="D40" i="14"/>
  <c r="F40" i="14" s="1"/>
  <c r="W37" i="1"/>
  <c r="V36" i="1"/>
  <c r="J40" i="2"/>
  <c r="D134" i="14" l="1"/>
  <c r="F134" i="14" s="1"/>
  <c r="D85" i="14"/>
  <c r="F85" i="14" s="1"/>
  <c r="D42" i="14"/>
  <c r="F42" i="14" s="1"/>
  <c r="D41" i="14"/>
  <c r="F41" i="14" s="1"/>
  <c r="W38" i="1"/>
  <c r="V37" i="1"/>
  <c r="J41" i="2"/>
  <c r="D135" i="14" l="1"/>
  <c r="F135" i="14" s="1"/>
  <c r="D86" i="14"/>
  <c r="F86" i="14" s="1"/>
  <c r="B43" i="14"/>
  <c r="D43" i="14"/>
  <c r="W39" i="1"/>
  <c r="V38" i="1"/>
  <c r="D136" i="14" l="1"/>
  <c r="F136" i="14" s="1"/>
  <c r="D87" i="14"/>
  <c r="F87" i="14" s="1"/>
  <c r="W40" i="1"/>
  <c r="V39" i="1"/>
  <c r="D137" i="14" l="1"/>
  <c r="F137" i="14" s="1"/>
  <c r="D88" i="14"/>
  <c r="F88" i="14" s="1"/>
  <c r="W41" i="1"/>
  <c r="V40" i="1"/>
  <c r="D138" i="14" l="1"/>
  <c r="F138" i="14" s="1"/>
  <c r="D89" i="14"/>
  <c r="F89" i="14" s="1"/>
  <c r="W42" i="1"/>
  <c r="V41" i="1"/>
  <c r="D139" i="14" l="1"/>
  <c r="F139" i="14" s="1"/>
  <c r="D91" i="14"/>
  <c r="F91" i="14" s="1"/>
  <c r="D90" i="14"/>
  <c r="F90" i="14" s="1"/>
  <c r="W43" i="1"/>
  <c r="V42" i="1"/>
  <c r="D140" i="14" l="1"/>
  <c r="F140" i="14" s="1"/>
  <c r="D92" i="14"/>
  <c r="B92" i="14"/>
  <c r="W44" i="1"/>
  <c r="V43" i="1"/>
  <c r="D142" i="14" l="1"/>
  <c r="F142" i="14" s="1"/>
  <c r="D141" i="14"/>
  <c r="F141" i="14" s="1"/>
  <c r="W45" i="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B149" i="14" s="1"/>
  <c r="D143" i="14"/>
  <c r="B28" i="6" l="1"/>
  <c r="J2" i="17"/>
  <c r="I2" i="17"/>
  <c r="D149" i="14"/>
  <c r="K13" i="7" l="1"/>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E54D8E-A283-48AA-9D31-55429F59BDAA}" name="conduit" type="6" refreshedVersion="8" background="1" saveData="1">
    <textPr prompt="0" sourceFile="C:\Users\E2023355\OneDrive - nVent Management Company\Documents\VSCode\Projects\CPQ\CPQ_Automation\output\condui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<sst xmlns="http://schemas.openxmlformats.org/spreadsheetml/2006/main" count="2941" uniqueCount="863">
  <si>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</si>
  <si>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</si>
  <si>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</si>
  <si>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</si>
  <si>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</si>
  <si>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</si>
  <si>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</si>
  <si>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</si>
  <si>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</si>
  <si>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</si>
  <si>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</si>
  <si>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</si>
  <si>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</si>
  <si>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</si>
  <si>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</si>
  <si>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</si>
  <si>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</si>
  <si>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</si>
  <si>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</si>
  <si>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</si>
  <si>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</si>
  <si>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</si>
  <si>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Water</t>
  </si>
  <si>
    <t>Gas</t>
  </si>
  <si>
    <t>Frames required</t>
  </si>
  <si>
    <t>Height of the vertical pieces in inches (A in drawing)</t>
  </si>
  <si>
    <t>Width of the frame in inches (B in drawing)</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</si>
  <si>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</si>
  <si>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</si>
  <si>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</si>
  <si>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</si>
  <si>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</si>
  <si>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</si>
  <si>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</si>
  <si>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</si>
  <si>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</si>
  <si>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</si>
  <si>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</si>
  <si>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</si>
  <si>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</si>
  <si>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</si>
  <si>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</si>
  <si>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</si>
  <si>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</si>
  <si>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</si>
  <si>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</si>
  <si>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</si>
  <si>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</si>
  <si>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</si>
  <si>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</si>
  <si>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</si>
  <si>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</si>
  <si>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</si>
  <si>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</si>
  <si>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</si>
  <si>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</si>
  <si>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</si>
  <si>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</si>
  <si>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</si>
  <si>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</si>
  <si>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size</t>
  </si>
  <si>
    <t>Pipe type 1 quantity</t>
  </si>
  <si>
    <t>calc</t>
  </si>
  <si>
    <t>Pipe type 1 weight per foot</t>
  </si>
  <si>
    <t>Pipe type 1 weight at quantity</t>
  </si>
  <si>
    <t>Pipe type 1 effective snow load per foot</t>
  </si>
  <si>
    <t>Pipe type 2 material</t>
  </si>
  <si>
    <t>Pipe type 2 size</t>
  </si>
  <si>
    <t>Pipe type 2 quantity</t>
  </si>
  <si>
    <t>Pipe type 2 weight per foot</t>
  </si>
  <si>
    <t>Pipe type 2 weight at quantity</t>
  </si>
  <si>
    <t>Pipe 2 effective snow load per foot</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</si>
  <si>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</si>
  <si>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</si>
  <si>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</si>
  <si>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</si>
  <si>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</si>
  <si>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</si>
  <si>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</si>
  <si>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</si>
  <si>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</si>
  <si>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</si>
  <si>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</si>
  <si>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</si>
  <si>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</si>
  <si>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</si>
  <si>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</si>
  <si>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</si>
  <si>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</si>
  <si>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</si>
  <si>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</si>
  <si>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</si>
  <si>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</si>
  <si>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</si>
  <si>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</si>
  <si>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</si>
  <si>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</si>
  <si>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</si>
  <si>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</si>
  <si>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</si>
  <si>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</si>
  <si>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</si>
  <si>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</si>
  <si>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</si>
  <si>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</si>
  <si>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</si>
  <si>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</si>
  <si>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</si>
  <si>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</si>
  <si>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</si>
  <si>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</si>
  <si>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Pipe quantity</t>
  </si>
  <si>
    <t>Duct gauge</t>
  </si>
  <si>
    <t>duct insulation density</t>
  </si>
  <si>
    <t>Duct insulation thickness</t>
  </si>
  <si>
    <t>Snow loads</t>
  </si>
  <si>
    <t>Duct segments</t>
  </si>
  <si>
    <t>Duct shape</t>
  </si>
  <si>
    <t>Shipment method</t>
  </si>
  <si>
    <t>Duct</t>
  </si>
  <si>
    <t>Iron - Schedule 40</t>
  </si>
  <si>
    <t>Rectangular</t>
  </si>
  <si>
    <t>clevis hanger</t>
  </si>
  <si>
    <t>Round</t>
  </si>
  <si>
    <t>Full prefab</t>
  </si>
  <si>
    <t>Other</t>
  </si>
  <si>
    <t>Copper - type K</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</si>
  <si>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</si>
  <si>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</si>
  <si>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</si>
  <si>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</si>
  <si>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</si>
  <si>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</si>
  <si>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</si>
  <si>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</si>
  <si>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</si>
  <si>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</si>
  <si>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</si>
  <si>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</si>
  <si>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</si>
  <si>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</si>
  <si>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</si>
  <si>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</si>
  <si>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</si>
  <si>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</si>
  <si>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</si>
  <si>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</si>
  <si>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</si>
  <si>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</si>
  <si>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</si>
  <si>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</si>
  <si>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</si>
  <si>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</si>
  <si>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</si>
  <si>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</si>
  <si>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</si>
  <si>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</si>
  <si>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</si>
  <si>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</si>
  <si>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</si>
  <si>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</si>
  <si>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</si>
  <si>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</si>
  <si>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</si>
  <si>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</si>
  <si>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</si>
  <si>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</si>
  <si>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</si>
  <si>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</si>
  <si>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</si>
  <si>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</si>
  <si>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</si>
  <si>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</si>
  <si>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</si>
  <si>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</si>
  <si>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</si>
  <si>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</si>
  <si>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</si>
  <si>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</si>
  <si>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</si>
  <si>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</si>
  <si>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</si>
  <si>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</si>
  <si>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</si>
  <si>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</si>
  <si>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</si>
  <si>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</si>
  <si>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</si>
  <si>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</si>
  <si>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</si>
  <si>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</si>
  <si>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</si>
  <si>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</si>
  <si>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</si>
  <si>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</si>
  <si>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</si>
  <si>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</si>
  <si>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</si>
  <si>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</si>
  <si>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</si>
  <si>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</si>
  <si>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</si>
  <si>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</si>
  <si>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</si>
  <si>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</si>
  <si>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</si>
  <si>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</si>
  <si>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</si>
  <si>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</si>
  <si>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</si>
  <si>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</si>
  <si>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</si>
  <si>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</si>
  <si>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</si>
  <si>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</si>
  <si>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</si>
  <si>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</si>
  <si>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</si>
  <si>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</si>
  <si>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</si>
  <si>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</si>
  <si>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</si>
  <si>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</si>
  <si>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</si>
  <si>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</si>
  <si>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</si>
  <si>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</si>
  <si>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</si>
  <si>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</si>
  <si>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</si>
  <si>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</si>
  <si>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</si>
  <si>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</si>
  <si>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</si>
  <si>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</si>
  <si>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</si>
  <si>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</si>
  <si>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</si>
  <si>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</si>
  <si>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</si>
  <si>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</si>
  <si>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</si>
  <si>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</si>
  <si>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</si>
  <si>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</si>
  <si>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</si>
  <si>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</si>
  <si>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</si>
  <si>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</si>
  <si>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</si>
  <si>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</si>
  <si>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</si>
  <si>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</si>
  <si>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</si>
  <si>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</si>
  <si>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</si>
  <si>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</si>
  <si>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</si>
  <si>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</si>
  <si>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</si>
  <si>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</si>
  <si>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</si>
  <si>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</si>
  <si>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</si>
  <si>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</si>
  <si>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</si>
  <si>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</si>
  <si>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</si>
  <si>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</si>
  <si>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</si>
  <si>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</si>
  <si>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</si>
  <si>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</si>
  <si>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</si>
  <si>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</si>
  <si>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</si>
  <si>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</si>
  <si>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</si>
  <si>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</si>
  <si>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</si>
  <si>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</si>
  <si>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</si>
  <si>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</si>
  <si>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</si>
  <si>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</si>
  <si>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</si>
  <si>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</si>
  <si>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</si>
  <si>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</si>
  <si>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</si>
  <si>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</si>
  <si>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</si>
  <si>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</si>
  <si>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</si>
  <si>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</si>
  <si>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</si>
  <si>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</si>
  <si>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</si>
  <si>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</si>
  <si>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</si>
  <si>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</si>
  <si>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</si>
  <si>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</si>
  <si>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</si>
  <si>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</si>
  <si>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</si>
  <si>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</si>
  <si>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</si>
  <si>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</si>
  <si>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</si>
  <si>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</si>
  <si>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</si>
  <si>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</si>
  <si>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</si>
  <si>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</si>
  <si>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</si>
  <si>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</si>
  <si>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</si>
  <si>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</si>
  <si>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</si>
  <si>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</si>
  <si>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</si>
  <si>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</si>
  <si>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</si>
  <si>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</si>
  <si>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</si>
  <si>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</si>
  <si>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</si>
  <si>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</si>
  <si>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</si>
  <si>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</si>
  <si>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</si>
  <si>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</si>
  <si>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</si>
  <si>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</si>
  <si>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</si>
  <si>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</si>
  <si>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</si>
  <si>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</si>
  <si>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</si>
  <si>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</si>
  <si>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</si>
  <si>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</si>
  <si>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</si>
  <si>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</si>
  <si>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</si>
  <si>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</si>
  <si>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</si>
  <si>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</si>
  <si>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</si>
  <si>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</si>
  <si>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</si>
  <si>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</si>
  <si>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</si>
  <si>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</si>
  <si>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</si>
  <si>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</si>
  <si>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</si>
  <si>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</si>
  <si>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</si>
  <si>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</si>
  <si>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</si>
  <si>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</si>
  <si>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</si>
  <si>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</si>
  <si>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</si>
  <si>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</si>
  <si>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</si>
  <si>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</si>
  <si>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</si>
  <si>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</si>
  <si>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</si>
  <si>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</si>
  <si>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</si>
  <si>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</si>
  <si>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</si>
  <si>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</si>
  <si>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</si>
  <si>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</si>
  <si>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</si>
  <si>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</si>
  <si>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</si>
  <si>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</si>
  <si>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</si>
  <si>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</si>
  <si>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</si>
  <si>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</si>
  <si>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</si>
  <si>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</si>
  <si>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</si>
  <si>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</si>
  <si>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</si>
  <si>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</si>
  <si>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</si>
  <si>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</si>
  <si>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</si>
  <si>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</si>
  <si>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</si>
  <si>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</si>
  <si>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</si>
  <si>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</si>
  <si>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</si>
  <si>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</si>
  <si>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</si>
  <si>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</si>
  <si>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</si>
  <si>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</si>
  <si>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</si>
  <si>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</si>
  <si>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</si>
  <si>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</si>
  <si>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</si>
  <si>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</si>
  <si>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</si>
  <si>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</si>
  <si>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</si>
  <si>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</si>
  <si>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</si>
  <si>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</si>
  <si>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</si>
  <si>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</si>
  <si>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</si>
  <si>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</si>
  <si>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</si>
  <si>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</si>
  <si>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</si>
  <si>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</si>
  <si>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</si>
  <si>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</si>
  <si>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</si>
  <si>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</si>
  <si>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</si>
  <si>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</si>
  <si>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</si>
  <si>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</si>
  <si>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</si>
  <si>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</si>
  <si>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</si>
  <si>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</si>
  <si>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</si>
  <si>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</si>
  <si>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</si>
  <si>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</si>
  <si>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</si>
  <si>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</si>
  <si>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</si>
  <si>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</si>
  <si>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</si>
  <si>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</si>
  <si>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</si>
  <si>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</si>
  <si>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</si>
  <si>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</si>
  <si>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</si>
  <si>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</si>
  <si>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</si>
  <si>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</si>
  <si>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</si>
  <si>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</si>
  <si>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</si>
  <si>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</si>
  <si>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</si>
  <si>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</si>
  <si>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</si>
  <si>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</si>
  <si>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</si>
  <si>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</si>
  <si>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</si>
  <si>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</si>
  <si>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</si>
  <si>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</si>
  <si>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</si>
  <si>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</si>
  <si>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</si>
  <si>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</si>
  <si>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</si>
  <si>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</si>
  <si>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</si>
  <si>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</si>
  <si>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</si>
  <si>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</si>
  <si>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</si>
  <si>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</si>
  <si>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</si>
  <si>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</si>
  <si>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</si>
  <si>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</si>
  <si>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</si>
  <si>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</si>
  <si>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</si>
  <si>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</si>
  <si>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</si>
  <si>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</si>
  <si>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</si>
  <si>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</si>
  <si>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</si>
  <si>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</si>
  <si>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</si>
  <si>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</si>
  <si>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</si>
  <si>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</si>
  <si>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</si>
  <si>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</si>
  <si>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</si>
  <si>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</si>
  <si>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</si>
  <si>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</si>
  <si>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</si>
  <si>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</si>
  <si>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</si>
  <si>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</si>
  <si>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</si>
  <si>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</si>
  <si>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</si>
  <si>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</si>
  <si>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</si>
  <si>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</si>
  <si>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</si>
  <si>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</si>
  <si>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</si>
  <si>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</si>
  <si>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</si>
  <si>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</si>
  <si>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</si>
  <si>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</si>
  <si>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</si>
  <si>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</si>
  <si>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</si>
  <si>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</si>
  <si>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</si>
  <si>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</si>
  <si>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</si>
  <si>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</si>
  <si>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</si>
  <si>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</si>
  <si>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</si>
  <si>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</si>
  <si>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</si>
  <si>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</si>
  <si>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</si>
  <si>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</si>
  <si>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</si>
  <si>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</si>
  <si>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</si>
  <si>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</si>
  <si>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</si>
  <si>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</si>
  <si>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</si>
  <si>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</si>
  <si>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</si>
  <si>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</si>
  <si>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</si>
  <si>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</si>
  <si>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</si>
  <si>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</si>
  <si>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</si>
  <si>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</si>
  <si>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</si>
  <si>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</si>
  <si>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</si>
  <si>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</si>
  <si>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</si>
  <si>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</si>
  <si>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</si>
  <si>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</si>
  <si>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</si>
  <si>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</si>
  <si>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</si>
  <si>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</si>
  <si>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</si>
  <si>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</si>
  <si>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</si>
  <si>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</si>
  <si>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</si>
  <si>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</si>
  <si>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</si>
  <si>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</si>
  <si>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</si>
  <si>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</si>
  <si>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</si>
  <si>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</si>
  <si>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</si>
  <si>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</si>
  <si>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</si>
  <si>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</si>
  <si>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</si>
  <si>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</si>
  <si>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</si>
  <si>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</si>
  <si>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</si>
  <si>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</si>
  <si>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</si>
  <si>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</si>
  <si>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</si>
  <si>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</si>
  <si>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</si>
  <si>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</si>
  <si>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</si>
  <si>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</si>
  <si>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</si>
  <si>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</si>
  <si>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</si>
  <si>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</si>
  <si>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</si>
  <si>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</si>
  <si>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</si>
  <si>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</si>
  <si>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</si>
  <si>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</si>
  <si>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</si>
  <si>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</si>
  <si>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</si>
  <si>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</si>
  <si>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</si>
  <si>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</si>
  <si>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</si>
  <si>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</si>
  <si>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</si>
  <si>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</si>
  <si>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</si>
  <si>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</si>
  <si>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</si>
  <si>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</si>
  <si>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</si>
  <si>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</si>
  <si>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</si>
  <si>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</si>
  <si>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</si>
  <si>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</si>
  <si>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</si>
  <si>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</si>
  <si>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</si>
  <si>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</si>
  <si>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</si>
  <si>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</si>
  <si>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</si>
  <si>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</si>
  <si>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</si>
  <si>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</si>
  <si>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</si>
  <si>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</si>
  <si>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</si>
  <si>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</si>
  <si>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</si>
  <si>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</si>
  <si>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</si>
  <si>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</si>
  <si>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</si>
  <si>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</si>
  <si>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</si>
  <si>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</si>
  <si>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</si>
  <si>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</si>
  <si>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</si>
  <si>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</si>
  <si>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</si>
  <si>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</si>
  <si>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</si>
  <si>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</si>
  <si>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</si>
  <si>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</si>
  <si>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</si>
  <si>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</si>
  <si>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</si>
  <si>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</si>
  <si>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</si>
  <si>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</si>
  <si>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</si>
  <si>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</si>
  <si>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</si>
  <si>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</si>
  <si>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</si>
  <si>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</si>
  <si>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</si>
  <si>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</si>
  <si>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</si>
  <si>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</si>
  <si>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</si>
  <si>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</si>
  <si>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</si>
  <si>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</si>
  <si>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</si>
  <si>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</si>
  <si>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</si>
  <si>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</si>
  <si>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</si>
  <si>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</si>
  <si>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</si>
  <si>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</si>
  <si>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</si>
  <si>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</si>
  <si>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</si>
  <si>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</si>
  <si>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</si>
  <si>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</si>
  <si>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</si>
  <si>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</si>
  <si>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</si>
  <si>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</si>
  <si>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</si>
  <si>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</si>
  <si>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</si>
  <si>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</si>
  <si>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</si>
  <si>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</si>
  <si>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</si>
  <si>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</si>
  <si>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</si>
  <si>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</si>
  <si>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</si>
  <si>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</si>
  <si>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</si>
  <si>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</si>
  <si>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</si>
  <si>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</si>
  <si>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</si>
  <si>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</si>
  <si>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</si>
  <si>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</si>
  <si>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</si>
  <si>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</si>
  <si>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</si>
  <si>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</si>
  <si>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</si>
  <si>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</si>
  <si>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</si>
  <si>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</si>
  <si>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</si>
  <si>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</si>
  <si>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</si>
  <si>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</si>
  <si>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</si>
  <si>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</si>
  <si>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</si>
  <si>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</si>
  <si>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</si>
  <si>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</si>
  <si>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</si>
  <si>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</si>
  <si>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</si>
  <si>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</si>
  <si>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</si>
  <si>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</si>
  <si>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</si>
  <si>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</si>
  <si>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</si>
  <si>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</si>
  <si>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</si>
  <si>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</si>
  <si>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</si>
  <si>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</si>
  <si>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</si>
  <si>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</si>
  <si>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</si>
  <si>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</si>
  <si>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</si>
  <si>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</si>
  <si>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</si>
  <si>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</si>
  <si>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</si>
  <si>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</si>
  <si>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</si>
  <si>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</si>
  <si>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</si>
  <si>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</si>
  <si>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</si>
  <si>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</si>
  <si>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</si>
  <si>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</si>
  <si>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</si>
  <si>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</si>
  <si>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</si>
  <si>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</si>
  <si>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</si>
  <si>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</si>
  <si>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</si>
  <si>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</si>
  <si>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</si>
  <si>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</si>
  <si>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</si>
  <si>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</si>
  <si>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</si>
  <si>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</si>
  <si>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</si>
  <si>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</si>
  <si>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</si>
  <si>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</si>
  <si>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</si>
  <si>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</si>
  <si>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</si>
  <si>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</si>
  <si>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</si>
  <si>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</si>
  <si>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None</t>
  </si>
  <si>
    <t>Conduit</t>
  </si>
  <si>
    <t>Copper Density</t>
  </si>
  <si>
    <t>lb/ft^3</t>
  </si>
  <si>
    <t>Fill %</t>
  </si>
  <si>
    <t>Max Fill% for Single Wire</t>
  </si>
  <si>
    <t>ConduitSize</t>
  </si>
  <si>
    <t>ConduitMaterial</t>
  </si>
  <si>
    <t>Empty Weight/Ft</t>
  </si>
  <si>
    <t>Conduit ID</t>
  </si>
  <si>
    <t>Conduit ID Area (in^2)</t>
  </si>
  <si>
    <t>Conduit ID Area (ft^2)</t>
  </si>
  <si>
    <t>100% Wire Weight/ft</t>
  </si>
  <si>
    <t>Fill% Wire Weight/ft</t>
  </si>
  <si>
    <t>Total Weight/ft</t>
  </si>
  <si>
    <t>Dimensional Reference</t>
  </si>
  <si>
    <t>Max Support Spacing</t>
  </si>
  <si>
    <t>Max Support Spacing Reference</t>
  </si>
  <si>
    <t>Electrical Metallic Tubing (EMT)</t>
  </si>
  <si>
    <t>Per NFPA 70 NEC - 2017 Article 358</t>
  </si>
  <si>
    <t>Per NFPA 70 NEC - 2017 Section 358.30</t>
  </si>
  <si>
    <t>Rigid Metal Conduit (RMC)</t>
  </si>
  <si>
    <t>Per NFPA 70 NEC - 2017 Article 344</t>
  </si>
  <si>
    <t>Per NFPA 70 NEC - 2017 Table 344.30(B)(2)</t>
  </si>
  <si>
    <t>Intermediate Metal Conduit (IMC)</t>
  </si>
  <si>
    <t>Per NFPA 70 NEC - 2017 Article 342</t>
  </si>
  <si>
    <t>Percent Fill</t>
  </si>
  <si>
    <t>Conduit sizes</t>
  </si>
  <si>
    <t>What material is the conduit?</t>
  </si>
  <si>
    <t>What size is the conduit?</t>
  </si>
  <si>
    <t>What is the percent fill of wires in conduit? (default is 53)</t>
  </si>
  <si>
    <t>Conduit type 1</t>
  </si>
  <si>
    <t>Conduit type 2</t>
  </si>
  <si>
    <t>Pipe type 1percent fill</t>
  </si>
  <si>
    <t>Empty Conduit Weight</t>
  </si>
  <si>
    <t>Fill Percent Wire Weight</t>
  </si>
  <si>
    <t>100 Percent Wire Weight</t>
  </si>
  <si>
    <t>Total Weight</t>
  </si>
  <si>
    <t>Pipe type 2percent fill</t>
  </si>
  <si>
    <t>Max Spacing</t>
  </si>
  <si>
    <t>StrutClamp</t>
  </si>
  <si>
    <t>Conduit Calculations</t>
  </si>
  <si>
    <t>Material Type</t>
  </si>
  <si>
    <t>Diameter</t>
  </si>
  <si>
    <t>Percent wire</t>
  </si>
  <si>
    <t>Quantity of the same Type</t>
  </si>
  <si>
    <t>Sum of Weight/ft</t>
  </si>
  <si>
    <t>Min Max spacing</t>
  </si>
  <si>
    <t>cbo beam span</t>
  </si>
  <si>
    <t>Beam Load</t>
  </si>
  <si>
    <t>Column loading</t>
  </si>
  <si>
    <t>Cond 1</t>
  </si>
  <si>
    <t>Cond 2</t>
  </si>
  <si>
    <t>snow load</t>
  </si>
  <si>
    <t>What is the spacing between each conduit?</t>
  </si>
  <si>
    <t>Row start</t>
  </si>
  <si>
    <t>Number of Tests</t>
  </si>
  <si>
    <t>clearance</t>
  </si>
  <si>
    <t xml:space="preserve"> spacing</t>
  </si>
  <si>
    <t xml:space="preserve"> snow load</t>
  </si>
  <si>
    <t xml:space="preserve"> pipe type</t>
  </si>
  <si>
    <t xml:space="preserve"> diameter</t>
  </si>
  <si>
    <t xml:space="preserve"> fill</t>
  </si>
  <si>
    <t xml:space="preserve"> pipe count</t>
  </si>
  <si>
    <t xml:space="preserve"> section length</t>
  </si>
  <si>
    <t xml:space="preserve"> overall weight</t>
  </si>
  <si>
    <t xml:space="preserve"> cross member width</t>
  </si>
  <si>
    <t xml:space="preserve"> frame spacing</t>
  </si>
  <si>
    <t xml:space="preserve"> total frames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</si>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</sst>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s>
  <fills count="11">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89">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0" fillId="0" borderId="1" xfId="0" applyBorder="1"/>
    <xf numFmtId="9" fontId="0" fillId="0" borderId="1" xfId="2" applyFont="1" applyBorder="1"/>
    <xf numFmtId="0" fontId="0" fillId="0" borderId="5" xfId="0" applyBorder="1"/>
    <xf numFmtId="0" fontId="0" fillId="0" borderId="6" xfId="0" applyBorder="1"/>
    <xf numFmtId="9" fontId="0" fillId="0" borderId="7" xfId="0" applyNumberFormat="1" applyBorder="1"/>
    <xf numFmtId="0" fontId="0" fillId="0" borderId="8" xfId="0" applyBorder="1"/>
    <xf numFmtId="0" fontId="0" fillId="0" borderId="9" xfId="0" applyBorder="1"/>
    <xf numFmtId="9" fontId="0" fillId="0" borderId="9" xfId="0" applyNumberFormat="1" applyBorder="1"/>
    <xf numFmtId="9" fontId="0" fillId="0" borderId="10" xfId="0" applyNumberFormat="1"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4" xfId="0" applyBorder="1" applyAlignment="1">
      <alignment horizontal="center"/>
    </xf>
    <xf numFmtId="0" fontId="0" fillId="0" borderId="15" xfId="0" applyBorder="1"/>
    <xf numFmtId="1" fontId="3" fillId="0" borderId="0" xfId="0" applyNumberFormat="1" applyFont="1" applyAlignment="1" applyProtection="1">
      <alignment horizontal="center"/>
      <protection locked="0"/>
    </xf>
    <xf numFmtId="0" fontId="15" fillId="0" borderId="0" xfId="0" applyFont="1"/>
    <xf numFmtId="0" fontId="0" fillId="6" borderId="0" xfId="0" applyFill="1"/>
    <xf numFmtId="0" fontId="0" fillId="7" borderId="0" xfId="0" applyFill="1"/>
    <xf numFmtId="0" fontId="3" fillId="0" borderId="1" xfId="0" applyFont="1" applyBorder="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xf numFmtId="0" fontId="3" fillId="8" borderId="0" xfId="0" applyFont="1" applyFill="1" applyAlignment="1" applyProtection="1">
      <alignment horizontal="center"/>
      <protection locked="0"/>
    </xf>
    <xf numFmtId="0" fontId="3" fillId="9" borderId="0" xfId="0" applyFont="1" applyFill="1" applyAlignment="1" applyProtection="1">
      <alignment horizontal="center"/>
      <protection locked="0"/>
    </xf>
    <xf numFmtId="0" fontId="3" fillId="10" borderId="0" xfId="0" applyFont="1" applyFill="1" applyAlignment="1" applyProtection="1">
      <alignment horizontal="center"/>
      <protection locked="0"/>
    </xf>
    <xf numFmtId="0" fontId="3" fillId="9" borderId="1" xfId="0" applyFont="1" applyFill="1" applyBorder="1" applyAlignment="1" applyProtection="1">
      <alignment horizontal="center"/>
      <protection locked="0"/>
    </xf>
    <xf numFmtId="0" fontId="3" fillId="9" borderId="0" xfId="0" applyFont="1" applyFill="1" applyAlignment="1">
      <alignment horizontal="center"/>
    </xf>
  </cellXfs>
  <cellStyles count="3">
    <cellStyle name="Hyperlink" xfId="1" builtinId="8"/>
    <cellStyle name="Normal" xfId="0" builtinId="0"/>
    <cellStyle name="Percent" xfId="2" builtinId="5"/>
  </cellStyles>
  <dxfs count="47">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11</xdr:row>
          <xdr:rowOff>38100</xdr:rowOff>
        </xdr:from>
        <xdr:to>
          <xdr:col>9</xdr:col>
          <xdr:colOff>536575</xdr:colOff>
          <xdr:row>29</xdr:row>
          <xdr:rowOff>34744</xdr:rowOff>
        </xdr:to>
        <xdr:pic>
          <xdr:nvPicPr>
            <xdr:cNvPr id="5" name="Picture 4">
              <a:extLst>
                <a:ext uri="{FF2B5EF4-FFF2-40B4-BE49-F238E27FC236}">
                  <a16:creationId xmlns:a16="http://schemas.microsoft.com/office/drawing/2014/main" id="{3858972D-F61F-4DB6-AA7F-8A44338B07C5}"/>
                </a:ext>
              </a:extLst>
            </xdr:cNvPr>
            <xdr:cNvPicPr>
              <a:picLocks noChangeAspect="1" noChangeArrowheads="1"/>
              <a:extLst>
                <a:ext uri="{84589F7E-364E-4C9E-8A38-B11213B215E9}">
                  <a14:cameraTool cellRange="DWGLookup" spid="_x0000_s20797"/>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129540</xdr:rowOff>
        </xdr:from>
        <xdr:to>
          <xdr:col>4</xdr:col>
          <xdr:colOff>335280</xdr:colOff>
          <xdr:row>6</xdr:row>
          <xdr:rowOff>22860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14DC8928-B1FC-44A0-8C23-F9D127BD53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64770</xdr:rowOff>
        </xdr:from>
        <xdr:to>
          <xdr:col>9</xdr:col>
          <xdr:colOff>5715</xdr:colOff>
          <xdr:row>4</xdr:row>
          <xdr:rowOff>129540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3A03EC24-FE81-4CDD-A1B5-D9A65A44B5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134630</xdr:colOff>
      <xdr:row>39</xdr:row>
      <xdr:rowOff>59951</xdr:rowOff>
    </xdr:from>
    <xdr:to>
      <xdr:col>4</xdr:col>
      <xdr:colOff>245396</xdr:colOff>
      <xdr:row>63</xdr:row>
      <xdr:rowOff>168554</xdr:rowOff>
    </xdr:to>
    <xdr:pic>
      <xdr:nvPicPr>
        <xdr:cNvPr id="2" name="Picture 1">
          <a:extLst>
            <a:ext uri="{FF2B5EF4-FFF2-40B4-BE49-F238E27FC236}">
              <a16:creationId xmlns:a16="http://schemas.microsoft.com/office/drawing/2014/main" id="{EFAB1124-F403-4A66-AEDE-E87E378EADDC}"/>
            </a:ext>
          </a:extLst>
        </xdr:cNvPr>
        <xdr:cNvPicPr>
          <a:picLocks noChangeAspect="1"/>
        </xdr:cNvPicPr>
      </xdr:nvPicPr>
      <xdr:blipFill>
        <a:blip xmlns:r="http://schemas.openxmlformats.org/officeDocument/2006/relationships" r:embed="rId1"/>
        <a:stretch>
          <a:fillRect/>
        </a:stretch>
      </xdr:blipFill>
      <xdr:spPr>
        <a:xfrm>
          <a:off x="134630" y="7552951"/>
          <a:ext cx="5851166" cy="4674253"/>
        </a:xfrm>
        <a:prstGeom prst="rect">
          <a:avLst/>
        </a:prstGeom>
      </xdr:spPr>
    </xdr:pic>
    <xdr:clientData/>
  </xdr:twoCellAnchor>
  <xdr:twoCellAnchor editAs="oneCell">
    <xdr:from>
      <xdr:col>4</xdr:col>
      <xdr:colOff>1240971</xdr:colOff>
      <xdr:row>40</xdr:row>
      <xdr:rowOff>147011</xdr:rowOff>
    </xdr:from>
    <xdr:to>
      <xdr:col>9</xdr:col>
      <xdr:colOff>499733</xdr:colOff>
      <xdr:row>65</xdr:row>
      <xdr:rowOff>14307</xdr:rowOff>
    </xdr:to>
    <xdr:pic>
      <xdr:nvPicPr>
        <xdr:cNvPr id="3" name="Picture 2">
          <a:extLst>
            <a:ext uri="{FF2B5EF4-FFF2-40B4-BE49-F238E27FC236}">
              <a16:creationId xmlns:a16="http://schemas.microsoft.com/office/drawing/2014/main" id="{628331AF-934F-4BF2-9836-1044D99F67F7}"/>
            </a:ext>
          </a:extLst>
        </xdr:cNvPr>
        <xdr:cNvPicPr>
          <a:picLocks noChangeAspect="1"/>
        </xdr:cNvPicPr>
      </xdr:nvPicPr>
      <xdr:blipFill>
        <a:blip xmlns:r="http://schemas.openxmlformats.org/officeDocument/2006/relationships" r:embed="rId2"/>
        <a:stretch>
          <a:fillRect/>
        </a:stretch>
      </xdr:blipFill>
      <xdr:spPr>
        <a:xfrm>
          <a:off x="6981371" y="7830511"/>
          <a:ext cx="5602412" cy="4629796"/>
        </a:xfrm>
        <a:prstGeom prst="rect">
          <a:avLst/>
        </a:prstGeom>
      </xdr:spPr>
    </xdr:pic>
    <xdr:clientData/>
  </xdr:twoCellAnchor>
  <xdr:twoCellAnchor editAs="oneCell">
    <xdr:from>
      <xdr:col>0</xdr:col>
      <xdr:colOff>108857</xdr:colOff>
      <xdr:row>63</xdr:row>
      <xdr:rowOff>94523</xdr:rowOff>
    </xdr:from>
    <xdr:to>
      <xdr:col>4</xdr:col>
      <xdr:colOff>135075</xdr:colOff>
      <xdr:row>78</xdr:row>
      <xdr:rowOff>133027</xdr:rowOff>
    </xdr:to>
    <xdr:pic>
      <xdr:nvPicPr>
        <xdr:cNvPr id="4" name="Picture 3">
          <a:extLst>
            <a:ext uri="{FF2B5EF4-FFF2-40B4-BE49-F238E27FC236}">
              <a16:creationId xmlns:a16="http://schemas.microsoft.com/office/drawing/2014/main" id="{D33E0502-AEF0-49BA-816F-F6B3BDF1EE15}"/>
            </a:ext>
          </a:extLst>
        </xdr:cNvPr>
        <xdr:cNvPicPr>
          <a:picLocks noChangeAspect="1"/>
        </xdr:cNvPicPr>
      </xdr:nvPicPr>
      <xdr:blipFill>
        <a:blip xmlns:r="http://schemas.openxmlformats.org/officeDocument/2006/relationships" r:embed="rId3"/>
        <a:stretch>
          <a:fillRect/>
        </a:stretch>
      </xdr:blipFill>
      <xdr:spPr>
        <a:xfrm>
          <a:off x="112032" y="11588023"/>
          <a:ext cx="5757093" cy="2896004"/>
        </a:xfrm>
        <a:prstGeom prst="rect">
          <a:avLst/>
        </a:prstGeom>
      </xdr:spPr>
    </xdr:pic>
    <xdr:clientData/>
  </xdr:twoCellAnchor>
  <xdr:twoCellAnchor editAs="oneCell">
    <xdr:from>
      <xdr:col>14</xdr:col>
      <xdr:colOff>50676</xdr:colOff>
      <xdr:row>40</xdr:row>
      <xdr:rowOff>82180</xdr:rowOff>
    </xdr:from>
    <xdr:to>
      <xdr:col>19</xdr:col>
      <xdr:colOff>474074</xdr:colOff>
      <xdr:row>55</xdr:row>
      <xdr:rowOff>53999</xdr:rowOff>
    </xdr:to>
    <xdr:pic>
      <xdr:nvPicPr>
        <xdr:cNvPr id="5" name="Picture 4">
          <a:extLst>
            <a:ext uri="{FF2B5EF4-FFF2-40B4-BE49-F238E27FC236}">
              <a16:creationId xmlns:a16="http://schemas.microsoft.com/office/drawing/2014/main" id="{90D46ABD-DEE8-496C-99F9-C4C6F700CAFE}"/>
            </a:ext>
          </a:extLst>
        </xdr:cNvPr>
        <xdr:cNvPicPr>
          <a:picLocks noChangeAspect="1"/>
        </xdr:cNvPicPr>
      </xdr:nvPicPr>
      <xdr:blipFill>
        <a:blip xmlns:r="http://schemas.openxmlformats.org/officeDocument/2006/relationships" r:embed="rId4"/>
        <a:stretch>
          <a:fillRect/>
        </a:stretch>
      </xdr:blipFill>
      <xdr:spPr>
        <a:xfrm>
          <a:off x="19056226" y="7765680"/>
          <a:ext cx="5427198" cy="2822969"/>
        </a:xfrm>
        <a:prstGeom prst="rect">
          <a:avLst/>
        </a:prstGeom>
      </xdr:spPr>
    </xdr:pic>
    <xdr:clientData/>
  </xdr:twoCellAnchor>
  <xdr:twoCellAnchor editAs="oneCell">
    <xdr:from>
      <xdr:col>9</xdr:col>
      <xdr:colOff>310490</xdr:colOff>
      <xdr:row>49</xdr:row>
      <xdr:rowOff>152153</xdr:rowOff>
    </xdr:from>
    <xdr:to>
      <xdr:col>13</xdr:col>
      <xdr:colOff>36121</xdr:colOff>
      <xdr:row>58</xdr:row>
      <xdr:rowOff>34900</xdr:rowOff>
    </xdr:to>
    <xdr:pic>
      <xdr:nvPicPr>
        <xdr:cNvPr id="6" name="Picture 5">
          <a:extLst>
            <a:ext uri="{FF2B5EF4-FFF2-40B4-BE49-F238E27FC236}">
              <a16:creationId xmlns:a16="http://schemas.microsoft.com/office/drawing/2014/main" id="{88A55DF0-398A-4E59-9803-47A79A47144C}"/>
            </a:ext>
          </a:extLst>
        </xdr:cNvPr>
        <xdr:cNvPicPr>
          <a:picLocks noChangeAspect="1"/>
        </xdr:cNvPicPr>
      </xdr:nvPicPr>
      <xdr:blipFill>
        <a:blip xmlns:r="http://schemas.openxmlformats.org/officeDocument/2006/relationships" r:embed="rId5"/>
        <a:stretch>
          <a:fillRect/>
        </a:stretch>
      </xdr:blipFill>
      <xdr:spPr>
        <a:xfrm>
          <a:off x="11857965" y="9550153"/>
          <a:ext cx="5329506" cy="1594072"/>
        </a:xfrm>
        <a:prstGeom prst="rect">
          <a:avLst/>
        </a:prstGeom>
      </xdr:spPr>
    </xdr:pic>
    <xdr:clientData/>
  </xdr:twoCellAnchor>
  <xdr:twoCellAnchor editAs="oneCell">
    <xdr:from>
      <xdr:col>26</xdr:col>
      <xdr:colOff>380008</xdr:colOff>
      <xdr:row>72</xdr:row>
      <xdr:rowOff>181592</xdr:rowOff>
    </xdr:from>
    <xdr:to>
      <xdr:col>47</xdr:col>
      <xdr:colOff>595311</xdr:colOff>
      <xdr:row>102</xdr:row>
      <xdr:rowOff>169330</xdr:rowOff>
    </xdr:to>
    <xdr:pic>
      <xdr:nvPicPr>
        <xdr:cNvPr id="7" name="Picture 6">
          <a:extLst>
            <a:ext uri="{FF2B5EF4-FFF2-40B4-BE49-F238E27FC236}">
              <a16:creationId xmlns:a16="http://schemas.microsoft.com/office/drawing/2014/main" id="{C2C79E01-6034-4A22-9E10-6AE7972373D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82208" y="13964267"/>
          <a:ext cx="13016903" cy="5696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1413906</xdr:colOff>
      <xdr:row>76</xdr:row>
      <xdr:rowOff>176894</xdr:rowOff>
    </xdr:from>
    <xdr:to>
      <xdr:col>26</xdr:col>
      <xdr:colOff>92621</xdr:colOff>
      <xdr:row>105</xdr:row>
      <xdr:rowOff>110219</xdr:rowOff>
    </xdr:to>
    <xdr:pic>
      <xdr:nvPicPr>
        <xdr:cNvPr id="8" name="Picture 7">
          <a:extLst>
            <a:ext uri="{FF2B5EF4-FFF2-40B4-BE49-F238E27FC236}">
              <a16:creationId xmlns:a16="http://schemas.microsoft.com/office/drawing/2014/main" id="{2E8352B6-8834-4F10-8E55-66516CDFEF3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304406" y="14721569"/>
          <a:ext cx="13553590" cy="544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86592</xdr:colOff>
      <xdr:row>79</xdr:row>
      <xdr:rowOff>155865</xdr:rowOff>
    </xdr:from>
    <xdr:to>
      <xdr:col>9</xdr:col>
      <xdr:colOff>1583883</xdr:colOff>
      <xdr:row>108</xdr:row>
      <xdr:rowOff>92365</xdr:rowOff>
    </xdr:to>
    <xdr:pic>
      <xdr:nvPicPr>
        <xdr:cNvPr id="9" name="Picture 8">
          <a:extLst>
            <a:ext uri="{FF2B5EF4-FFF2-40B4-BE49-F238E27FC236}">
              <a16:creationId xmlns:a16="http://schemas.microsoft.com/office/drawing/2014/main" id="{CD0BD104-53E8-44BC-8CA8-9ADDEFBEDF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767" y="14697365"/>
          <a:ext cx="13565466" cy="546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C3B3C5E5-6435-8890-AAB1-E383B05A738F}"/>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ED781AB9-D0D1-24BC-CB79-37F35D2B58D2}"/>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BCCA70D4-50AF-69C4-1D66-405BCE2ECA86}"/>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4ECF18B6-5718-0CDA-858C-6F878EEE0812}"/>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1A9690F-E88C-6BA3-1748-CC5B4D8EE4E4}"/>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DB4A181F-E752-739C-ABF4-591FA5F31903}"/>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10A5D9D5-08F1-45F9-2544-DF6999C5C01B}"/>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887684A5-0D55-4FE4-E9DD-2A822ED29C3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356DA91C-4B8A-437D-BC5B-C003E5CD0D81}"/>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5AB6B7FE-7175-4430-9D8D-F24D2761D31C}"/>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B84AB4DC-9CDB-4804-B4F0-8A44961F3829}"/>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C1A1D86-A807-4AB1-B148-A2BB0FEEE6A1}"/>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328CAA36-AA0F-1185-60CC-23225F5BFAA1}"/>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96C9FCBA-8CEE-489A-99D7-CD07BD37E03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EC738174-9310-4185-86FC-2727BB42145C}"/>
            </a:ext>
          </a:extLst>
        </xdr:cNvPr>
        <xdr:cNvGrpSpPr>
          <a:grpSpLocks/>
        </xdr:cNvGrpSpPr>
      </xdr:nvGrpSpPr>
      <xdr:grpSpPr bwMode="auto">
        <a:xfrm>
          <a:off x="1442086" y="476796"/>
          <a:ext cx="3171824" cy="3094263"/>
          <a:chOff x="108970767" y="109045772"/>
          <a:chExt cx="2361006" cy="2514609"/>
        </a:xfrm>
      </xdr:grpSpPr>
      <xdr:pic>
        <xdr:nvPicPr>
          <xdr:cNvPr id="14" name="Picture 13">
            <a:extLst>
              <a:ext uri="{FF2B5EF4-FFF2-40B4-BE49-F238E27FC236}">
                <a16:creationId xmlns:a16="http://schemas.microsoft.com/office/drawing/2014/main" id="{BD438662-6B20-4B81-86F7-2201457147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DEBCE2C3-9AA0-4700-96FA-7801EA84AD59}"/>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4BF9C96B-5CB3-41A3-B7BC-785626A19314}"/>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2816E96F-65F8-429A-89EF-BAC29465B75A}"/>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C5F52A48-AC81-4AD8-8FE2-B307A37712A2}"/>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32F5AED0-006E-4D43-B85B-05EF944EEC9A}"/>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7EB7C39F-1EF6-4DA6-BC26-C19FD3517733}"/>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7840C21C-8EF7-4761-BF80-096D09FA2257}"/>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4CC85A79-A610-47A5-8EB0-DBDBAA20C0AE}"/>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7F40D223-05A4-48BB-8E6A-BC13D8B541E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B2E1E152-2CCA-4AA1-AC65-BD72CE32E783}"/>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365DF888-4B15-439F-914D-6ED1523A41E7}"/>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DD82D18-1D38-475F-B860-C13633E480D5}"/>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EF7988D0-F112-4E7F-8BE8-657A096E018E}"/>
            </a:ext>
          </a:extLst>
        </xdr:cNvPr>
        <xdr:cNvGrpSpPr>
          <a:grpSpLocks/>
        </xdr:cNvGrpSpPr>
      </xdr:nvGrpSpPr>
      <xdr:grpSpPr bwMode="auto">
        <a:xfrm>
          <a:off x="1443445" y="3952058"/>
          <a:ext cx="3320144" cy="2941864"/>
          <a:chOff x="109006479" y="108810028"/>
          <a:chExt cx="2345294" cy="2496740"/>
        </a:xfrm>
      </xdr:grpSpPr>
      <xdr:pic>
        <xdr:nvPicPr>
          <xdr:cNvPr id="28" name="Picture 27">
            <a:extLst>
              <a:ext uri="{FF2B5EF4-FFF2-40B4-BE49-F238E27FC236}">
                <a16:creationId xmlns:a16="http://schemas.microsoft.com/office/drawing/2014/main" id="{7D6D01A2-8B82-464F-A325-474670E324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8E7693BE-C74D-4AD7-82D0-E69AA53E420D}"/>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66EB5B68-FE86-4C56-B04F-A826667AAFF1}"/>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F898DAAB-7267-413B-B321-FD8C47532083}"/>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9ADD021F-DE8E-4178-BC40-711799F3368F}"/>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C8CD9FAE-E19A-43B2-A4C5-7FE16007EA14}"/>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D91A5529-5A4D-4B69-89A2-D1A909749005}"/>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9DA9E205-DF2C-401B-A680-12E4C9A53919}"/>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E2DF008E-521C-4E0D-9A6D-03AE14FD9B57}"/>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F9486776-B0D2-4ECC-B5D0-2A1E5463D677}"/>
            </a:ext>
          </a:extLst>
        </xdr:cNvPr>
        <xdr:cNvGrpSpPr>
          <a:grpSpLocks/>
        </xdr:cNvGrpSpPr>
      </xdr:nvGrpSpPr>
      <xdr:grpSpPr bwMode="auto">
        <a:xfrm>
          <a:off x="1511481" y="10511245"/>
          <a:ext cx="3171824" cy="3094263"/>
          <a:chOff x="108970767" y="109045772"/>
          <a:chExt cx="2361006" cy="2514609"/>
        </a:xfrm>
      </xdr:grpSpPr>
      <xdr:pic>
        <xdr:nvPicPr>
          <xdr:cNvPr id="38" name="Picture 37">
            <a:extLst>
              <a:ext uri="{FF2B5EF4-FFF2-40B4-BE49-F238E27FC236}">
                <a16:creationId xmlns:a16="http://schemas.microsoft.com/office/drawing/2014/main" id="{3687ACE3-0AF7-458A-8983-97A314DF6D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3FE21A26-A65A-4598-911F-8C6DF71DFAAA}"/>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BBB95E12-3F50-4FCA-B10B-1BA62B78AE25}"/>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BAC49C05-363E-4069-98BF-91196BB7BDA8}"/>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3217C6E0-8C9A-4ED1-9EB5-88D46F39907B}"/>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B80E9897-F20C-4807-AD6D-075D4072CF94}"/>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D748E93A-6787-4602-B4DC-C7C727413AEE}"/>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967DDB1E-D914-4E40-93D3-3CD6A0B272C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18838B25-6F4F-4BCE-9BFA-39144510E1BC}"/>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6F6D725A-D59F-4C32-B497-D3DED8757714}"/>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8A099248-FDC9-40E2-8ECC-C4495C95B12F}"/>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D72E2D56-37BA-430E-9FFF-50B3524DBD03}"/>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AA813914-37D5-4818-811C-9CF8B7CC0D17}"/>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EB17642F-E991-4097-996D-93B4FFB6722F}"/>
            </a:ext>
          </a:extLst>
        </xdr:cNvPr>
        <xdr:cNvGrpSpPr>
          <a:grpSpLocks/>
        </xdr:cNvGrpSpPr>
      </xdr:nvGrpSpPr>
      <xdr:grpSpPr bwMode="auto">
        <a:xfrm>
          <a:off x="1387657" y="13784035"/>
          <a:ext cx="3457575" cy="2985408"/>
          <a:chOff x="108970767" y="109045772"/>
          <a:chExt cx="2357433" cy="2055257"/>
        </a:xfrm>
      </xdr:grpSpPr>
      <xdr:grpSp>
        <xdr:nvGrpSpPr>
          <xdr:cNvPr id="15399" name="Group 39">
            <a:extLst>
              <a:ext uri="{FF2B5EF4-FFF2-40B4-BE49-F238E27FC236}">
                <a16:creationId xmlns:a16="http://schemas.microsoft.com/office/drawing/2014/main" id="{CFAECCAC-6E89-46CE-8542-A3872C27030E}"/>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8258AB2A-6FC0-43A2-835B-AB0D66DC06F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B115CD04-4DAC-47CB-9429-B3237D22C925}"/>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3B5CD9EF-04A3-414C-836E-3669173DECA9}"/>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7BC1F735-DC2D-4715-A428-8F56984A628F}"/>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906FD33-5C90-42EF-8725-79160C420BB2}"/>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68A0D22D-DB6B-48B3-B0ED-EB8D7973448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7BB7692D-864A-42A6-B439-48AE1A63CA26}"/>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FB227030-CA97-41D1-872F-35257A8C50EF}"/>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Website tests"/>
      <sheetName val="Testing"/>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Pipe_to_strut</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37D4041-D313-4B08-AE93-874487178111}"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2" totalsRowShown="0">
  <autoFilter ref="E1:E2"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H1:H12" totalsRowShown="0" dataDxfId="46">
  <autoFilter ref="H1:H12" xr:uid="{91A84ACA-9397-44DA-8055-2BAF53340280}"/>
  <tableColumns count="1">
    <tableColumn id="1" xr3:uid="{8E5EEDC6-648B-4675-B382-FBDE0CEEA36C}" name="Conduit sizes" data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5" totalsRowShown="0">
  <autoFilter ref="C1:C5"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K1:K12" totalsRowShown="0">
  <autoFilter ref="K1:K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M1:M20" totalsRowShown="0">
  <autoFilter ref="M1:M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O1:O5" totalsRowShown="0">
  <autoFilter ref="O1:O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Q1:Q7" totalsRowShown="0">
  <autoFilter ref="Q1:Q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S1:S7" totalsRowShown="0">
  <autoFilter ref="S1:S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U1:U4" totalsRowShown="0">
  <autoFilter ref="U1:U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W1:W3" totalsRowShown="0">
  <autoFilter ref="W1:W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Y1:Y3" totalsRowShown="0">
  <autoFilter ref="Y1:Y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4">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43">
  <autoFilter ref="A1:AC241" xr:uid="{12C50D2E-CB36-4F5E-9184-831F98097B7E}"/>
  <tableColumns count="29">
    <tableColumn id="1" xr3:uid="{F8D753F0-DC8F-4C8A-A731-E0F5BF2ECD81}" name="Item number" dataDxfId="42"/>
    <tableColumn id="2" xr3:uid="{5AE67C57-FBEE-48C2-A8E9-242D77DEE3B0}" name="Description" dataDxfId="41"/>
    <tableColumn id="3" xr3:uid="{D9E9E21D-7D4E-4FDF-9AC3-5540A0095818}" name="Height (in)" dataDxfId="40">
      <calculatedColumnFormula>E2+1.675</calculatedColumnFormula>
    </tableColumn>
    <tableColumn id="4" xr3:uid="{8CFAFDF0-17E9-4BE0-B90D-9693A1EC979D}" name="Width (in)" dataDxfId="39">
      <calculatedColumnFormula>F2+1.675+12.376</calculatedColumnFormula>
    </tableColumn>
    <tableColumn id="5" xr3:uid="{A5AE4AE3-3969-4FB1-B90A-7679A6CCA988}" name="Strut height (in)" dataDxfId="38"/>
    <tableColumn id="6" xr3:uid="{A5A24B87-6BB5-47A3-89BC-8B9D97C976AE}" name="Width between uprights (in)" dataDxfId="37"/>
    <tableColumn id="7" xr3:uid="{D296A186-5B9B-4D44-A0D9-061AF6DAD0E9}" name="Width between brackets" dataDxfId="36">
      <calculatedColumnFormula>F2-(1.88*2)</calculatedColumnFormula>
    </tableColumn>
    <tableColumn id="8" xr3:uid="{3772BB46-8596-403E-B4CD-08CA180CC31D}" name="Extra supports" dataDxfId="35"/>
    <tableColumn id="9" xr3:uid="{FFD146C7-D5FE-4A49-98F5-E520D37CD50A}" name="Cross piece style" dataDxfId="34"/>
    <tableColumn id="10" xr3:uid="{8121702C-BF17-483A-8BEC-6EF69A948731}" name="cross piece quantity" dataDxfId="33"/>
    <tableColumn id="11" xr3:uid="{F034BE78-89A7-438A-A026-8FB7571FF4A4}" name="Distance between strut" dataDxfId="32">
      <calculatedColumnFormula>((F2)/(L2-1))-(H2*0.8125)</calculatedColumnFormula>
    </tableColumn>
    <tableColumn id="12" xr3:uid="{71D60462-CA8F-4AB2-85EA-B76A353B4B01}" name="Number of feet" dataDxfId="31">
      <calculatedColumnFormula>2+(H2)</calculatedColumnFormula>
    </tableColumn>
    <tableColumn id="13" xr3:uid="{1FF7A4E3-F5B8-4B31-922E-7A47B2D41A91}" name="Number of bolts" dataDxfId="30">
      <calculatedColumnFormula>3*N2</calculatedColumnFormula>
    </tableColumn>
    <tableColumn id="14" xr3:uid="{D2015818-56BE-48B3-A3C6-825D544FD922}" name="number of L-brackets" dataDxfId="29">
      <calculatedColumnFormula>(2+(2*H2))*J2</calculatedColumnFormula>
    </tableColumn>
    <tableColumn id="15" xr3:uid="{F683A236-07E1-44EF-916D-3F5CDB9F100B}" name="Total feet of strut" dataDxfId="28">
      <calculatedColumnFormula>((E2*(L2+H2))+(F2*J2))/12</calculatedColumnFormula>
    </tableColumn>
    <tableColumn id="16" xr3:uid="{B76D8DCC-0691-4282-8002-E9C1F753926B}" name="Sticks of strut required" dataDxfId="27">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6">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25">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24">
      <calculatedColumnFormula>_xlfn.XLOOKUP(HFrame_List[[#This Row],[Fabrication type]],Fabrication_costs[Fabrication type],Fabrication_costs[unit pricing],"no result",0)</calculatedColumnFormula>
    </tableColumn>
    <tableColumn id="21" xr3:uid="{96507D35-C80E-43C2-96D1-A1376857FA64}" name="Price (est)" dataDxfId="23">
      <calculatedColumnFormula>SUM(T2:U2)/(1-HFrame_List[[#This Row],[Margin]])</calculatedColumnFormula>
    </tableColumn>
    <tableColumn id="23" xr3:uid="{106FA828-8118-46CA-86B4-1E3211BEF50D}" name="Margin" dataCellStyle="Percent"/>
    <tableColumn id="24" xr3:uid="{BE93F725-A6B7-46F5-9B49-9E7ED604CD2F}" name="Fabrication type" dataDxfId="22" dataCellStyle="Percent"/>
    <tableColumn id="25" xr3:uid="{9F153298-31B8-4F55-9DB1-5B5697017C3D}" name="Vertical strut cost" dataDxfId="21">
      <calculatedColumnFormula>_xlfn.XLOOKUP("A12",Strut_costs[size],Strut_costs[Strut cost])/12*HFrame_List[[#This Row],[Strut height (in)]]*(2+HFrame_List[[#This Row],[Extra supports]])</calculatedColumnFormula>
    </tableColumn>
    <tableColumn id="26" xr3:uid="{C8FF4787-32D1-4E7A-9158-2869CDCF1E9C}" name="Component costs" dataDxfId="20">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9"/>
    <tableColumn id="28" xr3:uid="{EA006287-6B1E-4CF7-A760-ABB54B613DDC}" name="4x6 pallet" dataDxfId="18">
      <calculatedColumnFormula>VLOOKUP(HFrame_List[[#This Row],[lookup]],'Pallet and shipping info'!$A$5:$H$33,6,FALSE)</calculatedColumnFormula>
    </tableColumn>
    <tableColumn id="29" xr3:uid="{A60C9DF3-AFCF-4D89-867F-00F1A91EF005}" name="4x8 pallet" dataDxfId="17">
      <calculatedColumnFormula>VLOOKUP(HFrame_List[[#This Row],[lookup]],'Pallet and shipping info'!$A$5:$H$33,8,FALSE)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6">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15">
  <autoFilter ref="AK1:AL7" xr:uid="{4D8BDB66-2B9D-4F20-B698-8E49D5985540}"/>
  <tableColumns count="2">
    <tableColumn id="1" xr3:uid="{10882B3E-49B4-4690-BB2B-61679E1B9962}" name="Fabrication type"/>
    <tableColumn id="2" xr3:uid="{F4009DDC-F53E-4697-A7F5-C3EB18604F93}" name="unit pricing" dataDxfId="1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13">
  <autoFilter ref="AN1:AO3" xr:uid="{111F729B-EAE6-43C6-A22C-3350AF35F69B}"/>
  <tableColumns count="2">
    <tableColumn id="1" xr3:uid="{BCE31027-F49B-4E07-9D92-A48D2EE292F5}" name="Component"/>
    <tableColumn id="2" xr3:uid="{00B98418-4B7C-4EAF-B67E-C409EC01DE4A}" name="Current cost" dataDxfId="1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11"/>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10"/>
    <tableColumn id="8" xr3:uid="{1BCF781F-95F4-480D-9BA2-1CCFD418CBFC}" name="Labor cost" dataDxfId="9">
      <calculatedColumnFormula>H$2</calculatedColumnFormula>
    </tableColumn>
    <tableColumn id="9" xr3:uid="{CA10D561-0ED7-4C95-B60A-C03EFE0EFD44}" name="Price" dataDxfId="8">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2"/>
  <dimension ref="A1:U42"/>
  <sheetViews>
    <sheetView topLeftCell="A7" zoomScale="174" zoomScaleNormal="174" workbookViewId="0">
      <selection activeCell="C12" sqref="C12"/>
    </sheetView>
  </sheetViews>
  <sheetFormatPr defaultColWidth="9.109375" defaultRowHeight="13.8" x14ac:dyDescent="0.25"/>
  <cols>
    <col min="1" max="1" width="9.109375" style="13"/>
    <col min="2" max="2" width="68.5546875" style="13" customWidth="1"/>
    <col min="3" max="3" width="31.44140625" style="13" customWidth="1"/>
    <col min="4" max="4" width="27.5546875" style="13"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5" width="9.109375" style="13" customWidth="1"/>
    <col min="26" max="16384" width="9.109375" style="13"/>
  </cols>
  <sheetData>
    <row r="1" spans="1:21" x14ac:dyDescent="0.25">
      <c r="A1" s="80" t="s">
        <v>0</v>
      </c>
      <c r="B1" s="17" t="s">
        <v>1</v>
      </c>
      <c r="C1" s="17" t="s">
        <v>2</v>
      </c>
      <c r="D1" s="17"/>
      <c r="E1" s="17" t="s">
        <v>3</v>
      </c>
      <c r="F1" s="17"/>
      <c r="G1" s="17"/>
      <c r="H1" s="17" t="s">
        <v>4</v>
      </c>
      <c r="I1" s="17" t="s">
        <v>5</v>
      </c>
      <c r="J1" s="17" t="s">
        <v>6</v>
      </c>
      <c r="L1" s="17" t="s">
        <v>7</v>
      </c>
    </row>
    <row r="2" spans="1:21" x14ac:dyDescent="0.25">
      <c r="A2" s="80"/>
      <c r="B2" s="25"/>
      <c r="C2" s="25"/>
      <c r="D2" s="16"/>
      <c r="E2" s="81"/>
      <c r="F2" s="81"/>
      <c r="G2" s="81"/>
      <c r="H2" s="25"/>
      <c r="I2" s="25"/>
      <c r="J2" s="25"/>
      <c r="L2" s="47" t="s">
        <v>8</v>
      </c>
    </row>
    <row r="3" spans="1:21" x14ac:dyDescent="0.25">
      <c r="A3" s="80"/>
      <c r="E3" s="14"/>
      <c r="F3" s="14"/>
      <c r="G3" s="14"/>
    </row>
    <row r="4" spans="1:21" x14ac:dyDescent="0.25">
      <c r="A4" s="80"/>
      <c r="B4" s="13" t="s">
        <v>9</v>
      </c>
      <c r="C4" s="26" t="s">
        <v>794</v>
      </c>
      <c r="E4" s="82"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82"/>
      <c r="G4" s="82"/>
      <c r="H4" s="82"/>
      <c r="I4" s="82"/>
      <c r="J4" s="82"/>
      <c r="K4" s="82"/>
      <c r="L4" s="82"/>
      <c r="M4" s="82"/>
      <c r="T4" s="13" t="s">
        <v>9</v>
      </c>
    </row>
    <row r="5" spans="1:21" x14ac:dyDescent="0.25">
      <c r="A5" s="80"/>
      <c r="B5" s="13" t="s">
        <v>11</v>
      </c>
      <c r="C5" s="86">
        <v>100</v>
      </c>
      <c r="E5" s="82"/>
      <c r="F5" s="82"/>
      <c r="G5" s="82"/>
      <c r="H5" s="82"/>
      <c r="I5" s="82"/>
      <c r="J5" s="82"/>
      <c r="K5" s="82"/>
      <c r="L5" s="82"/>
      <c r="M5" s="82"/>
      <c r="T5" s="13" t="s">
        <v>12</v>
      </c>
    </row>
    <row r="6" spans="1:21" x14ac:dyDescent="0.25">
      <c r="A6" s="80"/>
      <c r="B6" s="13" t="s">
        <v>13</v>
      </c>
      <c r="C6" s="86"/>
      <c r="E6" s="82"/>
      <c r="F6" s="82"/>
      <c r="G6" s="82"/>
      <c r="H6" s="82"/>
      <c r="I6" s="82"/>
      <c r="J6" s="82"/>
      <c r="K6" s="82"/>
      <c r="L6" s="82"/>
      <c r="M6" s="82"/>
      <c r="T6" s="13" t="s">
        <v>13</v>
      </c>
    </row>
    <row r="7" spans="1:21" x14ac:dyDescent="0.25">
      <c r="A7" s="80"/>
      <c r="B7" s="13" t="s">
        <v>14</v>
      </c>
      <c r="C7" s="85">
        <v>13</v>
      </c>
      <c r="E7" s="82"/>
      <c r="F7" s="82"/>
      <c r="G7" s="82"/>
      <c r="H7" s="82"/>
      <c r="I7" s="82"/>
      <c r="J7" s="82"/>
      <c r="K7" s="82"/>
      <c r="L7" s="82"/>
      <c r="M7" s="82"/>
      <c r="T7" s="13" t="s">
        <v>14</v>
      </c>
    </row>
    <row r="8" spans="1:21" x14ac:dyDescent="0.25">
      <c r="A8" s="80"/>
      <c r="B8" s="13" t="s">
        <v>15</v>
      </c>
      <c r="C8" s="84">
        <v>1</v>
      </c>
      <c r="E8" s="82"/>
      <c r="F8" s="82"/>
      <c r="G8" s="82"/>
      <c r="H8" s="82"/>
      <c r="I8" s="82"/>
      <c r="J8" s="82"/>
      <c r="K8" s="82"/>
      <c r="L8" s="82"/>
      <c r="M8" s="82"/>
    </row>
    <row r="9" spans="1:21" x14ac:dyDescent="0.25">
      <c r="A9" s="80"/>
      <c r="B9" s="13" t="s">
        <v>16</v>
      </c>
      <c r="C9" s="85">
        <v>10</v>
      </c>
      <c r="D9" s="48" t="s">
        <v>17</v>
      </c>
      <c r="E9" s="82"/>
      <c r="F9" s="82"/>
      <c r="G9" s="82"/>
      <c r="H9" s="82"/>
      <c r="I9" s="82"/>
      <c r="J9" s="82"/>
      <c r="K9" s="82"/>
      <c r="L9" s="82"/>
      <c r="M9" s="82"/>
      <c r="T9" s="13" t="s">
        <v>16</v>
      </c>
    </row>
    <row r="10" spans="1:21" x14ac:dyDescent="0.25">
      <c r="A10" s="19"/>
      <c r="C10" s="20"/>
      <c r="D10" s="15"/>
      <c r="T10" s="13" t="s">
        <v>824</v>
      </c>
      <c r="U10" s="13" t="s">
        <v>825</v>
      </c>
    </row>
    <row r="11" spans="1:21" ht="17.399999999999999" x14ac:dyDescent="0.3">
      <c r="A11" s="18"/>
      <c r="C11" s="20" t="str">
        <f>IF($C$18="yes",T10,"")</f>
        <v/>
      </c>
      <c r="D11" s="20" t="str">
        <f>IF($C$18="yes",U10,"")</f>
        <v/>
      </c>
    </row>
    <row r="12" spans="1:21" x14ac:dyDescent="0.25">
      <c r="A12" s="80" t="str">
        <f>IF(C$4="pipe","Pipe","")</f>
        <v/>
      </c>
      <c r="B12" s="13" t="str">
        <f>IF(C$4="conduit",T12,"")</f>
        <v>What material is the conduit?</v>
      </c>
      <c r="C12" s="85" t="s">
        <v>814</v>
      </c>
      <c r="D12" s="26" t="s">
        <v>814</v>
      </c>
      <c r="K12" s="13" t="s">
        <v>21</v>
      </c>
      <c r="T12" s="13" t="s">
        <v>821</v>
      </c>
    </row>
    <row r="13" spans="1:21" x14ac:dyDescent="0.25">
      <c r="A13" s="80"/>
      <c r="B13" s="13" t="str">
        <f>IF(C$4="conduit",T13,"")</f>
        <v xml:space="preserve"> </v>
      </c>
      <c r="C13" s="26"/>
      <c r="D13" s="26"/>
      <c r="K13" s="23" t="e">
        <f>Calculations!#REF!</f>
        <v>#REF!</v>
      </c>
      <c r="L13" s="14" t="s">
        <v>24</v>
      </c>
      <c r="T13" s="13" t="s">
        <v>91</v>
      </c>
    </row>
    <row r="14" spans="1:21" x14ac:dyDescent="0.25">
      <c r="A14" s="80"/>
      <c r="B14" s="13" t="str">
        <f>IF(C$4="conduit",T14,"")</f>
        <v>What size is the conduit?</v>
      </c>
      <c r="C14" s="85">
        <v>0.5</v>
      </c>
      <c r="D14" s="26">
        <v>3</v>
      </c>
      <c r="K14" s="23">
        <f>'H-frame item list'!E245</f>
        <v>0</v>
      </c>
      <c r="L14" s="13" t="s">
        <v>25</v>
      </c>
      <c r="T14" s="13" t="s">
        <v>822</v>
      </c>
    </row>
    <row r="15" spans="1:21" x14ac:dyDescent="0.25">
      <c r="A15" s="80"/>
      <c r="C15" s="75"/>
      <c r="D15" s="26"/>
      <c r="K15" s="20">
        <f>'H-frame item list'!F245</f>
        <v>0</v>
      </c>
      <c r="L15" s="13" t="s">
        <v>26</v>
      </c>
      <c r="T15" s="13" t="s">
        <v>823</v>
      </c>
    </row>
    <row r="16" spans="1:21" x14ac:dyDescent="0.25">
      <c r="A16" s="80"/>
      <c r="B16" s="13" t="str">
        <f>IF(C$4="conduit",T16,"")</f>
        <v>What type of hanger is required for this pipe?</v>
      </c>
      <c r="C16" s="86" t="s">
        <v>833</v>
      </c>
      <c r="D16" s="26" t="s">
        <v>833</v>
      </c>
      <c r="K16" s="20">
        <f>C7</f>
        <v>13</v>
      </c>
      <c r="L16" s="14" t="s">
        <v>28</v>
      </c>
      <c r="T16" s="13" t="s">
        <v>29</v>
      </c>
    </row>
    <row r="17" spans="1:20" x14ac:dyDescent="0.25">
      <c r="A17" s="80"/>
      <c r="B17" s="13" t="str">
        <f>IF(C$4="conduit",T17,"")</f>
        <v>How many of this pipe do you need supported side by side?</v>
      </c>
      <c r="C17" s="85">
        <v>9</v>
      </c>
      <c r="D17" s="26">
        <v>2</v>
      </c>
      <c r="K17" s="23" t="e">
        <f>Calculations!#REF!</f>
        <v>#REF!</v>
      </c>
      <c r="L17" s="14" t="s">
        <v>30</v>
      </c>
      <c r="T17" s="13" t="s">
        <v>31</v>
      </c>
    </row>
    <row r="18" spans="1:20" x14ac:dyDescent="0.25">
      <c r="A18" s="80"/>
      <c r="B18" s="13" t="str">
        <f>IF(C$4="conduit",T18,"")</f>
        <v>Do you need to run other pipe configurations on the same frame? (2 max)</v>
      </c>
      <c r="C18" s="86" t="s">
        <v>862</v>
      </c>
      <c r="D18" s="20"/>
      <c r="K18" s="20" t="e">
        <f>Calculations!#REF!</f>
        <v>#REF!</v>
      </c>
      <c r="L18" s="14" t="s">
        <v>32</v>
      </c>
      <c r="T18" s="13" t="s">
        <v>33</v>
      </c>
    </row>
    <row r="19" spans="1:20" x14ac:dyDescent="0.25">
      <c r="A19" s="80"/>
      <c r="B19" s="13" t="str">
        <f>IF(C$4="conduit",T15,"")</f>
        <v>What is the percent fill of wires in conduit? (default is 53)</v>
      </c>
      <c r="C19" s="87">
        <v>31</v>
      </c>
      <c r="D19" s="79">
        <v>80</v>
      </c>
      <c r="K19" s="20" t="e">
        <f>Calculations!#REF!</f>
        <v>#REF!</v>
      </c>
      <c r="L19" s="14" t="s">
        <v>34</v>
      </c>
      <c r="T19" s="13" t="s">
        <v>35</v>
      </c>
    </row>
    <row r="20" spans="1:20" ht="17.399999999999999" x14ac:dyDescent="0.3">
      <c r="A20" s="18"/>
      <c r="B20" s="13" t="s">
        <v>847</v>
      </c>
      <c r="C20" s="88">
        <v>5</v>
      </c>
    </row>
    <row r="21" spans="1:20" ht="14.25" customHeight="1" x14ac:dyDescent="0.25">
      <c r="A21" s="80"/>
      <c r="C21" s="26"/>
      <c r="T21" s="13" t="s">
        <v>36</v>
      </c>
    </row>
    <row r="22" spans="1:20" x14ac:dyDescent="0.25">
      <c r="A22" s="80"/>
      <c r="C22" s="26"/>
      <c r="T22" s="13" t="s">
        <v>37</v>
      </c>
    </row>
    <row r="23" spans="1:20" x14ac:dyDescent="0.25">
      <c r="A23" s="80"/>
      <c r="C23" s="26"/>
      <c r="T23" s="13" t="s">
        <v>38</v>
      </c>
    </row>
    <row r="24" spans="1:20" x14ac:dyDescent="0.25">
      <c r="A24" s="80"/>
      <c r="C24" s="26"/>
      <c r="T24" s="13" t="s">
        <v>39</v>
      </c>
    </row>
    <row r="25" spans="1:20" x14ac:dyDescent="0.25">
      <c r="A25" s="80"/>
      <c r="C25" s="26"/>
      <c r="T25" s="13" t="s">
        <v>40</v>
      </c>
    </row>
    <row r="26" spans="1:20" x14ac:dyDescent="0.25">
      <c r="A26" s="80"/>
      <c r="C26" s="26"/>
      <c r="T26" s="13" t="s">
        <v>41</v>
      </c>
    </row>
    <row r="27" spans="1:20" x14ac:dyDescent="0.25">
      <c r="A27" s="80"/>
      <c r="C27" s="26"/>
      <c r="T27" s="13" t="s">
        <v>42</v>
      </c>
    </row>
    <row r="28" spans="1:20" x14ac:dyDescent="0.25">
      <c r="A28" s="80"/>
      <c r="C28" s="26"/>
      <c r="D28" s="13" t="str">
        <f>IF(C4="Duct",T30,"")</f>
        <v/>
      </c>
      <c r="T28" s="13" t="s">
        <v>43</v>
      </c>
    </row>
    <row r="29" spans="1:20" x14ac:dyDescent="0.25">
      <c r="A29" s="80"/>
      <c r="C29" s="26"/>
      <c r="D29" s="23" t="str">
        <f>IFERROR(Calculations!#REF!,"")</f>
        <v/>
      </c>
      <c r="T29" s="13" t="s">
        <v>44</v>
      </c>
    </row>
    <row r="30" spans="1:20" ht="17.399999999999999" x14ac:dyDescent="0.3">
      <c r="A30" s="18"/>
      <c r="C30" s="20"/>
      <c r="T30" s="13" t="s">
        <v>45</v>
      </c>
    </row>
    <row r="31" spans="1:20" x14ac:dyDescent="0.25">
      <c r="A31" s="80"/>
      <c r="C31" s="26"/>
      <c r="E31" s="13" t="s">
        <v>46</v>
      </c>
      <c r="T31" s="13" t="s">
        <v>47</v>
      </c>
    </row>
    <row r="32" spans="1:20" x14ac:dyDescent="0.25">
      <c r="A32" s="80"/>
      <c r="C32" s="26"/>
      <c r="E32" s="13" t="s">
        <v>48</v>
      </c>
      <c r="T32" s="13" t="s">
        <v>49</v>
      </c>
    </row>
    <row r="33" spans="1:20" x14ac:dyDescent="0.25">
      <c r="A33" s="80"/>
      <c r="C33" s="26"/>
      <c r="E33" s="13" t="s">
        <v>50</v>
      </c>
      <c r="T33" s="13" t="s">
        <v>51</v>
      </c>
    </row>
    <row r="34" spans="1:20" x14ac:dyDescent="0.25">
      <c r="A34" s="80"/>
      <c r="C34" s="26"/>
      <c r="T34" s="13" t="s">
        <v>52</v>
      </c>
    </row>
    <row r="35" spans="1:20" x14ac:dyDescent="0.25">
      <c r="C35" s="20"/>
    </row>
    <row r="36" spans="1:20" x14ac:dyDescent="0.25">
      <c r="C36" s="20"/>
    </row>
    <row r="37" spans="1:20" x14ac:dyDescent="0.25">
      <c r="C37" s="20"/>
      <c r="H37" s="24"/>
    </row>
    <row r="38" spans="1:20" x14ac:dyDescent="0.25">
      <c r="C38" s="20"/>
      <c r="H38" s="24"/>
    </row>
    <row r="39" spans="1:20" x14ac:dyDescent="0.25">
      <c r="C39" s="20"/>
      <c r="H39" s="24"/>
    </row>
    <row r="40" spans="1:20" x14ac:dyDescent="0.25">
      <c r="C40" s="20"/>
      <c r="H40" s="24"/>
    </row>
    <row r="41" spans="1:20" x14ac:dyDescent="0.25">
      <c r="C41" s="20"/>
      <c r="H41" s="24"/>
    </row>
    <row r="42" spans="1:20" x14ac:dyDescent="0.25">
      <c r="C42" s="20"/>
    </row>
  </sheetData>
  <mergeCells count="6">
    <mergeCell ref="A31:A34"/>
    <mergeCell ref="A21:A29"/>
    <mergeCell ref="E2:G2"/>
    <mergeCell ref="A1:A9"/>
    <mergeCell ref="A12:A19"/>
    <mergeCell ref="E4:M9"/>
  </mergeCells>
  <phoneticPr fontId="2" type="noConversion"/>
  <conditionalFormatting sqref="C4:C14 C16:C18 C20:C42">
    <cfRule type="expression" dxfId="5" priority="1">
      <formula>$B4&lt;&gt;""</formula>
    </cfRule>
  </conditionalFormatting>
  <conditionalFormatting sqref="C15">
    <cfRule type="expression" dxfId="4" priority="8">
      <formula>$B19&lt;&gt;""</formula>
    </cfRule>
  </conditionalFormatting>
  <conditionalFormatting sqref="C19">
    <cfRule type="expression" dxfId="3" priority="9">
      <formula>#REF!&lt;&gt;""</formula>
    </cfRule>
  </conditionalFormatting>
  <conditionalFormatting sqref="D11">
    <cfRule type="expression" dxfId="2" priority="6">
      <formula>$B11&lt;&gt;""</formula>
    </cfRule>
  </conditionalFormatting>
  <conditionalFormatting sqref="D12:D17">
    <cfRule type="expression" dxfId="1" priority="2">
      <formula>$C$18="Yes"</formula>
    </cfRule>
  </conditionalFormatting>
  <conditionalFormatting sqref="D29">
    <cfRule type="expression" dxfId="0" priority="5">
      <formula>$B29&lt;&gt;""</formula>
    </cfRule>
  </conditionalFormatting>
  <dataValidations count="16">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4" xr:uid="{C00ADE3B-6484-4BBE-9CB6-578536440803}">
      <formula1>INDIRECT("Duct_gauges")</formula1>
    </dataValidation>
    <dataValidation type="list" allowBlank="1" showInputMessage="1" showErrorMessage="1" sqref="C25" xr:uid="{47C837F0-ACD2-460C-AAB9-B1A48601BD00}">
      <formula1>INDIRECT("Duct_insulation_density")</formula1>
    </dataValidation>
    <dataValidation type="list" allowBlank="1" showInputMessage="1" showErrorMessage="1" sqref="C26" xr:uid="{E8677995-09F5-4220-A75C-CEFBCC2C6C48}">
      <formula1>INDIRECT("Duct_insulation_thickness")</formula1>
    </dataValidation>
    <dataValidation type="list" allowBlank="1" showInputMessage="1" showErrorMessage="1" sqref="C34 C2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C28" xr:uid="{34000D3F-6605-4F28-B4EA-8AA505E3C720}">
      <formula1>INDIRECT("Duct_segments")</formula1>
    </dataValidation>
    <dataValidation type="list" allowBlank="1" showInputMessage="1" showErrorMessage="1" sqref="C2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18E0-B744-438C-84F4-CDEC1A0FAFDE}">
  <sheetPr codeName="Sheet18"/>
  <dimension ref="A1:L13"/>
  <sheetViews>
    <sheetView tabSelected="1" workbookViewId="0">
      <selection activeCell="D21" sqref="D21"/>
    </sheetView>
  </sheetViews>
  <sheetFormatPr defaultRowHeight="14.4" x14ac:dyDescent="0.3"/>
  <cols>
    <col min="1" max="1" width="9.109375" bestFit="1" customWidth="1"/>
    <col min="2" max="2" width="7.77734375" bestFit="1" customWidth="1"/>
    <col min="3" max="3" width="10.109375" bestFit="1" customWidth="1"/>
    <col min="4" max="4" width="30.77734375" bestFit="1" customWidth="1"/>
    <col min="5" max="5" width="9.33203125" bestFit="1" customWidth="1"/>
    <col min="6" max="6" width="3.77734375" bestFit="1" customWidth="1"/>
    <col min="7" max="7" width="10.5546875" bestFit="1" customWidth="1"/>
    <col min="8" max="8" width="13.77734375" bestFit="1" customWidth="1"/>
    <col min="9" max="9" width="13.88671875" bestFit="1" customWidth="1"/>
    <col min="10" max="10" width="19.109375" bestFit="1" customWidth="1"/>
    <col min="11" max="11" width="13.44140625" bestFit="1" customWidth="1"/>
    <col min="12" max="12" width="11.77734375" bestFit="1" customWidth="1"/>
  </cols>
  <sheetData>
    <row r="1" spans="1:12" x14ac:dyDescent="0.3">
      <c r="A1" t="s">
        <v>850</v>
      </c>
      <c r="B1" t="s">
        <v>851</v>
      </c>
      <c r="C1" t="s">
        <v>852</v>
      </c>
      <c r="D1" t="s">
        <v>853</v>
      </c>
      <c r="E1" t="s">
        <v>854</v>
      </c>
      <c r="F1" t="s">
        <v>855</v>
      </c>
      <c r="G1" t="s">
        <v>856</v>
      </c>
      <c r="H1" t="s">
        <v>857</v>
      </c>
      <c r="I1" t="s">
        <v>858</v>
      </c>
      <c r="J1" t="s">
        <v>859</v>
      </c>
      <c r="K1" t="s">
        <v>860</v>
      </c>
      <c r="L1" t="s">
        <v>861</v>
      </c>
    </row>
    <row r="2" spans="1:12" x14ac:dyDescent="0.3">
      <c r="A2">
        <v>24</v>
      </c>
      <c r="B2">
        <v>6</v>
      </c>
      <c r="C2">
        <v>20</v>
      </c>
      <c r="D2" t="s">
        <v>811</v>
      </c>
      <c r="E2">
        <v>3.5</v>
      </c>
      <c r="F2">
        <v>31</v>
      </c>
      <c r="G2">
        <v>3</v>
      </c>
      <c r="H2">
        <v>100</v>
      </c>
      <c r="I2">
        <v>42.726870678646243</v>
      </c>
      <c r="J2">
        <v>34.5</v>
      </c>
      <c r="K2">
        <v>10</v>
      </c>
      <c r="L2">
        <v>11</v>
      </c>
    </row>
    <row r="3" spans="1:12" x14ac:dyDescent="0.3">
      <c r="A3">
        <v>19</v>
      </c>
      <c r="B3">
        <v>6</v>
      </c>
      <c r="C3">
        <v>60</v>
      </c>
      <c r="D3" t="s">
        <v>817</v>
      </c>
      <c r="E3">
        <v>4</v>
      </c>
      <c r="F3">
        <v>40</v>
      </c>
      <c r="G3">
        <v>7</v>
      </c>
      <c r="H3">
        <v>100</v>
      </c>
      <c r="I3">
        <v>153.061634253736</v>
      </c>
      <c r="J3">
        <v>76</v>
      </c>
      <c r="K3">
        <v>5.5</v>
      </c>
      <c r="L3">
        <v>20</v>
      </c>
    </row>
    <row r="4" spans="1:12" x14ac:dyDescent="0.3">
      <c r="A4">
        <v>19</v>
      </c>
      <c r="B4">
        <v>7</v>
      </c>
      <c r="C4">
        <v>20</v>
      </c>
      <c r="D4" t="s">
        <v>814</v>
      </c>
      <c r="E4">
        <v>3</v>
      </c>
      <c r="F4">
        <v>31</v>
      </c>
      <c r="G4">
        <v>3</v>
      </c>
      <c r="H4">
        <v>100</v>
      </c>
      <c r="I4">
        <v>29.254169640415139</v>
      </c>
      <c r="J4">
        <v>37</v>
      </c>
      <c r="K4">
        <v>17</v>
      </c>
      <c r="L4">
        <v>7</v>
      </c>
    </row>
    <row r="5" spans="1:12" x14ac:dyDescent="0.3">
      <c r="A5">
        <v>13</v>
      </c>
      <c r="B5">
        <v>2</v>
      </c>
      <c r="C5">
        <v>0</v>
      </c>
      <c r="D5" t="s">
        <v>814</v>
      </c>
      <c r="E5">
        <v>4</v>
      </c>
      <c r="F5">
        <v>53</v>
      </c>
      <c r="G5">
        <v>8</v>
      </c>
      <c r="H5">
        <v>100</v>
      </c>
      <c r="I5">
        <v>220.27868401382065</v>
      </c>
      <c r="J5">
        <v>50</v>
      </c>
      <c r="K5">
        <v>2</v>
      </c>
      <c r="L5">
        <v>51</v>
      </c>
    </row>
    <row r="6" spans="1:12" x14ac:dyDescent="0.3">
      <c r="A6">
        <v>17</v>
      </c>
      <c r="B6">
        <v>5</v>
      </c>
      <c r="C6">
        <v>20</v>
      </c>
      <c r="D6" t="s">
        <v>814</v>
      </c>
      <c r="E6">
        <v>1</v>
      </c>
      <c r="F6">
        <v>40</v>
      </c>
      <c r="G6">
        <v>9</v>
      </c>
      <c r="H6">
        <v>100</v>
      </c>
      <c r="I6">
        <v>13.851471192712316</v>
      </c>
      <c r="J6">
        <v>59</v>
      </c>
      <c r="K6">
        <v>12</v>
      </c>
      <c r="L6">
        <v>10</v>
      </c>
    </row>
    <row r="7" spans="1:12" x14ac:dyDescent="0.3">
      <c r="A7">
        <v>22</v>
      </c>
      <c r="B7">
        <v>9</v>
      </c>
      <c r="C7">
        <v>10</v>
      </c>
      <c r="D7" t="s">
        <v>814</v>
      </c>
      <c r="E7">
        <v>0.75</v>
      </c>
      <c r="F7">
        <v>53</v>
      </c>
      <c r="G7">
        <v>4</v>
      </c>
      <c r="H7">
        <v>100</v>
      </c>
      <c r="I7">
        <v>4.9533902789978095</v>
      </c>
      <c r="J7">
        <v>48</v>
      </c>
      <c r="K7">
        <v>10</v>
      </c>
      <c r="L7">
        <v>11</v>
      </c>
    </row>
    <row r="8" spans="1:12" x14ac:dyDescent="0.3">
      <c r="A8">
        <v>18</v>
      </c>
      <c r="B8">
        <v>8</v>
      </c>
      <c r="C8">
        <v>0</v>
      </c>
      <c r="D8" t="s">
        <v>817</v>
      </c>
      <c r="E8">
        <v>1</v>
      </c>
      <c r="F8">
        <v>31</v>
      </c>
      <c r="G8">
        <v>4</v>
      </c>
      <c r="H8">
        <v>100</v>
      </c>
      <c r="I8">
        <v>5.0922087340501099</v>
      </c>
      <c r="J8">
        <v>44</v>
      </c>
      <c r="K8">
        <v>12</v>
      </c>
      <c r="L8">
        <v>10</v>
      </c>
    </row>
    <row r="9" spans="1:12" x14ac:dyDescent="0.3">
      <c r="A9">
        <v>22</v>
      </c>
      <c r="B9">
        <v>9</v>
      </c>
      <c r="C9">
        <v>60</v>
      </c>
      <c r="D9" t="s">
        <v>811</v>
      </c>
      <c r="E9">
        <v>2.5</v>
      </c>
      <c r="F9">
        <v>31</v>
      </c>
      <c r="G9">
        <v>6</v>
      </c>
      <c r="H9">
        <v>100</v>
      </c>
      <c r="I9">
        <v>43.591634229313946</v>
      </c>
      <c r="J9">
        <v>78</v>
      </c>
      <c r="K9">
        <v>10</v>
      </c>
      <c r="L9">
        <v>11</v>
      </c>
    </row>
    <row r="10" spans="1:12" x14ac:dyDescent="0.3">
      <c r="A10">
        <v>13</v>
      </c>
      <c r="B10">
        <v>7</v>
      </c>
      <c r="C10">
        <v>5</v>
      </c>
      <c r="D10" t="s">
        <v>811</v>
      </c>
      <c r="E10">
        <v>0.5</v>
      </c>
      <c r="F10">
        <v>53</v>
      </c>
      <c r="G10">
        <v>7</v>
      </c>
      <c r="H10">
        <v>100</v>
      </c>
      <c r="I10">
        <v>6.4761668921050211</v>
      </c>
      <c r="J10">
        <v>59.5</v>
      </c>
      <c r="K10">
        <v>10</v>
      </c>
      <c r="L10">
        <v>11</v>
      </c>
    </row>
    <row r="11" spans="1:12" x14ac:dyDescent="0.3">
      <c r="A11">
        <v>17</v>
      </c>
      <c r="B11">
        <v>5</v>
      </c>
      <c r="C11">
        <v>10</v>
      </c>
      <c r="D11" t="s">
        <v>811</v>
      </c>
      <c r="E11">
        <v>4</v>
      </c>
      <c r="F11">
        <v>40</v>
      </c>
      <c r="G11">
        <v>3</v>
      </c>
      <c r="H11">
        <v>100</v>
      </c>
      <c r="I11">
        <v>69.901390374337268</v>
      </c>
      <c r="J11">
        <v>32</v>
      </c>
      <c r="K11">
        <v>10</v>
      </c>
      <c r="L11">
        <v>11</v>
      </c>
    </row>
    <row r="12" spans="1:12" x14ac:dyDescent="0.3">
      <c r="A12">
        <v>22</v>
      </c>
      <c r="B12">
        <v>10</v>
      </c>
      <c r="C12">
        <v>5</v>
      </c>
      <c r="D12" t="s">
        <v>817</v>
      </c>
      <c r="E12">
        <v>3</v>
      </c>
      <c r="F12">
        <v>40</v>
      </c>
      <c r="G12">
        <v>1</v>
      </c>
      <c r="H12">
        <v>100</v>
      </c>
      <c r="I12">
        <v>12.844559626029122</v>
      </c>
      <c r="J12">
        <v>23</v>
      </c>
      <c r="K12">
        <v>20</v>
      </c>
      <c r="L12">
        <v>6</v>
      </c>
    </row>
    <row r="13" spans="1:12" x14ac:dyDescent="0.3">
      <c r="A13">
        <v>13</v>
      </c>
      <c r="B13">
        <v>5</v>
      </c>
      <c r="C13">
        <v>10</v>
      </c>
      <c r="D13" t="s">
        <v>814</v>
      </c>
      <c r="E13">
        <v>0.5</v>
      </c>
      <c r="F13">
        <v>31</v>
      </c>
      <c r="G13">
        <v>9</v>
      </c>
      <c r="H13">
        <v>100</v>
      </c>
      <c r="I13">
        <v>10.77764153406013</v>
      </c>
      <c r="J13">
        <v>54.5</v>
      </c>
      <c r="K13">
        <v>10</v>
      </c>
      <c r="L13">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91253-FD95-48CF-95B8-8C150692BE17}">
  <sheetPr codeName="Sheet19"/>
  <dimension ref="A1:L13"/>
  <sheetViews>
    <sheetView workbookViewId="0"/>
  </sheetViews>
  <sheetFormatPr defaultRowHeight="14.4" x14ac:dyDescent="0.3"/>
  <cols>
    <col min="2" max="2" width="7.44140625" bestFit="1" customWidth="1"/>
    <col min="3" max="3" width="9.77734375" bestFit="1" customWidth="1"/>
    <col min="4" max="4" width="28.88671875" bestFit="1" customWidth="1"/>
    <col min="5" max="5" width="8.77734375" bestFit="1" customWidth="1"/>
    <col min="6" max="6" width="3.44140625" bestFit="1" customWidth="1"/>
    <col min="7" max="7" width="10" bestFit="1" customWidth="1"/>
    <col min="8" max="8" width="12.77734375" bestFit="1" customWidth="1"/>
    <col min="9" max="9" width="12.88671875" bestFit="1" customWidth="1"/>
    <col min="10" max="10" width="18.109375" bestFit="1" customWidth="1"/>
    <col min="11" max="11" width="12.77734375" bestFit="1" customWidth="1"/>
    <col min="12" max="12" width="11.44140625" bestFit="1" customWidth="1"/>
  </cols>
  <sheetData>
    <row r="1" spans="1:12" x14ac:dyDescent="0.3">
      <c r="A1" t="s">
        <v>850</v>
      </c>
      <c r="B1" t="s">
        <v>851</v>
      </c>
      <c r="C1" t="s">
        <v>852</v>
      </c>
      <c r="D1" t="s">
        <v>853</v>
      </c>
      <c r="E1" t="s">
        <v>854</v>
      </c>
      <c r="F1" t="s">
        <v>855</v>
      </c>
      <c r="G1" t="s">
        <v>856</v>
      </c>
      <c r="H1" t="s">
        <v>857</v>
      </c>
      <c r="I1" t="s">
        <v>858</v>
      </c>
      <c r="J1" t="s">
        <v>859</v>
      </c>
      <c r="K1" t="s">
        <v>860</v>
      </c>
      <c r="L1" t="s">
        <v>861</v>
      </c>
    </row>
    <row r="2" spans="1:12" x14ac:dyDescent="0.3">
      <c r="A2">
        <v>24</v>
      </c>
      <c r="B2">
        <v>6</v>
      </c>
      <c r="C2">
        <v>20</v>
      </c>
      <c r="D2" t="s">
        <v>811</v>
      </c>
      <c r="E2">
        <v>3.5</v>
      </c>
      <c r="F2">
        <v>31</v>
      </c>
      <c r="G2">
        <v>3</v>
      </c>
      <c r="H2">
        <v>100</v>
      </c>
      <c r="I2">
        <v>52.38</v>
      </c>
      <c r="J2">
        <v>35</v>
      </c>
      <c r="K2">
        <v>10</v>
      </c>
      <c r="L2">
        <v>11</v>
      </c>
    </row>
    <row r="3" spans="1:12" x14ac:dyDescent="0.3">
      <c r="A3">
        <v>19</v>
      </c>
      <c r="B3">
        <v>6</v>
      </c>
      <c r="C3">
        <v>60</v>
      </c>
      <c r="D3" t="s">
        <v>817</v>
      </c>
      <c r="E3">
        <v>4</v>
      </c>
      <c r="F3">
        <v>40</v>
      </c>
      <c r="G3">
        <v>7</v>
      </c>
      <c r="H3">
        <v>100</v>
      </c>
      <c r="I3">
        <v>230.09</v>
      </c>
      <c r="J3">
        <v>76</v>
      </c>
      <c r="L3">
        <v>51</v>
      </c>
    </row>
    <row r="4" spans="1:12" x14ac:dyDescent="0.3">
      <c r="A4">
        <v>19</v>
      </c>
      <c r="B4">
        <v>7</v>
      </c>
      <c r="C4">
        <v>20</v>
      </c>
      <c r="D4" t="s">
        <v>814</v>
      </c>
      <c r="E4">
        <v>3</v>
      </c>
      <c r="F4">
        <v>31</v>
      </c>
      <c r="G4">
        <v>3</v>
      </c>
      <c r="H4">
        <v>100</v>
      </c>
      <c r="I4">
        <v>37.53</v>
      </c>
      <c r="J4">
        <v>38</v>
      </c>
      <c r="K4">
        <v>17</v>
      </c>
      <c r="L4">
        <v>7</v>
      </c>
    </row>
    <row r="5" spans="1:12" x14ac:dyDescent="0.3">
      <c r="A5">
        <v>13</v>
      </c>
      <c r="B5">
        <v>2</v>
      </c>
      <c r="C5">
        <v>0</v>
      </c>
      <c r="D5" t="s">
        <v>814</v>
      </c>
      <c r="E5">
        <v>4</v>
      </c>
      <c r="F5">
        <v>53</v>
      </c>
      <c r="G5">
        <v>8</v>
      </c>
      <c r="H5">
        <v>100</v>
      </c>
      <c r="I5">
        <v>220.32</v>
      </c>
      <c r="J5">
        <v>50</v>
      </c>
      <c r="K5">
        <v>2</v>
      </c>
      <c r="L5">
        <v>51</v>
      </c>
    </row>
    <row r="6" spans="1:12" x14ac:dyDescent="0.3">
      <c r="A6">
        <v>17</v>
      </c>
      <c r="B6">
        <v>5</v>
      </c>
      <c r="C6">
        <v>20</v>
      </c>
      <c r="D6" t="s">
        <v>814</v>
      </c>
      <c r="E6">
        <v>1</v>
      </c>
      <c r="F6">
        <v>40</v>
      </c>
      <c r="G6">
        <v>9</v>
      </c>
      <c r="H6">
        <v>100</v>
      </c>
      <c r="I6">
        <v>19.68</v>
      </c>
      <c r="J6">
        <v>54</v>
      </c>
      <c r="K6">
        <v>12</v>
      </c>
      <c r="L6">
        <v>10</v>
      </c>
    </row>
    <row r="7" spans="1:12" x14ac:dyDescent="0.3">
      <c r="A7">
        <v>22</v>
      </c>
      <c r="B7">
        <v>9</v>
      </c>
      <c r="C7">
        <v>10</v>
      </c>
      <c r="D7" t="s">
        <v>814</v>
      </c>
      <c r="E7">
        <v>0.75</v>
      </c>
      <c r="F7">
        <v>53</v>
      </c>
      <c r="G7">
        <v>4</v>
      </c>
      <c r="H7">
        <v>100</v>
      </c>
      <c r="I7">
        <v>6.36</v>
      </c>
      <c r="J7">
        <v>48</v>
      </c>
      <c r="K7">
        <v>10</v>
      </c>
      <c r="L7">
        <v>11</v>
      </c>
    </row>
    <row r="8" spans="1:12" x14ac:dyDescent="0.3">
      <c r="A8">
        <v>18</v>
      </c>
      <c r="B8">
        <v>8</v>
      </c>
      <c r="C8">
        <v>0</v>
      </c>
      <c r="D8" t="s">
        <v>817</v>
      </c>
      <c r="E8">
        <v>1</v>
      </c>
      <c r="F8">
        <v>31</v>
      </c>
      <c r="G8">
        <v>4</v>
      </c>
      <c r="H8">
        <v>100</v>
      </c>
      <c r="I8">
        <v>5.12</v>
      </c>
      <c r="J8">
        <v>44</v>
      </c>
      <c r="K8">
        <v>12</v>
      </c>
      <c r="L8">
        <v>10</v>
      </c>
    </row>
    <row r="9" spans="1:12" x14ac:dyDescent="0.3">
      <c r="A9">
        <v>22</v>
      </c>
      <c r="B9">
        <v>9</v>
      </c>
      <c r="C9">
        <v>60</v>
      </c>
      <c r="D9" t="s">
        <v>811</v>
      </c>
      <c r="E9">
        <v>2.5</v>
      </c>
      <c r="F9">
        <v>31</v>
      </c>
      <c r="G9">
        <v>6</v>
      </c>
      <c r="H9">
        <v>100</v>
      </c>
      <c r="I9">
        <v>84.9</v>
      </c>
      <c r="J9">
        <v>78</v>
      </c>
      <c r="K9">
        <v>4</v>
      </c>
      <c r="L9">
        <v>26</v>
      </c>
    </row>
    <row r="10" spans="1:12" x14ac:dyDescent="0.3">
      <c r="A10">
        <v>13</v>
      </c>
      <c r="B10">
        <v>7</v>
      </c>
      <c r="C10">
        <v>5</v>
      </c>
      <c r="D10" t="s">
        <v>811</v>
      </c>
      <c r="E10">
        <v>0.5</v>
      </c>
      <c r="F10">
        <v>53</v>
      </c>
      <c r="G10">
        <v>7</v>
      </c>
      <c r="H10">
        <v>100</v>
      </c>
      <c r="I10">
        <v>7.28</v>
      </c>
      <c r="J10">
        <v>60</v>
      </c>
      <c r="K10">
        <v>10</v>
      </c>
      <c r="L10">
        <v>11</v>
      </c>
    </row>
    <row r="11" spans="1:12" x14ac:dyDescent="0.3">
      <c r="A11">
        <v>17</v>
      </c>
      <c r="B11">
        <v>5</v>
      </c>
      <c r="C11">
        <v>10</v>
      </c>
      <c r="D11" t="s">
        <v>811</v>
      </c>
      <c r="E11">
        <v>4</v>
      </c>
      <c r="F11">
        <v>40</v>
      </c>
      <c r="G11">
        <v>3</v>
      </c>
      <c r="H11">
        <v>100</v>
      </c>
      <c r="I11">
        <v>75.42</v>
      </c>
      <c r="J11">
        <v>32</v>
      </c>
      <c r="K11">
        <v>10</v>
      </c>
      <c r="L11">
        <v>11</v>
      </c>
    </row>
    <row r="12" spans="1:12" x14ac:dyDescent="0.3">
      <c r="A12">
        <v>22</v>
      </c>
      <c r="B12">
        <v>10</v>
      </c>
      <c r="C12">
        <v>5</v>
      </c>
      <c r="D12" t="s">
        <v>817</v>
      </c>
      <c r="E12">
        <v>3</v>
      </c>
      <c r="F12">
        <v>40</v>
      </c>
      <c r="G12">
        <v>1</v>
      </c>
      <c r="H12">
        <v>100</v>
      </c>
      <c r="I12">
        <v>8.77</v>
      </c>
      <c r="J12">
        <v>24</v>
      </c>
      <c r="K12">
        <v>20</v>
      </c>
      <c r="L12">
        <v>6</v>
      </c>
    </row>
    <row r="13" spans="1:12" x14ac:dyDescent="0.3">
      <c r="A13">
        <v>13</v>
      </c>
      <c r="B13">
        <v>5</v>
      </c>
      <c r="C13">
        <v>10</v>
      </c>
      <c r="D13" t="s">
        <v>814</v>
      </c>
      <c r="E13">
        <v>0.5</v>
      </c>
      <c r="F13">
        <v>31</v>
      </c>
      <c r="G13">
        <v>9</v>
      </c>
      <c r="H13">
        <v>100</v>
      </c>
      <c r="I13">
        <v>12.87</v>
      </c>
      <c r="J13">
        <v>56</v>
      </c>
      <c r="K13">
        <v>10</v>
      </c>
      <c r="L13">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4A11-A07A-4765-A99D-C1055B756B5C}">
  <sheetPr codeName="Sheet16"/>
  <dimension ref="H6:I7"/>
  <sheetViews>
    <sheetView workbookViewId="0">
      <selection activeCell="I7" sqref="I7"/>
    </sheetView>
  </sheetViews>
  <sheetFormatPr defaultRowHeight="14.4" x14ac:dyDescent="0.3"/>
  <cols>
    <col min="8" max="8" width="15.21875" bestFit="1" customWidth="1"/>
  </cols>
  <sheetData>
    <row r="6" spans="8:9" x14ac:dyDescent="0.3">
      <c r="H6" t="s">
        <v>848</v>
      </c>
      <c r="I6">
        <v>4</v>
      </c>
    </row>
    <row r="7" spans="8:9" x14ac:dyDescent="0.3">
      <c r="H7" t="s">
        <v>849</v>
      </c>
      <c r="I7">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callCSVToSheet">
                <anchor moveWithCells="1" sizeWithCells="1">
                  <from>
                    <xdr:col>1</xdr:col>
                    <xdr:colOff>533400</xdr:colOff>
                    <xdr:row>2</xdr:row>
                    <xdr:rowOff>129540</xdr:rowOff>
                  </from>
                  <to>
                    <xdr:col>4</xdr:col>
                    <xdr:colOff>335280</xdr:colOff>
                    <xdr:row>6</xdr:row>
                    <xdr:rowOff>22860</xdr:rowOff>
                  </to>
                </anchor>
              </controlPr>
            </control>
          </mc:Choice>
        </mc:AlternateContent>
        <mc:AlternateContent xmlns:mc="http://schemas.openxmlformats.org/markup-compatibility/2006">
          <mc:Choice Requires="x14">
            <control shapeId="35842" r:id="rId4" name="Button 2">
              <controlPr defaultSize="0" print="0" autoFill="0" autoPict="0" macro="[0]!callRunTests">
                <anchor moveWithCells="1" sizeWithCells="1">
                  <from>
                    <xdr:col>6</xdr:col>
                    <xdr:colOff>601980</xdr:colOff>
                    <xdr:row>2</xdr:row>
                    <xdr:rowOff>68580</xdr:rowOff>
                  </from>
                  <to>
                    <xdr:col>9</xdr:col>
                    <xdr:colOff>7620</xdr:colOff>
                    <xdr:row>4</xdr:row>
                    <xdr:rowOff>129540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51898-DFF4-4AD0-9AA0-C8668DA35345}">
  <sheetPr codeName="Sheet1"/>
  <dimension ref="A1:M27"/>
  <sheetViews>
    <sheetView workbookViewId="0">
      <selection activeCell="E28" sqref="E28"/>
    </sheetView>
  </sheetViews>
  <sheetFormatPr defaultRowHeight="14.4" x14ac:dyDescent="0.3"/>
  <cols>
    <col min="2" max="2" width="32.109375" customWidth="1"/>
    <col min="3" max="3" width="8.5546875" bestFit="1" customWidth="1"/>
    <col min="5" max="5" width="22.6640625" bestFit="1" customWidth="1"/>
    <col min="6" max="6" width="15.109375" bestFit="1" customWidth="1"/>
    <col min="7" max="7" width="20.33203125" customWidth="1"/>
    <col min="9" max="9" width="11" bestFit="1" customWidth="1"/>
  </cols>
  <sheetData>
    <row r="1" spans="1:13" x14ac:dyDescent="0.3">
      <c r="B1" t="s">
        <v>835</v>
      </c>
      <c r="C1" t="s">
        <v>846</v>
      </c>
      <c r="D1" t="s">
        <v>836</v>
      </c>
      <c r="E1" t="s">
        <v>837</v>
      </c>
      <c r="F1" t="s">
        <v>838</v>
      </c>
      <c r="G1" t="s">
        <v>839</v>
      </c>
      <c r="H1" t="s">
        <v>655</v>
      </c>
      <c r="I1" t="s">
        <v>840</v>
      </c>
      <c r="J1" t="s">
        <v>749</v>
      </c>
      <c r="K1" t="s">
        <v>841</v>
      </c>
      <c r="L1" t="s">
        <v>842</v>
      </c>
      <c r="M1" t="s">
        <v>843</v>
      </c>
    </row>
    <row r="2" spans="1:13" x14ac:dyDescent="0.3">
      <c r="A2" t="s">
        <v>844</v>
      </c>
      <c r="B2" t="str">
        <f>Inputs!C12</f>
        <v>Rigid Metal Conduit (RMC)</v>
      </c>
      <c r="C2">
        <v>20</v>
      </c>
      <c r="D2">
        <f>Inputs!C14</f>
        <v>0.5</v>
      </c>
      <c r="E2">
        <f>Inputs!C19</f>
        <v>31</v>
      </c>
      <c r="F2">
        <f>Inputs!C17</f>
        <v>9</v>
      </c>
      <c r="G2" s="7">
        <f>Calculations!B24</f>
        <v>12.84014153406013</v>
      </c>
      <c r="H2">
        <f>Calculations!B25</f>
        <v>54.5</v>
      </c>
      <c r="I2">
        <f>'New Calcs for Span'!B149</f>
        <v>10</v>
      </c>
      <c r="J2">
        <f>'New Calcs for Span'!B149</f>
        <v>10</v>
      </c>
      <c r="K2">
        <f>'Strut loads'!B41</f>
        <v>60</v>
      </c>
      <c r="L2">
        <f>'Strut loads'!D41</f>
        <v>578</v>
      </c>
      <c r="M2">
        <f>'Strut loads'!I29</f>
        <v>3550</v>
      </c>
    </row>
    <row r="3" spans="1:13" x14ac:dyDescent="0.3">
      <c r="A3" t="s">
        <v>845</v>
      </c>
      <c r="B3" t="str">
        <f>Inputs!D12</f>
        <v>Rigid Metal Conduit (RMC)</v>
      </c>
      <c r="C3">
        <v>20</v>
      </c>
      <c r="D3">
        <f>Inputs!D14</f>
        <v>3</v>
      </c>
      <c r="E3">
        <f>Inputs!C19</f>
        <v>31</v>
      </c>
      <c r="F3">
        <f>Inputs!D17</f>
        <v>2</v>
      </c>
      <c r="G3">
        <v>137.29</v>
      </c>
      <c r="H3">
        <v>51</v>
      </c>
      <c r="I3">
        <v>20</v>
      </c>
      <c r="J3">
        <v>3.5</v>
      </c>
      <c r="K3">
        <v>54</v>
      </c>
      <c r="L3">
        <v>578</v>
      </c>
      <c r="M3">
        <v>3550</v>
      </c>
    </row>
    <row r="5" spans="1:13" x14ac:dyDescent="0.3">
      <c r="A5" t="s">
        <v>844</v>
      </c>
      <c r="B5" t="s">
        <v>811</v>
      </c>
      <c r="C5">
        <v>20</v>
      </c>
      <c r="D5">
        <v>1</v>
      </c>
      <c r="E5">
        <v>53</v>
      </c>
      <c r="F5">
        <v>1</v>
      </c>
      <c r="G5" s="77">
        <v>3.5128070410569401</v>
      </c>
      <c r="H5" s="78">
        <v>21</v>
      </c>
      <c r="I5" s="78">
        <v>10</v>
      </c>
      <c r="J5" s="78">
        <v>10</v>
      </c>
      <c r="K5" s="78">
        <v>24</v>
      </c>
      <c r="L5" s="78">
        <v>1436.5</v>
      </c>
      <c r="M5" s="78">
        <v>3550</v>
      </c>
    </row>
    <row r="6" spans="1:13" x14ac:dyDescent="0.3">
      <c r="A6" t="s">
        <v>845</v>
      </c>
      <c r="B6" t="s">
        <v>811</v>
      </c>
      <c r="C6">
        <v>20</v>
      </c>
      <c r="D6">
        <v>2</v>
      </c>
      <c r="E6">
        <v>53</v>
      </c>
      <c r="F6">
        <v>1</v>
      </c>
      <c r="G6" s="77">
        <v>11.91</v>
      </c>
      <c r="H6" s="78">
        <v>21</v>
      </c>
      <c r="I6" s="78">
        <v>10</v>
      </c>
      <c r="J6" s="78">
        <v>10</v>
      </c>
      <c r="K6" s="78">
        <v>24</v>
      </c>
      <c r="L6" s="78">
        <v>1436.5</v>
      </c>
      <c r="M6" s="78">
        <v>3550</v>
      </c>
    </row>
    <row r="8" spans="1:13" x14ac:dyDescent="0.3">
      <c r="A8" t="s">
        <v>844</v>
      </c>
      <c r="B8" t="s">
        <v>811</v>
      </c>
      <c r="C8">
        <v>20</v>
      </c>
      <c r="D8">
        <v>3</v>
      </c>
      <c r="E8">
        <v>53</v>
      </c>
      <c r="F8">
        <v>1</v>
      </c>
      <c r="G8" s="77">
        <v>21.360479651235195</v>
      </c>
      <c r="H8" s="78">
        <v>23</v>
      </c>
      <c r="I8" s="78">
        <v>10</v>
      </c>
      <c r="J8" s="78">
        <v>10</v>
      </c>
      <c r="K8" s="78">
        <v>24</v>
      </c>
      <c r="L8" s="78">
        <v>1436.5</v>
      </c>
      <c r="M8" s="78">
        <v>3550</v>
      </c>
    </row>
    <row r="9" spans="1:13" x14ac:dyDescent="0.3">
      <c r="A9" t="s">
        <v>845</v>
      </c>
      <c r="B9" t="s">
        <v>811</v>
      </c>
      <c r="C9">
        <v>20</v>
      </c>
      <c r="D9">
        <v>2</v>
      </c>
      <c r="E9">
        <v>53</v>
      </c>
      <c r="F9">
        <v>1</v>
      </c>
      <c r="G9" s="77">
        <v>30.11</v>
      </c>
      <c r="H9" s="78">
        <v>23</v>
      </c>
      <c r="I9" s="78">
        <v>10</v>
      </c>
      <c r="J9" s="78">
        <v>10</v>
      </c>
      <c r="K9" s="78">
        <v>24</v>
      </c>
      <c r="L9" s="78">
        <v>1436.5</v>
      </c>
      <c r="M9" s="78">
        <v>3550</v>
      </c>
    </row>
    <row r="11" spans="1:13" x14ac:dyDescent="0.3">
      <c r="A11" t="s">
        <v>844</v>
      </c>
      <c r="B11" t="s">
        <v>811</v>
      </c>
      <c r="C11">
        <v>20</v>
      </c>
      <c r="D11">
        <v>3</v>
      </c>
      <c r="E11">
        <v>53</v>
      </c>
      <c r="F11">
        <v>1</v>
      </c>
      <c r="G11" s="77">
        <v>21.475479651235197</v>
      </c>
      <c r="H11" s="78">
        <v>24</v>
      </c>
      <c r="I11" s="78">
        <v>10</v>
      </c>
      <c r="J11" s="78">
        <v>10</v>
      </c>
      <c r="K11" s="77">
        <v>24</v>
      </c>
      <c r="L11" s="77">
        <v>1436.5</v>
      </c>
      <c r="M11" s="78">
        <v>3550</v>
      </c>
    </row>
    <row r="12" spans="1:13" x14ac:dyDescent="0.3">
      <c r="A12" t="s">
        <v>845</v>
      </c>
      <c r="B12" t="s">
        <v>811</v>
      </c>
      <c r="C12">
        <v>20</v>
      </c>
      <c r="D12">
        <v>3</v>
      </c>
      <c r="E12">
        <v>53</v>
      </c>
      <c r="F12">
        <v>1</v>
      </c>
      <c r="G12" s="77">
        <v>42.44</v>
      </c>
      <c r="H12" s="78">
        <v>24</v>
      </c>
      <c r="I12" s="78">
        <v>10</v>
      </c>
      <c r="J12" s="78">
        <v>10</v>
      </c>
      <c r="K12" s="77">
        <v>30</v>
      </c>
      <c r="L12" s="77">
        <v>960.5</v>
      </c>
      <c r="M12" s="78">
        <v>3550</v>
      </c>
    </row>
    <row r="14" spans="1:13" x14ac:dyDescent="0.3">
      <c r="A14" t="s">
        <v>844</v>
      </c>
      <c r="B14" t="s">
        <v>811</v>
      </c>
      <c r="C14">
        <v>20</v>
      </c>
      <c r="D14">
        <v>3</v>
      </c>
      <c r="E14">
        <v>53</v>
      </c>
      <c r="F14">
        <v>1</v>
      </c>
      <c r="G14" s="77">
        <v>21.475479651235197</v>
      </c>
      <c r="H14" s="78">
        <v>24</v>
      </c>
      <c r="I14" s="78">
        <v>10</v>
      </c>
      <c r="J14" s="78">
        <v>10</v>
      </c>
      <c r="K14" s="77">
        <v>24</v>
      </c>
      <c r="L14" s="77">
        <v>1436.5</v>
      </c>
      <c r="M14" s="78">
        <v>3550</v>
      </c>
    </row>
    <row r="15" spans="1:13" x14ac:dyDescent="0.3">
      <c r="A15" t="s">
        <v>845</v>
      </c>
      <c r="B15" t="s">
        <v>814</v>
      </c>
      <c r="C15">
        <v>20</v>
      </c>
      <c r="D15">
        <v>3</v>
      </c>
      <c r="E15">
        <v>53</v>
      </c>
      <c r="F15">
        <v>1</v>
      </c>
      <c r="G15" s="77">
        <v>40.14</v>
      </c>
      <c r="H15" s="78">
        <v>24</v>
      </c>
      <c r="I15" s="78">
        <v>10</v>
      </c>
      <c r="J15" s="78">
        <v>10</v>
      </c>
      <c r="K15" s="77">
        <v>30</v>
      </c>
      <c r="L15" s="77">
        <v>960.5</v>
      </c>
      <c r="M15" s="78">
        <v>3550</v>
      </c>
    </row>
    <row r="17" spans="1:13" x14ac:dyDescent="0.3">
      <c r="A17" t="s">
        <v>844</v>
      </c>
      <c r="B17" t="s">
        <v>811</v>
      </c>
      <c r="C17">
        <v>20</v>
      </c>
      <c r="D17">
        <v>3</v>
      </c>
      <c r="E17">
        <v>53</v>
      </c>
      <c r="F17">
        <v>3</v>
      </c>
      <c r="G17" s="77">
        <v>64.16343895370558</v>
      </c>
      <c r="H17" s="78">
        <v>51</v>
      </c>
      <c r="I17" s="77">
        <v>8</v>
      </c>
      <c r="J17" s="77">
        <v>8</v>
      </c>
      <c r="K17" s="78">
        <v>54</v>
      </c>
      <c r="L17" s="78">
        <v>578</v>
      </c>
      <c r="M17" s="78">
        <v>3550</v>
      </c>
    </row>
    <row r="18" spans="1:13" x14ac:dyDescent="0.3">
      <c r="A18" t="s">
        <v>845</v>
      </c>
      <c r="B18" t="s">
        <v>814</v>
      </c>
      <c r="C18">
        <v>20</v>
      </c>
      <c r="D18">
        <v>3</v>
      </c>
      <c r="E18">
        <v>53</v>
      </c>
      <c r="F18">
        <v>2</v>
      </c>
      <c r="G18" s="77">
        <v>101.5</v>
      </c>
      <c r="H18" s="78">
        <v>51</v>
      </c>
      <c r="I18" s="77">
        <v>10</v>
      </c>
      <c r="J18" s="77">
        <v>5</v>
      </c>
      <c r="K18" s="78">
        <v>54</v>
      </c>
      <c r="L18" s="78">
        <v>578</v>
      </c>
      <c r="M18" s="78">
        <v>3550</v>
      </c>
    </row>
    <row r="20" spans="1:13" x14ac:dyDescent="0.3">
      <c r="A20" t="s">
        <v>844</v>
      </c>
      <c r="B20" t="s">
        <v>811</v>
      </c>
      <c r="C20">
        <v>20</v>
      </c>
      <c r="D20">
        <v>3</v>
      </c>
      <c r="E20">
        <v>80</v>
      </c>
      <c r="F20">
        <v>3</v>
      </c>
      <c r="G20" s="77">
        <v>91.977738043329154</v>
      </c>
      <c r="H20" s="78">
        <v>51</v>
      </c>
      <c r="I20" s="77">
        <v>5.5</v>
      </c>
      <c r="J20" s="77">
        <v>5.5</v>
      </c>
      <c r="K20" s="78">
        <v>54</v>
      </c>
      <c r="L20" s="78">
        <v>578</v>
      </c>
      <c r="M20" s="78">
        <v>3550</v>
      </c>
    </row>
    <row r="21" spans="1:13" x14ac:dyDescent="0.3">
      <c r="A21" t="s">
        <v>845</v>
      </c>
      <c r="B21" t="s">
        <v>814</v>
      </c>
      <c r="C21">
        <v>20</v>
      </c>
      <c r="D21">
        <v>3</v>
      </c>
      <c r="E21">
        <v>80</v>
      </c>
      <c r="F21">
        <v>2</v>
      </c>
      <c r="G21" s="77">
        <v>145.03</v>
      </c>
      <c r="H21" s="78">
        <v>51</v>
      </c>
      <c r="I21" s="77">
        <v>10</v>
      </c>
      <c r="J21" s="77">
        <v>3.5</v>
      </c>
      <c r="K21" s="78">
        <v>54</v>
      </c>
      <c r="L21" s="78">
        <v>578</v>
      </c>
      <c r="M21" s="78">
        <v>3550</v>
      </c>
    </row>
    <row r="23" spans="1:13" x14ac:dyDescent="0.3">
      <c r="A23" t="s">
        <v>844</v>
      </c>
      <c r="B23" t="s">
        <v>817</v>
      </c>
      <c r="C23">
        <v>20</v>
      </c>
      <c r="D23">
        <v>3</v>
      </c>
      <c r="E23">
        <v>80</v>
      </c>
      <c r="F23">
        <v>3</v>
      </c>
      <c r="G23" s="77">
        <v>84.774357756174737</v>
      </c>
      <c r="H23" s="78">
        <v>51</v>
      </c>
      <c r="I23" s="77">
        <v>6</v>
      </c>
      <c r="J23" s="77">
        <v>6</v>
      </c>
      <c r="K23" s="78">
        <v>54</v>
      </c>
      <c r="L23" s="78">
        <v>578</v>
      </c>
      <c r="M23" s="78">
        <v>3550</v>
      </c>
    </row>
    <row r="24" spans="1:13" x14ac:dyDescent="0.3">
      <c r="A24" t="s">
        <v>845</v>
      </c>
      <c r="B24" t="s">
        <v>814</v>
      </c>
      <c r="C24">
        <v>20</v>
      </c>
      <c r="D24">
        <v>3</v>
      </c>
      <c r="E24">
        <v>80</v>
      </c>
      <c r="F24">
        <v>2</v>
      </c>
      <c r="G24" s="77">
        <v>137.29</v>
      </c>
      <c r="H24" s="78">
        <v>51</v>
      </c>
      <c r="I24" s="77">
        <v>20</v>
      </c>
      <c r="J24" s="77">
        <v>3.5</v>
      </c>
      <c r="K24" s="78">
        <v>54</v>
      </c>
      <c r="L24" s="78">
        <v>578</v>
      </c>
      <c r="M24" s="78">
        <v>3550</v>
      </c>
    </row>
    <row r="26" spans="1:13" x14ac:dyDescent="0.3">
      <c r="A26" t="s">
        <v>844</v>
      </c>
      <c r="B26" t="s">
        <v>817</v>
      </c>
      <c r="C26">
        <v>20</v>
      </c>
      <c r="D26">
        <v>3</v>
      </c>
      <c r="E26">
        <v>80</v>
      </c>
      <c r="F26">
        <v>1</v>
      </c>
      <c r="G26" s="77">
        <v>28.439119252058244</v>
      </c>
      <c r="H26" s="78">
        <v>24</v>
      </c>
      <c r="I26" s="78">
        <v>20</v>
      </c>
      <c r="J26" s="77">
        <v>20</v>
      </c>
      <c r="K26" s="77">
        <v>24</v>
      </c>
      <c r="L26" s="77">
        <v>1436.5</v>
      </c>
      <c r="M26" s="78">
        <v>3550</v>
      </c>
    </row>
    <row r="27" spans="1:13" x14ac:dyDescent="0.3">
      <c r="A27" t="s">
        <v>845</v>
      </c>
      <c r="B27" t="s">
        <v>817</v>
      </c>
      <c r="C27">
        <v>20</v>
      </c>
      <c r="D27">
        <v>3</v>
      </c>
      <c r="E27">
        <v>80</v>
      </c>
      <c r="F27">
        <v>1</v>
      </c>
      <c r="G27" s="77">
        <v>55.82</v>
      </c>
      <c r="H27" s="78">
        <v>24</v>
      </c>
      <c r="I27" s="78">
        <v>20</v>
      </c>
      <c r="J27" s="77">
        <v>15</v>
      </c>
      <c r="K27" s="77">
        <v>30</v>
      </c>
      <c r="L27" s="77">
        <v>960.5</v>
      </c>
      <c r="M27" s="78">
        <v>3550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28"/>
  <sheetViews>
    <sheetView topLeftCell="A16" zoomScale="150" zoomScaleNormal="150" workbookViewId="0">
      <selection activeCell="B28" sqref="B28"/>
    </sheetView>
  </sheetViews>
  <sheetFormatPr defaultRowHeight="14.4" x14ac:dyDescent="0.3"/>
  <cols>
    <col min="1" max="1" width="54.5546875" bestFit="1" customWidth="1"/>
    <col min="2" max="2" width="36.44140625" customWidth="1"/>
    <col min="3" max="3" width="41.5546875" customWidth="1"/>
  </cols>
  <sheetData>
    <row r="1" spans="1:3" x14ac:dyDescent="0.3">
      <c r="A1" s="76" t="s">
        <v>834</v>
      </c>
      <c r="B1" t="s">
        <v>53</v>
      </c>
      <c r="C1" t="s">
        <v>54</v>
      </c>
    </row>
    <row r="2" spans="1:3" x14ac:dyDescent="0.3">
      <c r="A2" t="s">
        <v>9</v>
      </c>
      <c r="B2" t="str">
        <f>Inputs!C4</f>
        <v>Conduit</v>
      </c>
      <c r="C2" t="s">
        <v>55</v>
      </c>
    </row>
    <row r="3" spans="1:3" x14ac:dyDescent="0.3">
      <c r="A3" t="s">
        <v>12</v>
      </c>
      <c r="B3">
        <f>Inputs!C5</f>
        <v>100</v>
      </c>
      <c r="C3" t="s">
        <v>55</v>
      </c>
    </row>
    <row r="4" spans="1:3" x14ac:dyDescent="0.3">
      <c r="A4" t="s">
        <v>13</v>
      </c>
      <c r="B4">
        <f>Inputs!C6</f>
        <v>0</v>
      </c>
      <c r="C4" t="s">
        <v>55</v>
      </c>
    </row>
    <row r="5" spans="1:3" x14ac:dyDescent="0.3">
      <c r="A5" t="s">
        <v>14</v>
      </c>
      <c r="B5">
        <f>Inputs!C7</f>
        <v>13</v>
      </c>
      <c r="C5" t="s">
        <v>55</v>
      </c>
    </row>
    <row r="6" spans="1:3" x14ac:dyDescent="0.3">
      <c r="A6" t="s">
        <v>16</v>
      </c>
      <c r="B6">
        <f>Inputs!C9</f>
        <v>10</v>
      </c>
      <c r="C6" t="s">
        <v>55</v>
      </c>
    </row>
    <row r="7" spans="1:3" x14ac:dyDescent="0.3">
      <c r="A7" t="s">
        <v>56</v>
      </c>
      <c r="B7">
        <f>Inputs!C8</f>
        <v>1</v>
      </c>
      <c r="C7" t="s">
        <v>55</v>
      </c>
    </row>
    <row r="8" spans="1:3" x14ac:dyDescent="0.3">
      <c r="A8" t="s">
        <v>57</v>
      </c>
      <c r="B8">
        <f>IF(B2="conduit",0.55,1)*B6</f>
        <v>5.5</v>
      </c>
      <c r="C8" t="s">
        <v>58</v>
      </c>
    </row>
    <row r="9" spans="1:3" x14ac:dyDescent="0.3">
      <c r="A9" t="s">
        <v>72</v>
      </c>
      <c r="B9">
        <f>Inputs!C20</f>
        <v>5</v>
      </c>
      <c r="C9" t="s">
        <v>55</v>
      </c>
    </row>
    <row r="10" spans="1:3" x14ac:dyDescent="0.3">
      <c r="A10" t="s">
        <v>59</v>
      </c>
      <c r="B10" t="str">
        <f>Inputs!C12</f>
        <v>Rigid Metal Conduit (RMC)</v>
      </c>
      <c r="C10" t="s">
        <v>55</v>
      </c>
    </row>
    <row r="11" spans="1:3" x14ac:dyDescent="0.3">
      <c r="A11" t="s">
        <v>60</v>
      </c>
      <c r="B11">
        <f>Inputs!C14</f>
        <v>0.5</v>
      </c>
      <c r="C11" t="s">
        <v>55</v>
      </c>
    </row>
    <row r="12" spans="1:3" x14ac:dyDescent="0.3">
      <c r="A12" t="s">
        <v>826</v>
      </c>
      <c r="B12">
        <f>Inputs!C19</f>
        <v>31</v>
      </c>
      <c r="C12" t="s">
        <v>55</v>
      </c>
    </row>
    <row r="13" spans="1:3" x14ac:dyDescent="0.3">
      <c r="A13" t="s">
        <v>61</v>
      </c>
      <c r="B13">
        <f>Inputs!C17</f>
        <v>9</v>
      </c>
      <c r="C13" t="s">
        <v>55</v>
      </c>
    </row>
    <row r="14" spans="1:3" x14ac:dyDescent="0.3">
      <c r="A14" t="s">
        <v>63</v>
      </c>
      <c r="B14" s="7">
        <f>ConduitTable!H37</f>
        <v>1.1975157260066811</v>
      </c>
      <c r="C14" t="s">
        <v>62</v>
      </c>
    </row>
    <row r="15" spans="1:3" x14ac:dyDescent="0.3">
      <c r="A15" t="s">
        <v>64</v>
      </c>
      <c r="B15" s="7">
        <f>B14*B13</f>
        <v>10.77764153406013</v>
      </c>
      <c r="C15" t="s">
        <v>62</v>
      </c>
    </row>
    <row r="16" spans="1:3" x14ac:dyDescent="0.3">
      <c r="A16" t="s">
        <v>65</v>
      </c>
      <c r="B16">
        <f>B$8*B13*((B11*12)/144)</f>
        <v>2.0625</v>
      </c>
      <c r="C16" t="s">
        <v>62</v>
      </c>
    </row>
    <row r="17" spans="1:3" x14ac:dyDescent="0.3">
      <c r="A17" t="s">
        <v>66</v>
      </c>
      <c r="B17" t="str">
        <f>Inputs!D12</f>
        <v>Rigid Metal Conduit (RMC)</v>
      </c>
      <c r="C17" t="s">
        <v>55</v>
      </c>
    </row>
    <row r="18" spans="1:3" x14ac:dyDescent="0.3">
      <c r="A18" t="s">
        <v>67</v>
      </c>
      <c r="B18">
        <f>IF(OR(B17="None",Inputs!C18="No"),0,Inputs!D14)</f>
        <v>0</v>
      </c>
      <c r="C18" t="s">
        <v>55</v>
      </c>
    </row>
    <row r="19" spans="1:3" x14ac:dyDescent="0.3">
      <c r="A19" t="s">
        <v>831</v>
      </c>
      <c r="B19">
        <f>Inputs!D19</f>
        <v>80</v>
      </c>
      <c r="C19" t="s">
        <v>55</v>
      </c>
    </row>
    <row r="20" spans="1:3" x14ac:dyDescent="0.3">
      <c r="A20" t="s">
        <v>68</v>
      </c>
      <c r="B20">
        <f>IF(OR(B17="None",Inputs!C18="No"),0,Inputs!D17)</f>
        <v>0</v>
      </c>
      <c r="C20" t="s">
        <v>55</v>
      </c>
    </row>
    <row r="21" spans="1:3" x14ac:dyDescent="0.3">
      <c r="A21" t="s">
        <v>69</v>
      </c>
      <c r="B21" s="7">
        <f>ConduitTable!H38</f>
        <v>0</v>
      </c>
      <c r="C21" t="s">
        <v>62</v>
      </c>
    </row>
    <row r="22" spans="1:3" x14ac:dyDescent="0.3">
      <c r="A22" t="s">
        <v>70</v>
      </c>
      <c r="B22" s="7">
        <f>B21*B20</f>
        <v>0</v>
      </c>
      <c r="C22" t="s">
        <v>62</v>
      </c>
    </row>
    <row r="23" spans="1:3" x14ac:dyDescent="0.3">
      <c r="A23" t="s">
        <v>71</v>
      </c>
      <c r="B23">
        <f>B$8*B20*((B18*12)/144)</f>
        <v>0</v>
      </c>
      <c r="C23" t="s">
        <v>62</v>
      </c>
    </row>
    <row r="24" spans="1:3" x14ac:dyDescent="0.3">
      <c r="A24" t="s">
        <v>73</v>
      </c>
      <c r="B24" s="7">
        <f>IF((B13+B20)=1,(B15+B16+B22+B23)*0.5,(B15+B16+B22+B23))</f>
        <v>12.84014153406013</v>
      </c>
      <c r="C24" t="s">
        <v>62</v>
      </c>
    </row>
    <row r="25" spans="1:3" x14ac:dyDescent="0.3">
      <c r="A25" t="s">
        <v>74</v>
      </c>
      <c r="B25">
        <f>IF(B2="conduit",IF(B9=0,6+6+(6*SUM(B13,B20,-1))+(B13*B11)+(B20*B18),B9+B9+(B9*SUM(B13,B20,-1))+(B13*B11)+(B20*B18)),0)</f>
        <v>54.5</v>
      </c>
      <c r="C25" t="s">
        <v>62</v>
      </c>
    </row>
    <row r="26" spans="1:3" x14ac:dyDescent="0.3">
      <c r="A26" t="s">
        <v>75</v>
      </c>
      <c r="B26">
        <f>B5</f>
        <v>13</v>
      </c>
      <c r="C26" t="s">
        <v>62</v>
      </c>
    </row>
    <row r="27" spans="1:3" x14ac:dyDescent="0.3">
      <c r="A27" t="s">
        <v>76</v>
      </c>
      <c r="B27">
        <f>750*2</f>
        <v>1500</v>
      </c>
      <c r="C27" t="s">
        <v>77</v>
      </c>
    </row>
    <row r="28" spans="1:3" x14ac:dyDescent="0.3">
      <c r="A28" t="s">
        <v>78</v>
      </c>
      <c r="B28" s="4">
        <f>ROUNDUP((Calculations!B3/'New Calcs for Span'!B149),0)+1</f>
        <v>11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7" zoomScale="150" zoomScaleNormal="150" workbookViewId="0">
      <selection activeCell="B149" sqref="B149"/>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80</v>
      </c>
      <c r="B1" s="9" t="s">
        <v>81</v>
      </c>
      <c r="C1" s="9" t="s">
        <v>82</v>
      </c>
      <c r="D1" s="9" t="s">
        <v>83</v>
      </c>
      <c r="E1" s="9" t="s">
        <v>84</v>
      </c>
      <c r="F1" s="9" t="s">
        <v>85</v>
      </c>
    </row>
    <row r="2" spans="1:6" x14ac:dyDescent="0.3">
      <c r="A2" s="9">
        <v>1</v>
      </c>
      <c r="B2" s="9">
        <f>ConduitTable!I39</f>
        <v>10</v>
      </c>
      <c r="C2" s="9">
        <f>Calculations!$B$24</f>
        <v>12.84014153406013</v>
      </c>
      <c r="D2" s="9">
        <f>B2*C2</f>
        <v>128.40141534060132</v>
      </c>
      <c r="E2" s="9">
        <f>Calculations!$B$27</f>
        <v>1500</v>
      </c>
      <c r="F2" s="9" t="b">
        <f>IF(D2 &lt;  (0.9* E2),TRUE,FALSE)</f>
        <v>1</v>
      </c>
    </row>
    <row r="3" spans="1:6" x14ac:dyDescent="0.3">
      <c r="A3" s="9">
        <f>A2+1</f>
        <v>2</v>
      </c>
      <c r="B3" s="9">
        <f>IF(($B2-0.5)&gt;=2,($B2-0.5),2)</f>
        <v>9.5</v>
      </c>
      <c r="C3" s="9">
        <f>Calculations!$B$24</f>
        <v>12.84014153406013</v>
      </c>
      <c r="D3" s="9">
        <f t="shared" ref="D3:D11" si="0">B3*C3</f>
        <v>121.98134457357123</v>
      </c>
      <c r="E3" s="9">
        <f>Calculations!$B$27</f>
        <v>1500</v>
      </c>
      <c r="F3" s="9" t="b">
        <f t="shared" ref="F3:F11" si="1">IF(D3 &lt;  (0.9* E3),TRUE,FALSE)</f>
        <v>1</v>
      </c>
    </row>
    <row r="4" spans="1:6" x14ac:dyDescent="0.3">
      <c r="A4" s="9">
        <f t="shared" ref="A4:A26" si="2">A3+1</f>
        <v>3</v>
      </c>
      <c r="B4" s="9">
        <f t="shared" ref="B4:B42" si="3">IF(($B3-0.5)&gt;=2,($B3-0.5),2)</f>
        <v>9</v>
      </c>
      <c r="C4" s="9">
        <f>Calculations!$B$24</f>
        <v>12.84014153406013</v>
      </c>
      <c r="D4" s="9">
        <f t="shared" si="0"/>
        <v>115.56127380654118</v>
      </c>
      <c r="E4" s="9">
        <f>Calculations!$B$27</f>
        <v>1500</v>
      </c>
      <c r="F4" s="9" t="b">
        <f t="shared" si="1"/>
        <v>1</v>
      </c>
    </row>
    <row r="5" spans="1:6" x14ac:dyDescent="0.3">
      <c r="A5" s="9">
        <f t="shared" si="2"/>
        <v>4</v>
      </c>
      <c r="B5" s="9">
        <f t="shared" si="3"/>
        <v>8.5</v>
      </c>
      <c r="C5" s="9">
        <f>Calculations!$B$24</f>
        <v>12.84014153406013</v>
      </c>
      <c r="D5" s="9">
        <f t="shared" si="0"/>
        <v>109.14120303951111</v>
      </c>
      <c r="E5" s="9">
        <f>Calculations!$B$27</f>
        <v>1500</v>
      </c>
      <c r="F5" s="9" t="b">
        <f t="shared" si="1"/>
        <v>1</v>
      </c>
    </row>
    <row r="6" spans="1:6" x14ac:dyDescent="0.3">
      <c r="A6" s="9">
        <f t="shared" si="2"/>
        <v>5</v>
      </c>
      <c r="B6" s="9">
        <f t="shared" si="3"/>
        <v>8</v>
      </c>
      <c r="C6" s="9">
        <f>Calculations!$B$24</f>
        <v>12.84014153406013</v>
      </c>
      <c r="D6" s="9">
        <f t="shared" si="0"/>
        <v>102.72113227248104</v>
      </c>
      <c r="E6" s="9">
        <f>Calculations!$B$27</f>
        <v>1500</v>
      </c>
      <c r="F6" s="9" t="b">
        <f t="shared" si="1"/>
        <v>1</v>
      </c>
    </row>
    <row r="7" spans="1:6" x14ac:dyDescent="0.3">
      <c r="A7" s="9">
        <f t="shared" si="2"/>
        <v>6</v>
      </c>
      <c r="B7" s="9">
        <f t="shared" si="3"/>
        <v>7.5</v>
      </c>
      <c r="C7" s="9">
        <f>Calculations!$B$24</f>
        <v>12.84014153406013</v>
      </c>
      <c r="D7" s="9">
        <f t="shared" si="0"/>
        <v>96.301061505450974</v>
      </c>
      <c r="E7" s="9">
        <f>Calculations!$B$27</f>
        <v>1500</v>
      </c>
      <c r="F7" s="9" t="b">
        <f t="shared" si="1"/>
        <v>1</v>
      </c>
    </row>
    <row r="8" spans="1:6" x14ac:dyDescent="0.3">
      <c r="A8" s="9">
        <f t="shared" si="2"/>
        <v>7</v>
      </c>
      <c r="B8" s="9">
        <f t="shared" si="3"/>
        <v>7</v>
      </c>
      <c r="C8" s="9">
        <f>Calculations!$B$24</f>
        <v>12.84014153406013</v>
      </c>
      <c r="D8" s="9">
        <f t="shared" si="0"/>
        <v>89.880990738420905</v>
      </c>
      <c r="E8" s="9">
        <f>Calculations!$B$27</f>
        <v>1500</v>
      </c>
      <c r="F8" s="9" t="b">
        <f t="shared" si="1"/>
        <v>1</v>
      </c>
    </row>
    <row r="9" spans="1:6" x14ac:dyDescent="0.3">
      <c r="A9" s="9">
        <f t="shared" si="2"/>
        <v>8</v>
      </c>
      <c r="B9" s="9">
        <f t="shared" si="3"/>
        <v>6.5</v>
      </c>
      <c r="C9" s="9">
        <f>Calculations!$B$24</f>
        <v>12.84014153406013</v>
      </c>
      <c r="D9" s="9">
        <f t="shared" si="0"/>
        <v>83.460919971390851</v>
      </c>
      <c r="E9" s="9">
        <f>Calculations!$B$27</f>
        <v>1500</v>
      </c>
      <c r="F9" s="9" t="b">
        <f t="shared" si="1"/>
        <v>1</v>
      </c>
    </row>
    <row r="10" spans="1:6" x14ac:dyDescent="0.3">
      <c r="A10" s="9">
        <f t="shared" si="2"/>
        <v>9</v>
      </c>
      <c r="B10" s="9">
        <f t="shared" si="3"/>
        <v>6</v>
      </c>
      <c r="C10" s="9">
        <f>Calculations!$B$24</f>
        <v>12.84014153406013</v>
      </c>
      <c r="D10" s="9">
        <f t="shared" si="0"/>
        <v>77.040849204360782</v>
      </c>
      <c r="E10" s="9">
        <f>Calculations!$B$27</f>
        <v>1500</v>
      </c>
      <c r="F10" s="9" t="b">
        <f t="shared" si="1"/>
        <v>1</v>
      </c>
    </row>
    <row r="11" spans="1:6" x14ac:dyDescent="0.3">
      <c r="A11" s="9">
        <f t="shared" si="2"/>
        <v>10</v>
      </c>
      <c r="B11" s="9">
        <f t="shared" si="3"/>
        <v>5.5</v>
      </c>
      <c r="C11" s="9">
        <f>Calculations!$B$24</f>
        <v>12.84014153406013</v>
      </c>
      <c r="D11" s="9">
        <f t="shared" si="0"/>
        <v>70.620778437330713</v>
      </c>
      <c r="E11" s="9">
        <f>Calculations!$B$27</f>
        <v>1500</v>
      </c>
      <c r="F11" s="9" t="b">
        <f t="shared" si="1"/>
        <v>1</v>
      </c>
    </row>
    <row r="12" spans="1:6" x14ac:dyDescent="0.3">
      <c r="A12" s="9">
        <f t="shared" si="2"/>
        <v>11</v>
      </c>
      <c r="B12" s="9">
        <f t="shared" si="3"/>
        <v>5</v>
      </c>
      <c r="C12" s="9">
        <f>Calculations!$B$24</f>
        <v>12.84014153406013</v>
      </c>
      <c r="D12" s="9">
        <f t="shared" ref="D12:D19" si="4">B12*C12</f>
        <v>64.200707670300659</v>
      </c>
      <c r="E12" s="9">
        <f>Calculations!$B$27</f>
        <v>1500</v>
      </c>
      <c r="F12" s="9" t="b">
        <f t="shared" ref="F12:F19" si="5">IF(D12 &lt;  (0.9* E12),TRUE,FALSE)</f>
        <v>1</v>
      </c>
    </row>
    <row r="13" spans="1:6" x14ac:dyDescent="0.3">
      <c r="A13" s="9">
        <f t="shared" si="2"/>
        <v>12</v>
      </c>
      <c r="B13" s="9">
        <f t="shared" si="3"/>
        <v>4.5</v>
      </c>
      <c r="C13" s="9">
        <f>Calculations!$B$24</f>
        <v>12.84014153406013</v>
      </c>
      <c r="D13" s="9">
        <f t="shared" si="4"/>
        <v>57.78063690327059</v>
      </c>
      <c r="E13" s="9">
        <f>Calculations!$B$27</f>
        <v>1500</v>
      </c>
      <c r="F13" s="9" t="b">
        <f t="shared" si="5"/>
        <v>1</v>
      </c>
    </row>
    <row r="14" spans="1:6" x14ac:dyDescent="0.3">
      <c r="A14" s="9">
        <f t="shared" si="2"/>
        <v>13</v>
      </c>
      <c r="B14" s="9">
        <f t="shared" si="3"/>
        <v>4</v>
      </c>
      <c r="C14" s="9">
        <f>Calculations!$B$24</f>
        <v>12.84014153406013</v>
      </c>
      <c r="D14" s="9">
        <f t="shared" si="4"/>
        <v>51.360566136240521</v>
      </c>
      <c r="E14" s="9">
        <f>Calculations!$B$27</f>
        <v>1500</v>
      </c>
      <c r="F14" s="9" t="b">
        <f t="shared" si="5"/>
        <v>1</v>
      </c>
    </row>
    <row r="15" spans="1:6" x14ac:dyDescent="0.3">
      <c r="A15" s="9">
        <f t="shared" si="2"/>
        <v>14</v>
      </c>
      <c r="B15" s="9">
        <f t="shared" si="3"/>
        <v>3.5</v>
      </c>
      <c r="C15" s="9">
        <f>Calculations!$B$24</f>
        <v>12.84014153406013</v>
      </c>
      <c r="D15" s="9">
        <f t="shared" si="4"/>
        <v>44.940495369210453</v>
      </c>
      <c r="E15" s="9">
        <f>Calculations!$B$27</f>
        <v>1500</v>
      </c>
      <c r="F15" s="9" t="b">
        <f t="shared" si="5"/>
        <v>1</v>
      </c>
    </row>
    <row r="16" spans="1:6" x14ac:dyDescent="0.3">
      <c r="A16" s="9">
        <f t="shared" si="2"/>
        <v>15</v>
      </c>
      <c r="B16" s="9">
        <f t="shared" si="3"/>
        <v>3</v>
      </c>
      <c r="C16" s="9">
        <f>Calculations!$B$24</f>
        <v>12.84014153406013</v>
      </c>
      <c r="D16" s="9">
        <f t="shared" si="4"/>
        <v>38.520424602180391</v>
      </c>
      <c r="E16" s="9">
        <f>Calculations!$B$27</f>
        <v>1500</v>
      </c>
      <c r="F16" s="9" t="b">
        <f t="shared" si="5"/>
        <v>1</v>
      </c>
    </row>
    <row r="17" spans="1:6" x14ac:dyDescent="0.3">
      <c r="A17" s="9">
        <f t="shared" si="2"/>
        <v>16</v>
      </c>
      <c r="B17" s="9">
        <f t="shared" si="3"/>
        <v>2.5</v>
      </c>
      <c r="C17" s="9">
        <f>Calculations!$B$24</f>
        <v>12.84014153406013</v>
      </c>
      <c r="D17" s="9">
        <f t="shared" si="4"/>
        <v>32.100353835150329</v>
      </c>
      <c r="E17" s="9">
        <f>Calculations!$B$27</f>
        <v>1500</v>
      </c>
      <c r="F17" s="9" t="b">
        <f t="shared" si="5"/>
        <v>1</v>
      </c>
    </row>
    <row r="18" spans="1:6" x14ac:dyDescent="0.3">
      <c r="A18" s="9">
        <f t="shared" si="2"/>
        <v>17</v>
      </c>
      <c r="B18" s="9">
        <f t="shared" si="3"/>
        <v>2</v>
      </c>
      <c r="C18" s="9">
        <f>Calculations!$B$24</f>
        <v>12.84014153406013</v>
      </c>
      <c r="D18" s="9">
        <f t="shared" si="4"/>
        <v>25.680283068120261</v>
      </c>
      <c r="E18" s="9">
        <f>Calculations!$B$27</f>
        <v>1500</v>
      </c>
      <c r="F18" s="9" t="b">
        <f t="shared" si="5"/>
        <v>1</v>
      </c>
    </row>
    <row r="19" spans="1:6" x14ac:dyDescent="0.3">
      <c r="A19" s="9">
        <f t="shared" si="2"/>
        <v>18</v>
      </c>
      <c r="B19" s="9">
        <f t="shared" si="3"/>
        <v>2</v>
      </c>
      <c r="C19" s="9">
        <f>Calculations!$B$24</f>
        <v>12.84014153406013</v>
      </c>
      <c r="D19" s="9">
        <f t="shared" si="4"/>
        <v>25.680283068120261</v>
      </c>
      <c r="E19" s="9">
        <f>Calculations!$B$27</f>
        <v>1500</v>
      </c>
      <c r="F19" s="9" t="b">
        <f t="shared" si="5"/>
        <v>1</v>
      </c>
    </row>
    <row r="20" spans="1:6" x14ac:dyDescent="0.3">
      <c r="A20" s="9">
        <f t="shared" si="2"/>
        <v>19</v>
      </c>
      <c r="B20" s="9">
        <f t="shared" si="3"/>
        <v>2</v>
      </c>
      <c r="C20" s="9">
        <f>Calculations!$B$24</f>
        <v>12.84014153406013</v>
      </c>
      <c r="D20" s="9">
        <f t="shared" ref="D20:D31" si="6">B20*C20</f>
        <v>25.680283068120261</v>
      </c>
      <c r="E20" s="9">
        <f>Calculations!$B$27</f>
        <v>1500</v>
      </c>
      <c r="F20" s="9" t="b">
        <f t="shared" ref="F20:F31" si="7">IF(D20 &lt;  (0.9* E20),TRUE,FALSE)</f>
        <v>1</v>
      </c>
    </row>
    <row r="21" spans="1:6" x14ac:dyDescent="0.3">
      <c r="A21" s="9">
        <f t="shared" si="2"/>
        <v>20</v>
      </c>
      <c r="B21" s="9">
        <f t="shared" si="3"/>
        <v>2</v>
      </c>
      <c r="C21" s="9">
        <f>Calculations!$B$24</f>
        <v>12.84014153406013</v>
      </c>
      <c r="D21" s="9">
        <f t="shared" si="6"/>
        <v>25.680283068120261</v>
      </c>
      <c r="E21" s="9">
        <f>Calculations!$B$27</f>
        <v>1500</v>
      </c>
      <c r="F21" s="9" t="b">
        <f t="shared" si="7"/>
        <v>1</v>
      </c>
    </row>
    <row r="22" spans="1:6" x14ac:dyDescent="0.3">
      <c r="A22" s="9">
        <f t="shared" si="2"/>
        <v>21</v>
      </c>
      <c r="B22" s="9">
        <f t="shared" si="3"/>
        <v>2</v>
      </c>
      <c r="C22" s="9">
        <f>Calculations!$B$24</f>
        <v>12.84014153406013</v>
      </c>
      <c r="D22" s="9">
        <f t="shared" si="6"/>
        <v>25.680283068120261</v>
      </c>
      <c r="E22" s="9">
        <f>Calculations!$B$27</f>
        <v>1500</v>
      </c>
      <c r="F22" s="9" t="b">
        <f t="shared" si="7"/>
        <v>1</v>
      </c>
    </row>
    <row r="23" spans="1:6" x14ac:dyDescent="0.3">
      <c r="A23" s="9">
        <f t="shared" si="2"/>
        <v>22</v>
      </c>
      <c r="B23" s="9">
        <f t="shared" si="3"/>
        <v>2</v>
      </c>
      <c r="C23" s="9">
        <f>Calculations!$B$24</f>
        <v>12.84014153406013</v>
      </c>
      <c r="D23" s="9">
        <f t="shared" si="6"/>
        <v>25.680283068120261</v>
      </c>
      <c r="E23" s="9">
        <f>Calculations!$B$27</f>
        <v>1500</v>
      </c>
      <c r="F23" s="9" t="b">
        <f t="shared" si="7"/>
        <v>1</v>
      </c>
    </row>
    <row r="24" spans="1:6" x14ac:dyDescent="0.3">
      <c r="A24" s="9">
        <f t="shared" si="2"/>
        <v>23</v>
      </c>
      <c r="B24" s="9">
        <f t="shared" si="3"/>
        <v>2</v>
      </c>
      <c r="C24" s="9">
        <f>Calculations!$B$24</f>
        <v>12.84014153406013</v>
      </c>
      <c r="D24" s="9">
        <f t="shared" si="6"/>
        <v>25.680283068120261</v>
      </c>
      <c r="E24" s="9">
        <f>Calculations!$B$27</f>
        <v>1500</v>
      </c>
      <c r="F24" s="9" t="b">
        <f t="shared" si="7"/>
        <v>1</v>
      </c>
    </row>
    <row r="25" spans="1:6" x14ac:dyDescent="0.3">
      <c r="A25" s="9">
        <f t="shared" si="2"/>
        <v>24</v>
      </c>
      <c r="B25" s="9">
        <f t="shared" si="3"/>
        <v>2</v>
      </c>
      <c r="C25" s="9">
        <f>Calculations!$B$24</f>
        <v>12.84014153406013</v>
      </c>
      <c r="D25" s="9">
        <f t="shared" si="6"/>
        <v>25.680283068120261</v>
      </c>
      <c r="E25" s="9">
        <f>Calculations!$B$27</f>
        <v>1500</v>
      </c>
      <c r="F25" s="9" t="b">
        <f t="shared" si="7"/>
        <v>1</v>
      </c>
    </row>
    <row r="26" spans="1:6" x14ac:dyDescent="0.3">
      <c r="A26" s="9">
        <f t="shared" si="2"/>
        <v>25</v>
      </c>
      <c r="B26" s="9">
        <f t="shared" si="3"/>
        <v>2</v>
      </c>
      <c r="C26" s="9">
        <f>Calculations!$B$24</f>
        <v>12.84014153406013</v>
      </c>
      <c r="D26" s="9">
        <f t="shared" si="6"/>
        <v>25.680283068120261</v>
      </c>
      <c r="E26" s="9">
        <f>Calculations!$B$27</f>
        <v>1500</v>
      </c>
      <c r="F26" s="9" t="b">
        <f t="shared" si="7"/>
        <v>1</v>
      </c>
    </row>
    <row r="27" spans="1:6" x14ac:dyDescent="0.3">
      <c r="A27" s="9">
        <f t="shared" ref="A27:A38" si="8">A26+1</f>
        <v>26</v>
      </c>
      <c r="B27" s="9">
        <f t="shared" si="3"/>
        <v>2</v>
      </c>
      <c r="C27" s="9">
        <f>Calculations!$B$24</f>
        <v>12.84014153406013</v>
      </c>
      <c r="D27" s="9">
        <f t="shared" si="6"/>
        <v>25.680283068120261</v>
      </c>
      <c r="E27" s="9">
        <f>Calculations!$B$27</f>
        <v>1500</v>
      </c>
      <c r="F27" s="9" t="b">
        <f t="shared" si="7"/>
        <v>1</v>
      </c>
    </row>
    <row r="28" spans="1:6" x14ac:dyDescent="0.3">
      <c r="A28" s="9">
        <f t="shared" si="8"/>
        <v>27</v>
      </c>
      <c r="B28" s="9">
        <f t="shared" si="3"/>
        <v>2</v>
      </c>
      <c r="C28" s="9">
        <f>Calculations!$B$24</f>
        <v>12.84014153406013</v>
      </c>
      <c r="D28" s="9">
        <f t="shared" si="6"/>
        <v>25.680283068120261</v>
      </c>
      <c r="E28" s="9">
        <f>Calculations!$B$27</f>
        <v>1500</v>
      </c>
      <c r="F28" s="9" t="b">
        <f t="shared" si="7"/>
        <v>1</v>
      </c>
    </row>
    <row r="29" spans="1:6" x14ac:dyDescent="0.3">
      <c r="A29" s="9">
        <f t="shared" si="8"/>
        <v>28</v>
      </c>
      <c r="B29" s="9">
        <f t="shared" si="3"/>
        <v>2</v>
      </c>
      <c r="C29" s="9">
        <f>Calculations!$B$24</f>
        <v>12.84014153406013</v>
      </c>
      <c r="D29" s="9">
        <f t="shared" si="6"/>
        <v>25.680283068120261</v>
      </c>
      <c r="E29" s="9">
        <f>Calculations!$B$27</f>
        <v>1500</v>
      </c>
      <c r="F29" s="9" t="b">
        <f t="shared" si="7"/>
        <v>1</v>
      </c>
    </row>
    <row r="30" spans="1:6" x14ac:dyDescent="0.3">
      <c r="A30" s="9">
        <f t="shared" si="8"/>
        <v>29</v>
      </c>
      <c r="B30" s="9">
        <f t="shared" si="3"/>
        <v>2</v>
      </c>
      <c r="C30" s="9">
        <f>Calculations!$B$24</f>
        <v>12.84014153406013</v>
      </c>
      <c r="D30" s="9">
        <f t="shared" si="6"/>
        <v>25.680283068120261</v>
      </c>
      <c r="E30" s="9">
        <f>Calculations!$B$27</f>
        <v>1500</v>
      </c>
      <c r="F30" s="9" t="b">
        <f t="shared" si="7"/>
        <v>1</v>
      </c>
    </row>
    <row r="31" spans="1:6" x14ac:dyDescent="0.3">
      <c r="A31" s="9">
        <f t="shared" si="8"/>
        <v>30</v>
      </c>
      <c r="B31" s="9">
        <f t="shared" si="3"/>
        <v>2</v>
      </c>
      <c r="C31" s="9">
        <f>Calculations!$B$24</f>
        <v>12.84014153406013</v>
      </c>
      <c r="D31" s="9">
        <f t="shared" si="6"/>
        <v>25.680283068120261</v>
      </c>
      <c r="E31" s="9">
        <f>Calculations!$B$27</f>
        <v>1500</v>
      </c>
      <c r="F31" s="9" t="b">
        <f t="shared" si="7"/>
        <v>1</v>
      </c>
    </row>
    <row r="32" spans="1:6" x14ac:dyDescent="0.3">
      <c r="A32" s="9">
        <f t="shared" si="8"/>
        <v>31</v>
      </c>
      <c r="B32" s="9">
        <f t="shared" si="3"/>
        <v>2</v>
      </c>
      <c r="C32" s="9">
        <f>Calculations!$B$24</f>
        <v>12.84014153406013</v>
      </c>
      <c r="D32" s="9">
        <f t="shared" ref="D32:D38" si="9">B32*C32</f>
        <v>25.680283068120261</v>
      </c>
      <c r="E32" s="9">
        <f>Calculations!$B$27</f>
        <v>1500</v>
      </c>
      <c r="F32" s="9" t="b">
        <f t="shared" ref="F32:F38" si="10">IF(D32 &lt;  (0.9* E32),TRUE,FALSE)</f>
        <v>1</v>
      </c>
    </row>
    <row r="33" spans="1:6" x14ac:dyDescent="0.3">
      <c r="A33" s="9">
        <f t="shared" si="8"/>
        <v>32</v>
      </c>
      <c r="B33" s="9">
        <f t="shared" si="3"/>
        <v>2</v>
      </c>
      <c r="C33" s="9">
        <f>Calculations!$B$24</f>
        <v>12.84014153406013</v>
      </c>
      <c r="D33" s="9">
        <f t="shared" si="9"/>
        <v>25.680283068120261</v>
      </c>
      <c r="E33" s="9">
        <f>Calculations!$B$27</f>
        <v>1500</v>
      </c>
      <c r="F33" s="9" t="b">
        <f t="shared" si="10"/>
        <v>1</v>
      </c>
    </row>
    <row r="34" spans="1:6" x14ac:dyDescent="0.3">
      <c r="A34" s="9">
        <f t="shared" si="8"/>
        <v>33</v>
      </c>
      <c r="B34" s="9">
        <f t="shared" si="3"/>
        <v>2</v>
      </c>
      <c r="C34" s="9">
        <f>Calculations!$B$24</f>
        <v>12.84014153406013</v>
      </c>
      <c r="D34" s="9">
        <f t="shared" si="9"/>
        <v>25.680283068120261</v>
      </c>
      <c r="E34" s="9">
        <f>Calculations!$B$27</f>
        <v>1500</v>
      </c>
      <c r="F34" s="9" t="b">
        <f t="shared" si="10"/>
        <v>1</v>
      </c>
    </row>
    <row r="35" spans="1:6" x14ac:dyDescent="0.3">
      <c r="A35" s="9">
        <f t="shared" si="8"/>
        <v>34</v>
      </c>
      <c r="B35" s="9">
        <f t="shared" si="3"/>
        <v>2</v>
      </c>
      <c r="C35" s="9">
        <f>Calculations!$B$24</f>
        <v>12.84014153406013</v>
      </c>
      <c r="D35" s="9">
        <f t="shared" si="9"/>
        <v>25.680283068120261</v>
      </c>
      <c r="E35" s="9">
        <f>Calculations!$B$27</f>
        <v>1500</v>
      </c>
      <c r="F35" s="9" t="b">
        <f t="shared" si="10"/>
        <v>1</v>
      </c>
    </row>
    <row r="36" spans="1:6" x14ac:dyDescent="0.3">
      <c r="A36" s="9">
        <f t="shared" si="8"/>
        <v>35</v>
      </c>
      <c r="B36" s="9">
        <f t="shared" si="3"/>
        <v>2</v>
      </c>
      <c r="C36" s="9">
        <f>Calculations!$B$24</f>
        <v>12.84014153406013</v>
      </c>
      <c r="D36" s="9">
        <f t="shared" si="9"/>
        <v>25.680283068120261</v>
      </c>
      <c r="E36" s="9">
        <f>Calculations!$B$27</f>
        <v>1500</v>
      </c>
      <c r="F36" s="9" t="b">
        <f t="shared" si="10"/>
        <v>1</v>
      </c>
    </row>
    <row r="37" spans="1:6" x14ac:dyDescent="0.3">
      <c r="A37" s="9">
        <f t="shared" si="8"/>
        <v>36</v>
      </c>
      <c r="B37" s="9">
        <f t="shared" si="3"/>
        <v>2</v>
      </c>
      <c r="C37" s="9">
        <f>Calculations!$B$24</f>
        <v>12.84014153406013</v>
      </c>
      <c r="D37" s="9">
        <f t="shared" si="9"/>
        <v>25.680283068120261</v>
      </c>
      <c r="E37" s="9">
        <f>Calculations!$B$27</f>
        <v>1500</v>
      </c>
      <c r="F37" s="9" t="b">
        <f t="shared" si="10"/>
        <v>1</v>
      </c>
    </row>
    <row r="38" spans="1:6" x14ac:dyDescent="0.3">
      <c r="A38" s="9">
        <f t="shared" si="8"/>
        <v>37</v>
      </c>
      <c r="B38" s="9">
        <f t="shared" si="3"/>
        <v>2</v>
      </c>
      <c r="C38" s="9">
        <f>Calculations!$B$24</f>
        <v>12.84014153406013</v>
      </c>
      <c r="D38" s="9">
        <f t="shared" si="9"/>
        <v>25.680283068120261</v>
      </c>
      <c r="E38" s="9">
        <f>Calculations!$B$27</f>
        <v>1500</v>
      </c>
      <c r="F38" s="9" t="b">
        <f t="shared" si="10"/>
        <v>1</v>
      </c>
    </row>
    <row r="39" spans="1:6" x14ac:dyDescent="0.3">
      <c r="A39" s="9">
        <f t="shared" ref="A39:A42" si="11">A38+1</f>
        <v>38</v>
      </c>
      <c r="B39" s="9">
        <f>IF(($B38-0.5)&gt;=2,($B38-0.5),2)</f>
        <v>2</v>
      </c>
      <c r="C39" s="9">
        <f>Calculations!$B$24</f>
        <v>12.84014153406013</v>
      </c>
      <c r="D39" s="9">
        <f t="shared" ref="D39:D42" si="12">B39*C39</f>
        <v>25.680283068120261</v>
      </c>
      <c r="E39" s="9">
        <f>Calculations!$B$27</f>
        <v>1500</v>
      </c>
      <c r="F39" s="9" t="b">
        <f t="shared" ref="F39:F42" si="13">IF(D39 &lt;  (0.9* E39),TRUE,FALSE)</f>
        <v>1</v>
      </c>
    </row>
    <row r="40" spans="1:6" x14ac:dyDescent="0.3">
      <c r="A40" s="9">
        <f t="shared" si="11"/>
        <v>39</v>
      </c>
      <c r="B40" s="9">
        <f t="shared" si="3"/>
        <v>2</v>
      </c>
      <c r="C40" s="9">
        <f>Calculations!$B$24</f>
        <v>12.84014153406013</v>
      </c>
      <c r="D40" s="9">
        <f t="shared" si="12"/>
        <v>25.680283068120261</v>
      </c>
      <c r="E40" s="9">
        <f>Calculations!$B$27</f>
        <v>1500</v>
      </c>
      <c r="F40" s="9" t="b">
        <f t="shared" si="13"/>
        <v>1</v>
      </c>
    </row>
    <row r="41" spans="1:6" x14ac:dyDescent="0.3">
      <c r="A41" s="9">
        <f t="shared" si="11"/>
        <v>40</v>
      </c>
      <c r="B41" s="9">
        <f t="shared" si="3"/>
        <v>2</v>
      </c>
      <c r="C41" s="9">
        <f>Calculations!$B$24</f>
        <v>12.84014153406013</v>
      </c>
      <c r="D41" s="9">
        <f t="shared" si="12"/>
        <v>25.680283068120261</v>
      </c>
      <c r="E41" s="9">
        <f>Calculations!$B$27</f>
        <v>1500</v>
      </c>
      <c r="F41" s="9" t="b">
        <f t="shared" si="13"/>
        <v>1</v>
      </c>
    </row>
    <row r="42" spans="1:6" x14ac:dyDescent="0.3">
      <c r="A42" s="9">
        <f t="shared" si="11"/>
        <v>41</v>
      </c>
      <c r="B42" s="9">
        <f t="shared" si="3"/>
        <v>2</v>
      </c>
      <c r="C42" s="9">
        <f>Calculations!$B$24</f>
        <v>12.84014153406013</v>
      </c>
      <c r="D42" s="9">
        <f t="shared" si="12"/>
        <v>25.680283068120261</v>
      </c>
      <c r="E42" s="9">
        <f>Calculations!$B$27</f>
        <v>1500</v>
      </c>
      <c r="F42" s="9" t="b">
        <f t="shared" si="13"/>
        <v>1</v>
      </c>
    </row>
    <row r="43" spans="1:6" x14ac:dyDescent="0.3">
      <c r="B43" s="50">
        <f>_xlfn.XLOOKUP(TRUE,F2:F42,B2:B42,"No")</f>
        <v>10</v>
      </c>
      <c r="D43" s="50">
        <f>_xlfn.XLOOKUP(TRUE,F2:F42,D2:D42,"No")</f>
        <v>128.40141534060132</v>
      </c>
      <c r="F43" t="s">
        <v>86</v>
      </c>
    </row>
    <row r="45" spans="1:6" ht="28.8" x14ac:dyDescent="0.3">
      <c r="A45" s="9" t="s">
        <v>80</v>
      </c>
      <c r="B45" s="9" t="s">
        <v>81</v>
      </c>
      <c r="C45" s="9" t="s">
        <v>82</v>
      </c>
      <c r="D45" s="9" t="s">
        <v>83</v>
      </c>
      <c r="E45" s="9" t="s">
        <v>87</v>
      </c>
      <c r="F45" s="9" t="s">
        <v>85</v>
      </c>
    </row>
    <row r="46" spans="1:6" x14ac:dyDescent="0.3">
      <c r="A46" s="9">
        <v>1</v>
      </c>
      <c r="B46" s="9">
        <f>ConduitTable!I39</f>
        <v>10</v>
      </c>
      <c r="C46" s="9">
        <f>Calculations!$B$24</f>
        <v>12.84014153406013</v>
      </c>
      <c r="D46" s="9">
        <f>B46*C46</f>
        <v>128.40141534060132</v>
      </c>
      <c r="E46" s="9">
        <f>'Strut loads'!I29</f>
        <v>3550</v>
      </c>
      <c r="F46" s="9" t="b">
        <f>IF(D46 &lt;  (0.9* E46),TRUE,FALSE)</f>
        <v>1</v>
      </c>
    </row>
    <row r="47" spans="1:6" x14ac:dyDescent="0.3">
      <c r="A47" s="9">
        <f>1+A46</f>
        <v>2</v>
      </c>
      <c r="B47" s="9">
        <f>IF(($B46-0.5)&gt;=2,($B46-0.5),2)</f>
        <v>9.5</v>
      </c>
      <c r="C47" s="9">
        <f>Calculations!$B$24</f>
        <v>12.84014153406013</v>
      </c>
      <c r="D47" s="9">
        <f t="shared" ref="D47:D55" si="14">B47*C47</f>
        <v>121.98134457357123</v>
      </c>
      <c r="E47" s="9">
        <f>'Strut loads'!$I$29</f>
        <v>3550</v>
      </c>
      <c r="F47" s="9" t="b">
        <f t="shared" ref="F47:F55" si="15">IF(D47 &lt;  (0.9* E47),TRUE,FALSE)</f>
        <v>1</v>
      </c>
    </row>
    <row r="48" spans="1:6" x14ac:dyDescent="0.3">
      <c r="A48" s="9">
        <f t="shared" ref="A48:A55" si="16">1+A47</f>
        <v>3</v>
      </c>
      <c r="B48" s="9">
        <f t="shared" ref="B48:B91" si="17">IF(($B47-0.5)&gt;=2,($B47-0.5),2)</f>
        <v>9</v>
      </c>
      <c r="C48" s="9">
        <f>Calculations!$B$24</f>
        <v>12.84014153406013</v>
      </c>
      <c r="D48" s="9">
        <f t="shared" si="14"/>
        <v>115.56127380654118</v>
      </c>
      <c r="E48" s="9">
        <f>'Strut loads'!$I$29</f>
        <v>3550</v>
      </c>
      <c r="F48" s="9" t="b">
        <f t="shared" si="15"/>
        <v>1</v>
      </c>
    </row>
    <row r="49" spans="1:6" x14ac:dyDescent="0.3">
      <c r="A49" s="9">
        <f t="shared" si="16"/>
        <v>4</v>
      </c>
      <c r="B49" s="9">
        <f t="shared" si="17"/>
        <v>8.5</v>
      </c>
      <c r="C49" s="9">
        <f>Calculations!$B$24</f>
        <v>12.84014153406013</v>
      </c>
      <c r="D49" s="9">
        <f t="shared" si="14"/>
        <v>109.14120303951111</v>
      </c>
      <c r="E49" s="9">
        <f>'Strut loads'!$I$29</f>
        <v>3550</v>
      </c>
      <c r="F49" s="9" t="b">
        <f t="shared" si="15"/>
        <v>1</v>
      </c>
    </row>
    <row r="50" spans="1:6" x14ac:dyDescent="0.3">
      <c r="A50" s="9">
        <f t="shared" si="16"/>
        <v>5</v>
      </c>
      <c r="B50" s="9">
        <f t="shared" si="17"/>
        <v>8</v>
      </c>
      <c r="C50" s="9">
        <f>Calculations!$B$24</f>
        <v>12.84014153406013</v>
      </c>
      <c r="D50" s="9">
        <f t="shared" si="14"/>
        <v>102.72113227248104</v>
      </c>
      <c r="E50" s="9">
        <f>'Strut loads'!$I$29</f>
        <v>3550</v>
      </c>
      <c r="F50" s="9" t="b">
        <f t="shared" si="15"/>
        <v>1</v>
      </c>
    </row>
    <row r="51" spans="1:6" x14ac:dyDescent="0.3">
      <c r="A51" s="9">
        <f t="shared" si="16"/>
        <v>6</v>
      </c>
      <c r="B51" s="9">
        <f t="shared" si="17"/>
        <v>7.5</v>
      </c>
      <c r="C51" s="9">
        <f>Calculations!$B$24</f>
        <v>12.84014153406013</v>
      </c>
      <c r="D51" s="9">
        <f t="shared" si="14"/>
        <v>96.301061505450974</v>
      </c>
      <c r="E51" s="9">
        <f>'Strut loads'!$I$29</f>
        <v>3550</v>
      </c>
      <c r="F51" s="9" t="b">
        <f t="shared" si="15"/>
        <v>1</v>
      </c>
    </row>
    <row r="52" spans="1:6" x14ac:dyDescent="0.3">
      <c r="A52" s="9">
        <f t="shared" si="16"/>
        <v>7</v>
      </c>
      <c r="B52" s="9">
        <f t="shared" si="17"/>
        <v>7</v>
      </c>
      <c r="C52" s="9">
        <f>Calculations!$B$24</f>
        <v>12.84014153406013</v>
      </c>
      <c r="D52" s="9">
        <f t="shared" si="14"/>
        <v>89.880990738420905</v>
      </c>
      <c r="E52" s="9">
        <f>'Strut loads'!$I$29</f>
        <v>3550</v>
      </c>
      <c r="F52" s="9" t="b">
        <f t="shared" si="15"/>
        <v>1</v>
      </c>
    </row>
    <row r="53" spans="1:6" x14ac:dyDescent="0.3">
      <c r="A53" s="9">
        <f t="shared" si="16"/>
        <v>8</v>
      </c>
      <c r="B53" s="9">
        <f t="shared" si="17"/>
        <v>6.5</v>
      </c>
      <c r="C53" s="9">
        <f>Calculations!$B$24</f>
        <v>12.84014153406013</v>
      </c>
      <c r="D53" s="9">
        <f t="shared" si="14"/>
        <v>83.460919971390851</v>
      </c>
      <c r="E53" s="9">
        <f>'Strut loads'!$I$29</f>
        <v>3550</v>
      </c>
      <c r="F53" s="9" t="b">
        <f t="shared" si="15"/>
        <v>1</v>
      </c>
    </row>
    <row r="54" spans="1:6" x14ac:dyDescent="0.3">
      <c r="A54" s="9">
        <f t="shared" si="16"/>
        <v>9</v>
      </c>
      <c r="B54" s="9">
        <f t="shared" si="17"/>
        <v>6</v>
      </c>
      <c r="C54" s="9">
        <f>Calculations!$B$24</f>
        <v>12.84014153406013</v>
      </c>
      <c r="D54" s="9">
        <f t="shared" si="14"/>
        <v>77.040849204360782</v>
      </c>
      <c r="E54" s="9">
        <f>'Strut loads'!$I$29</f>
        <v>3550</v>
      </c>
      <c r="F54" s="9" t="b">
        <f t="shared" si="15"/>
        <v>1</v>
      </c>
    </row>
    <row r="55" spans="1:6" x14ac:dyDescent="0.3">
      <c r="A55" s="9">
        <f t="shared" si="16"/>
        <v>10</v>
      </c>
      <c r="B55" s="9">
        <f t="shared" si="17"/>
        <v>5.5</v>
      </c>
      <c r="C55" s="9">
        <f>Calculations!$B$24</f>
        <v>12.84014153406013</v>
      </c>
      <c r="D55" s="9">
        <f t="shared" si="14"/>
        <v>70.620778437330713</v>
      </c>
      <c r="E55" s="9">
        <f>'Strut loads'!$I$29</f>
        <v>3550</v>
      </c>
      <c r="F55" s="9" t="b">
        <f t="shared" si="15"/>
        <v>1</v>
      </c>
    </row>
    <row r="56" spans="1:6" x14ac:dyDescent="0.3">
      <c r="A56" s="9">
        <f>1+A55</f>
        <v>11</v>
      </c>
      <c r="B56" s="9">
        <f t="shared" si="17"/>
        <v>5</v>
      </c>
      <c r="C56" s="9">
        <f>Calculations!$B$24</f>
        <v>12.84014153406013</v>
      </c>
      <c r="D56" s="9">
        <f t="shared" ref="D56:D73" si="18">B56*C56</f>
        <v>64.200707670300659</v>
      </c>
      <c r="E56" s="9">
        <f>'Strut loads'!$I$29</f>
        <v>3550</v>
      </c>
      <c r="F56" s="9" t="b">
        <f t="shared" ref="F56:F73" si="19">IF(D56 &lt;  (0.9* E56),TRUE,FALSE)</f>
        <v>1</v>
      </c>
    </row>
    <row r="57" spans="1:6" x14ac:dyDescent="0.3">
      <c r="A57" s="9">
        <f t="shared" ref="A57:A64" si="20">1+A56</f>
        <v>12</v>
      </c>
      <c r="B57" s="9">
        <f t="shared" si="17"/>
        <v>4.5</v>
      </c>
      <c r="C57" s="9">
        <f>Calculations!$B$24</f>
        <v>12.84014153406013</v>
      </c>
      <c r="D57" s="9">
        <f t="shared" si="18"/>
        <v>57.78063690327059</v>
      </c>
      <c r="E57" s="9">
        <f>'Strut loads'!$I$29</f>
        <v>3550</v>
      </c>
      <c r="F57" s="9" t="b">
        <f t="shared" si="19"/>
        <v>1</v>
      </c>
    </row>
    <row r="58" spans="1:6" x14ac:dyDescent="0.3">
      <c r="A58" s="9">
        <f t="shared" si="20"/>
        <v>13</v>
      </c>
      <c r="B58" s="9">
        <f t="shared" si="17"/>
        <v>4</v>
      </c>
      <c r="C58" s="9">
        <f>Calculations!$B$24</f>
        <v>12.84014153406013</v>
      </c>
      <c r="D58" s="9">
        <f t="shared" si="18"/>
        <v>51.360566136240521</v>
      </c>
      <c r="E58" s="9">
        <f>'Strut loads'!$I$29</f>
        <v>3550</v>
      </c>
      <c r="F58" s="9" t="b">
        <f t="shared" si="19"/>
        <v>1</v>
      </c>
    </row>
    <row r="59" spans="1:6" x14ac:dyDescent="0.3">
      <c r="A59" s="9">
        <f t="shared" si="20"/>
        <v>14</v>
      </c>
      <c r="B59" s="9">
        <f t="shared" si="17"/>
        <v>3.5</v>
      </c>
      <c r="C59" s="9">
        <f>Calculations!$B$24</f>
        <v>12.84014153406013</v>
      </c>
      <c r="D59" s="9">
        <f t="shared" si="18"/>
        <v>44.940495369210453</v>
      </c>
      <c r="E59" s="9">
        <f>'Strut loads'!$I$29</f>
        <v>3550</v>
      </c>
      <c r="F59" s="9" t="b">
        <f t="shared" si="19"/>
        <v>1</v>
      </c>
    </row>
    <row r="60" spans="1:6" x14ac:dyDescent="0.3">
      <c r="A60" s="9">
        <f t="shared" si="20"/>
        <v>15</v>
      </c>
      <c r="B60" s="9">
        <f t="shared" si="17"/>
        <v>3</v>
      </c>
      <c r="C60" s="9">
        <f>Calculations!$B$24</f>
        <v>12.84014153406013</v>
      </c>
      <c r="D60" s="9">
        <f t="shared" si="18"/>
        <v>38.520424602180391</v>
      </c>
      <c r="E60" s="9">
        <f>'Strut loads'!$I$29</f>
        <v>3550</v>
      </c>
      <c r="F60" s="9" t="b">
        <f t="shared" si="19"/>
        <v>1</v>
      </c>
    </row>
    <row r="61" spans="1:6" x14ac:dyDescent="0.3">
      <c r="A61" s="9">
        <f t="shared" si="20"/>
        <v>16</v>
      </c>
      <c r="B61" s="9">
        <f t="shared" si="17"/>
        <v>2.5</v>
      </c>
      <c r="C61" s="9">
        <f>Calculations!$B$24</f>
        <v>12.84014153406013</v>
      </c>
      <c r="D61" s="9">
        <f t="shared" si="18"/>
        <v>32.100353835150329</v>
      </c>
      <c r="E61" s="9">
        <f>'Strut loads'!$I$29</f>
        <v>3550</v>
      </c>
      <c r="F61" s="9" t="b">
        <f t="shared" si="19"/>
        <v>1</v>
      </c>
    </row>
    <row r="62" spans="1:6" x14ac:dyDescent="0.3">
      <c r="A62" s="9">
        <f t="shared" si="20"/>
        <v>17</v>
      </c>
      <c r="B62" s="9">
        <f t="shared" si="17"/>
        <v>2</v>
      </c>
      <c r="C62" s="9">
        <f>Calculations!$B$24</f>
        <v>12.84014153406013</v>
      </c>
      <c r="D62" s="9">
        <f t="shared" si="18"/>
        <v>25.680283068120261</v>
      </c>
      <c r="E62" s="9">
        <f>'Strut loads'!$I$29</f>
        <v>3550</v>
      </c>
      <c r="F62" s="9" t="b">
        <f t="shared" si="19"/>
        <v>1</v>
      </c>
    </row>
    <row r="63" spans="1:6" x14ac:dyDescent="0.3">
      <c r="A63" s="9">
        <f t="shared" si="20"/>
        <v>18</v>
      </c>
      <c r="B63" s="9">
        <f t="shared" si="17"/>
        <v>2</v>
      </c>
      <c r="C63" s="9">
        <f>Calculations!$B$24</f>
        <v>12.84014153406013</v>
      </c>
      <c r="D63" s="9">
        <f t="shared" si="18"/>
        <v>25.680283068120261</v>
      </c>
      <c r="E63" s="9">
        <f>'Strut loads'!$I$29</f>
        <v>3550</v>
      </c>
      <c r="F63" s="9" t="b">
        <f t="shared" si="19"/>
        <v>1</v>
      </c>
    </row>
    <row r="64" spans="1:6" x14ac:dyDescent="0.3">
      <c r="A64" s="9">
        <f t="shared" si="20"/>
        <v>19</v>
      </c>
      <c r="B64" s="9">
        <f t="shared" si="17"/>
        <v>2</v>
      </c>
      <c r="C64" s="9">
        <f>Calculations!$B$24</f>
        <v>12.84014153406013</v>
      </c>
      <c r="D64" s="9">
        <f t="shared" si="18"/>
        <v>25.680283068120261</v>
      </c>
      <c r="E64" s="9">
        <f>'Strut loads'!$I$29</f>
        <v>3550</v>
      </c>
      <c r="F64" s="9" t="b">
        <f t="shared" si="19"/>
        <v>1</v>
      </c>
    </row>
    <row r="65" spans="1:6" x14ac:dyDescent="0.3">
      <c r="A65" s="9">
        <f>1+A64</f>
        <v>20</v>
      </c>
      <c r="B65" s="9">
        <f t="shared" si="17"/>
        <v>2</v>
      </c>
      <c r="C65" s="9">
        <f>Calculations!$B$24</f>
        <v>12.84014153406013</v>
      </c>
      <c r="D65" s="9">
        <f t="shared" si="18"/>
        <v>25.680283068120261</v>
      </c>
      <c r="E65" s="9">
        <f>'Strut loads'!$I$29</f>
        <v>3550</v>
      </c>
      <c r="F65" s="9" t="b">
        <f t="shared" si="19"/>
        <v>1</v>
      </c>
    </row>
    <row r="66" spans="1:6" x14ac:dyDescent="0.3">
      <c r="A66" s="9">
        <f t="shared" ref="A66:A73" si="21">1+A65</f>
        <v>21</v>
      </c>
      <c r="B66" s="9">
        <f t="shared" si="17"/>
        <v>2</v>
      </c>
      <c r="C66" s="9">
        <f>Calculations!$B$24</f>
        <v>12.84014153406013</v>
      </c>
      <c r="D66" s="9">
        <f t="shared" si="18"/>
        <v>25.680283068120261</v>
      </c>
      <c r="E66" s="9">
        <f>'Strut loads'!$I$29</f>
        <v>3550</v>
      </c>
      <c r="F66" s="9" t="b">
        <f t="shared" si="19"/>
        <v>1</v>
      </c>
    </row>
    <row r="67" spans="1:6" x14ac:dyDescent="0.3">
      <c r="A67" s="9">
        <f t="shared" si="21"/>
        <v>22</v>
      </c>
      <c r="B67" s="9">
        <f t="shared" si="17"/>
        <v>2</v>
      </c>
      <c r="C67" s="9">
        <f>Calculations!$B$24</f>
        <v>12.84014153406013</v>
      </c>
      <c r="D67" s="9">
        <f t="shared" si="18"/>
        <v>25.680283068120261</v>
      </c>
      <c r="E67" s="9">
        <f>'Strut loads'!$I$29</f>
        <v>3550</v>
      </c>
      <c r="F67" s="9" t="b">
        <f t="shared" si="19"/>
        <v>1</v>
      </c>
    </row>
    <row r="68" spans="1:6" x14ac:dyDescent="0.3">
      <c r="A68" s="9">
        <f t="shared" si="21"/>
        <v>23</v>
      </c>
      <c r="B68" s="9">
        <f t="shared" si="17"/>
        <v>2</v>
      </c>
      <c r="C68" s="9">
        <f>Calculations!$B$24</f>
        <v>12.84014153406013</v>
      </c>
      <c r="D68" s="9">
        <f t="shared" si="18"/>
        <v>25.680283068120261</v>
      </c>
      <c r="E68" s="9">
        <f>'Strut loads'!$I$29</f>
        <v>3550</v>
      </c>
      <c r="F68" s="9" t="b">
        <f t="shared" si="19"/>
        <v>1</v>
      </c>
    </row>
    <row r="69" spans="1:6" x14ac:dyDescent="0.3">
      <c r="A69" s="9">
        <f t="shared" si="21"/>
        <v>24</v>
      </c>
      <c r="B69" s="9">
        <f t="shared" si="17"/>
        <v>2</v>
      </c>
      <c r="C69" s="9">
        <f>Calculations!$B$24</f>
        <v>12.84014153406013</v>
      </c>
      <c r="D69" s="9">
        <f t="shared" si="18"/>
        <v>25.680283068120261</v>
      </c>
      <c r="E69" s="9">
        <f>'Strut loads'!$I$29</f>
        <v>3550</v>
      </c>
      <c r="F69" s="9" t="b">
        <f t="shared" si="19"/>
        <v>1</v>
      </c>
    </row>
    <row r="70" spans="1:6" x14ac:dyDescent="0.3">
      <c r="A70" s="9">
        <f t="shared" si="21"/>
        <v>25</v>
      </c>
      <c r="B70" s="9">
        <f t="shared" si="17"/>
        <v>2</v>
      </c>
      <c r="C70" s="9">
        <f>Calculations!$B$24</f>
        <v>12.84014153406013</v>
      </c>
      <c r="D70" s="9">
        <f t="shared" si="18"/>
        <v>25.680283068120261</v>
      </c>
      <c r="E70" s="9">
        <f>'Strut loads'!$I$29</f>
        <v>3550</v>
      </c>
      <c r="F70" s="9" t="b">
        <f t="shared" si="19"/>
        <v>1</v>
      </c>
    </row>
    <row r="71" spans="1:6" x14ac:dyDescent="0.3">
      <c r="A71" s="9">
        <f t="shared" si="21"/>
        <v>26</v>
      </c>
      <c r="B71" s="9">
        <f t="shared" si="17"/>
        <v>2</v>
      </c>
      <c r="C71" s="9">
        <f>Calculations!$B$24</f>
        <v>12.84014153406013</v>
      </c>
      <c r="D71" s="9">
        <f t="shared" si="18"/>
        <v>25.680283068120261</v>
      </c>
      <c r="E71" s="9">
        <f>'Strut loads'!$I$29</f>
        <v>3550</v>
      </c>
      <c r="F71" s="9" t="b">
        <f t="shared" si="19"/>
        <v>1</v>
      </c>
    </row>
    <row r="72" spans="1:6" x14ac:dyDescent="0.3">
      <c r="A72" s="9">
        <f t="shared" si="21"/>
        <v>27</v>
      </c>
      <c r="B72" s="9">
        <f t="shared" si="17"/>
        <v>2</v>
      </c>
      <c r="C72" s="9">
        <f>Calculations!$B$24</f>
        <v>12.84014153406013</v>
      </c>
      <c r="D72" s="9">
        <f t="shared" si="18"/>
        <v>25.680283068120261</v>
      </c>
      <c r="E72" s="9">
        <f>'Strut loads'!$I$29</f>
        <v>3550</v>
      </c>
      <c r="F72" s="9" t="b">
        <f t="shared" si="19"/>
        <v>1</v>
      </c>
    </row>
    <row r="73" spans="1:6" x14ac:dyDescent="0.3">
      <c r="A73" s="9">
        <f t="shared" si="21"/>
        <v>28</v>
      </c>
      <c r="B73" s="9">
        <f t="shared" si="17"/>
        <v>2</v>
      </c>
      <c r="C73" s="9">
        <f>Calculations!$B$24</f>
        <v>12.84014153406013</v>
      </c>
      <c r="D73" s="9">
        <f t="shared" si="18"/>
        <v>25.680283068120261</v>
      </c>
      <c r="E73" s="9">
        <f>'Strut loads'!$I$29</f>
        <v>3550</v>
      </c>
      <c r="F73" s="9" t="b">
        <f t="shared" si="19"/>
        <v>1</v>
      </c>
    </row>
    <row r="74" spans="1:6" x14ac:dyDescent="0.3">
      <c r="A74" s="9">
        <f>1+A73</f>
        <v>29</v>
      </c>
      <c r="B74" s="9">
        <f t="shared" si="17"/>
        <v>2</v>
      </c>
      <c r="C74" s="9">
        <f>Calculations!$B$24</f>
        <v>12.84014153406013</v>
      </c>
      <c r="D74" s="9">
        <f t="shared" ref="D74:D82" si="22">B74*C74</f>
        <v>25.680283068120261</v>
      </c>
      <c r="E74" s="9">
        <f>'Strut loads'!$I$29</f>
        <v>3550</v>
      </c>
      <c r="F74" s="9" t="b">
        <f t="shared" ref="F74:F82" si="23">IF(D74 &lt;  (0.9* E74),TRUE,FALSE)</f>
        <v>1</v>
      </c>
    </row>
    <row r="75" spans="1:6" x14ac:dyDescent="0.3">
      <c r="A75" s="9">
        <f t="shared" ref="A75:A82" si="24">1+A74</f>
        <v>30</v>
      </c>
      <c r="B75" s="9">
        <f t="shared" si="17"/>
        <v>2</v>
      </c>
      <c r="C75" s="9">
        <f>Calculations!$B$24</f>
        <v>12.84014153406013</v>
      </c>
      <c r="D75" s="9">
        <f t="shared" si="22"/>
        <v>25.680283068120261</v>
      </c>
      <c r="E75" s="9">
        <f>'Strut loads'!$I$29</f>
        <v>3550</v>
      </c>
      <c r="F75" s="9" t="b">
        <f t="shared" si="23"/>
        <v>1</v>
      </c>
    </row>
    <row r="76" spans="1:6" x14ac:dyDescent="0.3">
      <c r="A76" s="9">
        <f t="shared" si="24"/>
        <v>31</v>
      </c>
      <c r="B76" s="9">
        <f t="shared" si="17"/>
        <v>2</v>
      </c>
      <c r="C76" s="9">
        <f>Calculations!$B$24</f>
        <v>12.84014153406013</v>
      </c>
      <c r="D76" s="9">
        <f t="shared" si="22"/>
        <v>25.680283068120261</v>
      </c>
      <c r="E76" s="9">
        <f>'Strut loads'!$I$29</f>
        <v>3550</v>
      </c>
      <c r="F76" s="9" t="b">
        <f t="shared" si="23"/>
        <v>1</v>
      </c>
    </row>
    <row r="77" spans="1:6" x14ac:dyDescent="0.3">
      <c r="A77" s="9">
        <f t="shared" si="24"/>
        <v>32</v>
      </c>
      <c r="B77" s="9">
        <f t="shared" si="17"/>
        <v>2</v>
      </c>
      <c r="C77" s="9">
        <f>Calculations!$B$24</f>
        <v>12.84014153406013</v>
      </c>
      <c r="D77" s="9">
        <f t="shared" si="22"/>
        <v>25.680283068120261</v>
      </c>
      <c r="E77" s="9">
        <f>'Strut loads'!$I$29</f>
        <v>3550</v>
      </c>
      <c r="F77" s="9" t="b">
        <f t="shared" si="23"/>
        <v>1</v>
      </c>
    </row>
    <row r="78" spans="1:6" x14ac:dyDescent="0.3">
      <c r="A78" s="9">
        <f t="shared" si="24"/>
        <v>33</v>
      </c>
      <c r="B78" s="9">
        <f t="shared" si="17"/>
        <v>2</v>
      </c>
      <c r="C78" s="9">
        <f>Calculations!$B$24</f>
        <v>12.84014153406013</v>
      </c>
      <c r="D78" s="9">
        <f t="shared" si="22"/>
        <v>25.680283068120261</v>
      </c>
      <c r="E78" s="9">
        <f>'Strut loads'!$I$29</f>
        <v>3550</v>
      </c>
      <c r="F78" s="9" t="b">
        <f t="shared" si="23"/>
        <v>1</v>
      </c>
    </row>
    <row r="79" spans="1:6" x14ac:dyDescent="0.3">
      <c r="A79" s="9">
        <f t="shared" si="24"/>
        <v>34</v>
      </c>
      <c r="B79" s="9">
        <f t="shared" si="17"/>
        <v>2</v>
      </c>
      <c r="C79" s="9">
        <f>Calculations!$B$24</f>
        <v>12.84014153406013</v>
      </c>
      <c r="D79" s="9">
        <f t="shared" si="22"/>
        <v>25.680283068120261</v>
      </c>
      <c r="E79" s="9">
        <f>'Strut loads'!$I$29</f>
        <v>3550</v>
      </c>
      <c r="F79" s="9" t="b">
        <f t="shared" si="23"/>
        <v>1</v>
      </c>
    </row>
    <row r="80" spans="1:6" x14ac:dyDescent="0.3">
      <c r="A80" s="9">
        <f t="shared" si="24"/>
        <v>35</v>
      </c>
      <c r="B80" s="9">
        <f t="shared" si="17"/>
        <v>2</v>
      </c>
      <c r="C80" s="9">
        <f>Calculations!$B$24</f>
        <v>12.84014153406013</v>
      </c>
      <c r="D80" s="9">
        <f t="shared" si="22"/>
        <v>25.680283068120261</v>
      </c>
      <c r="E80" s="9">
        <f>'Strut loads'!$I$29</f>
        <v>3550</v>
      </c>
      <c r="F80" s="9" t="b">
        <f t="shared" si="23"/>
        <v>1</v>
      </c>
    </row>
    <row r="81" spans="1:6" x14ac:dyDescent="0.3">
      <c r="A81" s="9">
        <f t="shared" si="24"/>
        <v>36</v>
      </c>
      <c r="B81" s="9">
        <f t="shared" si="17"/>
        <v>2</v>
      </c>
      <c r="C81" s="9">
        <f>Calculations!$B$24</f>
        <v>12.84014153406013</v>
      </c>
      <c r="D81" s="9">
        <f t="shared" si="22"/>
        <v>25.680283068120261</v>
      </c>
      <c r="E81" s="9">
        <f>'Strut loads'!$I$29</f>
        <v>3550</v>
      </c>
      <c r="F81" s="9" t="b">
        <f t="shared" si="23"/>
        <v>1</v>
      </c>
    </row>
    <row r="82" spans="1:6" x14ac:dyDescent="0.3">
      <c r="A82" s="9">
        <f t="shared" si="24"/>
        <v>37</v>
      </c>
      <c r="B82" s="9">
        <f t="shared" si="17"/>
        <v>2</v>
      </c>
      <c r="C82" s="9">
        <f>Calculations!$B$24</f>
        <v>12.84014153406013</v>
      </c>
      <c r="D82" s="9">
        <f t="shared" si="22"/>
        <v>25.680283068120261</v>
      </c>
      <c r="E82" s="9">
        <f>'Strut loads'!$I$29</f>
        <v>3550</v>
      </c>
      <c r="F82" s="9" t="b">
        <f t="shared" si="23"/>
        <v>1</v>
      </c>
    </row>
    <row r="83" spans="1:6" x14ac:dyDescent="0.3">
      <c r="A83" s="9">
        <f>1+A82</f>
        <v>38</v>
      </c>
      <c r="B83" s="9">
        <f t="shared" si="17"/>
        <v>2</v>
      </c>
      <c r="C83" s="9">
        <f>Calculations!$B$24</f>
        <v>12.84014153406013</v>
      </c>
      <c r="D83" s="9">
        <f t="shared" ref="D83:D91" si="25">B83*C83</f>
        <v>25.680283068120261</v>
      </c>
      <c r="E83" s="9">
        <f>'Strut loads'!$I$29</f>
        <v>3550</v>
      </c>
      <c r="F83" s="9" t="b">
        <f t="shared" ref="F83:F91" si="26">IF(D83 &lt;  (0.9* E83),TRUE,FALSE)</f>
        <v>1</v>
      </c>
    </row>
    <row r="84" spans="1:6" x14ac:dyDescent="0.3">
      <c r="A84" s="9">
        <f t="shared" ref="A84:A91" si="27">1+A83</f>
        <v>39</v>
      </c>
      <c r="B84" s="9">
        <f t="shared" si="17"/>
        <v>2</v>
      </c>
      <c r="C84" s="9">
        <f>Calculations!$B$24</f>
        <v>12.84014153406013</v>
      </c>
      <c r="D84" s="9">
        <f t="shared" si="25"/>
        <v>25.680283068120261</v>
      </c>
      <c r="E84" s="9">
        <f>'Strut loads'!$I$29</f>
        <v>3550</v>
      </c>
      <c r="F84" s="9" t="b">
        <f t="shared" si="26"/>
        <v>1</v>
      </c>
    </row>
    <row r="85" spans="1:6" x14ac:dyDescent="0.3">
      <c r="A85" s="9">
        <f t="shared" si="27"/>
        <v>40</v>
      </c>
      <c r="B85" s="9">
        <f t="shared" si="17"/>
        <v>2</v>
      </c>
      <c r="C85" s="9">
        <f>Calculations!$B$24</f>
        <v>12.84014153406013</v>
      </c>
      <c r="D85" s="9">
        <f t="shared" si="25"/>
        <v>25.680283068120261</v>
      </c>
      <c r="E85" s="9">
        <f>'Strut loads'!$I$29</f>
        <v>3550</v>
      </c>
      <c r="F85" s="9" t="b">
        <f t="shared" si="26"/>
        <v>1</v>
      </c>
    </row>
    <row r="86" spans="1:6" x14ac:dyDescent="0.3">
      <c r="A86" s="9">
        <f t="shared" si="27"/>
        <v>41</v>
      </c>
      <c r="B86" s="9">
        <f t="shared" si="17"/>
        <v>2</v>
      </c>
      <c r="C86" s="9">
        <f>Calculations!$B$24</f>
        <v>12.84014153406013</v>
      </c>
      <c r="D86" s="9">
        <f t="shared" si="25"/>
        <v>25.680283068120261</v>
      </c>
      <c r="E86" s="9">
        <f>'Strut loads'!$I$29</f>
        <v>3550</v>
      </c>
      <c r="F86" s="9" t="b">
        <f t="shared" si="26"/>
        <v>1</v>
      </c>
    </row>
    <row r="87" spans="1:6" x14ac:dyDescent="0.3">
      <c r="A87" s="9">
        <f t="shared" si="27"/>
        <v>42</v>
      </c>
      <c r="B87" s="9">
        <f t="shared" si="17"/>
        <v>2</v>
      </c>
      <c r="C87" s="9">
        <f>Calculations!$B$24</f>
        <v>12.84014153406013</v>
      </c>
      <c r="D87" s="9">
        <f t="shared" si="25"/>
        <v>25.680283068120261</v>
      </c>
      <c r="E87" s="9">
        <f>'Strut loads'!$I$29</f>
        <v>3550</v>
      </c>
      <c r="F87" s="9" t="b">
        <f t="shared" si="26"/>
        <v>1</v>
      </c>
    </row>
    <row r="88" spans="1:6" x14ac:dyDescent="0.3">
      <c r="A88" s="9">
        <f t="shared" si="27"/>
        <v>43</v>
      </c>
      <c r="B88" s="9">
        <f t="shared" si="17"/>
        <v>2</v>
      </c>
      <c r="C88" s="9">
        <f>Calculations!$B$24</f>
        <v>12.84014153406013</v>
      </c>
      <c r="D88" s="9">
        <f t="shared" si="25"/>
        <v>25.680283068120261</v>
      </c>
      <c r="E88" s="9">
        <f>'Strut loads'!$I$29</f>
        <v>3550</v>
      </c>
      <c r="F88" s="9" t="b">
        <f t="shared" si="26"/>
        <v>1</v>
      </c>
    </row>
    <row r="89" spans="1:6" x14ac:dyDescent="0.3">
      <c r="A89" s="9">
        <f t="shared" si="27"/>
        <v>44</v>
      </c>
      <c r="B89" s="9">
        <f t="shared" si="17"/>
        <v>2</v>
      </c>
      <c r="C89" s="9">
        <f>Calculations!$B$24</f>
        <v>12.84014153406013</v>
      </c>
      <c r="D89" s="9">
        <f t="shared" si="25"/>
        <v>25.680283068120261</v>
      </c>
      <c r="E89" s="9">
        <f>'Strut loads'!$I$29</f>
        <v>3550</v>
      </c>
      <c r="F89" s="9" t="b">
        <f t="shared" si="26"/>
        <v>1</v>
      </c>
    </row>
    <row r="90" spans="1:6" x14ac:dyDescent="0.3">
      <c r="A90" s="9">
        <f t="shared" si="27"/>
        <v>45</v>
      </c>
      <c r="B90" s="9">
        <f t="shared" si="17"/>
        <v>2</v>
      </c>
      <c r="C90" s="9">
        <f>Calculations!$B$24</f>
        <v>12.84014153406013</v>
      </c>
      <c r="D90" s="9">
        <f t="shared" si="25"/>
        <v>25.680283068120261</v>
      </c>
      <c r="E90" s="9">
        <f>'Strut loads'!$I$29</f>
        <v>3550</v>
      </c>
      <c r="F90" s="9" t="b">
        <f t="shared" si="26"/>
        <v>1</v>
      </c>
    </row>
    <row r="91" spans="1:6" x14ac:dyDescent="0.3">
      <c r="A91" s="9">
        <f t="shared" si="27"/>
        <v>46</v>
      </c>
      <c r="B91" s="9">
        <f t="shared" si="17"/>
        <v>2</v>
      </c>
      <c r="C91" s="9">
        <f>Calculations!$B$24</f>
        <v>12.84014153406013</v>
      </c>
      <c r="D91" s="9">
        <f t="shared" si="25"/>
        <v>25.680283068120261</v>
      </c>
      <c r="E91" s="9">
        <f>'Strut loads'!$I$29</f>
        <v>3550</v>
      </c>
      <c r="F91" s="9" t="b">
        <f t="shared" si="26"/>
        <v>1</v>
      </c>
    </row>
    <row r="92" spans="1:6" x14ac:dyDescent="0.3">
      <c r="B92" s="50">
        <f>_xlfn.XLOOKUP(TRUE,F46:F91,B46:B91,"No")</f>
        <v>10</v>
      </c>
      <c r="D92" s="50">
        <f>_xlfn.XLOOKUP(TRUE,F46:F91,D46:D91,"No")</f>
        <v>128.40141534060132</v>
      </c>
      <c r="F92" t="s">
        <v>88</v>
      </c>
    </row>
    <row r="94" spans="1:6" x14ac:dyDescent="0.3">
      <c r="A94" s="9" t="s">
        <v>80</v>
      </c>
      <c r="B94" s="9" t="s">
        <v>81</v>
      </c>
      <c r="C94" s="9" t="s">
        <v>82</v>
      </c>
      <c r="D94" s="9" t="s">
        <v>83</v>
      </c>
      <c r="E94" s="9" t="s">
        <v>89</v>
      </c>
      <c r="F94" s="9" t="s">
        <v>85</v>
      </c>
    </row>
    <row r="95" spans="1:6" x14ac:dyDescent="0.3">
      <c r="A95" s="9">
        <v>1</v>
      </c>
      <c r="B95" s="9">
        <f>ConduitTable!I39</f>
        <v>10</v>
      </c>
      <c r="C95" s="9">
        <f>Calculations!$B$24</f>
        <v>12.84014153406013</v>
      </c>
      <c r="D95" s="9">
        <f>B95*C95</f>
        <v>128.40141534060132</v>
      </c>
      <c r="E95" s="9">
        <f>'Strut loads'!$D$41</f>
        <v>578</v>
      </c>
      <c r="F95" s="9" t="b">
        <f>IF(D95 &lt;  (0.9* E95),TRUE,FALSE)</f>
        <v>1</v>
      </c>
    </row>
    <row r="96" spans="1:6" x14ac:dyDescent="0.3">
      <c r="A96" s="9">
        <f>1+A95</f>
        <v>2</v>
      </c>
      <c r="B96" s="9">
        <f>IF(($B95-0.5)&gt;=2,($B95-0.5),2)</f>
        <v>9.5</v>
      </c>
      <c r="C96" s="9">
        <f>Calculations!$B$24</f>
        <v>12.84014153406013</v>
      </c>
      <c r="D96" s="9">
        <f t="shared" ref="D96:D104" si="28">B96*C96</f>
        <v>121.98134457357123</v>
      </c>
      <c r="E96" s="9">
        <f>'Strut loads'!$D$41</f>
        <v>578</v>
      </c>
      <c r="F96" s="9" t="b">
        <f t="shared" ref="F96:F104" si="29">IF(D96 &lt;  (0.9* E96),TRUE,FALSE)</f>
        <v>1</v>
      </c>
    </row>
    <row r="97" spans="1:6" x14ac:dyDescent="0.3">
      <c r="A97" s="9">
        <f t="shared" ref="A97:A109" si="30">1+A96</f>
        <v>3</v>
      </c>
      <c r="B97" s="9">
        <f t="shared" ref="B97:B142" si="31">IF(($B96-0.5)&gt;=2,($B96-0.5),2)</f>
        <v>9</v>
      </c>
      <c r="C97" s="9">
        <f>Calculations!$B$24</f>
        <v>12.84014153406013</v>
      </c>
      <c r="D97" s="9">
        <f t="shared" si="28"/>
        <v>115.56127380654118</v>
      </c>
      <c r="E97" s="9">
        <f>'Strut loads'!$D$41</f>
        <v>578</v>
      </c>
      <c r="F97" s="9" t="b">
        <f t="shared" si="29"/>
        <v>1</v>
      </c>
    </row>
    <row r="98" spans="1:6" x14ac:dyDescent="0.3">
      <c r="A98" s="9">
        <f t="shared" si="30"/>
        <v>4</v>
      </c>
      <c r="B98" s="9">
        <f t="shared" si="31"/>
        <v>8.5</v>
      </c>
      <c r="C98" s="9">
        <f>Calculations!$B$24</f>
        <v>12.84014153406013</v>
      </c>
      <c r="D98" s="9">
        <f t="shared" si="28"/>
        <v>109.14120303951111</v>
      </c>
      <c r="E98" s="9">
        <f>'Strut loads'!$D$41</f>
        <v>578</v>
      </c>
      <c r="F98" s="9" t="b">
        <f t="shared" si="29"/>
        <v>1</v>
      </c>
    </row>
    <row r="99" spans="1:6" x14ac:dyDescent="0.3">
      <c r="A99" s="9">
        <f t="shared" si="30"/>
        <v>5</v>
      </c>
      <c r="B99" s="9">
        <f t="shared" si="31"/>
        <v>8</v>
      </c>
      <c r="C99" s="9">
        <f>Calculations!$B$24</f>
        <v>12.84014153406013</v>
      </c>
      <c r="D99" s="9">
        <f t="shared" si="28"/>
        <v>102.72113227248104</v>
      </c>
      <c r="E99" s="9">
        <f>'Strut loads'!$D$41</f>
        <v>578</v>
      </c>
      <c r="F99" s="9" t="b">
        <f t="shared" si="29"/>
        <v>1</v>
      </c>
    </row>
    <row r="100" spans="1:6" x14ac:dyDescent="0.3">
      <c r="A100" s="9">
        <f t="shared" si="30"/>
        <v>6</v>
      </c>
      <c r="B100" s="9">
        <f t="shared" si="31"/>
        <v>7.5</v>
      </c>
      <c r="C100" s="9">
        <f>Calculations!$B$24</f>
        <v>12.84014153406013</v>
      </c>
      <c r="D100" s="9">
        <f t="shared" si="28"/>
        <v>96.301061505450974</v>
      </c>
      <c r="E100" s="9">
        <f>'Strut loads'!$D$41</f>
        <v>578</v>
      </c>
      <c r="F100" s="9" t="b">
        <f t="shared" si="29"/>
        <v>1</v>
      </c>
    </row>
    <row r="101" spans="1:6" x14ac:dyDescent="0.3">
      <c r="A101" s="9">
        <f t="shared" si="30"/>
        <v>7</v>
      </c>
      <c r="B101" s="9">
        <f t="shared" si="31"/>
        <v>7</v>
      </c>
      <c r="C101" s="9">
        <f>Calculations!$B$24</f>
        <v>12.84014153406013</v>
      </c>
      <c r="D101" s="9">
        <f t="shared" si="28"/>
        <v>89.880990738420905</v>
      </c>
      <c r="E101" s="9">
        <f>'Strut loads'!$D$41</f>
        <v>578</v>
      </c>
      <c r="F101" s="9" t="b">
        <f t="shared" si="29"/>
        <v>1</v>
      </c>
    </row>
    <row r="102" spans="1:6" x14ac:dyDescent="0.3">
      <c r="A102" s="9">
        <f t="shared" si="30"/>
        <v>8</v>
      </c>
      <c r="B102" s="9">
        <f t="shared" si="31"/>
        <v>6.5</v>
      </c>
      <c r="C102" s="9">
        <f>Calculations!$B$24</f>
        <v>12.84014153406013</v>
      </c>
      <c r="D102" s="9">
        <f t="shared" si="28"/>
        <v>83.460919971390851</v>
      </c>
      <c r="E102" s="9">
        <f>'Strut loads'!$D$41</f>
        <v>578</v>
      </c>
      <c r="F102" s="9" t="b">
        <f t="shared" si="29"/>
        <v>1</v>
      </c>
    </row>
    <row r="103" spans="1:6" x14ac:dyDescent="0.3">
      <c r="A103" s="9">
        <f t="shared" si="30"/>
        <v>9</v>
      </c>
      <c r="B103" s="9">
        <f t="shared" si="31"/>
        <v>6</v>
      </c>
      <c r="C103" s="9">
        <f>Calculations!$B$24</f>
        <v>12.84014153406013</v>
      </c>
      <c r="D103" s="9">
        <f t="shared" si="28"/>
        <v>77.040849204360782</v>
      </c>
      <c r="E103" s="9">
        <f>'Strut loads'!$D$41</f>
        <v>578</v>
      </c>
      <c r="F103" s="9" t="b">
        <f t="shared" si="29"/>
        <v>1</v>
      </c>
    </row>
    <row r="104" spans="1:6" x14ac:dyDescent="0.3">
      <c r="A104" s="9">
        <f t="shared" si="30"/>
        <v>10</v>
      </c>
      <c r="B104" s="9">
        <f t="shared" si="31"/>
        <v>5.5</v>
      </c>
      <c r="C104" s="9">
        <f>Calculations!$B$24</f>
        <v>12.84014153406013</v>
      </c>
      <c r="D104" s="9">
        <f t="shared" si="28"/>
        <v>70.620778437330713</v>
      </c>
      <c r="E104" s="9">
        <f>'Strut loads'!$D$41</f>
        <v>578</v>
      </c>
      <c r="F104" s="9" t="b">
        <f t="shared" si="29"/>
        <v>1</v>
      </c>
    </row>
    <row r="105" spans="1:6" x14ac:dyDescent="0.3">
      <c r="A105" s="9">
        <f t="shared" si="30"/>
        <v>11</v>
      </c>
      <c r="B105" s="9">
        <f t="shared" si="31"/>
        <v>5</v>
      </c>
      <c r="C105" s="9">
        <f>Calculations!$B$24</f>
        <v>12.84014153406013</v>
      </c>
      <c r="D105" s="9">
        <f t="shared" ref="D105:D118" si="32">B105*C105</f>
        <v>64.200707670300659</v>
      </c>
      <c r="E105" s="9">
        <f>'Strut loads'!$D$41</f>
        <v>578</v>
      </c>
      <c r="F105" s="9" t="b">
        <f t="shared" ref="F105:F118" si="33">IF(D105 &lt;  (0.9* E105),TRUE,FALSE)</f>
        <v>1</v>
      </c>
    </row>
    <row r="106" spans="1:6" x14ac:dyDescent="0.3">
      <c r="A106" s="9">
        <f t="shared" si="30"/>
        <v>12</v>
      </c>
      <c r="B106" s="9">
        <f t="shared" si="31"/>
        <v>4.5</v>
      </c>
      <c r="C106" s="9">
        <f>Calculations!$B$24</f>
        <v>12.84014153406013</v>
      </c>
      <c r="D106" s="9">
        <f t="shared" si="32"/>
        <v>57.78063690327059</v>
      </c>
      <c r="E106" s="9">
        <f>'Strut loads'!$D$41</f>
        <v>578</v>
      </c>
      <c r="F106" s="9" t="b">
        <f t="shared" si="33"/>
        <v>1</v>
      </c>
    </row>
    <row r="107" spans="1:6" x14ac:dyDescent="0.3">
      <c r="A107" s="9">
        <f t="shared" si="30"/>
        <v>13</v>
      </c>
      <c r="B107" s="9">
        <f t="shared" si="31"/>
        <v>4</v>
      </c>
      <c r="C107" s="9">
        <f>Calculations!$B$24</f>
        <v>12.84014153406013</v>
      </c>
      <c r="D107" s="9">
        <f t="shared" si="32"/>
        <v>51.360566136240521</v>
      </c>
      <c r="E107" s="9">
        <f>'Strut loads'!$D$41</f>
        <v>578</v>
      </c>
      <c r="F107" s="9" t="b">
        <f t="shared" si="33"/>
        <v>1</v>
      </c>
    </row>
    <row r="108" spans="1:6" x14ac:dyDescent="0.3">
      <c r="A108" s="9">
        <f t="shared" si="30"/>
        <v>14</v>
      </c>
      <c r="B108" s="9">
        <f t="shared" si="31"/>
        <v>3.5</v>
      </c>
      <c r="C108" s="9">
        <f>Calculations!$B$24</f>
        <v>12.84014153406013</v>
      </c>
      <c r="D108" s="9">
        <f t="shared" si="32"/>
        <v>44.940495369210453</v>
      </c>
      <c r="E108" s="9">
        <f>'Strut loads'!$D$41</f>
        <v>578</v>
      </c>
      <c r="F108" s="9" t="b">
        <f t="shared" si="33"/>
        <v>1</v>
      </c>
    </row>
    <row r="109" spans="1:6" x14ac:dyDescent="0.3">
      <c r="A109" s="9">
        <f t="shared" si="30"/>
        <v>15</v>
      </c>
      <c r="B109" s="9">
        <f t="shared" si="31"/>
        <v>3</v>
      </c>
      <c r="C109" s="9">
        <f>Calculations!$B$24</f>
        <v>12.84014153406013</v>
      </c>
      <c r="D109" s="9">
        <f t="shared" si="32"/>
        <v>38.520424602180391</v>
      </c>
      <c r="E109" s="9">
        <f>'Strut loads'!$D$41</f>
        <v>578</v>
      </c>
      <c r="F109" s="9" t="b">
        <f t="shared" si="33"/>
        <v>1</v>
      </c>
    </row>
    <row r="110" spans="1:6" x14ac:dyDescent="0.3">
      <c r="A110" s="9">
        <f>1+A109</f>
        <v>16</v>
      </c>
      <c r="B110" s="9">
        <f t="shared" si="31"/>
        <v>2.5</v>
      </c>
      <c r="C110" s="9">
        <f>Calculations!$B$24</f>
        <v>12.84014153406013</v>
      </c>
      <c r="D110" s="9">
        <f t="shared" si="32"/>
        <v>32.100353835150329</v>
      </c>
      <c r="E110" s="9">
        <f>'Strut loads'!$D$41</f>
        <v>578</v>
      </c>
      <c r="F110" s="9" t="b">
        <f t="shared" si="33"/>
        <v>1</v>
      </c>
    </row>
    <row r="111" spans="1:6" x14ac:dyDescent="0.3">
      <c r="A111" s="9">
        <f t="shared" ref="A111:A123" si="34">1+A110</f>
        <v>17</v>
      </c>
      <c r="B111" s="9">
        <f t="shared" si="31"/>
        <v>2</v>
      </c>
      <c r="C111" s="9">
        <f>Calculations!$B$24</f>
        <v>12.84014153406013</v>
      </c>
      <c r="D111" s="9">
        <f t="shared" si="32"/>
        <v>25.680283068120261</v>
      </c>
      <c r="E111" s="9">
        <f>'Strut loads'!$D$41</f>
        <v>578</v>
      </c>
      <c r="F111" s="9" t="b">
        <f t="shared" si="33"/>
        <v>1</v>
      </c>
    </row>
    <row r="112" spans="1:6" x14ac:dyDescent="0.3">
      <c r="A112" s="9">
        <f t="shared" si="34"/>
        <v>18</v>
      </c>
      <c r="B112" s="9">
        <f t="shared" si="31"/>
        <v>2</v>
      </c>
      <c r="C112" s="9">
        <f>Calculations!$B$24</f>
        <v>12.84014153406013</v>
      </c>
      <c r="D112" s="9">
        <f t="shared" si="32"/>
        <v>25.680283068120261</v>
      </c>
      <c r="E112" s="9">
        <f>'Strut loads'!$D$41</f>
        <v>578</v>
      </c>
      <c r="F112" s="9" t="b">
        <f t="shared" si="33"/>
        <v>1</v>
      </c>
    </row>
    <row r="113" spans="1:6" x14ac:dyDescent="0.3">
      <c r="A113" s="9">
        <f t="shared" si="34"/>
        <v>19</v>
      </c>
      <c r="B113" s="9">
        <f t="shared" si="31"/>
        <v>2</v>
      </c>
      <c r="C113" s="9">
        <f>Calculations!$B$24</f>
        <v>12.84014153406013</v>
      </c>
      <c r="D113" s="9">
        <f t="shared" si="32"/>
        <v>25.680283068120261</v>
      </c>
      <c r="E113" s="9">
        <f>'Strut loads'!$D$41</f>
        <v>578</v>
      </c>
      <c r="F113" s="9" t="b">
        <f t="shared" si="33"/>
        <v>1</v>
      </c>
    </row>
    <row r="114" spans="1:6" x14ac:dyDescent="0.3">
      <c r="A114" s="9">
        <f t="shared" si="34"/>
        <v>20</v>
      </c>
      <c r="B114" s="9">
        <f t="shared" si="31"/>
        <v>2</v>
      </c>
      <c r="C114" s="9">
        <f>Calculations!$B$24</f>
        <v>12.84014153406013</v>
      </c>
      <c r="D114" s="9">
        <f t="shared" si="32"/>
        <v>25.680283068120261</v>
      </c>
      <c r="E114" s="9">
        <f>'Strut loads'!$D$41</f>
        <v>578</v>
      </c>
      <c r="F114" s="9" t="b">
        <f t="shared" si="33"/>
        <v>1</v>
      </c>
    </row>
    <row r="115" spans="1:6" x14ac:dyDescent="0.3">
      <c r="A115" s="9">
        <f t="shared" si="34"/>
        <v>21</v>
      </c>
      <c r="B115" s="9">
        <f t="shared" si="31"/>
        <v>2</v>
      </c>
      <c r="C115" s="9">
        <f>Calculations!$B$24</f>
        <v>12.84014153406013</v>
      </c>
      <c r="D115" s="9">
        <f t="shared" si="32"/>
        <v>25.680283068120261</v>
      </c>
      <c r="E115" s="9">
        <f>'Strut loads'!$D$41</f>
        <v>578</v>
      </c>
      <c r="F115" s="9" t="b">
        <f t="shared" si="33"/>
        <v>1</v>
      </c>
    </row>
    <row r="116" spans="1:6" x14ac:dyDescent="0.3">
      <c r="A116" s="9">
        <f t="shared" si="34"/>
        <v>22</v>
      </c>
      <c r="B116" s="9">
        <f t="shared" si="31"/>
        <v>2</v>
      </c>
      <c r="C116" s="9">
        <f>Calculations!$B$24</f>
        <v>12.84014153406013</v>
      </c>
      <c r="D116" s="9">
        <f t="shared" si="32"/>
        <v>25.680283068120261</v>
      </c>
      <c r="E116" s="9">
        <f>'Strut loads'!$D$41</f>
        <v>578</v>
      </c>
      <c r="F116" s="9" t="b">
        <f t="shared" si="33"/>
        <v>1</v>
      </c>
    </row>
    <row r="117" spans="1:6" x14ac:dyDescent="0.3">
      <c r="A117" s="9">
        <f t="shared" si="34"/>
        <v>23</v>
      </c>
      <c r="B117" s="9">
        <f t="shared" si="31"/>
        <v>2</v>
      </c>
      <c r="C117" s="9">
        <f>Calculations!$B$24</f>
        <v>12.84014153406013</v>
      </c>
      <c r="D117" s="9">
        <f t="shared" si="32"/>
        <v>25.680283068120261</v>
      </c>
      <c r="E117" s="9">
        <f>'Strut loads'!$D$41</f>
        <v>578</v>
      </c>
      <c r="F117" s="9" t="b">
        <f t="shared" si="33"/>
        <v>1</v>
      </c>
    </row>
    <row r="118" spans="1:6" x14ac:dyDescent="0.3">
      <c r="A118" s="9">
        <f t="shared" si="34"/>
        <v>24</v>
      </c>
      <c r="B118" s="9">
        <f t="shared" si="31"/>
        <v>2</v>
      </c>
      <c r="C118" s="9">
        <f>Calculations!$B$24</f>
        <v>12.84014153406013</v>
      </c>
      <c r="D118" s="9">
        <f t="shared" si="32"/>
        <v>25.680283068120261</v>
      </c>
      <c r="E118" s="9">
        <f>'Strut loads'!$D$41</f>
        <v>578</v>
      </c>
      <c r="F118" s="9" t="b">
        <f t="shared" si="33"/>
        <v>1</v>
      </c>
    </row>
    <row r="119" spans="1:6" x14ac:dyDescent="0.3">
      <c r="A119" s="9">
        <f t="shared" si="34"/>
        <v>25</v>
      </c>
      <c r="B119" s="9">
        <f t="shared" si="31"/>
        <v>2</v>
      </c>
      <c r="C119" s="9">
        <f>Calculations!$B$24</f>
        <v>12.84014153406013</v>
      </c>
      <c r="D119" s="9">
        <f t="shared" ref="D119:D142" si="35">B119*C119</f>
        <v>25.680283068120261</v>
      </c>
      <c r="E119" s="9">
        <f>'Strut loads'!$D$41</f>
        <v>578</v>
      </c>
      <c r="F119" s="9" t="b">
        <f t="shared" ref="F119:F142" si="36">IF(D119 &lt;  (0.9* E119),TRUE,FALSE)</f>
        <v>1</v>
      </c>
    </row>
    <row r="120" spans="1:6" x14ac:dyDescent="0.3">
      <c r="A120" s="9">
        <f t="shared" si="34"/>
        <v>26</v>
      </c>
      <c r="B120" s="9">
        <f t="shared" si="31"/>
        <v>2</v>
      </c>
      <c r="C120" s="9">
        <f>Calculations!$B$24</f>
        <v>12.84014153406013</v>
      </c>
      <c r="D120" s="9">
        <f t="shared" si="35"/>
        <v>25.680283068120261</v>
      </c>
      <c r="E120" s="9">
        <f>'Strut loads'!$D$41</f>
        <v>578</v>
      </c>
      <c r="F120" s="9" t="b">
        <f t="shared" si="36"/>
        <v>1</v>
      </c>
    </row>
    <row r="121" spans="1:6" x14ac:dyDescent="0.3">
      <c r="A121" s="9">
        <f t="shared" si="34"/>
        <v>27</v>
      </c>
      <c r="B121" s="9">
        <f t="shared" si="31"/>
        <v>2</v>
      </c>
      <c r="C121" s="9">
        <f>Calculations!$B$24</f>
        <v>12.84014153406013</v>
      </c>
      <c r="D121" s="9">
        <f t="shared" si="35"/>
        <v>25.680283068120261</v>
      </c>
      <c r="E121" s="9">
        <f>'Strut loads'!$D$41</f>
        <v>578</v>
      </c>
      <c r="F121" s="9" t="b">
        <f t="shared" si="36"/>
        <v>1</v>
      </c>
    </row>
    <row r="122" spans="1:6" x14ac:dyDescent="0.3">
      <c r="A122" s="9">
        <f t="shared" si="34"/>
        <v>28</v>
      </c>
      <c r="B122" s="9">
        <f t="shared" si="31"/>
        <v>2</v>
      </c>
      <c r="C122" s="9">
        <f>Calculations!$B$24</f>
        <v>12.84014153406013</v>
      </c>
      <c r="D122" s="9">
        <f t="shared" si="35"/>
        <v>25.680283068120261</v>
      </c>
      <c r="E122" s="9">
        <f>'Strut loads'!$D$41</f>
        <v>578</v>
      </c>
      <c r="F122" s="9" t="b">
        <f t="shared" si="36"/>
        <v>1</v>
      </c>
    </row>
    <row r="123" spans="1:6" x14ac:dyDescent="0.3">
      <c r="A123" s="9">
        <f t="shared" si="34"/>
        <v>29</v>
      </c>
      <c r="B123" s="9">
        <f t="shared" si="31"/>
        <v>2</v>
      </c>
      <c r="C123" s="9">
        <f>Calculations!$B$24</f>
        <v>12.84014153406013</v>
      </c>
      <c r="D123" s="9">
        <f t="shared" si="35"/>
        <v>25.680283068120261</v>
      </c>
      <c r="E123" s="9">
        <f>'Strut loads'!$D$41</f>
        <v>578</v>
      </c>
      <c r="F123" s="9" t="b">
        <f t="shared" si="36"/>
        <v>1</v>
      </c>
    </row>
    <row r="124" spans="1:6" x14ac:dyDescent="0.3">
      <c r="A124" s="9">
        <f>1+A123</f>
        <v>30</v>
      </c>
      <c r="B124" s="9">
        <f t="shared" si="31"/>
        <v>2</v>
      </c>
      <c r="C124" s="9">
        <f>Calculations!$B$24</f>
        <v>12.84014153406013</v>
      </c>
      <c r="D124" s="9">
        <f t="shared" si="35"/>
        <v>25.680283068120261</v>
      </c>
      <c r="E124" s="9">
        <f>'Strut loads'!$D$41</f>
        <v>578</v>
      </c>
      <c r="F124" s="9" t="b">
        <f t="shared" si="36"/>
        <v>1</v>
      </c>
    </row>
    <row r="125" spans="1:6" x14ac:dyDescent="0.3">
      <c r="A125" s="9">
        <f t="shared" ref="A125:A137" si="37">1+A124</f>
        <v>31</v>
      </c>
      <c r="B125" s="9">
        <f t="shared" si="31"/>
        <v>2</v>
      </c>
      <c r="C125" s="9">
        <f>Calculations!$B$24</f>
        <v>12.84014153406013</v>
      </c>
      <c r="D125" s="9">
        <f t="shared" si="35"/>
        <v>25.680283068120261</v>
      </c>
      <c r="E125" s="9">
        <f>'Strut loads'!$D$41</f>
        <v>578</v>
      </c>
      <c r="F125" s="9" t="b">
        <f t="shared" si="36"/>
        <v>1</v>
      </c>
    </row>
    <row r="126" spans="1:6" x14ac:dyDescent="0.3">
      <c r="A126" s="9">
        <f t="shared" si="37"/>
        <v>32</v>
      </c>
      <c r="B126" s="9">
        <f t="shared" si="31"/>
        <v>2</v>
      </c>
      <c r="C126" s="9">
        <f>Calculations!$B$24</f>
        <v>12.84014153406013</v>
      </c>
      <c r="D126" s="9">
        <f t="shared" si="35"/>
        <v>25.680283068120261</v>
      </c>
      <c r="E126" s="9">
        <f>'Strut loads'!$D$41</f>
        <v>578</v>
      </c>
      <c r="F126" s="9" t="b">
        <f t="shared" si="36"/>
        <v>1</v>
      </c>
    </row>
    <row r="127" spans="1:6" x14ac:dyDescent="0.3">
      <c r="A127" s="9">
        <f t="shared" si="37"/>
        <v>33</v>
      </c>
      <c r="B127" s="9">
        <f t="shared" si="31"/>
        <v>2</v>
      </c>
      <c r="C127" s="9">
        <f>Calculations!$B$24</f>
        <v>12.84014153406013</v>
      </c>
      <c r="D127" s="9">
        <f t="shared" si="35"/>
        <v>25.680283068120261</v>
      </c>
      <c r="E127" s="9">
        <f>'Strut loads'!$D$41</f>
        <v>578</v>
      </c>
      <c r="F127" s="9" t="b">
        <f t="shared" si="36"/>
        <v>1</v>
      </c>
    </row>
    <row r="128" spans="1:6" x14ac:dyDescent="0.3">
      <c r="A128" s="9">
        <f t="shared" si="37"/>
        <v>34</v>
      </c>
      <c r="B128" s="9">
        <f t="shared" si="31"/>
        <v>2</v>
      </c>
      <c r="C128" s="9">
        <f>Calculations!$B$24</f>
        <v>12.84014153406013</v>
      </c>
      <c r="D128" s="9">
        <f t="shared" si="35"/>
        <v>25.680283068120261</v>
      </c>
      <c r="E128" s="9">
        <f>'Strut loads'!$D$41</f>
        <v>578</v>
      </c>
      <c r="F128" s="9" t="b">
        <f t="shared" si="36"/>
        <v>1</v>
      </c>
    </row>
    <row r="129" spans="1:6" x14ac:dyDescent="0.3">
      <c r="A129" s="9">
        <f t="shared" si="37"/>
        <v>35</v>
      </c>
      <c r="B129" s="9">
        <f t="shared" si="31"/>
        <v>2</v>
      </c>
      <c r="C129" s="9">
        <f>Calculations!$B$24</f>
        <v>12.84014153406013</v>
      </c>
      <c r="D129" s="9">
        <f t="shared" si="35"/>
        <v>25.680283068120261</v>
      </c>
      <c r="E129" s="9">
        <f>'Strut loads'!$D$41</f>
        <v>578</v>
      </c>
      <c r="F129" s="9" t="b">
        <f t="shared" si="36"/>
        <v>1</v>
      </c>
    </row>
    <row r="130" spans="1:6" x14ac:dyDescent="0.3">
      <c r="A130" s="9">
        <f t="shared" si="37"/>
        <v>36</v>
      </c>
      <c r="B130" s="9">
        <f t="shared" si="31"/>
        <v>2</v>
      </c>
      <c r="C130" s="9">
        <f>Calculations!$B$24</f>
        <v>12.84014153406013</v>
      </c>
      <c r="D130" s="9">
        <f t="shared" si="35"/>
        <v>25.680283068120261</v>
      </c>
      <c r="E130" s="9">
        <f>'Strut loads'!$D$41</f>
        <v>578</v>
      </c>
      <c r="F130" s="9" t="b">
        <f t="shared" si="36"/>
        <v>1</v>
      </c>
    </row>
    <row r="131" spans="1:6" x14ac:dyDescent="0.3">
      <c r="A131" s="9">
        <f t="shared" si="37"/>
        <v>37</v>
      </c>
      <c r="B131" s="9">
        <f t="shared" si="31"/>
        <v>2</v>
      </c>
      <c r="C131" s="9">
        <f>Calculations!$B$24</f>
        <v>12.84014153406013</v>
      </c>
      <c r="D131" s="9">
        <f t="shared" si="35"/>
        <v>25.680283068120261</v>
      </c>
      <c r="E131" s="9">
        <f>'Strut loads'!$D$41</f>
        <v>578</v>
      </c>
      <c r="F131" s="9" t="b">
        <f t="shared" si="36"/>
        <v>1</v>
      </c>
    </row>
    <row r="132" spans="1:6" x14ac:dyDescent="0.3">
      <c r="A132" s="9">
        <f t="shared" si="37"/>
        <v>38</v>
      </c>
      <c r="B132" s="9">
        <f t="shared" si="31"/>
        <v>2</v>
      </c>
      <c r="C132" s="9">
        <f>Calculations!$B$24</f>
        <v>12.84014153406013</v>
      </c>
      <c r="D132" s="9">
        <f t="shared" si="35"/>
        <v>25.680283068120261</v>
      </c>
      <c r="E132" s="9">
        <f>'Strut loads'!$D$41</f>
        <v>578</v>
      </c>
      <c r="F132" s="9" t="b">
        <f t="shared" si="36"/>
        <v>1</v>
      </c>
    </row>
    <row r="133" spans="1:6" x14ac:dyDescent="0.3">
      <c r="A133" s="9">
        <f t="shared" si="37"/>
        <v>39</v>
      </c>
      <c r="B133" s="9">
        <f t="shared" si="31"/>
        <v>2</v>
      </c>
      <c r="C133" s="9">
        <f>Calculations!$B$24</f>
        <v>12.84014153406013</v>
      </c>
      <c r="D133" s="9">
        <f t="shared" si="35"/>
        <v>25.680283068120261</v>
      </c>
      <c r="E133" s="9">
        <f>'Strut loads'!$D$41</f>
        <v>578</v>
      </c>
      <c r="F133" s="9" t="b">
        <f t="shared" si="36"/>
        <v>1</v>
      </c>
    </row>
    <row r="134" spans="1:6" x14ac:dyDescent="0.3">
      <c r="A134" s="9">
        <f t="shared" si="37"/>
        <v>40</v>
      </c>
      <c r="B134" s="9">
        <f t="shared" si="31"/>
        <v>2</v>
      </c>
      <c r="C134" s="9">
        <f>Calculations!$B$24</f>
        <v>12.84014153406013</v>
      </c>
      <c r="D134" s="9">
        <f t="shared" si="35"/>
        <v>25.680283068120261</v>
      </c>
      <c r="E134" s="9">
        <f>'Strut loads'!$D$41</f>
        <v>578</v>
      </c>
      <c r="F134" s="9" t="b">
        <f t="shared" si="36"/>
        <v>1</v>
      </c>
    </row>
    <row r="135" spans="1:6" x14ac:dyDescent="0.3">
      <c r="A135" s="9">
        <f t="shared" si="37"/>
        <v>41</v>
      </c>
      <c r="B135" s="9">
        <f t="shared" si="31"/>
        <v>2</v>
      </c>
      <c r="C135" s="9">
        <f>Calculations!$B$24</f>
        <v>12.84014153406013</v>
      </c>
      <c r="D135" s="9">
        <f t="shared" si="35"/>
        <v>25.680283068120261</v>
      </c>
      <c r="E135" s="9">
        <f>'Strut loads'!$D$41</f>
        <v>578</v>
      </c>
      <c r="F135" s="9" t="b">
        <f t="shared" si="36"/>
        <v>1</v>
      </c>
    </row>
    <row r="136" spans="1:6" x14ac:dyDescent="0.3">
      <c r="A136" s="9">
        <f t="shared" si="37"/>
        <v>42</v>
      </c>
      <c r="B136" s="9">
        <f t="shared" si="31"/>
        <v>2</v>
      </c>
      <c r="C136" s="9">
        <f>Calculations!$B$24</f>
        <v>12.84014153406013</v>
      </c>
      <c r="D136" s="9">
        <f t="shared" si="35"/>
        <v>25.680283068120261</v>
      </c>
      <c r="E136" s="9">
        <f>'Strut loads'!$D$41</f>
        <v>578</v>
      </c>
      <c r="F136" s="9" t="b">
        <f t="shared" si="36"/>
        <v>1</v>
      </c>
    </row>
    <row r="137" spans="1:6" x14ac:dyDescent="0.3">
      <c r="A137" s="9">
        <f t="shared" si="37"/>
        <v>43</v>
      </c>
      <c r="B137" s="9">
        <f t="shared" si="31"/>
        <v>2</v>
      </c>
      <c r="C137" s="9">
        <f>Calculations!$B$24</f>
        <v>12.84014153406013</v>
      </c>
      <c r="D137" s="9">
        <f t="shared" si="35"/>
        <v>25.680283068120261</v>
      </c>
      <c r="E137" s="9">
        <f>'Strut loads'!$D$41</f>
        <v>578</v>
      </c>
      <c r="F137" s="9" t="b">
        <f t="shared" si="36"/>
        <v>1</v>
      </c>
    </row>
    <row r="138" spans="1:6" x14ac:dyDescent="0.3">
      <c r="A138" s="9">
        <f>1+A137</f>
        <v>44</v>
      </c>
      <c r="B138" s="9">
        <f t="shared" si="31"/>
        <v>2</v>
      </c>
      <c r="C138" s="9">
        <f>Calculations!$B$24</f>
        <v>12.84014153406013</v>
      </c>
      <c r="D138" s="9">
        <f t="shared" si="35"/>
        <v>25.680283068120261</v>
      </c>
      <c r="E138" s="9">
        <f>'Strut loads'!$D$41</f>
        <v>578</v>
      </c>
      <c r="F138" s="9" t="b">
        <f t="shared" si="36"/>
        <v>1</v>
      </c>
    </row>
    <row r="139" spans="1:6" x14ac:dyDescent="0.3">
      <c r="A139" s="9">
        <f t="shared" ref="A139:A142" si="38">1+A138</f>
        <v>45</v>
      </c>
      <c r="B139" s="9">
        <f t="shared" si="31"/>
        <v>2</v>
      </c>
      <c r="C139" s="9">
        <f>Calculations!$B$24</f>
        <v>12.84014153406013</v>
      </c>
      <c r="D139" s="9">
        <f t="shared" si="35"/>
        <v>25.680283068120261</v>
      </c>
      <c r="E139" s="9">
        <f>'Strut loads'!$D$41</f>
        <v>578</v>
      </c>
      <c r="F139" s="9" t="b">
        <f t="shared" si="36"/>
        <v>1</v>
      </c>
    </row>
    <row r="140" spans="1:6" x14ac:dyDescent="0.3">
      <c r="A140" s="9">
        <f t="shared" si="38"/>
        <v>46</v>
      </c>
      <c r="B140" s="9">
        <f t="shared" si="31"/>
        <v>2</v>
      </c>
      <c r="C140" s="9">
        <f>Calculations!$B$24</f>
        <v>12.84014153406013</v>
      </c>
      <c r="D140" s="9">
        <f t="shared" si="35"/>
        <v>25.680283068120261</v>
      </c>
      <c r="E140" s="9">
        <f>'Strut loads'!$D$41</f>
        <v>578</v>
      </c>
      <c r="F140" s="9" t="b">
        <f t="shared" si="36"/>
        <v>1</v>
      </c>
    </row>
    <row r="141" spans="1:6" x14ac:dyDescent="0.3">
      <c r="A141" s="9">
        <f t="shared" si="38"/>
        <v>47</v>
      </c>
      <c r="B141" s="9">
        <f t="shared" si="31"/>
        <v>2</v>
      </c>
      <c r="C141" s="9">
        <f>Calculations!$B$24</f>
        <v>12.84014153406013</v>
      </c>
      <c r="D141" s="9">
        <f t="shared" si="35"/>
        <v>25.680283068120261</v>
      </c>
      <c r="E141" s="9">
        <f>'Strut loads'!$D$41</f>
        <v>578</v>
      </c>
      <c r="F141" s="9" t="b">
        <f t="shared" si="36"/>
        <v>1</v>
      </c>
    </row>
    <row r="142" spans="1:6" x14ac:dyDescent="0.3">
      <c r="A142" s="9">
        <f t="shared" si="38"/>
        <v>48</v>
      </c>
      <c r="B142" s="9">
        <f t="shared" si="31"/>
        <v>2</v>
      </c>
      <c r="C142" s="9">
        <f>Calculations!$B$24</f>
        <v>12.84014153406013</v>
      </c>
      <c r="D142" s="9">
        <f t="shared" si="35"/>
        <v>25.680283068120261</v>
      </c>
      <c r="E142" s="9">
        <f>'Strut loads'!$D$41</f>
        <v>578</v>
      </c>
      <c r="F142" s="9" t="b">
        <f t="shared" si="36"/>
        <v>1</v>
      </c>
    </row>
    <row r="143" spans="1:6" x14ac:dyDescent="0.3">
      <c r="B143" s="9">
        <f>_xlfn.XLOOKUP(TRUE,F94:F142,B94:B142,"No")</f>
        <v>10</v>
      </c>
      <c r="D143" s="9">
        <f>_xlfn.XLOOKUP(TRUE,F94:F142,D94:D142,"No")</f>
        <v>128.40141534060132</v>
      </c>
      <c r="F143" t="s">
        <v>90</v>
      </c>
    </row>
    <row r="144" spans="1:6" x14ac:dyDescent="0.3">
      <c r="B144" s="9" t="s">
        <v>91</v>
      </c>
    </row>
    <row r="146" spans="2:6" x14ac:dyDescent="0.3">
      <c r="B146">
        <f>ConduitTable!I39</f>
        <v>10</v>
      </c>
    </row>
    <row r="147" spans="2:6" x14ac:dyDescent="0.3">
      <c r="B147" s="51" t="s">
        <v>91</v>
      </c>
      <c r="C147" s="50" t="s">
        <v>91</v>
      </c>
      <c r="D147" s="50" t="s">
        <v>91</v>
      </c>
      <c r="F147" t="s">
        <v>91</v>
      </c>
    </row>
    <row r="149" spans="2:6" x14ac:dyDescent="0.3">
      <c r="B149" s="52">
        <f>MIN(B146,B143,B92,B43)</f>
        <v>10</v>
      </c>
      <c r="C149" s="50">
        <f>Calculations!$B$24</f>
        <v>12.84014153406013</v>
      </c>
      <c r="D149" s="52">
        <f>C149*B149</f>
        <v>128.40141534060132</v>
      </c>
      <c r="F149" t="s">
        <v>92</v>
      </c>
    </row>
    <row r="150" spans="2:6" x14ac:dyDescent="0.3">
      <c r="F150" s="49" t="s">
        <v>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5"/>
  <dimension ref="A1:Y20"/>
  <sheetViews>
    <sheetView workbookViewId="0">
      <selection activeCell="H3" sqref="H3"/>
    </sheetView>
  </sheetViews>
  <sheetFormatPr defaultRowHeight="14.4" x14ac:dyDescent="0.3"/>
  <cols>
    <col min="1" max="1" width="14.33203125" bestFit="1" customWidth="1"/>
    <col min="2" max="2" width="3.44140625" customWidth="1"/>
    <col min="3" max="3" width="29.88671875" customWidth="1"/>
    <col min="4" max="4" width="1.109375" customWidth="1"/>
    <col min="5" max="5" width="14" bestFit="1" customWidth="1"/>
    <col min="6" max="6" width="2.109375" customWidth="1"/>
    <col min="7" max="7" width="3.5546875" customWidth="1"/>
    <col min="8" max="8" width="12" bestFit="1" customWidth="1"/>
    <col min="9" max="9" width="2.6640625" customWidth="1"/>
    <col min="10" max="10" width="1.6640625" customWidth="1"/>
    <col min="11" max="11" width="15.109375" bestFit="1" customWidth="1"/>
    <col min="12" max="12" width="3.44140625" customWidth="1"/>
    <col min="13" max="13" width="13" bestFit="1" customWidth="1"/>
    <col min="14" max="14" width="3.88671875" customWidth="1"/>
    <col min="15" max="15" width="17.88671875" customWidth="1"/>
    <col min="16" max="16" width="3.109375" customWidth="1"/>
    <col min="17" max="17" width="21.109375" customWidth="1"/>
    <col min="18" max="18" width="3.44140625" customWidth="1"/>
    <col min="19" max="19" width="13.33203125" bestFit="1" customWidth="1"/>
    <col min="20" max="20" width="3.5546875" customWidth="1"/>
    <col min="21" max="21" width="16.109375" customWidth="1"/>
    <col min="22" max="22" width="4.109375" customWidth="1"/>
    <col min="23" max="23" width="12.88671875" customWidth="1"/>
    <col min="24" max="24" width="5.44140625" customWidth="1"/>
    <col min="25" max="25" width="19.109375" customWidth="1"/>
  </cols>
  <sheetData>
    <row r="1" spans="1:25" x14ac:dyDescent="0.3">
      <c r="A1" t="s">
        <v>108</v>
      </c>
      <c r="C1" t="s">
        <v>109</v>
      </c>
      <c r="E1" t="s">
        <v>110</v>
      </c>
      <c r="H1" t="s">
        <v>820</v>
      </c>
      <c r="K1" t="s">
        <v>111</v>
      </c>
      <c r="M1" t="s">
        <v>112</v>
      </c>
      <c r="O1" t="s">
        <v>113</v>
      </c>
      <c r="Q1" t="s">
        <v>114</v>
      </c>
      <c r="S1" t="s">
        <v>115</v>
      </c>
      <c r="U1" t="s">
        <v>116</v>
      </c>
      <c r="W1" t="s">
        <v>117</v>
      </c>
      <c r="Y1" t="s">
        <v>118</v>
      </c>
    </row>
    <row r="2" spans="1:25" ht="15" thickBot="1" x14ac:dyDescent="0.35">
      <c r="A2" t="s">
        <v>794</v>
      </c>
      <c r="C2" t="s">
        <v>811</v>
      </c>
      <c r="E2" t="s">
        <v>833</v>
      </c>
      <c r="H2" s="68">
        <v>0</v>
      </c>
      <c r="K2">
        <v>0</v>
      </c>
      <c r="M2">
        <v>26</v>
      </c>
      <c r="O2">
        <v>0</v>
      </c>
      <c r="Q2">
        <v>0</v>
      </c>
      <c r="S2">
        <v>0</v>
      </c>
      <c r="U2">
        <v>4</v>
      </c>
      <c r="W2" t="s">
        <v>121</v>
      </c>
      <c r="Y2" t="s">
        <v>8</v>
      </c>
    </row>
    <row r="3" spans="1:25" x14ac:dyDescent="0.3">
      <c r="C3" t="s">
        <v>814</v>
      </c>
      <c r="H3" s="65">
        <v>0.5</v>
      </c>
      <c r="K3">
        <v>1</v>
      </c>
      <c r="M3">
        <v>25</v>
      </c>
      <c r="O3">
        <v>0.75</v>
      </c>
      <c r="Q3">
        <f>1.5</f>
        <v>1.5</v>
      </c>
      <c r="S3">
        <v>5</v>
      </c>
      <c r="U3">
        <v>5</v>
      </c>
      <c r="W3" t="s">
        <v>123</v>
      </c>
      <c r="Y3" t="s">
        <v>124</v>
      </c>
    </row>
    <row r="4" spans="1:25" x14ac:dyDescent="0.3">
      <c r="C4" t="s">
        <v>817</v>
      </c>
      <c r="H4" s="68">
        <v>0.75</v>
      </c>
      <c r="K4">
        <v>2</v>
      </c>
      <c r="M4">
        <v>24</v>
      </c>
      <c r="O4">
        <v>1</v>
      </c>
      <c r="Q4">
        <v>2</v>
      </c>
      <c r="S4">
        <v>10</v>
      </c>
      <c r="U4">
        <v>10</v>
      </c>
    </row>
    <row r="5" spans="1:25" x14ac:dyDescent="0.3">
      <c r="C5" t="s">
        <v>793</v>
      </c>
      <c r="H5" s="68">
        <v>1</v>
      </c>
      <c r="K5">
        <v>3</v>
      </c>
      <c r="M5">
        <v>23</v>
      </c>
      <c r="O5">
        <v>1.5</v>
      </c>
      <c r="Q5">
        <v>2.1875</v>
      </c>
      <c r="S5">
        <v>20</v>
      </c>
    </row>
    <row r="6" spans="1:25" x14ac:dyDescent="0.3">
      <c r="H6" s="68">
        <v>1.25</v>
      </c>
      <c r="K6">
        <v>4</v>
      </c>
      <c r="M6">
        <v>22</v>
      </c>
      <c r="Q6">
        <v>3</v>
      </c>
      <c r="S6">
        <v>40</v>
      </c>
    </row>
    <row r="7" spans="1:25" x14ac:dyDescent="0.3">
      <c r="H7" s="68">
        <v>1.5</v>
      </c>
      <c r="K7">
        <v>5</v>
      </c>
      <c r="M7">
        <v>21</v>
      </c>
      <c r="Q7">
        <v>4.3125</v>
      </c>
      <c r="S7">
        <v>60</v>
      </c>
    </row>
    <row r="8" spans="1:25" x14ac:dyDescent="0.3">
      <c r="H8" s="68">
        <v>2</v>
      </c>
      <c r="K8">
        <v>6</v>
      </c>
      <c r="M8">
        <v>20</v>
      </c>
    </row>
    <row r="9" spans="1:25" x14ac:dyDescent="0.3">
      <c r="H9" s="68">
        <v>2.5</v>
      </c>
      <c r="K9">
        <v>7</v>
      </c>
      <c r="M9">
        <v>19</v>
      </c>
    </row>
    <row r="10" spans="1:25" x14ac:dyDescent="0.3">
      <c r="H10" s="68">
        <v>3</v>
      </c>
      <c r="K10">
        <v>8</v>
      </c>
      <c r="M10">
        <v>18</v>
      </c>
    </row>
    <row r="11" spans="1:25" x14ac:dyDescent="0.3">
      <c r="H11" s="68">
        <v>3.5</v>
      </c>
      <c r="K11">
        <v>9</v>
      </c>
      <c r="M11">
        <v>17</v>
      </c>
    </row>
    <row r="12" spans="1:25" ht="15" thickBot="1" x14ac:dyDescent="0.35">
      <c r="H12" s="71">
        <v>4</v>
      </c>
      <c r="K12">
        <v>10</v>
      </c>
      <c r="M12">
        <v>16</v>
      </c>
    </row>
    <row r="13" spans="1:25" x14ac:dyDescent="0.3">
      <c r="M13">
        <v>15</v>
      </c>
    </row>
    <row r="14" spans="1:25" x14ac:dyDescent="0.3">
      <c r="M14">
        <v>14</v>
      </c>
    </row>
    <row r="15" spans="1:25" x14ac:dyDescent="0.3">
      <c r="M15">
        <v>13</v>
      </c>
    </row>
    <row r="16" spans="1:25" x14ac:dyDescent="0.3">
      <c r="M16">
        <v>12</v>
      </c>
    </row>
    <row r="17" spans="13:13" x14ac:dyDescent="0.3">
      <c r="M17">
        <v>11</v>
      </c>
    </row>
    <row r="18" spans="13:13" x14ac:dyDescent="0.3">
      <c r="M18">
        <v>10</v>
      </c>
    </row>
    <row r="19" spans="13:13" x14ac:dyDescent="0.3">
      <c r="M19">
        <v>9</v>
      </c>
    </row>
    <row r="20" spans="13:13" x14ac:dyDescent="0.3">
      <c r="M20">
        <v>8</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D39E-257F-40EF-BDA4-557F0036479C}">
  <sheetPr codeName="Sheet6"/>
  <dimension ref="A1:O39"/>
  <sheetViews>
    <sheetView topLeftCell="A11" workbookViewId="0">
      <selection activeCell="I39" sqref="I39"/>
    </sheetView>
  </sheetViews>
  <sheetFormatPr defaultRowHeight="14.4" x14ac:dyDescent="0.3"/>
  <cols>
    <col min="1" max="1" width="14.6640625" bestFit="1" customWidth="1"/>
    <col min="2" max="2" width="31.6640625" bestFit="1" customWidth="1"/>
    <col min="3" max="3" width="16.109375" bestFit="1" customWidth="1"/>
    <col min="4" max="4" width="23.44140625" bestFit="1" customWidth="1"/>
    <col min="5" max="5" width="20.6640625" bestFit="1" customWidth="1"/>
    <col min="6" max="6" width="20.44140625" bestFit="1" customWidth="1"/>
    <col min="7" max="7" width="19.6640625" bestFit="1" customWidth="1"/>
    <col min="8" max="8" width="19.44140625" bestFit="1" customWidth="1"/>
    <col min="9" max="9" width="14.6640625" bestFit="1" customWidth="1"/>
    <col min="10" max="10" width="31.6640625" bestFit="1" customWidth="1"/>
    <col min="12" max="12" width="11.5546875" bestFit="1" customWidth="1"/>
    <col min="13" max="13" width="31.6640625" bestFit="1" customWidth="1"/>
    <col min="14" max="14" width="19.5546875" bestFit="1" customWidth="1"/>
    <col min="15" max="15" width="38.5546875" bestFit="1" customWidth="1"/>
  </cols>
  <sheetData>
    <row r="1" spans="1:15" x14ac:dyDescent="0.3">
      <c r="A1" s="56" t="s">
        <v>795</v>
      </c>
      <c r="B1" s="56">
        <v>559</v>
      </c>
      <c r="C1" s="56" t="s">
        <v>796</v>
      </c>
    </row>
    <row r="2" spans="1:15" x14ac:dyDescent="0.3">
      <c r="A2" s="56" t="s">
        <v>797</v>
      </c>
      <c r="B2" s="57">
        <v>0.53</v>
      </c>
      <c r="C2" s="56"/>
      <c r="D2" t="s">
        <v>798</v>
      </c>
    </row>
    <row r="3" spans="1:15" ht="15" thickBot="1" x14ac:dyDescent="0.35">
      <c r="B3" s="36"/>
    </row>
    <row r="4" spans="1:15" ht="15" thickBot="1" x14ac:dyDescent="0.35">
      <c r="A4" s="58" t="s">
        <v>799</v>
      </c>
      <c r="B4" s="59" t="s">
        <v>800</v>
      </c>
      <c r="C4" s="59" t="s">
        <v>801</v>
      </c>
      <c r="D4" s="59" t="s">
        <v>802</v>
      </c>
      <c r="E4" s="59" t="s">
        <v>803</v>
      </c>
      <c r="F4" s="59" t="s">
        <v>804</v>
      </c>
      <c r="G4" s="59" t="s">
        <v>805</v>
      </c>
      <c r="H4" s="59" t="s">
        <v>806</v>
      </c>
      <c r="I4" s="59" t="s">
        <v>807</v>
      </c>
      <c r="J4" s="60" t="s">
        <v>808</v>
      </c>
      <c r="L4" s="61" t="s">
        <v>799</v>
      </c>
      <c r="M4" s="62" t="s">
        <v>800</v>
      </c>
      <c r="N4" s="63" t="s">
        <v>809</v>
      </c>
      <c r="O4" s="64" t="s">
        <v>810</v>
      </c>
    </row>
    <row r="5" spans="1:15" x14ac:dyDescent="0.3">
      <c r="A5" s="65">
        <v>0.5</v>
      </c>
      <c r="B5" s="62" t="s">
        <v>811</v>
      </c>
      <c r="C5" s="66">
        <v>0.3</v>
      </c>
      <c r="D5" s="66">
        <v>0.622</v>
      </c>
      <c r="E5" s="66">
        <f>PI()*(D5/2)^2</f>
        <v>0.30385798304785838</v>
      </c>
      <c r="F5" s="66">
        <f>E5/144</f>
        <v>2.1101248822767943E-3</v>
      </c>
      <c r="G5" s="66">
        <f>F5*$B$1</f>
        <v>1.179559809192728</v>
      </c>
      <c r="H5" s="66">
        <f>G5*$B$2</f>
        <v>0.62516669887214582</v>
      </c>
      <c r="I5" s="66">
        <f>H5+C5</f>
        <v>0.92516669887214587</v>
      </c>
      <c r="J5" s="67" t="s">
        <v>812</v>
      </c>
      <c r="L5" s="68">
        <v>0.5</v>
      </c>
      <c r="M5" s="56" t="s">
        <v>811</v>
      </c>
      <c r="N5" s="69">
        <v>10</v>
      </c>
      <c r="O5" s="70" t="s">
        <v>813</v>
      </c>
    </row>
    <row r="6" spans="1:15" x14ac:dyDescent="0.3">
      <c r="A6" s="68">
        <v>0.75</v>
      </c>
      <c r="B6" s="56" t="s">
        <v>811</v>
      </c>
      <c r="C6" s="69">
        <v>0.46</v>
      </c>
      <c r="D6" s="69">
        <v>0.82399999999999995</v>
      </c>
      <c r="E6" s="69">
        <f t="shared" ref="E6:E24" si="0">PI()*(D6/2)^2</f>
        <v>0.53326650339094572</v>
      </c>
      <c r="F6" s="69">
        <f t="shared" ref="F6:F34" si="1">E6/144</f>
        <v>3.7032396068815677E-3</v>
      </c>
      <c r="G6" s="69">
        <f t="shared" ref="G6:G34" si="2">F6*$B$1</f>
        <v>2.0701109402467965</v>
      </c>
      <c r="H6" s="69">
        <f t="shared" ref="H6:H34" si="3">G6*$B$2</f>
        <v>1.0971587983308022</v>
      </c>
      <c r="I6" s="69">
        <f t="shared" ref="I6:I34" si="4">H6+C6</f>
        <v>1.5571587983308022</v>
      </c>
      <c r="J6" s="70" t="s">
        <v>812</v>
      </c>
      <c r="L6" s="68">
        <v>0.75</v>
      </c>
      <c r="M6" s="56" t="s">
        <v>811</v>
      </c>
      <c r="N6" s="69">
        <v>10</v>
      </c>
      <c r="O6" s="70" t="s">
        <v>813</v>
      </c>
    </row>
    <row r="7" spans="1:15" x14ac:dyDescent="0.3">
      <c r="A7" s="68">
        <v>1</v>
      </c>
      <c r="B7" s="56" t="s">
        <v>811</v>
      </c>
      <c r="C7" s="69">
        <v>0.67</v>
      </c>
      <c r="D7" s="69">
        <v>1.0489999999999999</v>
      </c>
      <c r="E7" s="69">
        <f t="shared" si="0"/>
        <v>0.86425292440071544</v>
      </c>
      <c r="F7" s="69">
        <f t="shared" si="1"/>
        <v>6.0017564194494132E-3</v>
      </c>
      <c r="G7" s="69">
        <f t="shared" si="2"/>
        <v>3.3549818384722219</v>
      </c>
      <c r="H7" s="69">
        <f t="shared" si="3"/>
        <v>1.7781403743902777</v>
      </c>
      <c r="I7" s="69">
        <f t="shared" si="4"/>
        <v>2.4481403743902779</v>
      </c>
      <c r="J7" s="70" t="s">
        <v>812</v>
      </c>
      <c r="L7" s="68">
        <v>1</v>
      </c>
      <c r="M7" s="56" t="s">
        <v>811</v>
      </c>
      <c r="N7" s="69">
        <v>10</v>
      </c>
      <c r="O7" s="70" t="s">
        <v>813</v>
      </c>
    </row>
    <row r="8" spans="1:15" x14ac:dyDescent="0.3">
      <c r="A8" s="68">
        <v>1.25</v>
      </c>
      <c r="B8" s="56" t="s">
        <v>811</v>
      </c>
      <c r="C8" s="69">
        <v>0.10100000000000001</v>
      </c>
      <c r="D8" s="69">
        <v>1.38</v>
      </c>
      <c r="E8" s="69">
        <f t="shared" si="0"/>
        <v>1.4957122623741002</v>
      </c>
      <c r="F8" s="69">
        <f t="shared" si="1"/>
        <v>1.0386890710931251E-2</v>
      </c>
      <c r="G8" s="69">
        <f t="shared" si="2"/>
        <v>5.8062719074105695</v>
      </c>
      <c r="H8" s="69">
        <f t="shared" si="3"/>
        <v>3.0773241109276022</v>
      </c>
      <c r="I8" s="69">
        <f t="shared" si="4"/>
        <v>3.1783241109276021</v>
      </c>
      <c r="J8" s="70" t="s">
        <v>812</v>
      </c>
      <c r="L8" s="68">
        <v>1.25</v>
      </c>
      <c r="M8" s="56" t="s">
        <v>811</v>
      </c>
      <c r="N8" s="69">
        <v>10</v>
      </c>
      <c r="O8" s="70" t="s">
        <v>813</v>
      </c>
    </row>
    <row r="9" spans="1:15" x14ac:dyDescent="0.3">
      <c r="A9" s="68">
        <v>1.5</v>
      </c>
      <c r="B9" s="56" t="s">
        <v>811</v>
      </c>
      <c r="C9" s="69">
        <v>0.11600000000000001</v>
      </c>
      <c r="D9" s="69">
        <v>1.61</v>
      </c>
      <c r="E9" s="69">
        <f t="shared" si="0"/>
        <v>2.0358305793425258</v>
      </c>
      <c r="F9" s="69">
        <f t="shared" si="1"/>
        <v>1.4137712356545318E-2</v>
      </c>
      <c r="G9" s="69">
        <f t="shared" si="2"/>
        <v>7.9029812073088328</v>
      </c>
      <c r="H9" s="69">
        <f t="shared" si="3"/>
        <v>4.1885800398736812</v>
      </c>
      <c r="I9" s="69">
        <f t="shared" si="4"/>
        <v>4.3045800398736809</v>
      </c>
      <c r="J9" s="70" t="s">
        <v>812</v>
      </c>
      <c r="L9" s="68">
        <v>1.5</v>
      </c>
      <c r="M9" s="56" t="s">
        <v>811</v>
      </c>
      <c r="N9" s="69">
        <v>10</v>
      </c>
      <c r="O9" s="70" t="s">
        <v>813</v>
      </c>
    </row>
    <row r="10" spans="1:15" x14ac:dyDescent="0.3">
      <c r="A10" s="68">
        <v>2</v>
      </c>
      <c r="B10" s="56" t="s">
        <v>811</v>
      </c>
      <c r="C10" s="69">
        <v>0.14799999999999999</v>
      </c>
      <c r="D10" s="69">
        <v>2.0670000000000002</v>
      </c>
      <c r="E10" s="69">
        <f t="shared" si="0"/>
        <v>3.3556050137358011</v>
      </c>
      <c r="F10" s="69">
        <f t="shared" si="1"/>
        <v>2.3302812595387509E-2</v>
      </c>
      <c r="G10" s="69">
        <f t="shared" si="2"/>
        <v>13.026272240821617</v>
      </c>
      <c r="H10" s="69">
        <f t="shared" si="3"/>
        <v>6.9039242876354576</v>
      </c>
      <c r="I10" s="69">
        <f t="shared" si="4"/>
        <v>7.0519242876354573</v>
      </c>
      <c r="J10" s="70" t="s">
        <v>812</v>
      </c>
      <c r="L10" s="68">
        <v>2</v>
      </c>
      <c r="M10" s="56" t="s">
        <v>811</v>
      </c>
      <c r="N10" s="69">
        <v>10</v>
      </c>
      <c r="O10" s="70" t="s">
        <v>813</v>
      </c>
    </row>
    <row r="11" spans="1:15" x14ac:dyDescent="0.3">
      <c r="A11" s="68">
        <v>2.5</v>
      </c>
      <c r="B11" s="56" t="s">
        <v>811</v>
      </c>
      <c r="C11" s="69">
        <v>0.216</v>
      </c>
      <c r="D11" s="69">
        <v>2.7309999999999999</v>
      </c>
      <c r="E11" s="69">
        <f t="shared" si="0"/>
        <v>5.8577830313551553</v>
      </c>
      <c r="F11" s="69">
        <f t="shared" si="1"/>
        <v>4.0679048828855244E-2</v>
      </c>
      <c r="G11" s="69">
        <f t="shared" si="2"/>
        <v>22.73958829533008</v>
      </c>
      <c r="H11" s="69">
        <f t="shared" si="3"/>
        <v>12.051981796524943</v>
      </c>
      <c r="I11" s="69">
        <f t="shared" si="4"/>
        <v>12.267981796524943</v>
      </c>
      <c r="J11" s="70" t="s">
        <v>812</v>
      </c>
      <c r="L11" s="68">
        <v>2.5</v>
      </c>
      <c r="M11" s="56" t="s">
        <v>811</v>
      </c>
      <c r="N11" s="69">
        <v>10</v>
      </c>
      <c r="O11" s="70" t="s">
        <v>813</v>
      </c>
    </row>
    <row r="12" spans="1:15" x14ac:dyDescent="0.3">
      <c r="A12" s="68">
        <v>3</v>
      </c>
      <c r="B12" s="56" t="s">
        <v>811</v>
      </c>
      <c r="C12" s="69">
        <v>0.26300000000000001</v>
      </c>
      <c r="D12" s="69">
        <v>3.3559999999999999</v>
      </c>
      <c r="E12" s="69">
        <f t="shared" si="0"/>
        <v>8.8457321692303221</v>
      </c>
      <c r="F12" s="69">
        <f t="shared" si="1"/>
        <v>6.1428695619655013E-2</v>
      </c>
      <c r="G12" s="69">
        <f t="shared" si="2"/>
        <v>34.338640851387154</v>
      </c>
      <c r="H12" s="69">
        <f t="shared" si="3"/>
        <v>18.199479651235194</v>
      </c>
      <c r="I12" s="69">
        <f t="shared" si="4"/>
        <v>18.462479651235196</v>
      </c>
      <c r="J12" s="70" t="s">
        <v>812</v>
      </c>
      <c r="L12" s="68">
        <v>3</v>
      </c>
      <c r="M12" s="56" t="s">
        <v>811</v>
      </c>
      <c r="N12" s="69">
        <v>10</v>
      </c>
      <c r="O12" s="70" t="s">
        <v>813</v>
      </c>
    </row>
    <row r="13" spans="1:15" x14ac:dyDescent="0.3">
      <c r="A13" s="68">
        <v>3.5</v>
      </c>
      <c r="B13" s="56" t="s">
        <v>811</v>
      </c>
      <c r="C13" s="69">
        <v>0.34899999999999998</v>
      </c>
      <c r="D13" s="69">
        <v>3.8340000000000001</v>
      </c>
      <c r="E13" s="69">
        <f t="shared" si="0"/>
        <v>11.545004285157942</v>
      </c>
      <c r="F13" s="69">
        <f t="shared" si="1"/>
        <v>8.0173640869152379E-2</v>
      </c>
      <c r="G13" s="69">
        <f t="shared" si="2"/>
        <v>44.817065245856178</v>
      </c>
      <c r="H13" s="69">
        <f t="shared" si="3"/>
        <v>23.753044580303776</v>
      </c>
      <c r="I13" s="69">
        <f t="shared" si="4"/>
        <v>24.102044580303776</v>
      </c>
      <c r="J13" s="70" t="s">
        <v>812</v>
      </c>
      <c r="L13" s="68">
        <v>3.5</v>
      </c>
      <c r="M13" s="56" t="s">
        <v>811</v>
      </c>
      <c r="N13" s="69">
        <v>10</v>
      </c>
      <c r="O13" s="70" t="s">
        <v>813</v>
      </c>
    </row>
    <row r="14" spans="1:15" ht="15" thickBot="1" x14ac:dyDescent="0.35">
      <c r="A14" s="71">
        <v>4</v>
      </c>
      <c r="B14" s="72" t="s">
        <v>811</v>
      </c>
      <c r="C14" s="73">
        <v>0.39300000000000002</v>
      </c>
      <c r="D14" s="73">
        <v>4.3339999999999996</v>
      </c>
      <c r="E14" s="73">
        <f t="shared" si="0"/>
        <v>14.752570384473119</v>
      </c>
      <c r="F14" s="73">
        <f t="shared" si="1"/>
        <v>0.10244840544772998</v>
      </c>
      <c r="G14" s="73">
        <f t="shared" si="2"/>
        <v>57.268658645281064</v>
      </c>
      <c r="H14" s="73">
        <f t="shared" si="3"/>
        <v>30.352389081998965</v>
      </c>
      <c r="I14" s="73">
        <f t="shared" si="4"/>
        <v>30.745389081998965</v>
      </c>
      <c r="J14" s="74" t="s">
        <v>812</v>
      </c>
      <c r="L14" s="71">
        <v>4</v>
      </c>
      <c r="M14" s="72" t="s">
        <v>811</v>
      </c>
      <c r="N14" s="73">
        <v>10</v>
      </c>
      <c r="O14" s="74" t="s">
        <v>813</v>
      </c>
    </row>
    <row r="15" spans="1:15" x14ac:dyDescent="0.3">
      <c r="A15" s="65">
        <v>0.5</v>
      </c>
      <c r="B15" s="62" t="s">
        <v>814</v>
      </c>
      <c r="C15" s="66">
        <v>0.82</v>
      </c>
      <c r="D15" s="66">
        <v>0.63200000000000001</v>
      </c>
      <c r="E15" s="66">
        <f t="shared" si="0"/>
        <v>0.31370687601686237</v>
      </c>
      <c r="F15" s="66">
        <f t="shared" si="1"/>
        <v>2.1785199723393222E-3</v>
      </c>
      <c r="G15" s="66">
        <f t="shared" si="2"/>
        <v>1.2177926645376811</v>
      </c>
      <c r="H15" s="66">
        <f t="shared" si="3"/>
        <v>0.64543011220497104</v>
      </c>
      <c r="I15" s="66">
        <f t="shared" si="4"/>
        <v>1.4654301122049711</v>
      </c>
      <c r="J15" s="67" t="s">
        <v>815</v>
      </c>
      <c r="L15" s="65">
        <v>0.5</v>
      </c>
      <c r="M15" s="62" t="s">
        <v>814</v>
      </c>
      <c r="N15" s="66">
        <v>10</v>
      </c>
      <c r="O15" s="67" t="s">
        <v>816</v>
      </c>
    </row>
    <row r="16" spans="1:15" x14ac:dyDescent="0.3">
      <c r="A16" s="68">
        <v>0.75</v>
      </c>
      <c r="B16" s="56" t="s">
        <v>814</v>
      </c>
      <c r="C16" s="69">
        <v>0.109</v>
      </c>
      <c r="D16" s="69">
        <v>0.83599999999999997</v>
      </c>
      <c r="E16" s="69">
        <f t="shared" si="0"/>
        <v>0.54891163480582295</v>
      </c>
      <c r="F16" s="69">
        <f t="shared" si="1"/>
        <v>3.8118863528182148E-3</v>
      </c>
      <c r="G16" s="69">
        <f t="shared" si="2"/>
        <v>2.130844471225382</v>
      </c>
      <c r="H16" s="69">
        <f t="shared" si="3"/>
        <v>1.1293475697494526</v>
      </c>
      <c r="I16" s="69">
        <f t="shared" si="4"/>
        <v>1.2383475697494526</v>
      </c>
      <c r="J16" s="70" t="s">
        <v>815</v>
      </c>
      <c r="L16" s="68">
        <v>0.75</v>
      </c>
      <c r="M16" s="56" t="s">
        <v>814</v>
      </c>
      <c r="N16" s="69">
        <v>10</v>
      </c>
      <c r="O16" s="70" t="s">
        <v>816</v>
      </c>
    </row>
    <row r="17" spans="1:15" x14ac:dyDescent="0.3">
      <c r="A17" s="68">
        <v>1</v>
      </c>
      <c r="B17" s="56" t="s">
        <v>814</v>
      </c>
      <c r="C17" s="69">
        <v>0.161</v>
      </c>
      <c r="D17" s="69">
        <v>1.0629999999999999</v>
      </c>
      <c r="E17" s="69">
        <f t="shared" si="0"/>
        <v>0.88747557729605109</v>
      </c>
      <c r="F17" s="69">
        <f t="shared" si="1"/>
        <v>6.1630248423336885E-3</v>
      </c>
      <c r="G17" s="69">
        <f t="shared" si="2"/>
        <v>3.4451308868645318</v>
      </c>
      <c r="H17" s="69">
        <f t="shared" si="3"/>
        <v>1.8259193700382019</v>
      </c>
      <c r="I17" s="69">
        <f t="shared" si="4"/>
        <v>1.986919370038202</v>
      </c>
      <c r="J17" s="70" t="s">
        <v>815</v>
      </c>
      <c r="L17" s="68">
        <v>1</v>
      </c>
      <c r="M17" s="56" t="s">
        <v>814</v>
      </c>
      <c r="N17" s="69">
        <v>12</v>
      </c>
      <c r="O17" s="70" t="s">
        <v>816</v>
      </c>
    </row>
    <row r="18" spans="1:15" x14ac:dyDescent="0.3">
      <c r="A18" s="68">
        <v>1.25</v>
      </c>
      <c r="B18" s="56" t="s">
        <v>814</v>
      </c>
      <c r="C18" s="69">
        <v>0.218</v>
      </c>
      <c r="D18" s="69">
        <v>1.3939999999999999</v>
      </c>
      <c r="E18" s="69">
        <f t="shared" si="0"/>
        <v>1.5262139854478036</v>
      </c>
      <c r="F18" s="69">
        <f t="shared" si="1"/>
        <v>1.0598708232276413E-2</v>
      </c>
      <c r="G18" s="69">
        <f t="shared" si="2"/>
        <v>5.9246779018425153</v>
      </c>
      <c r="H18" s="69">
        <f t="shared" si="3"/>
        <v>3.1400792879765334</v>
      </c>
      <c r="I18" s="69">
        <f t="shared" si="4"/>
        <v>3.3580792879765333</v>
      </c>
      <c r="J18" s="70" t="s">
        <v>815</v>
      </c>
      <c r="L18" s="68">
        <v>1.25</v>
      </c>
      <c r="M18" s="56" t="s">
        <v>814</v>
      </c>
      <c r="N18" s="69">
        <v>14</v>
      </c>
      <c r="O18" s="70" t="s">
        <v>816</v>
      </c>
    </row>
    <row r="19" spans="1:15" x14ac:dyDescent="0.3">
      <c r="A19" s="68">
        <v>1.5</v>
      </c>
      <c r="B19" s="56" t="s">
        <v>814</v>
      </c>
      <c r="C19" s="69">
        <v>0.26300000000000001</v>
      </c>
      <c r="D19" s="69">
        <v>1.6240000000000001</v>
      </c>
      <c r="E19" s="69">
        <f t="shared" si="0"/>
        <v>2.0713902665885087</v>
      </c>
      <c r="F19" s="69">
        <f t="shared" si="1"/>
        <v>1.4384654629086866E-2</v>
      </c>
      <c r="G19" s="69">
        <f t="shared" si="2"/>
        <v>8.0410219376595578</v>
      </c>
      <c r="H19" s="69">
        <f t="shared" si="3"/>
        <v>4.2617416269595658</v>
      </c>
      <c r="I19" s="69">
        <f t="shared" si="4"/>
        <v>4.5247416269595657</v>
      </c>
      <c r="J19" s="70" t="s">
        <v>815</v>
      </c>
      <c r="L19" s="68">
        <v>1.5</v>
      </c>
      <c r="M19" s="56" t="s">
        <v>814</v>
      </c>
      <c r="N19" s="69">
        <v>14</v>
      </c>
      <c r="O19" s="70" t="s">
        <v>816</v>
      </c>
    </row>
    <row r="20" spans="1:15" x14ac:dyDescent="0.3">
      <c r="A20" s="68">
        <v>2</v>
      </c>
      <c r="B20" s="56" t="s">
        <v>814</v>
      </c>
      <c r="C20" s="69">
        <v>0.35</v>
      </c>
      <c r="D20" s="69">
        <v>2.0830000000000002</v>
      </c>
      <c r="E20" s="69">
        <f t="shared" si="0"/>
        <v>3.4077554517853916</v>
      </c>
      <c r="F20" s="69">
        <f t="shared" si="1"/>
        <v>2.3664968415176332E-2</v>
      </c>
      <c r="G20" s="69">
        <f t="shared" si="2"/>
        <v>13.22871734408357</v>
      </c>
      <c r="H20" s="69">
        <f t="shared" si="3"/>
        <v>7.0112201923642923</v>
      </c>
      <c r="I20" s="69">
        <f t="shared" si="4"/>
        <v>7.3612201923642919</v>
      </c>
      <c r="J20" s="70" t="s">
        <v>815</v>
      </c>
      <c r="L20" s="68">
        <v>2</v>
      </c>
      <c r="M20" s="56" t="s">
        <v>814</v>
      </c>
      <c r="N20" s="69">
        <v>16</v>
      </c>
      <c r="O20" s="70" t="s">
        <v>816</v>
      </c>
    </row>
    <row r="21" spans="1:15" x14ac:dyDescent="0.3">
      <c r="A21" s="68">
        <v>2.5</v>
      </c>
      <c r="B21" s="56" t="s">
        <v>814</v>
      </c>
      <c r="C21" s="69">
        <v>0.55900000000000005</v>
      </c>
      <c r="D21" s="69">
        <v>2.4889999999999999</v>
      </c>
      <c r="E21" s="69">
        <f t="shared" si="0"/>
        <v>4.8656366554249626</v>
      </c>
      <c r="F21" s="69">
        <f t="shared" si="1"/>
        <v>3.3789143440451128E-2</v>
      </c>
      <c r="G21" s="69">
        <f t="shared" si="2"/>
        <v>18.888131183212181</v>
      </c>
      <c r="H21" s="69">
        <f t="shared" si="3"/>
        <v>10.010709527102456</v>
      </c>
      <c r="I21" s="69">
        <f t="shared" si="4"/>
        <v>10.569709527102455</v>
      </c>
      <c r="J21" s="70" t="s">
        <v>815</v>
      </c>
      <c r="L21" s="68">
        <v>2.5</v>
      </c>
      <c r="M21" s="56" t="s">
        <v>814</v>
      </c>
      <c r="N21" s="69">
        <v>16</v>
      </c>
      <c r="O21" s="70" t="s">
        <v>816</v>
      </c>
    </row>
    <row r="22" spans="1:15" x14ac:dyDescent="0.3">
      <c r="A22" s="68">
        <v>3</v>
      </c>
      <c r="B22" s="56" t="s">
        <v>814</v>
      </c>
      <c r="C22" s="69">
        <v>0.72699999999999998</v>
      </c>
      <c r="D22" s="69">
        <v>3.09</v>
      </c>
      <c r="E22" s="69">
        <f t="shared" si="0"/>
        <v>7.4990602039351755</v>
      </c>
      <c r="F22" s="69">
        <f t="shared" si="1"/>
        <v>5.2076806971772055E-2</v>
      </c>
      <c r="G22" s="69">
        <f t="shared" si="2"/>
        <v>29.11093509722058</v>
      </c>
      <c r="H22" s="69">
        <f t="shared" si="3"/>
        <v>15.428795601526907</v>
      </c>
      <c r="I22" s="69">
        <f t="shared" si="4"/>
        <v>16.155795601526908</v>
      </c>
      <c r="J22" s="70" t="s">
        <v>815</v>
      </c>
      <c r="L22" s="68">
        <v>3</v>
      </c>
      <c r="M22" s="56" t="s">
        <v>814</v>
      </c>
      <c r="N22" s="69">
        <v>20</v>
      </c>
      <c r="O22" s="70" t="s">
        <v>816</v>
      </c>
    </row>
    <row r="23" spans="1:15" x14ac:dyDescent="0.3">
      <c r="A23" s="68">
        <v>3.5</v>
      </c>
      <c r="B23" s="56" t="s">
        <v>814</v>
      </c>
      <c r="C23" s="69">
        <v>0.88</v>
      </c>
      <c r="D23" s="69">
        <v>3.57</v>
      </c>
      <c r="E23" s="69">
        <f t="shared" si="0"/>
        <v>10.009821052684138</v>
      </c>
      <c r="F23" s="69">
        <f t="shared" si="1"/>
        <v>6.9512646199195408E-2</v>
      </c>
      <c r="G23" s="69">
        <f t="shared" si="2"/>
        <v>38.857569225350233</v>
      </c>
      <c r="H23" s="69">
        <f t="shared" si="3"/>
        <v>20.594511689435624</v>
      </c>
      <c r="I23" s="69">
        <f t="shared" si="4"/>
        <v>21.474511689435623</v>
      </c>
      <c r="J23" s="70" t="s">
        <v>815</v>
      </c>
      <c r="L23" s="68">
        <v>3.5</v>
      </c>
      <c r="M23" s="56" t="s">
        <v>814</v>
      </c>
      <c r="N23" s="69">
        <v>20</v>
      </c>
      <c r="O23" s="70" t="s">
        <v>816</v>
      </c>
    </row>
    <row r="24" spans="1:15" ht="15" thickBot="1" x14ac:dyDescent="0.35">
      <c r="A24" s="71">
        <v>4</v>
      </c>
      <c r="B24" s="72" t="s">
        <v>814</v>
      </c>
      <c r="C24" s="73">
        <v>1.03</v>
      </c>
      <c r="D24" s="73">
        <v>4.05</v>
      </c>
      <c r="E24" s="73">
        <f t="shared" si="0"/>
        <v>12.882493375126645</v>
      </c>
      <c r="F24" s="73">
        <f t="shared" si="1"/>
        <v>8.9461759549490594E-2</v>
      </c>
      <c r="G24" s="73">
        <f t="shared" si="2"/>
        <v>50.009123588165245</v>
      </c>
      <c r="H24" s="73">
        <f t="shared" si="3"/>
        <v>26.50483550172758</v>
      </c>
      <c r="I24" s="73">
        <f t="shared" si="4"/>
        <v>27.534835501727581</v>
      </c>
      <c r="J24" s="74" t="s">
        <v>815</v>
      </c>
      <c r="L24" s="71">
        <v>4</v>
      </c>
      <c r="M24" s="72" t="s">
        <v>814</v>
      </c>
      <c r="N24" s="73">
        <v>20</v>
      </c>
      <c r="O24" s="74" t="s">
        <v>816</v>
      </c>
    </row>
    <row r="25" spans="1:15" x14ac:dyDescent="0.3">
      <c r="A25" s="65">
        <v>0.5</v>
      </c>
      <c r="B25" s="62" t="s">
        <v>817</v>
      </c>
      <c r="C25" s="66">
        <v>0.62</v>
      </c>
      <c r="D25" s="66">
        <v>0.66</v>
      </c>
      <c r="E25" s="66">
        <f>PI()*(D25/2)^2</f>
        <v>0.34211943997592853</v>
      </c>
      <c r="F25" s="66">
        <f t="shared" si="1"/>
        <v>2.3758294442772815E-3</v>
      </c>
      <c r="G25" s="66">
        <f t="shared" si="2"/>
        <v>1.3280886593510004</v>
      </c>
      <c r="H25" s="66">
        <f t="shared" si="3"/>
        <v>0.70388698945603023</v>
      </c>
      <c r="I25" s="66">
        <f t="shared" si="4"/>
        <v>1.3238869894560303</v>
      </c>
      <c r="J25" s="67" t="s">
        <v>818</v>
      </c>
      <c r="L25" s="65">
        <v>0.5</v>
      </c>
      <c r="M25" s="62" t="s">
        <v>817</v>
      </c>
      <c r="N25" s="66">
        <v>10</v>
      </c>
      <c r="O25" s="67" t="s">
        <v>816</v>
      </c>
    </row>
    <row r="26" spans="1:15" x14ac:dyDescent="0.3">
      <c r="A26" s="68">
        <v>0.75</v>
      </c>
      <c r="B26" s="56" t="s">
        <v>817</v>
      </c>
      <c r="C26" s="69">
        <v>0.84</v>
      </c>
      <c r="D26" s="69">
        <v>0.86399999999999999</v>
      </c>
      <c r="E26" s="69">
        <f t="shared" ref="E26:E34" si="5">PI()*(D26/2)^2</f>
        <v>0.58629658738354151</v>
      </c>
      <c r="F26" s="69">
        <f t="shared" si="1"/>
        <v>4.0715040790523715E-3</v>
      </c>
      <c r="G26" s="69">
        <f t="shared" si="2"/>
        <v>2.2759707801902755</v>
      </c>
      <c r="H26" s="69">
        <f t="shared" si="3"/>
        <v>1.2062645135008461</v>
      </c>
      <c r="I26" s="69">
        <f t="shared" si="4"/>
        <v>2.0462645135008461</v>
      </c>
      <c r="J26" s="70" t="s">
        <v>818</v>
      </c>
      <c r="L26" s="68">
        <v>0.75</v>
      </c>
      <c r="M26" s="56" t="s">
        <v>817</v>
      </c>
      <c r="N26" s="69">
        <v>10</v>
      </c>
      <c r="O26" s="70" t="s">
        <v>816</v>
      </c>
    </row>
    <row r="27" spans="1:15" x14ac:dyDescent="0.3">
      <c r="A27" s="68">
        <v>1</v>
      </c>
      <c r="B27" s="56" t="s">
        <v>817</v>
      </c>
      <c r="C27" s="69">
        <v>0.11899999999999999</v>
      </c>
      <c r="D27" s="69">
        <v>1.105</v>
      </c>
      <c r="E27" s="69">
        <f t="shared" si="5"/>
        <v>0.95899079246236929</v>
      </c>
      <c r="F27" s="69">
        <f t="shared" si="1"/>
        <v>6.6596582809886756E-3</v>
      </c>
      <c r="G27" s="69">
        <f t="shared" si="2"/>
        <v>3.7227489790726698</v>
      </c>
      <c r="H27" s="69">
        <f t="shared" si="3"/>
        <v>1.9730569589085152</v>
      </c>
      <c r="I27" s="69">
        <f t="shared" si="4"/>
        <v>2.0920569589085152</v>
      </c>
      <c r="J27" s="70" t="s">
        <v>818</v>
      </c>
      <c r="L27" s="68">
        <v>1</v>
      </c>
      <c r="M27" s="56" t="s">
        <v>817</v>
      </c>
      <c r="N27" s="69">
        <v>12</v>
      </c>
      <c r="O27" s="70" t="s">
        <v>816</v>
      </c>
    </row>
    <row r="28" spans="1:15" x14ac:dyDescent="0.3">
      <c r="A28" s="68">
        <v>1.25</v>
      </c>
      <c r="B28" s="56" t="s">
        <v>817</v>
      </c>
      <c r="C28" s="69">
        <v>0.158</v>
      </c>
      <c r="D28" s="69">
        <v>1.448</v>
      </c>
      <c r="E28" s="69">
        <f t="shared" si="5"/>
        <v>1.6467474707880834</v>
      </c>
      <c r="F28" s="69">
        <f t="shared" si="1"/>
        <v>1.1435746324917246E-2</v>
      </c>
      <c r="G28" s="69">
        <f t="shared" si="2"/>
        <v>6.3925821956287407</v>
      </c>
      <c r="H28" s="69">
        <f t="shared" si="3"/>
        <v>3.3880685636832326</v>
      </c>
      <c r="I28" s="69">
        <f t="shared" si="4"/>
        <v>3.5460685636832325</v>
      </c>
      <c r="J28" s="70" t="s">
        <v>818</v>
      </c>
      <c r="L28" s="68">
        <v>1.25</v>
      </c>
      <c r="M28" s="56" t="s">
        <v>817</v>
      </c>
      <c r="N28" s="69">
        <v>14</v>
      </c>
      <c r="O28" s="70" t="s">
        <v>816</v>
      </c>
    </row>
    <row r="29" spans="1:15" x14ac:dyDescent="0.3">
      <c r="A29" s="68">
        <v>1.5</v>
      </c>
      <c r="B29" s="56" t="s">
        <v>817</v>
      </c>
      <c r="C29" s="69">
        <v>0.19400000000000001</v>
      </c>
      <c r="D29" s="69">
        <v>1.6830000000000001</v>
      </c>
      <c r="E29" s="69">
        <f t="shared" si="5"/>
        <v>2.2246316584434749</v>
      </c>
      <c r="F29" s="69">
        <f t="shared" si="1"/>
        <v>1.5448830961413021E-2</v>
      </c>
      <c r="G29" s="69">
        <f t="shared" si="2"/>
        <v>8.6358965074298784</v>
      </c>
      <c r="H29" s="69">
        <f t="shared" si="3"/>
        <v>4.5770251489378362</v>
      </c>
      <c r="I29" s="69">
        <f t="shared" si="4"/>
        <v>4.7710251489378361</v>
      </c>
      <c r="J29" s="70" t="s">
        <v>818</v>
      </c>
      <c r="L29" s="68">
        <v>1.5</v>
      </c>
      <c r="M29" s="56" t="s">
        <v>817</v>
      </c>
      <c r="N29" s="69">
        <v>14</v>
      </c>
      <c r="O29" s="70" t="s">
        <v>816</v>
      </c>
    </row>
    <row r="30" spans="1:15" x14ac:dyDescent="0.3">
      <c r="A30" s="68">
        <v>2</v>
      </c>
      <c r="B30" s="56" t="s">
        <v>817</v>
      </c>
      <c r="C30" s="69">
        <v>0.25600000000000001</v>
      </c>
      <c r="D30" s="69">
        <v>2.15</v>
      </c>
      <c r="E30" s="69">
        <f t="shared" si="5"/>
        <v>3.6305030103047042</v>
      </c>
      <c r="F30" s="69">
        <f t="shared" si="1"/>
        <v>2.5211826460449335E-2</v>
      </c>
      <c r="G30" s="69">
        <f t="shared" si="2"/>
        <v>14.093410991391178</v>
      </c>
      <c r="H30" s="69">
        <f t="shared" si="3"/>
        <v>7.4695078254373248</v>
      </c>
      <c r="I30" s="69">
        <f t="shared" si="4"/>
        <v>7.7255078254373251</v>
      </c>
      <c r="J30" s="70" t="s">
        <v>818</v>
      </c>
      <c r="L30" s="68">
        <v>2</v>
      </c>
      <c r="M30" s="56" t="s">
        <v>817</v>
      </c>
      <c r="N30" s="69">
        <v>16</v>
      </c>
      <c r="O30" s="70" t="s">
        <v>816</v>
      </c>
    </row>
    <row r="31" spans="1:15" x14ac:dyDescent="0.3">
      <c r="A31" s="68">
        <v>2.5</v>
      </c>
      <c r="B31" s="56" t="s">
        <v>817</v>
      </c>
      <c r="C31" s="69">
        <v>0.441</v>
      </c>
      <c r="D31" s="69">
        <v>2.5569999999999999</v>
      </c>
      <c r="E31" s="69">
        <f t="shared" si="5"/>
        <v>5.1351287564352024</v>
      </c>
      <c r="F31" s="69">
        <f t="shared" si="1"/>
        <v>3.5660616364133348E-2</v>
      </c>
      <c r="G31" s="69">
        <f t="shared" si="2"/>
        <v>19.93428454755054</v>
      </c>
      <c r="H31" s="69">
        <f t="shared" si="3"/>
        <v>10.565170810201787</v>
      </c>
      <c r="I31" s="69">
        <f t="shared" si="4"/>
        <v>11.006170810201787</v>
      </c>
      <c r="J31" s="70" t="s">
        <v>818</v>
      </c>
      <c r="L31" s="68">
        <v>2.5</v>
      </c>
      <c r="M31" s="56" t="s">
        <v>817</v>
      </c>
      <c r="N31" s="69">
        <v>16</v>
      </c>
      <c r="O31" s="70" t="s">
        <v>816</v>
      </c>
    </row>
    <row r="32" spans="1:15" x14ac:dyDescent="0.3">
      <c r="A32" s="68">
        <v>3</v>
      </c>
      <c r="B32" s="56" t="s">
        <v>817</v>
      </c>
      <c r="C32" s="69">
        <v>0.54300000000000004</v>
      </c>
      <c r="D32" s="69">
        <v>3.1760000000000002</v>
      </c>
      <c r="E32" s="69">
        <f t="shared" si="5"/>
        <v>7.9222924246341409</v>
      </c>
      <c r="F32" s="69">
        <f t="shared" si="1"/>
        <v>5.5015919615514865E-2</v>
      </c>
      <c r="G32" s="69">
        <f t="shared" si="2"/>
        <v>30.753899065072808</v>
      </c>
      <c r="H32" s="69">
        <f t="shared" si="3"/>
        <v>16.299566504488588</v>
      </c>
      <c r="I32" s="69">
        <f t="shared" si="4"/>
        <v>16.842566504488587</v>
      </c>
      <c r="J32" s="70" t="s">
        <v>818</v>
      </c>
      <c r="L32" s="68">
        <v>3</v>
      </c>
      <c r="M32" s="56" t="s">
        <v>817</v>
      </c>
      <c r="N32" s="69">
        <v>20</v>
      </c>
      <c r="O32" s="70" t="s">
        <v>816</v>
      </c>
    </row>
    <row r="33" spans="1:15" x14ac:dyDescent="0.3">
      <c r="A33" s="68">
        <v>3.5</v>
      </c>
      <c r="B33" s="56" t="s">
        <v>817</v>
      </c>
      <c r="C33" s="69">
        <v>0.629</v>
      </c>
      <c r="D33" s="69">
        <v>3.6709999999999998</v>
      </c>
      <c r="E33" s="69">
        <f t="shared" si="5"/>
        <v>10.584214930901391</v>
      </c>
      <c r="F33" s="69">
        <f t="shared" si="1"/>
        <v>7.3501492575704097E-2</v>
      </c>
      <c r="G33" s="69">
        <f t="shared" si="2"/>
        <v>41.08733434981859</v>
      </c>
      <c r="H33" s="69">
        <f t="shared" si="3"/>
        <v>21.776287205403854</v>
      </c>
      <c r="I33" s="69">
        <f t="shared" si="4"/>
        <v>22.405287205403855</v>
      </c>
      <c r="J33" s="70" t="s">
        <v>818</v>
      </c>
      <c r="L33" s="68">
        <v>3.5</v>
      </c>
      <c r="M33" s="56" t="s">
        <v>817</v>
      </c>
      <c r="N33" s="69">
        <v>20</v>
      </c>
      <c r="O33" s="70" t="s">
        <v>816</v>
      </c>
    </row>
    <row r="34" spans="1:15" ht="15" thickBot="1" x14ac:dyDescent="0.35">
      <c r="A34" s="71">
        <v>4</v>
      </c>
      <c r="B34" s="72" t="s">
        <v>817</v>
      </c>
      <c r="C34" s="73">
        <v>0.7</v>
      </c>
      <c r="D34" s="73">
        <v>4.1660000000000004</v>
      </c>
      <c r="E34" s="73">
        <f t="shared" si="5"/>
        <v>13.631021807141567</v>
      </c>
      <c r="F34" s="73">
        <f t="shared" si="1"/>
        <v>9.4659873660705329E-2</v>
      </c>
      <c r="G34" s="73">
        <f t="shared" si="2"/>
        <v>52.914869376334281</v>
      </c>
      <c r="H34" s="73">
        <f t="shared" si="3"/>
        <v>28.044880769457169</v>
      </c>
      <c r="I34" s="73">
        <f t="shared" si="4"/>
        <v>28.744880769457168</v>
      </c>
      <c r="J34" s="74" t="s">
        <v>818</v>
      </c>
      <c r="L34" s="71">
        <v>4</v>
      </c>
      <c r="M34" s="72" t="s">
        <v>817</v>
      </c>
      <c r="N34" s="73">
        <v>20</v>
      </c>
      <c r="O34" s="74" t="s">
        <v>816</v>
      </c>
    </row>
    <row r="36" spans="1:15" x14ac:dyDescent="0.3">
      <c r="B36" t="s">
        <v>761</v>
      </c>
      <c r="C36" t="s">
        <v>157</v>
      </c>
      <c r="D36" t="s">
        <v>819</v>
      </c>
      <c r="E36" t="s">
        <v>827</v>
      </c>
      <c r="F36" t="s">
        <v>829</v>
      </c>
      <c r="G36" t="s">
        <v>828</v>
      </c>
      <c r="H36" t="s">
        <v>830</v>
      </c>
      <c r="I36" t="s">
        <v>832</v>
      </c>
    </row>
    <row r="37" spans="1:15" x14ac:dyDescent="0.3">
      <c r="A37" t="s">
        <v>18</v>
      </c>
      <c r="B37" t="str">
        <f>Calculations!B10</f>
        <v>Rigid Metal Conduit (RMC)</v>
      </c>
      <c r="C37">
        <f>Calculations!B11</f>
        <v>0.5</v>
      </c>
      <c r="D37">
        <f>Calculations!B12</f>
        <v>31</v>
      </c>
      <c r="E37" cm="1">
        <f t="array" ref="E37">_xlfn._xlws.FILTER(C5:C34,(B5:B34=B37)*(A5:A34=C37),"no results")</f>
        <v>0.82</v>
      </c>
      <c r="F37" cm="1">
        <f t="array" ref="F37">_xlfn._xlws.FILTER(G5:G34,(B5:B34=B37)*(A5:A34=C37),"no results")</f>
        <v>1.2177926645376811</v>
      </c>
      <c r="G37">
        <f>F37*D37/100</f>
        <v>0.3775157260066811</v>
      </c>
      <c r="H37">
        <f>E37+G37</f>
        <v>1.1975157260066811</v>
      </c>
      <c r="I37" cm="1">
        <f t="array" ref="I37">_xlfn._xlws.FILTER(N5:N34,(M5:M34=B37)*(L5:L34=C37),"no results")</f>
        <v>10</v>
      </c>
    </row>
    <row r="38" spans="1:15" x14ac:dyDescent="0.3">
      <c r="A38" t="s">
        <v>19</v>
      </c>
      <c r="B38" t="str">
        <f>Calculations!B17</f>
        <v>Rigid Metal Conduit (RMC)</v>
      </c>
      <c r="C38">
        <f>Calculations!B18</f>
        <v>0</v>
      </c>
      <c r="D38">
        <f>Calculations!B19</f>
        <v>80</v>
      </c>
      <c r="E38" t="str" cm="1">
        <f t="array" ref="E38">_xlfn._xlws.FILTER(C5:C34,(B5:B34=B38)*(A5:A34=C38),"no results")</f>
        <v>no results</v>
      </c>
      <c r="F38" t="str" cm="1">
        <f t="array" ref="F38">_xlfn._xlws.FILTER(G5:G34,(B5:B34=B38)*(A5:A34=C38),"no results")</f>
        <v>no results</v>
      </c>
      <c r="G38">
        <f>IF(E38="no results",0,F38*D38/100)</f>
        <v>0</v>
      </c>
      <c r="H38">
        <f>IF(E38="no results",0,E38+G38)</f>
        <v>0</v>
      </c>
      <c r="I38" t="str" cm="1">
        <f t="array" ref="I38">_xlfn._xlws.FILTER(N5:N34,(M5:M34=B38)*(L5:L34=C38),"no results")</f>
        <v>no results</v>
      </c>
    </row>
    <row r="39" spans="1:15" x14ac:dyDescent="0.3">
      <c r="I39">
        <f>MIN(I37,I38)</f>
        <v>10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7"/>
  <dimension ref="A1:AT55"/>
  <sheetViews>
    <sheetView topLeftCell="A13" zoomScale="83" zoomScaleNormal="83" workbookViewId="0">
      <selection activeCell="A41" sqref="A41"/>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764</v>
      </c>
      <c r="B1" t="s">
        <v>765</v>
      </c>
      <c r="C1" t="s">
        <v>766</v>
      </c>
      <c r="D1" t="s">
        <v>767</v>
      </c>
      <c r="E1" t="s">
        <v>768</v>
      </c>
      <c r="G1" t="s">
        <v>764</v>
      </c>
      <c r="H1" t="s">
        <v>769</v>
      </c>
      <c r="I1" t="s">
        <v>770</v>
      </c>
      <c r="J1" t="s">
        <v>771</v>
      </c>
    </row>
    <row r="2" spans="1:16" x14ac:dyDescent="0.3">
      <c r="A2" t="s">
        <v>164</v>
      </c>
      <c r="B2">
        <v>18</v>
      </c>
      <c r="C2">
        <v>1690</v>
      </c>
      <c r="D2">
        <f>Beam_loads[[#This Row],[Max Beam Load]]*0.85</f>
        <v>1436.5</v>
      </c>
      <c r="E2">
        <v>2256</v>
      </c>
      <c r="G2" t="s">
        <v>164</v>
      </c>
      <c r="H2">
        <v>18</v>
      </c>
      <c r="I2">
        <v>3550</v>
      </c>
      <c r="J2" s="55">
        <v>9481</v>
      </c>
      <c r="P2" t="s">
        <v>164</v>
      </c>
    </row>
    <row r="3" spans="1:16" x14ac:dyDescent="0.3">
      <c r="A3" t="s">
        <v>169</v>
      </c>
      <c r="B3">
        <v>18</v>
      </c>
      <c r="C3">
        <v>3500</v>
      </c>
      <c r="D3">
        <f>Beam_loads[[#This Row],[Max Beam Load]]*0.85</f>
        <v>2975</v>
      </c>
      <c r="E3">
        <v>6289</v>
      </c>
      <c r="G3" t="s">
        <v>164</v>
      </c>
      <c r="H3">
        <v>24</v>
      </c>
      <c r="I3">
        <v>3550</v>
      </c>
      <c r="J3" s="54">
        <v>8582</v>
      </c>
      <c r="L3" t="s">
        <v>91</v>
      </c>
    </row>
    <row r="4" spans="1:16" x14ac:dyDescent="0.3">
      <c r="A4" t="s">
        <v>772</v>
      </c>
      <c r="B4">
        <v>18</v>
      </c>
      <c r="C4">
        <v>3500</v>
      </c>
      <c r="D4">
        <f>Beam_loads[[#This Row],[Max Beam Load]]*0.85</f>
        <v>2975</v>
      </c>
      <c r="E4">
        <v>7111</v>
      </c>
      <c r="G4" t="s">
        <v>164</v>
      </c>
      <c r="H4">
        <v>30</v>
      </c>
      <c r="I4">
        <v>3190</v>
      </c>
      <c r="J4" s="55">
        <v>7601</v>
      </c>
    </row>
    <row r="5" spans="1:16" x14ac:dyDescent="0.3">
      <c r="A5" t="s">
        <v>164</v>
      </c>
      <c r="B5">
        <v>24</v>
      </c>
      <c r="C5">
        <v>1690</v>
      </c>
      <c r="D5">
        <f>Beam_loads[[#This Row],[Max Beam Load]]*0.85</f>
        <v>1436.5</v>
      </c>
      <c r="E5">
        <v>1692</v>
      </c>
      <c r="G5" t="s">
        <v>164</v>
      </c>
      <c r="H5">
        <v>36</v>
      </c>
      <c r="I5">
        <v>3190</v>
      </c>
      <c r="J5" s="54">
        <v>6595</v>
      </c>
    </row>
    <row r="6" spans="1:16" x14ac:dyDescent="0.3">
      <c r="A6" t="s">
        <v>169</v>
      </c>
      <c r="B6">
        <v>24</v>
      </c>
      <c r="C6">
        <v>3500</v>
      </c>
      <c r="D6">
        <f>Beam_loads[[#This Row],[Max Beam Load]]*0.85</f>
        <v>2975</v>
      </c>
      <c r="E6">
        <v>4717</v>
      </c>
      <c r="G6" t="s">
        <v>164</v>
      </c>
      <c r="H6">
        <v>42</v>
      </c>
      <c r="I6">
        <v>2770</v>
      </c>
      <c r="J6" s="55">
        <v>5595</v>
      </c>
    </row>
    <row r="7" spans="1:16" x14ac:dyDescent="0.3">
      <c r="A7" t="s">
        <v>772</v>
      </c>
      <c r="B7">
        <v>24</v>
      </c>
      <c r="C7">
        <v>3500</v>
      </c>
      <c r="D7">
        <f>Beam_loads[[#This Row],[Max Beam Load]]*0.85</f>
        <v>2975</v>
      </c>
      <c r="E7">
        <v>5333</v>
      </c>
      <c r="G7" t="s">
        <v>164</v>
      </c>
      <c r="H7">
        <v>48</v>
      </c>
      <c r="I7">
        <v>2770</v>
      </c>
      <c r="J7" s="54">
        <v>4718</v>
      </c>
    </row>
    <row r="8" spans="1:16" x14ac:dyDescent="0.3">
      <c r="A8" t="s">
        <v>164</v>
      </c>
      <c r="B8">
        <v>30</v>
      </c>
      <c r="C8">
        <v>1130</v>
      </c>
      <c r="D8">
        <f>Beam_loads[[#This Row],[Max Beam Load]]*0.85</f>
        <v>960.5</v>
      </c>
      <c r="E8">
        <v>1353</v>
      </c>
      <c r="G8" t="s">
        <v>164</v>
      </c>
      <c r="H8">
        <v>54</v>
      </c>
      <c r="I8">
        <v>2380</v>
      </c>
      <c r="J8" s="55">
        <v>4090</v>
      </c>
    </row>
    <row r="9" spans="1:16" x14ac:dyDescent="0.3">
      <c r="A9" t="s">
        <v>169</v>
      </c>
      <c r="B9">
        <v>30</v>
      </c>
      <c r="C9">
        <v>3190</v>
      </c>
      <c r="D9">
        <f>Beam_loads[[#This Row],[Max Beam Load]]*0.85</f>
        <v>2711.5</v>
      </c>
      <c r="E9">
        <v>3773</v>
      </c>
      <c r="G9" t="s">
        <v>164</v>
      </c>
      <c r="H9">
        <v>60</v>
      </c>
      <c r="I9">
        <v>2380</v>
      </c>
      <c r="J9" s="54">
        <v>3616</v>
      </c>
    </row>
    <row r="10" spans="1:16" x14ac:dyDescent="0.3">
      <c r="A10" t="s">
        <v>772</v>
      </c>
      <c r="B10">
        <v>30</v>
      </c>
      <c r="C10">
        <v>3190</v>
      </c>
      <c r="D10">
        <f>Beam_loads[[#This Row],[Max Beam Load]]*0.85</f>
        <v>2711.5</v>
      </c>
      <c r="E10">
        <v>4267</v>
      </c>
      <c r="G10" t="s">
        <v>164</v>
      </c>
      <c r="H10">
        <v>72</v>
      </c>
      <c r="I10">
        <v>2080</v>
      </c>
      <c r="J10" s="55">
        <v>2936</v>
      </c>
    </row>
    <row r="11" spans="1:16" x14ac:dyDescent="0.3">
      <c r="A11" t="s">
        <v>164</v>
      </c>
      <c r="B11">
        <v>36</v>
      </c>
      <c r="C11">
        <v>1130</v>
      </c>
      <c r="D11">
        <f>Beam_loads[[#This Row],[Max Beam Load]]*0.85</f>
        <v>960.5</v>
      </c>
      <c r="E11">
        <v>1128</v>
      </c>
      <c r="G11" t="s">
        <v>164</v>
      </c>
      <c r="H11">
        <v>84</v>
      </c>
      <c r="I11">
        <v>1860</v>
      </c>
      <c r="J11" s="54">
        <v>2461</v>
      </c>
      <c r="L11" cm="1">
        <f t="array" ref="L11">INDEX(Column_load[Column Height (inches)],L14)</f>
        <v>18</v>
      </c>
    </row>
    <row r="12" spans="1:16" x14ac:dyDescent="0.3">
      <c r="A12" t="s">
        <v>169</v>
      </c>
      <c r="B12">
        <v>36</v>
      </c>
      <c r="C12">
        <v>3190</v>
      </c>
      <c r="D12">
        <f>Beam_loads[[#This Row],[Max Beam Load]]*0.85</f>
        <v>2711.5</v>
      </c>
      <c r="E12">
        <v>3144</v>
      </c>
      <c r="G12" t="s">
        <v>164</v>
      </c>
      <c r="H12">
        <v>96</v>
      </c>
      <c r="I12">
        <v>1670</v>
      </c>
      <c r="J12" s="55">
        <v>2101</v>
      </c>
    </row>
    <row r="13" spans="1:16" x14ac:dyDescent="0.3">
      <c r="A13" t="s">
        <v>772</v>
      </c>
      <c r="B13">
        <v>36</v>
      </c>
      <c r="C13">
        <v>3190</v>
      </c>
      <c r="D13">
        <f>Beam_loads[[#This Row],[Max Beam Load]]*0.85</f>
        <v>2711.5</v>
      </c>
      <c r="E13">
        <v>3556</v>
      </c>
      <c r="G13" t="s">
        <v>164</v>
      </c>
      <c r="H13">
        <v>108</v>
      </c>
      <c r="I13">
        <v>1510</v>
      </c>
      <c r="J13" s="54">
        <v>1816</v>
      </c>
    </row>
    <row r="14" spans="1:16" x14ac:dyDescent="0.3">
      <c r="A14" t="s">
        <v>164</v>
      </c>
      <c r="B14">
        <v>42</v>
      </c>
      <c r="C14">
        <v>850</v>
      </c>
      <c r="D14">
        <f>Beam_loads[[#This Row],[Max Beam Load]]*0.85</f>
        <v>722.5</v>
      </c>
      <c r="E14">
        <v>967</v>
      </c>
      <c r="G14" t="s">
        <v>164</v>
      </c>
      <c r="H14">
        <v>120</v>
      </c>
      <c r="I14">
        <v>1380</v>
      </c>
      <c r="J14" s="55">
        <v>1583</v>
      </c>
      <c r="L14">
        <f>MATCH(H29,Column_load[Column Height (inches)],1)</f>
        <v>1</v>
      </c>
    </row>
    <row r="15" spans="1:16" x14ac:dyDescent="0.3">
      <c r="A15" t="s">
        <v>169</v>
      </c>
      <c r="B15">
        <v>42</v>
      </c>
      <c r="C15">
        <v>2390</v>
      </c>
      <c r="D15">
        <f>Beam_loads[[#This Row],[Max Beam Load]]*0.85</f>
        <v>2031.5</v>
      </c>
      <c r="E15">
        <v>2695</v>
      </c>
      <c r="G15" t="s">
        <v>169</v>
      </c>
      <c r="H15">
        <v>18</v>
      </c>
      <c r="I15">
        <v>6430</v>
      </c>
    </row>
    <row r="16" spans="1:16" x14ac:dyDescent="0.3">
      <c r="A16" t="s">
        <v>772</v>
      </c>
      <c r="B16">
        <v>42</v>
      </c>
      <c r="C16">
        <v>2390</v>
      </c>
      <c r="D16">
        <f>Beam_loads[[#This Row],[Max Beam Load]]*0.85</f>
        <v>2031.5</v>
      </c>
      <c r="E16">
        <v>3048</v>
      </c>
      <c r="G16" t="s">
        <v>169</v>
      </c>
      <c r="H16">
        <v>24</v>
      </c>
      <c r="I16">
        <v>6430</v>
      </c>
    </row>
    <row r="17" spans="1:16" x14ac:dyDescent="0.3">
      <c r="A17" t="s">
        <v>164</v>
      </c>
      <c r="B17">
        <v>48</v>
      </c>
      <c r="C17">
        <v>850</v>
      </c>
      <c r="D17">
        <f>Beam_loads[[#This Row],[Max Beam Load]]*0.85</f>
        <v>722.5</v>
      </c>
      <c r="E17">
        <v>757</v>
      </c>
      <c r="G17" t="s">
        <v>169</v>
      </c>
      <c r="H17">
        <v>30</v>
      </c>
      <c r="I17">
        <v>6290</v>
      </c>
    </row>
    <row r="18" spans="1:16" x14ac:dyDescent="0.3">
      <c r="A18" t="s">
        <v>169</v>
      </c>
      <c r="B18">
        <v>48</v>
      </c>
      <c r="C18">
        <v>2390</v>
      </c>
      <c r="D18">
        <f>Beam_loads[[#This Row],[Max Beam Load]]*0.85</f>
        <v>2031.5</v>
      </c>
      <c r="E18">
        <v>2358</v>
      </c>
      <c r="G18" t="s">
        <v>169</v>
      </c>
      <c r="H18">
        <v>36</v>
      </c>
      <c r="I18">
        <v>6290</v>
      </c>
    </row>
    <row r="19" spans="1:16" x14ac:dyDescent="0.3">
      <c r="A19" t="s">
        <v>772</v>
      </c>
      <c r="B19">
        <v>48</v>
      </c>
      <c r="C19">
        <v>2390</v>
      </c>
      <c r="D19">
        <f>Beam_loads[[#This Row],[Max Beam Load]]*0.85</f>
        <v>2031.5</v>
      </c>
      <c r="E19">
        <v>2667</v>
      </c>
      <c r="G19" t="s">
        <v>169</v>
      </c>
      <c r="H19">
        <v>42</v>
      </c>
      <c r="I19">
        <v>6160</v>
      </c>
    </row>
    <row r="20" spans="1:16" x14ac:dyDescent="0.3">
      <c r="A20" t="s">
        <v>164</v>
      </c>
      <c r="B20">
        <v>54</v>
      </c>
      <c r="C20">
        <v>680</v>
      </c>
      <c r="D20">
        <f>Beam_loads[[#This Row],[Max Beam Load]]*0.85</f>
        <v>578</v>
      </c>
      <c r="E20">
        <v>598</v>
      </c>
      <c r="G20" t="s">
        <v>169</v>
      </c>
      <c r="H20">
        <v>48</v>
      </c>
      <c r="I20">
        <v>6160</v>
      </c>
    </row>
    <row r="21" spans="1:16" x14ac:dyDescent="0.3">
      <c r="A21" t="s">
        <v>169</v>
      </c>
      <c r="B21">
        <v>54</v>
      </c>
      <c r="C21">
        <v>1910</v>
      </c>
      <c r="D21">
        <f>Beam_loads[[#This Row],[Max Beam Load]]*0.85</f>
        <v>1623.5</v>
      </c>
      <c r="E21">
        <v>2096</v>
      </c>
      <c r="G21" t="s">
        <v>169</v>
      </c>
      <c r="H21">
        <v>54</v>
      </c>
      <c r="I21">
        <v>6000</v>
      </c>
      <c r="P21" t="s">
        <v>169</v>
      </c>
    </row>
    <row r="22" spans="1:16" x14ac:dyDescent="0.3">
      <c r="A22" t="s">
        <v>772</v>
      </c>
      <c r="B22">
        <v>54</v>
      </c>
      <c r="C22">
        <v>1910</v>
      </c>
      <c r="D22">
        <f>Beam_loads[[#This Row],[Max Beam Load]]*0.85</f>
        <v>1623.5</v>
      </c>
      <c r="E22">
        <v>2370</v>
      </c>
      <c r="G22" t="s">
        <v>169</v>
      </c>
      <c r="H22">
        <v>60</v>
      </c>
      <c r="I22">
        <v>6000</v>
      </c>
    </row>
    <row r="23" spans="1:16" x14ac:dyDescent="0.3">
      <c r="A23" t="s">
        <v>164</v>
      </c>
      <c r="B23">
        <v>60</v>
      </c>
      <c r="C23">
        <v>680</v>
      </c>
      <c r="D23">
        <f>Beam_loads[[#This Row],[Max Beam Load]]*0.85</f>
        <v>578</v>
      </c>
      <c r="E23">
        <v>485</v>
      </c>
      <c r="G23" t="s">
        <v>169</v>
      </c>
      <c r="H23">
        <v>72</v>
      </c>
      <c r="I23">
        <v>5620</v>
      </c>
    </row>
    <row r="24" spans="1:16" x14ac:dyDescent="0.3">
      <c r="A24" t="s">
        <v>169</v>
      </c>
      <c r="B24">
        <v>60</v>
      </c>
      <c r="C24">
        <v>1910</v>
      </c>
      <c r="D24">
        <f>Beam_loads[[#This Row],[Max Beam Load]]*0.85</f>
        <v>1623.5</v>
      </c>
      <c r="E24">
        <v>1887</v>
      </c>
      <c r="G24" t="s">
        <v>169</v>
      </c>
      <c r="H24">
        <v>84</v>
      </c>
      <c r="I24">
        <v>5170</v>
      </c>
    </row>
    <row r="25" spans="1:16" x14ac:dyDescent="0.3">
      <c r="A25" t="s">
        <v>772</v>
      </c>
      <c r="B25">
        <v>60</v>
      </c>
      <c r="C25">
        <v>1910</v>
      </c>
      <c r="D25">
        <f>Beam_loads[[#This Row],[Max Beam Load]]*0.85</f>
        <v>1623.5</v>
      </c>
      <c r="E25">
        <v>2133</v>
      </c>
      <c r="G25" t="s">
        <v>169</v>
      </c>
      <c r="H25">
        <v>96</v>
      </c>
      <c r="I25">
        <v>4690</v>
      </c>
    </row>
    <row r="26" spans="1:16" x14ac:dyDescent="0.3">
      <c r="A26" t="s">
        <v>164</v>
      </c>
      <c r="B26">
        <v>72</v>
      </c>
      <c r="C26">
        <v>560</v>
      </c>
      <c r="D26">
        <f>Beam_loads[[#This Row],[Max Beam Load]]*0.85</f>
        <v>476</v>
      </c>
      <c r="E26">
        <v>337</v>
      </c>
      <c r="G26" t="s">
        <v>169</v>
      </c>
      <c r="H26">
        <v>108</v>
      </c>
      <c r="I26">
        <v>4170</v>
      </c>
    </row>
    <row r="27" spans="1:16" x14ac:dyDescent="0.3">
      <c r="A27" t="s">
        <v>169</v>
      </c>
      <c r="B27">
        <v>72</v>
      </c>
      <c r="C27">
        <v>1600</v>
      </c>
      <c r="D27">
        <f>Beam_loads[[#This Row],[Max Beam Load]]*0.85</f>
        <v>1360</v>
      </c>
      <c r="E27">
        <v>1572</v>
      </c>
      <c r="G27" t="s">
        <v>169</v>
      </c>
      <c r="H27">
        <v>120</v>
      </c>
      <c r="I27">
        <v>3690</v>
      </c>
    </row>
    <row r="28" spans="1:16" x14ac:dyDescent="0.3">
      <c r="A28" t="s">
        <v>772</v>
      </c>
      <c r="B28">
        <v>72</v>
      </c>
      <c r="C28">
        <v>1600</v>
      </c>
      <c r="D28">
        <f>Beam_loads[[#This Row],[Max Beam Load]]*0.85</f>
        <v>1360</v>
      </c>
      <c r="E28">
        <v>1778</v>
      </c>
    </row>
    <row r="29" spans="1:16" x14ac:dyDescent="0.3">
      <c r="A29" t="s">
        <v>164</v>
      </c>
      <c r="B29">
        <v>84</v>
      </c>
      <c r="C29">
        <v>480</v>
      </c>
      <c r="D29">
        <f>Beam_loads[[#This Row],[Max Beam Load]]*0.85</f>
        <v>408</v>
      </c>
      <c r="E29">
        <v>247</v>
      </c>
      <c r="G29">
        <f>Calculations!B26</f>
        <v>13</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3">
      <c r="A30" t="s">
        <v>169</v>
      </c>
      <c r="B30">
        <v>84</v>
      </c>
      <c r="C30">
        <v>1370</v>
      </c>
      <c r="D30">
        <f>Beam_loads[[#This Row],[Max Beam Load]]*0.85</f>
        <v>1164.5</v>
      </c>
      <c r="E30">
        <v>1210</v>
      </c>
    </row>
    <row r="31" spans="1:16" x14ac:dyDescent="0.3">
      <c r="A31" t="s">
        <v>772</v>
      </c>
      <c r="B31">
        <v>84</v>
      </c>
      <c r="C31">
        <v>1370</v>
      </c>
      <c r="D31">
        <f>Beam_loads[[#This Row],[Max Beam Load]]*0.85</f>
        <v>1164.5</v>
      </c>
      <c r="E31">
        <v>1461</v>
      </c>
    </row>
    <row r="32" spans="1:16" x14ac:dyDescent="0.3">
      <c r="A32" t="s">
        <v>164</v>
      </c>
      <c r="B32">
        <v>96</v>
      </c>
      <c r="C32">
        <v>420</v>
      </c>
      <c r="D32">
        <f>Beam_loads[[#This Row],[Max Beam Load]]*0.85</f>
        <v>357</v>
      </c>
      <c r="E32">
        <v>189</v>
      </c>
    </row>
    <row r="33" spans="1:46" x14ac:dyDescent="0.3">
      <c r="A33" t="s">
        <v>169</v>
      </c>
      <c r="B33">
        <v>96</v>
      </c>
      <c r="C33">
        <v>1200</v>
      </c>
      <c r="D33">
        <f>Beam_loads[[#This Row],[Max Beam Load]]*0.85</f>
        <v>1020</v>
      </c>
      <c r="E33">
        <v>926</v>
      </c>
    </row>
    <row r="34" spans="1:46" x14ac:dyDescent="0.3">
      <c r="A34" t="s">
        <v>772</v>
      </c>
      <c r="B34">
        <v>96</v>
      </c>
      <c r="C34">
        <v>1200</v>
      </c>
      <c r="D34">
        <f>Beam_loads[[#This Row],[Max Beam Load]]*0.85</f>
        <v>1020</v>
      </c>
      <c r="E34">
        <v>1119</v>
      </c>
    </row>
    <row r="35" spans="1:46" x14ac:dyDescent="0.3">
      <c r="A35" t="s">
        <v>164</v>
      </c>
      <c r="B35">
        <v>108</v>
      </c>
      <c r="C35">
        <v>380</v>
      </c>
      <c r="D35">
        <f>Beam_loads[[#This Row],[Max Beam Load]]*0.85</f>
        <v>323</v>
      </c>
      <c r="E35">
        <v>150</v>
      </c>
    </row>
    <row r="36" spans="1:46" x14ac:dyDescent="0.3">
      <c r="A36" t="s">
        <v>169</v>
      </c>
      <c r="B36">
        <v>108</v>
      </c>
      <c r="C36">
        <v>1060</v>
      </c>
      <c r="D36">
        <f>Beam_loads[[#This Row],[Max Beam Load]]*0.85</f>
        <v>901</v>
      </c>
      <c r="E36">
        <v>732</v>
      </c>
      <c r="AT36" t="s">
        <v>778</v>
      </c>
    </row>
    <row r="37" spans="1:46" x14ac:dyDescent="0.3">
      <c r="A37" t="s">
        <v>772</v>
      </c>
      <c r="B37">
        <v>108</v>
      </c>
      <c r="C37">
        <v>1060</v>
      </c>
      <c r="D37">
        <f>Beam_loads[[#This Row],[Max Beam Load]]*0.85</f>
        <v>901</v>
      </c>
      <c r="E37">
        <v>884</v>
      </c>
    </row>
    <row r="38" spans="1:46" x14ac:dyDescent="0.3">
      <c r="A38" t="s">
        <v>164</v>
      </c>
      <c r="B38">
        <v>120</v>
      </c>
      <c r="C38">
        <v>340</v>
      </c>
      <c r="D38">
        <f>Beam_loads[[#This Row],[Max Beam Load]]*0.85</f>
        <v>289</v>
      </c>
      <c r="E38">
        <v>121</v>
      </c>
    </row>
    <row r="39" spans="1:46" x14ac:dyDescent="0.3">
      <c r="A39" t="s">
        <v>169</v>
      </c>
      <c r="B39">
        <v>120</v>
      </c>
      <c r="C39">
        <v>960</v>
      </c>
      <c r="D39">
        <f>Beam_loads[[#This Row],[Max Beam Load]]*0.85</f>
        <v>816</v>
      </c>
      <c r="E39">
        <v>593</v>
      </c>
    </row>
    <row r="40" spans="1:46" x14ac:dyDescent="0.3">
      <c r="A40" t="s">
        <v>772</v>
      </c>
      <c r="B40">
        <v>120</v>
      </c>
      <c r="C40">
        <v>960</v>
      </c>
      <c r="D40">
        <f>Beam_loads[[#This Row],[Max Beam Load]]*0.85</f>
        <v>816</v>
      </c>
      <c r="E40">
        <v>716</v>
      </c>
    </row>
    <row r="41" spans="1:46" x14ac:dyDescent="0.3">
      <c r="A41">
        <f>Calculations!B25</f>
        <v>54.5</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60</v>
      </c>
      <c r="D41" s="52">
        <f>VLOOKUP(B41,B2:D27,3,FALSE)</f>
        <v>578</v>
      </c>
    </row>
    <row r="42" spans="1:46" x14ac:dyDescent="0.3">
      <c r="A42" s="53"/>
      <c r="B42" s="53"/>
      <c r="C42" s="53"/>
      <c r="D42" s="53"/>
      <c r="L42" s="53"/>
      <c r="M42" s="53"/>
      <c r="N42" s="53"/>
      <c r="O42" s="53"/>
      <c r="P42" s="53"/>
      <c r="Q42" s="53"/>
      <c r="R42" s="53"/>
      <c r="S42" s="53"/>
      <c r="T42" s="53"/>
      <c r="U42" s="53"/>
      <c r="V42" s="53"/>
      <c r="W42" s="53"/>
      <c r="X42" s="12"/>
      <c r="Y42" s="83"/>
      <c r="Z42" s="83"/>
      <c r="AA42" s="83"/>
      <c r="AB42" s="83"/>
      <c r="AC42" s="83"/>
      <c r="AD42" s="83"/>
      <c r="AE42" s="83"/>
      <c r="AF42" s="83"/>
      <c r="AG42" s="83"/>
      <c r="AH42" s="83"/>
      <c r="AI42" s="83"/>
      <c r="AJ42" s="83"/>
      <c r="AK42" s="83"/>
      <c r="AL42" s="83"/>
      <c r="AM42" s="83"/>
      <c r="AN42" s="83"/>
      <c r="AO42" s="83"/>
      <c r="AP42" s="83"/>
      <c r="AQ42" s="83"/>
    </row>
    <row r="55" spans="5:5" x14ac:dyDescent="0.3">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8"/>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119</v>
      </c>
      <c r="E2" t="str">
        <f>IF(Inputs!C16="strut clamp","Pipe_to_strut",Inputs!C4)</f>
        <v>Conduit</v>
      </c>
      <c r="F2" t="s">
        <v>119</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3"/>
    <row r="5" spans="1:7" ht="259.5" customHeight="1" x14ac:dyDescent="0.3">
      <c r="A5" t="s">
        <v>125</v>
      </c>
      <c r="F5" t="s">
        <v>125</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790</v>
      </c>
      <c r="F6" t="s">
        <v>790</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09375" defaultRowHeight="15.6" x14ac:dyDescent="0.35"/>
  <cols>
    <col min="1" max="1" width="5.6640625" style="27" customWidth="1"/>
    <col min="2" max="2" width="12.5546875" style="27" bestFit="1" customWidth="1"/>
    <col min="3" max="3" width="56.5546875" style="27" bestFit="1" customWidth="1"/>
    <col min="4" max="4" width="9.5546875" style="27" bestFit="1" customWidth="1"/>
    <col min="5" max="5" width="11" style="27" customWidth="1"/>
    <col min="6" max="6" width="14.44140625" style="27" bestFit="1" customWidth="1"/>
    <col min="7" max="16384" width="9.109375" style="27"/>
  </cols>
  <sheetData>
    <row r="1" spans="1:12" x14ac:dyDescent="0.35">
      <c r="B1" s="28" t="s">
        <v>94</v>
      </c>
      <c r="C1" s="27" t="str">
        <f>Inputs!B2&amp;" "&amp;Inputs!C2</f>
        <v xml:space="preserve"> </v>
      </c>
    </row>
    <row r="2" spans="1:12" x14ac:dyDescent="0.35">
      <c r="B2" s="28" t="s">
        <v>95</v>
      </c>
    </row>
    <row r="3" spans="1:12" x14ac:dyDescent="0.35">
      <c r="B3" s="28" t="s">
        <v>96</v>
      </c>
      <c r="C3" s="31"/>
    </row>
    <row r="6" spans="1:12" x14ac:dyDescent="0.35">
      <c r="A6" s="27" t="s">
        <v>97</v>
      </c>
      <c r="B6" s="27" t="s">
        <v>98</v>
      </c>
      <c r="C6" s="27" t="s">
        <v>99</v>
      </c>
      <c r="D6" s="27" t="s">
        <v>100</v>
      </c>
      <c r="E6" s="27" t="s">
        <v>101</v>
      </c>
      <c r="F6" s="27" t="s">
        <v>102</v>
      </c>
    </row>
    <row r="7" spans="1:12" x14ac:dyDescent="0.35">
      <c r="A7" s="27">
        <v>1</v>
      </c>
      <c r="B7" s="27" t="e">
        <f>'H-frame item list'!A245</f>
        <v>#REF!</v>
      </c>
      <c r="C7" s="27" t="e">
        <f>IF(B7="","",'H-frame item list'!B245)</f>
        <v>#REF!</v>
      </c>
      <c r="D7" s="29" t="e">
        <f>IF(B7="","",Calculations!#REF!)</f>
        <v>#REF!</v>
      </c>
      <c r="E7" s="30" t="e">
        <f>IF(B7="","",'H-frame item list'!V245)</f>
        <v>#REF!</v>
      </c>
      <c r="F7" s="30" t="e">
        <f>IF(OR(D7=0,D7=""),"",E7*D7)</f>
        <v>#REF!</v>
      </c>
    </row>
    <row r="8" spans="1:12" x14ac:dyDescent="0.35">
      <c r="A8" s="27">
        <v>2</v>
      </c>
      <c r="B8" s="27" t="str">
        <f>IF(Hanger_list!A44="","",Hanger_list!A44)</f>
        <v/>
      </c>
      <c r="C8" s="27" t="str">
        <f>IF(Hanger_list!A44="","",Hanger_list!B44)</f>
        <v/>
      </c>
      <c r="D8" s="32" t="e">
        <f>IF(Calculations!B13=0,"",Calculations!B13*D$7)</f>
        <v>#REF!</v>
      </c>
      <c r="E8" s="30" t="str">
        <f>IF(Hanger_list!I44="","",Hanger_list!I44)</f>
        <v/>
      </c>
      <c r="F8" s="30" t="e">
        <f t="shared" ref="F8:F16" si="0">IF(OR(D8=0,D8=""),"",E8*D8)</f>
        <v>#REF!</v>
      </c>
    </row>
    <row r="9" spans="1:12" x14ac:dyDescent="0.35">
      <c r="A9" s="27">
        <v>3</v>
      </c>
      <c r="B9" s="27" t="str">
        <f>IF(Hanger_list!$L44="","",Hanger_list!L44)</f>
        <v/>
      </c>
      <c r="C9" s="27" t="str">
        <f>IF(Hanger_list!$L44="","",Hanger_list!M44)</f>
        <v/>
      </c>
      <c r="D9" s="32" t="str">
        <f>IF(B9="","",Calculations!B20*D$7)</f>
        <v/>
      </c>
      <c r="E9" s="30" t="str">
        <f>IF(Hanger_list!T44="","",Hanger_list!T44)</f>
        <v/>
      </c>
      <c r="F9" s="30" t="str">
        <f t="shared" si="0"/>
        <v/>
      </c>
    </row>
    <row r="10" spans="1:12" x14ac:dyDescent="0.35">
      <c r="A10" s="27">
        <v>4</v>
      </c>
      <c r="B10" s="33"/>
      <c r="C10" s="33"/>
      <c r="D10" s="34"/>
      <c r="E10" s="35"/>
      <c r="F10" s="35"/>
    </row>
    <row r="11" spans="1:12" x14ac:dyDescent="0.35">
      <c r="A11" s="27">
        <v>5</v>
      </c>
      <c r="B11" s="33"/>
      <c r="C11" s="33"/>
      <c r="D11" s="34"/>
      <c r="E11" s="35"/>
      <c r="F11" s="35"/>
    </row>
    <row r="12" spans="1:12" x14ac:dyDescent="0.35">
      <c r="A12" s="27">
        <v>6</v>
      </c>
      <c r="B12" s="33"/>
      <c r="C12" s="33"/>
      <c r="D12" s="34"/>
      <c r="E12" s="35"/>
      <c r="F12" s="35"/>
    </row>
    <row r="13" spans="1:12" x14ac:dyDescent="0.35">
      <c r="A13" s="27">
        <v>7</v>
      </c>
      <c r="B13" s="33"/>
      <c r="C13" s="33"/>
      <c r="D13" s="34"/>
      <c r="E13" s="35"/>
      <c r="F13" s="35" t="str">
        <f t="shared" si="0"/>
        <v/>
      </c>
      <c r="L13" s="27" t="s">
        <v>91</v>
      </c>
    </row>
    <row r="14" spans="1:12" x14ac:dyDescent="0.35">
      <c r="A14" s="27">
        <v>8</v>
      </c>
      <c r="B14" s="33"/>
      <c r="C14" s="33"/>
      <c r="D14" s="34"/>
      <c r="E14" s="35"/>
      <c r="F14" s="35" t="str">
        <f t="shared" si="0"/>
        <v/>
      </c>
    </row>
    <row r="15" spans="1:12" x14ac:dyDescent="0.35">
      <c r="A15" s="27">
        <v>9</v>
      </c>
      <c r="B15" s="33"/>
      <c r="C15" s="33"/>
      <c r="D15" s="34"/>
      <c r="E15" s="35"/>
      <c r="F15" s="35" t="str">
        <f t="shared" si="0"/>
        <v/>
      </c>
    </row>
    <row r="16" spans="1:12" x14ac:dyDescent="0.35">
      <c r="A16" s="27">
        <v>10</v>
      </c>
      <c r="B16" s="33"/>
      <c r="C16" s="33"/>
      <c r="D16" s="34"/>
      <c r="E16" s="35"/>
      <c r="F16" s="35" t="str">
        <f t="shared" si="0"/>
        <v/>
      </c>
    </row>
    <row r="17" spans="2:6" x14ac:dyDescent="0.35">
      <c r="E17" s="28" t="s">
        <v>103</v>
      </c>
      <c r="F17" s="30" t="e">
        <f>SUM(F7:F11)</f>
        <v>#REF!</v>
      </c>
    </row>
    <row r="19" spans="2:6" x14ac:dyDescent="0.35">
      <c r="B19" s="27" t="s">
        <v>104</v>
      </c>
      <c r="C19" s="27" t="s">
        <v>105</v>
      </c>
      <c r="D19" s="27">
        <f>SUMIF(B7:B16,"H"&amp;"*",D7:D16)</f>
        <v>0</v>
      </c>
    </row>
    <row r="20" spans="2:6" x14ac:dyDescent="0.35">
      <c r="C20" s="27" t="s">
        <v>106</v>
      </c>
    </row>
    <row r="21" spans="2:6" x14ac:dyDescent="0.35">
      <c r="C21" s="27" t="s">
        <v>107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10"/>
  <dimension ref="A1:AP44"/>
  <sheetViews>
    <sheetView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764</v>
      </c>
      <c r="B1" t="s">
        <v>765</v>
      </c>
      <c r="C1" t="s">
        <v>791</v>
      </c>
      <c r="D1" t="s">
        <v>792</v>
      </c>
      <c r="F1" t="s">
        <v>764</v>
      </c>
      <c r="G1" t="s">
        <v>769</v>
      </c>
      <c r="H1" t="s">
        <v>770</v>
      </c>
    </row>
    <row r="2" spans="1:8" x14ac:dyDescent="0.3">
      <c r="A2" t="s">
        <v>164</v>
      </c>
      <c r="B2">
        <v>18</v>
      </c>
      <c r="C2">
        <v>2256</v>
      </c>
      <c r="D2">
        <v>0</v>
      </c>
      <c r="F2" t="s">
        <v>164</v>
      </c>
      <c r="G2">
        <v>18</v>
      </c>
      <c r="H2">
        <v>9481</v>
      </c>
    </row>
    <row r="3" spans="1:8" x14ac:dyDescent="0.3">
      <c r="A3" t="s">
        <v>169</v>
      </c>
      <c r="B3">
        <v>18</v>
      </c>
      <c r="C3">
        <v>6289</v>
      </c>
      <c r="D3">
        <v>0</v>
      </c>
      <c r="F3" t="s">
        <v>164</v>
      </c>
      <c r="G3">
        <v>24</v>
      </c>
      <c r="H3">
        <v>8582</v>
      </c>
    </row>
    <row r="4" spans="1:8" x14ac:dyDescent="0.3">
      <c r="A4" t="s">
        <v>772</v>
      </c>
      <c r="B4">
        <v>18</v>
      </c>
      <c r="C4">
        <v>7111</v>
      </c>
      <c r="D4">
        <v>0</v>
      </c>
      <c r="F4" t="s">
        <v>164</v>
      </c>
      <c r="G4">
        <v>30</v>
      </c>
      <c r="H4">
        <v>7601</v>
      </c>
    </row>
    <row r="5" spans="1:8" x14ac:dyDescent="0.3">
      <c r="A5" t="s">
        <v>164</v>
      </c>
      <c r="B5">
        <v>24</v>
      </c>
      <c r="C5">
        <v>1692</v>
      </c>
      <c r="D5">
        <v>0</v>
      </c>
      <c r="F5" t="s">
        <v>164</v>
      </c>
      <c r="G5">
        <v>36</v>
      </c>
      <c r="H5">
        <v>6595</v>
      </c>
    </row>
    <row r="6" spans="1:8" x14ac:dyDescent="0.3">
      <c r="A6" t="s">
        <v>169</v>
      </c>
      <c r="B6">
        <v>24</v>
      </c>
      <c r="C6">
        <v>4717</v>
      </c>
      <c r="D6">
        <v>0</v>
      </c>
      <c r="F6" t="s">
        <v>164</v>
      </c>
      <c r="G6">
        <v>42</v>
      </c>
      <c r="H6">
        <v>5595</v>
      </c>
    </row>
    <row r="7" spans="1:8" x14ac:dyDescent="0.3">
      <c r="A7" t="s">
        <v>772</v>
      </c>
      <c r="B7">
        <v>24</v>
      </c>
      <c r="C7">
        <v>5333</v>
      </c>
      <c r="D7">
        <v>0</v>
      </c>
      <c r="F7" t="s">
        <v>164</v>
      </c>
      <c r="G7">
        <v>48</v>
      </c>
      <c r="H7">
        <v>4718</v>
      </c>
    </row>
    <row r="8" spans="1:8" x14ac:dyDescent="0.3">
      <c r="A8" t="s">
        <v>164</v>
      </c>
      <c r="B8">
        <v>30</v>
      </c>
      <c r="C8">
        <v>1353</v>
      </c>
      <c r="D8">
        <v>0</v>
      </c>
      <c r="F8" t="s">
        <v>164</v>
      </c>
      <c r="G8">
        <v>54</v>
      </c>
      <c r="H8">
        <v>4090</v>
      </c>
    </row>
    <row r="9" spans="1:8" x14ac:dyDescent="0.3">
      <c r="A9" t="s">
        <v>169</v>
      </c>
      <c r="B9">
        <v>30</v>
      </c>
      <c r="C9">
        <v>3773</v>
      </c>
      <c r="D9">
        <v>0</v>
      </c>
      <c r="F9" t="s">
        <v>164</v>
      </c>
      <c r="G9">
        <v>60</v>
      </c>
      <c r="H9">
        <v>3616</v>
      </c>
    </row>
    <row r="10" spans="1:8" x14ac:dyDescent="0.3">
      <c r="A10" t="s">
        <v>772</v>
      </c>
      <c r="B10">
        <v>30</v>
      </c>
      <c r="C10">
        <v>4267</v>
      </c>
      <c r="D10">
        <v>0</v>
      </c>
      <c r="F10" t="s">
        <v>164</v>
      </c>
      <c r="G10">
        <v>72</v>
      </c>
      <c r="H10">
        <v>2936</v>
      </c>
    </row>
    <row r="11" spans="1:8" x14ac:dyDescent="0.3">
      <c r="A11" t="s">
        <v>164</v>
      </c>
      <c r="B11">
        <v>36</v>
      </c>
      <c r="C11">
        <v>1128</v>
      </c>
      <c r="D11">
        <v>0</v>
      </c>
      <c r="F11" t="s">
        <v>164</v>
      </c>
      <c r="G11">
        <v>84</v>
      </c>
      <c r="H11">
        <v>2461</v>
      </c>
    </row>
    <row r="12" spans="1:8" x14ac:dyDescent="0.3">
      <c r="A12" t="s">
        <v>169</v>
      </c>
      <c r="B12">
        <v>36</v>
      </c>
      <c r="C12">
        <v>3144</v>
      </c>
      <c r="D12">
        <v>0</v>
      </c>
      <c r="F12" t="s">
        <v>164</v>
      </c>
      <c r="G12">
        <v>96</v>
      </c>
      <c r="H12">
        <v>2101</v>
      </c>
    </row>
    <row r="13" spans="1:8" x14ac:dyDescent="0.3">
      <c r="A13" t="s">
        <v>772</v>
      </c>
      <c r="B13">
        <v>36</v>
      </c>
      <c r="C13">
        <v>3556</v>
      </c>
      <c r="D13">
        <v>0</v>
      </c>
      <c r="F13" t="s">
        <v>164</v>
      </c>
      <c r="G13">
        <v>108</v>
      </c>
      <c r="H13">
        <v>1816</v>
      </c>
    </row>
    <row r="14" spans="1:8" x14ac:dyDescent="0.3">
      <c r="A14" t="s">
        <v>164</v>
      </c>
      <c r="B14">
        <v>42</v>
      </c>
      <c r="C14">
        <v>967</v>
      </c>
      <c r="D14">
        <v>0</v>
      </c>
      <c r="F14" t="s">
        <v>164</v>
      </c>
      <c r="G14">
        <v>120</v>
      </c>
      <c r="H14">
        <v>1583</v>
      </c>
    </row>
    <row r="15" spans="1:8" x14ac:dyDescent="0.3">
      <c r="A15" t="s">
        <v>169</v>
      </c>
      <c r="B15">
        <v>42</v>
      </c>
      <c r="C15">
        <v>2695</v>
      </c>
      <c r="D15">
        <v>0</v>
      </c>
    </row>
    <row r="16" spans="1:8" x14ac:dyDescent="0.3">
      <c r="A16" t="s">
        <v>772</v>
      </c>
      <c r="B16">
        <v>42</v>
      </c>
      <c r="C16">
        <v>3048</v>
      </c>
      <c r="D16">
        <v>0</v>
      </c>
    </row>
    <row r="17" spans="1:10" x14ac:dyDescent="0.3">
      <c r="A17" t="s">
        <v>164</v>
      </c>
      <c r="B17">
        <v>48</v>
      </c>
      <c r="C17">
        <v>757</v>
      </c>
      <c r="D17">
        <v>0</v>
      </c>
    </row>
    <row r="18" spans="1:10" x14ac:dyDescent="0.3">
      <c r="A18" t="s">
        <v>169</v>
      </c>
      <c r="B18">
        <v>48</v>
      </c>
      <c r="C18">
        <v>2358</v>
      </c>
      <c r="D18">
        <v>0</v>
      </c>
    </row>
    <row r="19" spans="1:10" x14ac:dyDescent="0.3">
      <c r="A19" t="s">
        <v>772</v>
      </c>
      <c r="B19">
        <v>48</v>
      </c>
      <c r="C19">
        <v>2667</v>
      </c>
      <c r="D19">
        <v>0</v>
      </c>
    </row>
    <row r="20" spans="1:10" x14ac:dyDescent="0.3">
      <c r="A20" t="s">
        <v>164</v>
      </c>
      <c r="B20">
        <v>54</v>
      </c>
      <c r="C20">
        <v>598</v>
      </c>
      <c r="D20">
        <v>0</v>
      </c>
    </row>
    <row r="21" spans="1:10" x14ac:dyDescent="0.3">
      <c r="A21" t="s">
        <v>169</v>
      </c>
      <c r="B21">
        <v>54</v>
      </c>
      <c r="C21">
        <v>2096</v>
      </c>
      <c r="D21">
        <v>0</v>
      </c>
    </row>
    <row r="22" spans="1:10" x14ac:dyDescent="0.3">
      <c r="A22" t="s">
        <v>772</v>
      </c>
      <c r="B22">
        <v>54</v>
      </c>
      <c r="C22">
        <v>2370</v>
      </c>
      <c r="D22">
        <v>0</v>
      </c>
    </row>
    <row r="23" spans="1:10" x14ac:dyDescent="0.3">
      <c r="A23" t="s">
        <v>164</v>
      </c>
      <c r="B23">
        <v>60</v>
      </c>
      <c r="C23">
        <v>485</v>
      </c>
      <c r="D23">
        <v>0</v>
      </c>
    </row>
    <row r="24" spans="1:10" x14ac:dyDescent="0.3">
      <c r="A24" t="s">
        <v>169</v>
      </c>
      <c r="B24">
        <v>60</v>
      </c>
      <c r="C24">
        <v>1887</v>
      </c>
      <c r="D24">
        <v>0</v>
      </c>
    </row>
    <row r="25" spans="1:10" x14ac:dyDescent="0.3">
      <c r="A25" t="s">
        <v>772</v>
      </c>
      <c r="B25">
        <v>60</v>
      </c>
      <c r="C25">
        <v>2133</v>
      </c>
      <c r="D25">
        <v>0</v>
      </c>
    </row>
    <row r="26" spans="1:10" x14ac:dyDescent="0.3">
      <c r="A26" t="s">
        <v>164</v>
      </c>
      <c r="B26">
        <v>72</v>
      </c>
      <c r="C26">
        <v>337</v>
      </c>
      <c r="D26">
        <v>0</v>
      </c>
    </row>
    <row r="27" spans="1:10" x14ac:dyDescent="0.3">
      <c r="A27" t="s">
        <v>169</v>
      </c>
      <c r="B27">
        <v>72</v>
      </c>
      <c r="C27">
        <v>1572</v>
      </c>
      <c r="D27">
        <v>0</v>
      </c>
      <c r="F27" t="s">
        <v>773</v>
      </c>
    </row>
    <row r="28" spans="1:10" x14ac:dyDescent="0.3">
      <c r="A28" t="s">
        <v>772</v>
      </c>
      <c r="B28">
        <v>72</v>
      </c>
      <c r="C28">
        <v>1778</v>
      </c>
      <c r="D28">
        <v>0</v>
      </c>
      <c r="F28" t="s">
        <v>774</v>
      </c>
      <c r="G28" t="s">
        <v>765</v>
      </c>
      <c r="H28" t="s">
        <v>775</v>
      </c>
      <c r="J28" t="s">
        <v>776</v>
      </c>
    </row>
    <row r="29" spans="1:10" x14ac:dyDescent="0.3">
      <c r="A29" t="s">
        <v>164</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ROUNDDOWN(Calculations!B$25/'Strut loadsAltered'!G29,0)</f>
        <v>#REF!</v>
      </c>
    </row>
    <row r="30" spans="1:10" x14ac:dyDescent="0.3">
      <c r="A30" t="s">
        <v>169</v>
      </c>
      <c r="B30">
        <v>84</v>
      </c>
      <c r="C30">
        <v>1210</v>
      </c>
      <c r="D30">
        <v>0</v>
      </c>
    </row>
    <row r="31" spans="1:10" x14ac:dyDescent="0.3">
      <c r="A31" t="s">
        <v>772</v>
      </c>
      <c r="B31">
        <v>84</v>
      </c>
      <c r="C31">
        <v>1461</v>
      </c>
      <c r="D31">
        <v>0</v>
      </c>
      <c r="F31" t="s">
        <v>777</v>
      </c>
      <c r="J31" t="s">
        <v>776</v>
      </c>
    </row>
    <row r="32" spans="1:10" x14ac:dyDescent="0.3">
      <c r="A32" t="s">
        <v>164</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ROUNDDOWN(Calculations!B$25/'Strut loadsAltered'!G32,0)</f>
        <v>#REF!</v>
      </c>
    </row>
    <row r="33" spans="1:42" x14ac:dyDescent="0.3">
      <c r="A33" t="s">
        <v>169</v>
      </c>
      <c r="B33">
        <v>96</v>
      </c>
      <c r="C33">
        <v>926</v>
      </c>
      <c r="D33">
        <v>0</v>
      </c>
    </row>
    <row r="34" spans="1:42" x14ac:dyDescent="0.3">
      <c r="A34" t="s">
        <v>772</v>
      </c>
      <c r="B34">
        <v>96</v>
      </c>
      <c r="C34">
        <v>1119</v>
      </c>
      <c r="D34">
        <v>0</v>
      </c>
    </row>
    <row r="35" spans="1:42" x14ac:dyDescent="0.3">
      <c r="A35" t="s">
        <v>164</v>
      </c>
      <c r="B35">
        <v>108</v>
      </c>
      <c r="C35">
        <v>150</v>
      </c>
      <c r="D35">
        <v>0</v>
      </c>
    </row>
    <row r="36" spans="1:42" x14ac:dyDescent="0.3">
      <c r="A36" t="s">
        <v>169</v>
      </c>
      <c r="B36">
        <v>108</v>
      </c>
      <c r="C36">
        <v>732</v>
      </c>
      <c r="D36">
        <v>0</v>
      </c>
    </row>
    <row r="37" spans="1:42" x14ac:dyDescent="0.3">
      <c r="A37" t="s">
        <v>772</v>
      </c>
      <c r="B37">
        <v>108</v>
      </c>
      <c r="C37">
        <v>884</v>
      </c>
      <c r="D37">
        <v>0</v>
      </c>
    </row>
    <row r="38" spans="1:42" x14ac:dyDescent="0.3">
      <c r="A38" t="s">
        <v>164</v>
      </c>
      <c r="B38">
        <v>120</v>
      </c>
      <c r="C38">
        <v>121</v>
      </c>
      <c r="D38">
        <v>0</v>
      </c>
    </row>
    <row r="39" spans="1:42" x14ac:dyDescent="0.3">
      <c r="A39" t="s">
        <v>169</v>
      </c>
      <c r="B39">
        <v>120</v>
      </c>
      <c r="C39">
        <v>593</v>
      </c>
      <c r="D39">
        <v>0</v>
      </c>
    </row>
    <row r="40" spans="1:42" x14ac:dyDescent="0.3">
      <c r="A40" t="s">
        <v>772</v>
      </c>
      <c r="B40">
        <v>120</v>
      </c>
      <c r="C40">
        <v>716</v>
      </c>
      <c r="D40">
        <v>0</v>
      </c>
    </row>
    <row r="42" spans="1:42" x14ac:dyDescent="0.3">
      <c r="A42" s="83" t="s">
        <v>779</v>
      </c>
      <c r="B42" s="83"/>
      <c r="C42" s="83"/>
      <c r="D42" s="83"/>
      <c r="E42" s="83"/>
      <c r="F42" s="83"/>
      <c r="G42" s="83"/>
      <c r="H42" s="83"/>
      <c r="I42" s="83"/>
      <c r="J42" s="83"/>
      <c r="K42" s="83"/>
      <c r="L42" s="83"/>
      <c r="M42" s="83"/>
      <c r="N42" s="83"/>
      <c r="O42" s="83"/>
      <c r="P42" s="83"/>
      <c r="Q42" s="83"/>
      <c r="R42" s="83"/>
      <c r="S42" s="83"/>
      <c r="T42" s="83"/>
      <c r="U42" s="12"/>
      <c r="V42" s="83" t="s">
        <v>79</v>
      </c>
      <c r="W42" s="83"/>
      <c r="X42" s="83"/>
      <c r="Y42" s="83"/>
      <c r="Z42" s="83"/>
      <c r="AA42" s="83"/>
      <c r="AB42" s="83"/>
      <c r="AC42" s="83"/>
      <c r="AD42" s="83"/>
      <c r="AE42" s="83"/>
      <c r="AF42" s="83"/>
      <c r="AG42" s="83"/>
      <c r="AH42" s="83"/>
      <c r="AI42" s="83"/>
      <c r="AJ42" s="83"/>
      <c r="AK42" s="83"/>
      <c r="AL42" s="83"/>
      <c r="AM42" s="83"/>
      <c r="AN42" s="83"/>
    </row>
    <row r="43" spans="1:42" x14ac:dyDescent="0.3">
      <c r="E43" t="s">
        <v>780</v>
      </c>
      <c r="J43" t="s">
        <v>784</v>
      </c>
      <c r="N43" t="s">
        <v>781</v>
      </c>
      <c r="R43" t="s">
        <v>782</v>
      </c>
      <c r="V43" t="s">
        <v>783</v>
      </c>
      <c r="Z43" t="s">
        <v>780</v>
      </c>
      <c r="AD43" t="s">
        <v>784</v>
      </c>
      <c r="AH43" t="s">
        <v>781</v>
      </c>
      <c r="AL43" t="s">
        <v>782</v>
      </c>
      <c r="AP43" t="s">
        <v>783</v>
      </c>
    </row>
    <row r="44" spans="1:42" x14ac:dyDescent="0.3">
      <c r="E44" t="e" cm="1">
        <f t="array" ref="E44">_xlfn._xlws.FILTER(Beam_loads10[],(Beam_loads10[Beam span]&gt;Calculations!B25)*(Beam_loads10[Max beam load]&gt;Calculations!#REF!),"no results")</f>
        <v>#REF!</v>
      </c>
      <c r="J44" t="e" cm="1">
        <f t="array" ref="J44">_xlfn._xlws.FILTER(Beam_loads10[],(Beam_loads10[Beam span]&gt;(Calculations!B25/2))*(Beam_loads10[Max beam load]&gt;Calculations!#REF!),"no results")</f>
        <v>#REF!</v>
      </c>
      <c r="N44" t="e" cm="1">
        <f t="array" ref="N44">_xlfn._xlws.FILTER(Beam_loads10[],(Beam_loads10[Beam span]&gt;(Calculations!B25/3))*(Beam_loads10[Max beam load]&gt;Calculations!#REF!),"no results")</f>
        <v>#REF!</v>
      </c>
      <c r="R44" t="e" cm="1">
        <f t="array" ref="R44">_xlfn._xlws.FILTER(Beam_loads10[],(Beam_loads10[Beam span]&gt;(Calculations!B25/4))*(Beam_loads10[Max beam load]&gt;Calculations!#REF!),"no results")</f>
        <v>#REF!</v>
      </c>
      <c r="V44" t="e" cm="1">
        <f t="array" ref="V44">_xlfn._xlws.FILTER(Beam_loads10[],(Beam_loads10[Beam span]&gt;(Calculations!B25/5))*(Beam_loads10[Max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11"/>
  <dimension ref="A1:S256"/>
  <sheetViews>
    <sheetView topLeftCell="G26" zoomScale="142" zoomScaleNormal="142" workbookViewId="0">
      <selection activeCell="B11" sqref="B11"/>
    </sheetView>
  </sheetViews>
  <sheetFormatPr defaultRowHeight="14.4" x14ac:dyDescent="0.3"/>
  <cols>
    <col min="1" max="1" width="11" customWidth="1"/>
    <col min="2" max="2" width="15" customWidth="1"/>
    <col min="3" max="4" width="16.109375" customWidth="1"/>
    <col min="5" max="5" width="10.33203125" customWidth="1"/>
    <col min="6" max="6" width="21.109375" customWidth="1"/>
    <col min="7" max="7" width="26.33203125" customWidth="1"/>
    <col min="9" max="9" width="15" customWidth="1"/>
    <col min="10" max="10" width="11" customWidth="1"/>
    <col min="11" max="11" width="10.33203125" customWidth="1"/>
    <col min="12" max="12" width="20.6640625" customWidth="1"/>
    <col min="13" max="14" width="21.44140625" customWidth="1"/>
    <col min="16" max="16" width="11" customWidth="1"/>
    <col min="17" max="17" width="22.109375" customWidth="1"/>
    <col min="18" max="18" width="12.88671875" customWidth="1"/>
    <col min="19" max="19" width="14.88671875" customWidth="1"/>
  </cols>
  <sheetData>
    <row r="1" spans="1:19" x14ac:dyDescent="0.3">
      <c r="A1" t="s">
        <v>738</v>
      </c>
      <c r="B1" t="s">
        <v>109</v>
      </c>
      <c r="C1" t="s">
        <v>739</v>
      </c>
      <c r="D1" t="s">
        <v>740</v>
      </c>
      <c r="E1" t="s">
        <v>741</v>
      </c>
      <c r="F1" t="s">
        <v>742</v>
      </c>
      <c r="G1" t="s">
        <v>743</v>
      </c>
      <c r="I1" t="s">
        <v>109</v>
      </c>
      <c r="J1" t="s">
        <v>738</v>
      </c>
      <c r="K1" t="s">
        <v>741</v>
      </c>
      <c r="L1" t="s">
        <v>744</v>
      </c>
      <c r="M1" t="s">
        <v>745</v>
      </c>
      <c r="N1" t="s">
        <v>746</v>
      </c>
      <c r="P1" t="s">
        <v>738</v>
      </c>
      <c r="Q1" t="s">
        <v>747</v>
      </c>
      <c r="R1" t="s">
        <v>748</v>
      </c>
      <c r="S1" t="s">
        <v>749</v>
      </c>
    </row>
    <row r="2" spans="1:19" x14ac:dyDescent="0.3">
      <c r="A2">
        <v>0.5</v>
      </c>
      <c r="B2" t="s">
        <v>750</v>
      </c>
      <c r="C2">
        <v>40</v>
      </c>
      <c r="D2" t="s">
        <v>120</v>
      </c>
      <c r="E2">
        <v>0.84</v>
      </c>
      <c r="F2">
        <v>0.85</v>
      </c>
      <c r="G2">
        <v>0.98</v>
      </c>
      <c r="I2" t="s">
        <v>751</v>
      </c>
      <c r="J2">
        <v>0.5</v>
      </c>
      <c r="K2">
        <v>0.625</v>
      </c>
      <c r="L2">
        <v>0.5</v>
      </c>
      <c r="M2">
        <v>1.5</v>
      </c>
      <c r="N2">
        <v>5</v>
      </c>
      <c r="P2">
        <v>0.25</v>
      </c>
      <c r="Q2" t="s">
        <v>126</v>
      </c>
      <c r="R2" t="s">
        <v>22</v>
      </c>
      <c r="S2">
        <v>5</v>
      </c>
    </row>
    <row r="3" spans="1:19" x14ac:dyDescent="0.3">
      <c r="A3">
        <v>0.75</v>
      </c>
      <c r="B3" t="s">
        <v>750</v>
      </c>
      <c r="C3">
        <v>40</v>
      </c>
      <c r="D3" t="s">
        <v>120</v>
      </c>
      <c r="E3">
        <v>1.05</v>
      </c>
      <c r="F3">
        <v>1.1299999999999999</v>
      </c>
      <c r="G3">
        <v>1.36</v>
      </c>
      <c r="I3" t="s">
        <v>751</v>
      </c>
      <c r="J3">
        <v>0.5</v>
      </c>
      <c r="K3">
        <v>0.625</v>
      </c>
      <c r="L3">
        <v>0.75</v>
      </c>
      <c r="M3">
        <v>1.5</v>
      </c>
      <c r="N3">
        <v>5</v>
      </c>
      <c r="P3">
        <v>0.25</v>
      </c>
      <c r="Q3" t="s">
        <v>126</v>
      </c>
      <c r="R3" t="s">
        <v>23</v>
      </c>
      <c r="S3">
        <v>5</v>
      </c>
    </row>
    <row r="4" spans="1:19" x14ac:dyDescent="0.3">
      <c r="A4">
        <v>1</v>
      </c>
      <c r="B4" t="s">
        <v>750</v>
      </c>
      <c r="C4">
        <v>40</v>
      </c>
      <c r="D4" t="s">
        <v>120</v>
      </c>
      <c r="E4">
        <v>1.3149999999999999</v>
      </c>
      <c r="F4">
        <v>1.68</v>
      </c>
      <c r="G4">
        <v>1.99</v>
      </c>
      <c r="I4" t="s">
        <v>751</v>
      </c>
      <c r="J4">
        <v>0.5</v>
      </c>
      <c r="K4">
        <v>0.625</v>
      </c>
      <c r="L4">
        <v>1</v>
      </c>
      <c r="M4">
        <v>2.5</v>
      </c>
      <c r="N4">
        <f>6.1875</f>
        <v>6.1875</v>
      </c>
      <c r="P4">
        <v>0.25</v>
      </c>
      <c r="Q4" t="s">
        <v>127</v>
      </c>
      <c r="R4" t="s">
        <v>22</v>
      </c>
      <c r="S4">
        <v>5</v>
      </c>
    </row>
    <row r="5" spans="1:19" x14ac:dyDescent="0.3">
      <c r="A5">
        <v>1.25</v>
      </c>
      <c r="B5" t="s">
        <v>750</v>
      </c>
      <c r="C5">
        <v>40</v>
      </c>
      <c r="D5" t="s">
        <v>120</v>
      </c>
      <c r="E5">
        <v>1.66</v>
      </c>
      <c r="F5">
        <v>2.27</v>
      </c>
      <c r="G5">
        <v>2.92</v>
      </c>
      <c r="I5" t="s">
        <v>751</v>
      </c>
      <c r="J5">
        <v>0.5</v>
      </c>
      <c r="K5">
        <v>0.625</v>
      </c>
      <c r="L5">
        <v>1.5</v>
      </c>
      <c r="M5">
        <v>3.5</v>
      </c>
      <c r="N5">
        <v>7.25</v>
      </c>
      <c r="P5">
        <v>0.25</v>
      </c>
      <c r="Q5" t="s">
        <v>127</v>
      </c>
      <c r="R5" t="s">
        <v>23</v>
      </c>
      <c r="S5">
        <v>5</v>
      </c>
    </row>
    <row r="6" spans="1:19" x14ac:dyDescent="0.3">
      <c r="A6">
        <v>1.5</v>
      </c>
      <c r="B6" t="s">
        <v>750</v>
      </c>
      <c r="C6">
        <v>40</v>
      </c>
      <c r="D6" t="s">
        <v>120</v>
      </c>
      <c r="E6">
        <v>1.9</v>
      </c>
      <c r="F6">
        <v>2.72</v>
      </c>
      <c r="G6">
        <v>3.6</v>
      </c>
      <c r="I6" t="s">
        <v>753</v>
      </c>
      <c r="J6">
        <v>0.5</v>
      </c>
      <c r="K6">
        <v>0.84</v>
      </c>
      <c r="L6">
        <v>0.5</v>
      </c>
      <c r="M6">
        <v>2</v>
      </c>
      <c r="N6">
        <f>5.3125</f>
        <v>5.3125</v>
      </c>
      <c r="P6">
        <v>0.25</v>
      </c>
      <c r="Q6" t="s">
        <v>128</v>
      </c>
      <c r="R6" t="s">
        <v>22</v>
      </c>
      <c r="S6">
        <v>3</v>
      </c>
    </row>
    <row r="7" spans="1:19" x14ac:dyDescent="0.3">
      <c r="A7">
        <v>2</v>
      </c>
      <c r="B7" t="s">
        <v>750</v>
      </c>
      <c r="C7">
        <v>40</v>
      </c>
      <c r="D7" t="s">
        <v>120</v>
      </c>
      <c r="E7">
        <v>2.375</v>
      </c>
      <c r="F7">
        <v>3.65</v>
      </c>
      <c r="G7">
        <v>5.0999999999999996</v>
      </c>
      <c r="I7" t="s">
        <v>753</v>
      </c>
      <c r="J7">
        <v>0.5</v>
      </c>
      <c r="K7">
        <v>0.84</v>
      </c>
      <c r="L7">
        <v>0.75</v>
      </c>
      <c r="M7">
        <v>2</v>
      </c>
      <c r="N7">
        <v>5.3125</v>
      </c>
      <c r="P7">
        <v>0.25</v>
      </c>
      <c r="Q7" t="s">
        <v>128</v>
      </c>
      <c r="R7" t="s">
        <v>23</v>
      </c>
      <c r="S7">
        <v>3</v>
      </c>
    </row>
    <row r="8" spans="1:19" x14ac:dyDescent="0.3">
      <c r="A8">
        <v>2.5</v>
      </c>
      <c r="B8" t="s">
        <v>750</v>
      </c>
      <c r="C8">
        <v>40</v>
      </c>
      <c r="D8" t="s">
        <v>120</v>
      </c>
      <c r="E8">
        <v>2.875</v>
      </c>
      <c r="F8">
        <v>5.79</v>
      </c>
      <c r="G8">
        <v>7.86</v>
      </c>
      <c r="I8" t="s">
        <v>753</v>
      </c>
      <c r="J8">
        <v>0.5</v>
      </c>
      <c r="K8">
        <v>0.84</v>
      </c>
      <c r="L8">
        <v>1</v>
      </c>
      <c r="M8">
        <v>2.5</v>
      </c>
      <c r="N8">
        <f>6.1875</f>
        <v>6.1875</v>
      </c>
      <c r="P8">
        <v>0.25</v>
      </c>
      <c r="Q8" t="s">
        <v>129</v>
      </c>
      <c r="R8" t="s">
        <v>22</v>
      </c>
      <c r="S8">
        <v>3</v>
      </c>
    </row>
    <row r="9" spans="1:19" x14ac:dyDescent="0.3">
      <c r="A9">
        <v>3</v>
      </c>
      <c r="B9" t="s">
        <v>750</v>
      </c>
      <c r="C9">
        <v>40</v>
      </c>
      <c r="D9" t="s">
        <v>120</v>
      </c>
      <c r="E9">
        <v>3.5</v>
      </c>
      <c r="F9">
        <v>7.58</v>
      </c>
      <c r="G9">
        <v>10.78</v>
      </c>
      <c r="I9" t="s">
        <v>753</v>
      </c>
      <c r="J9">
        <v>0.5</v>
      </c>
      <c r="K9">
        <v>0.84</v>
      </c>
      <c r="L9">
        <v>1.5</v>
      </c>
      <c r="M9">
        <v>3.5</v>
      </c>
      <c r="N9">
        <v>7.25</v>
      </c>
      <c r="P9">
        <v>0.25</v>
      </c>
      <c r="Q9" t="s">
        <v>129</v>
      </c>
      <c r="R9" t="s">
        <v>23</v>
      </c>
      <c r="S9">
        <v>3</v>
      </c>
    </row>
    <row r="10" spans="1:19" x14ac:dyDescent="0.3">
      <c r="A10">
        <v>3.5</v>
      </c>
      <c r="B10" t="s">
        <v>750</v>
      </c>
      <c r="C10">
        <v>40</v>
      </c>
      <c r="D10" t="s">
        <v>120</v>
      </c>
      <c r="E10">
        <v>4</v>
      </c>
      <c r="F10">
        <v>9.11</v>
      </c>
      <c r="G10">
        <v>13.39</v>
      </c>
      <c r="I10" t="s">
        <v>753</v>
      </c>
      <c r="J10">
        <v>0.5</v>
      </c>
      <c r="K10">
        <v>0.84</v>
      </c>
      <c r="L10">
        <v>2</v>
      </c>
      <c r="M10">
        <v>5</v>
      </c>
      <c r="N10">
        <v>10</v>
      </c>
      <c r="P10">
        <v>0.375</v>
      </c>
      <c r="Q10" t="s">
        <v>120</v>
      </c>
      <c r="R10" t="s">
        <v>22</v>
      </c>
      <c r="S10">
        <v>7</v>
      </c>
    </row>
    <row r="11" spans="1:19" x14ac:dyDescent="0.3">
      <c r="A11">
        <v>4</v>
      </c>
      <c r="B11" t="s">
        <v>750</v>
      </c>
      <c r="C11">
        <v>40</v>
      </c>
      <c r="D11" t="s">
        <v>120</v>
      </c>
      <c r="E11">
        <v>4.5</v>
      </c>
      <c r="F11">
        <v>10.79</v>
      </c>
      <c r="G11">
        <v>16.3</v>
      </c>
      <c r="I11" t="s">
        <v>753</v>
      </c>
      <c r="J11">
        <v>0.5</v>
      </c>
      <c r="K11">
        <v>0.84</v>
      </c>
      <c r="L11">
        <v>2.5</v>
      </c>
      <c r="M11">
        <v>6</v>
      </c>
      <c r="N11">
        <v>11.0625</v>
      </c>
      <c r="P11">
        <v>0.375</v>
      </c>
      <c r="Q11" t="s">
        <v>120</v>
      </c>
      <c r="R11" t="s">
        <v>23</v>
      </c>
      <c r="S11">
        <v>8</v>
      </c>
    </row>
    <row r="12" spans="1:19" x14ac:dyDescent="0.3">
      <c r="A12">
        <v>5</v>
      </c>
      <c r="B12" t="s">
        <v>750</v>
      </c>
      <c r="C12">
        <v>40</v>
      </c>
      <c r="D12" t="s">
        <v>120</v>
      </c>
      <c r="E12">
        <v>5.5629999999999997</v>
      </c>
      <c r="F12">
        <v>14.62</v>
      </c>
      <c r="G12">
        <v>23.28</v>
      </c>
      <c r="I12" t="s">
        <v>753</v>
      </c>
      <c r="J12">
        <v>0.5</v>
      </c>
      <c r="K12">
        <v>0.84</v>
      </c>
      <c r="L12">
        <v>3</v>
      </c>
      <c r="M12">
        <v>8</v>
      </c>
      <c r="N12">
        <f>13.8125</f>
        <v>13.8125</v>
      </c>
      <c r="P12">
        <v>0.375</v>
      </c>
      <c r="Q12" t="s">
        <v>20</v>
      </c>
      <c r="R12" t="s">
        <v>22</v>
      </c>
      <c r="S12">
        <v>7</v>
      </c>
    </row>
    <row r="13" spans="1:19" x14ac:dyDescent="0.3">
      <c r="A13">
        <v>6</v>
      </c>
      <c r="B13" t="s">
        <v>750</v>
      </c>
      <c r="C13">
        <v>40</v>
      </c>
      <c r="D13" t="s">
        <v>120</v>
      </c>
      <c r="E13">
        <v>6.625</v>
      </c>
      <c r="F13">
        <v>18.98</v>
      </c>
      <c r="G13">
        <v>31.49</v>
      </c>
      <c r="I13" t="s">
        <v>750</v>
      </c>
      <c r="J13">
        <v>0.5</v>
      </c>
      <c r="K13">
        <v>0.84</v>
      </c>
      <c r="L13">
        <v>0.5</v>
      </c>
      <c r="M13">
        <v>2</v>
      </c>
      <c r="N13">
        <f>5.3125</f>
        <v>5.3125</v>
      </c>
      <c r="P13">
        <v>0.375</v>
      </c>
      <c r="Q13" t="s">
        <v>20</v>
      </c>
      <c r="R13" t="s">
        <v>23</v>
      </c>
      <c r="S13">
        <v>8</v>
      </c>
    </row>
    <row r="14" spans="1:19" x14ac:dyDescent="0.3">
      <c r="A14">
        <v>8</v>
      </c>
      <c r="B14" t="s">
        <v>750</v>
      </c>
      <c r="C14">
        <v>40</v>
      </c>
      <c r="D14" t="s">
        <v>120</v>
      </c>
      <c r="E14">
        <v>8.625</v>
      </c>
      <c r="F14">
        <v>25.55</v>
      </c>
      <c r="G14">
        <v>47.15</v>
      </c>
      <c r="I14" t="s">
        <v>750</v>
      </c>
      <c r="J14">
        <v>0.5</v>
      </c>
      <c r="K14">
        <v>0.84</v>
      </c>
      <c r="L14">
        <v>0.75</v>
      </c>
      <c r="M14">
        <v>2</v>
      </c>
      <c r="N14">
        <v>5.3125</v>
      </c>
      <c r="P14">
        <v>0.375</v>
      </c>
      <c r="Q14" t="s">
        <v>126</v>
      </c>
      <c r="R14" t="s">
        <v>22</v>
      </c>
      <c r="S14">
        <v>5</v>
      </c>
    </row>
    <row r="15" spans="1:19" x14ac:dyDescent="0.3">
      <c r="A15">
        <v>10</v>
      </c>
      <c r="B15" t="s">
        <v>750</v>
      </c>
      <c r="C15">
        <v>40</v>
      </c>
      <c r="D15" t="s">
        <v>120</v>
      </c>
      <c r="E15">
        <v>10.75</v>
      </c>
      <c r="F15">
        <v>40.5</v>
      </c>
      <c r="G15">
        <v>74.599999999999994</v>
      </c>
      <c r="I15" t="s">
        <v>750</v>
      </c>
      <c r="J15">
        <v>0.5</v>
      </c>
      <c r="K15">
        <v>0.84</v>
      </c>
      <c r="L15">
        <v>1</v>
      </c>
      <c r="M15">
        <v>2.5</v>
      </c>
      <c r="N15">
        <f>6.1875</f>
        <v>6.1875</v>
      </c>
      <c r="P15">
        <v>0.375</v>
      </c>
      <c r="Q15" t="s">
        <v>126</v>
      </c>
      <c r="R15" t="s">
        <v>23</v>
      </c>
      <c r="S15">
        <v>6</v>
      </c>
    </row>
    <row r="16" spans="1:19" x14ac:dyDescent="0.3">
      <c r="A16">
        <v>12</v>
      </c>
      <c r="B16" t="s">
        <v>750</v>
      </c>
      <c r="C16">
        <v>40</v>
      </c>
      <c r="D16" t="s">
        <v>120</v>
      </c>
      <c r="E16">
        <v>12.75</v>
      </c>
      <c r="F16">
        <v>53.6</v>
      </c>
      <c r="G16">
        <v>102.1</v>
      </c>
      <c r="I16" t="s">
        <v>750</v>
      </c>
      <c r="J16">
        <v>0.5</v>
      </c>
      <c r="K16">
        <v>0.84</v>
      </c>
      <c r="L16">
        <v>1.5</v>
      </c>
      <c r="M16">
        <v>3.5</v>
      </c>
      <c r="N16">
        <v>7.25</v>
      </c>
      <c r="P16">
        <v>0.375</v>
      </c>
      <c r="Q16" t="s">
        <v>127</v>
      </c>
      <c r="R16" t="s">
        <v>22</v>
      </c>
      <c r="S16">
        <v>5</v>
      </c>
    </row>
    <row r="17" spans="1:19" x14ac:dyDescent="0.3">
      <c r="A17">
        <v>14</v>
      </c>
      <c r="B17" t="s">
        <v>750</v>
      </c>
      <c r="C17">
        <v>40</v>
      </c>
      <c r="D17" t="s">
        <v>120</v>
      </c>
      <c r="E17">
        <v>14</v>
      </c>
      <c r="F17">
        <v>63.37</v>
      </c>
      <c r="G17">
        <v>121.87</v>
      </c>
      <c r="I17" t="s">
        <v>750</v>
      </c>
      <c r="J17">
        <v>0.5</v>
      </c>
      <c r="K17">
        <v>0.84</v>
      </c>
      <c r="L17">
        <v>2</v>
      </c>
      <c r="M17">
        <v>5</v>
      </c>
      <c r="N17">
        <v>10</v>
      </c>
      <c r="P17">
        <v>0.375</v>
      </c>
      <c r="Q17" t="s">
        <v>127</v>
      </c>
      <c r="R17" t="s">
        <v>23</v>
      </c>
      <c r="S17">
        <v>6</v>
      </c>
    </row>
    <row r="18" spans="1:19" x14ac:dyDescent="0.3">
      <c r="A18">
        <v>16</v>
      </c>
      <c r="B18" t="s">
        <v>750</v>
      </c>
      <c r="C18">
        <v>40</v>
      </c>
      <c r="D18" t="s">
        <v>120</v>
      </c>
      <c r="E18">
        <v>16</v>
      </c>
      <c r="F18">
        <v>83</v>
      </c>
      <c r="G18">
        <v>159.5</v>
      </c>
      <c r="I18" t="s">
        <v>750</v>
      </c>
      <c r="J18">
        <v>0.5</v>
      </c>
      <c r="K18">
        <v>0.84</v>
      </c>
      <c r="L18">
        <v>2.5</v>
      </c>
      <c r="M18">
        <v>6</v>
      </c>
      <c r="N18">
        <v>11.0625</v>
      </c>
      <c r="P18">
        <v>0.375</v>
      </c>
      <c r="Q18" t="s">
        <v>128</v>
      </c>
      <c r="R18" t="s">
        <v>22</v>
      </c>
      <c r="S18">
        <v>3</v>
      </c>
    </row>
    <row r="19" spans="1:19" x14ac:dyDescent="0.3">
      <c r="A19">
        <v>18</v>
      </c>
      <c r="B19" t="s">
        <v>750</v>
      </c>
      <c r="C19">
        <v>40</v>
      </c>
      <c r="D19" t="s">
        <v>120</v>
      </c>
      <c r="E19">
        <v>18</v>
      </c>
      <c r="F19">
        <v>105</v>
      </c>
      <c r="G19">
        <v>202.2</v>
      </c>
      <c r="I19" t="s">
        <v>750</v>
      </c>
      <c r="J19">
        <v>0.5</v>
      </c>
      <c r="K19">
        <v>0.84</v>
      </c>
      <c r="L19">
        <v>3</v>
      </c>
      <c r="M19">
        <v>8</v>
      </c>
      <c r="N19">
        <f>13.8125</f>
        <v>13.8125</v>
      </c>
      <c r="P19">
        <v>0.375</v>
      </c>
      <c r="Q19" t="s">
        <v>128</v>
      </c>
      <c r="R19" t="s">
        <v>23</v>
      </c>
      <c r="S19">
        <v>3</v>
      </c>
    </row>
    <row r="20" spans="1:19" x14ac:dyDescent="0.3">
      <c r="A20">
        <v>20</v>
      </c>
      <c r="B20" t="s">
        <v>750</v>
      </c>
      <c r="C20">
        <v>40</v>
      </c>
      <c r="D20" t="s">
        <v>120</v>
      </c>
      <c r="E20">
        <v>20</v>
      </c>
      <c r="F20">
        <v>123</v>
      </c>
      <c r="G20">
        <v>243.4</v>
      </c>
      <c r="I20" t="s">
        <v>751</v>
      </c>
      <c r="J20">
        <v>0.75</v>
      </c>
      <c r="K20">
        <v>0.875</v>
      </c>
      <c r="L20">
        <v>0.5</v>
      </c>
      <c r="M20">
        <v>2</v>
      </c>
      <c r="N20">
        <v>5.3125</v>
      </c>
      <c r="P20">
        <v>0.375</v>
      </c>
      <c r="Q20" t="s">
        <v>129</v>
      </c>
      <c r="R20" t="s">
        <v>22</v>
      </c>
      <c r="S20">
        <v>3</v>
      </c>
    </row>
    <row r="21" spans="1:19" x14ac:dyDescent="0.3">
      <c r="A21">
        <v>24</v>
      </c>
      <c r="B21" t="s">
        <v>750</v>
      </c>
      <c r="C21">
        <v>40</v>
      </c>
      <c r="D21" t="s">
        <v>120</v>
      </c>
      <c r="E21">
        <v>24</v>
      </c>
      <c r="F21">
        <v>171</v>
      </c>
      <c r="G21">
        <v>345.2</v>
      </c>
      <c r="I21" t="s">
        <v>751</v>
      </c>
      <c r="J21">
        <v>0.75</v>
      </c>
      <c r="K21">
        <v>0.875</v>
      </c>
      <c r="L21">
        <v>0.75</v>
      </c>
      <c r="M21">
        <v>2</v>
      </c>
      <c r="N21">
        <v>5.3125</v>
      </c>
      <c r="P21">
        <v>0.375</v>
      </c>
      <c r="Q21" t="s">
        <v>129</v>
      </c>
      <c r="R21" t="s">
        <v>23</v>
      </c>
      <c r="S21">
        <v>3</v>
      </c>
    </row>
    <row r="22" spans="1:19" x14ac:dyDescent="0.3">
      <c r="A22">
        <v>0.375</v>
      </c>
      <c r="B22" t="s">
        <v>750</v>
      </c>
      <c r="C22">
        <v>80</v>
      </c>
      <c r="D22" t="s">
        <v>20</v>
      </c>
      <c r="E22">
        <v>0.67500000000000004</v>
      </c>
      <c r="F22">
        <v>0.73799999999999999</v>
      </c>
      <c r="G22">
        <v>0.79800000000000004</v>
      </c>
      <c r="I22" t="s">
        <v>751</v>
      </c>
      <c r="J22">
        <v>0.75</v>
      </c>
      <c r="K22">
        <v>0.875</v>
      </c>
      <c r="L22">
        <v>1</v>
      </c>
      <c r="M22">
        <v>2.5</v>
      </c>
      <c r="N22">
        <f>6.1875</f>
        <v>6.1875</v>
      </c>
      <c r="P22">
        <v>0.5</v>
      </c>
      <c r="Q22" t="s">
        <v>120</v>
      </c>
      <c r="R22" t="s">
        <v>22</v>
      </c>
      <c r="S22">
        <v>7</v>
      </c>
    </row>
    <row r="23" spans="1:19" x14ac:dyDescent="0.3">
      <c r="A23">
        <v>0.5</v>
      </c>
      <c r="B23" t="s">
        <v>750</v>
      </c>
      <c r="C23">
        <v>80</v>
      </c>
      <c r="D23" t="s">
        <v>20</v>
      </c>
      <c r="E23">
        <v>0.84</v>
      </c>
      <c r="F23">
        <v>1.0900000000000001</v>
      </c>
      <c r="G23">
        <v>1.19</v>
      </c>
      <c r="I23" t="s">
        <v>751</v>
      </c>
      <c r="J23">
        <v>0.75</v>
      </c>
      <c r="K23">
        <v>0.875</v>
      </c>
      <c r="L23">
        <v>1.5</v>
      </c>
      <c r="M23">
        <v>3.5</v>
      </c>
      <c r="N23">
        <v>7.25</v>
      </c>
      <c r="P23">
        <v>0.5</v>
      </c>
      <c r="Q23" t="s">
        <v>120</v>
      </c>
      <c r="R23" t="s">
        <v>23</v>
      </c>
      <c r="S23">
        <v>8</v>
      </c>
    </row>
    <row r="24" spans="1:19" x14ac:dyDescent="0.3">
      <c r="A24">
        <v>0.75</v>
      </c>
      <c r="B24" t="s">
        <v>750</v>
      </c>
      <c r="C24">
        <v>80</v>
      </c>
      <c r="D24" t="s">
        <v>20</v>
      </c>
      <c r="E24">
        <v>1.05</v>
      </c>
      <c r="F24">
        <v>1.47</v>
      </c>
      <c r="G24">
        <v>1.66</v>
      </c>
      <c r="I24" t="s">
        <v>753</v>
      </c>
      <c r="J24">
        <v>0.75</v>
      </c>
      <c r="K24">
        <v>1.05</v>
      </c>
      <c r="L24">
        <v>0.5</v>
      </c>
      <c r="M24">
        <v>2</v>
      </c>
      <c r="N24">
        <v>5.3125</v>
      </c>
      <c r="P24">
        <v>0.5</v>
      </c>
      <c r="Q24" t="s">
        <v>20</v>
      </c>
      <c r="R24" t="s">
        <v>22</v>
      </c>
      <c r="S24">
        <v>7</v>
      </c>
    </row>
    <row r="25" spans="1:19" x14ac:dyDescent="0.3">
      <c r="A25">
        <v>1</v>
      </c>
      <c r="B25" t="s">
        <v>750</v>
      </c>
      <c r="C25">
        <v>80</v>
      </c>
      <c r="D25" t="s">
        <v>20</v>
      </c>
      <c r="E25">
        <v>1.3149999999999999</v>
      </c>
      <c r="F25">
        <v>2.17</v>
      </c>
      <c r="G25">
        <v>2.54</v>
      </c>
      <c r="I25" t="s">
        <v>753</v>
      </c>
      <c r="J25">
        <v>0.75</v>
      </c>
      <c r="K25">
        <v>1.05</v>
      </c>
      <c r="L25">
        <v>0.75</v>
      </c>
      <c r="M25">
        <v>2.5</v>
      </c>
      <c r="N25">
        <f>6.1875</f>
        <v>6.1875</v>
      </c>
      <c r="P25">
        <v>0.5</v>
      </c>
      <c r="Q25" t="s">
        <v>20</v>
      </c>
      <c r="R25" t="s">
        <v>23</v>
      </c>
      <c r="S25">
        <v>8</v>
      </c>
    </row>
    <row r="26" spans="1:19" x14ac:dyDescent="0.3">
      <c r="A26">
        <v>1.25</v>
      </c>
      <c r="B26" t="s">
        <v>750</v>
      </c>
      <c r="C26">
        <v>80</v>
      </c>
      <c r="D26" t="s">
        <v>20</v>
      </c>
      <c r="E26">
        <v>1.66</v>
      </c>
      <c r="F26">
        <v>3</v>
      </c>
      <c r="G26">
        <v>3.56</v>
      </c>
      <c r="I26" t="s">
        <v>753</v>
      </c>
      <c r="J26">
        <v>0.75</v>
      </c>
      <c r="K26">
        <v>1.05</v>
      </c>
      <c r="L26">
        <v>1</v>
      </c>
      <c r="M26">
        <v>2.5</v>
      </c>
      <c r="N26">
        <f>6.1875</f>
        <v>6.1875</v>
      </c>
      <c r="P26">
        <v>0.5</v>
      </c>
      <c r="Q26" t="s">
        <v>126</v>
      </c>
      <c r="R26" t="s">
        <v>22</v>
      </c>
      <c r="S26">
        <v>5</v>
      </c>
    </row>
    <row r="27" spans="1:19" x14ac:dyDescent="0.3">
      <c r="A27">
        <v>1.5</v>
      </c>
      <c r="B27" t="s">
        <v>750</v>
      </c>
      <c r="C27">
        <v>80</v>
      </c>
      <c r="D27" t="s">
        <v>20</v>
      </c>
      <c r="E27">
        <v>1.9</v>
      </c>
      <c r="F27">
        <v>3.63</v>
      </c>
      <c r="G27">
        <v>4.4000000000000004</v>
      </c>
      <c r="I27" t="s">
        <v>753</v>
      </c>
      <c r="J27">
        <v>0.75</v>
      </c>
      <c r="K27">
        <v>1.05</v>
      </c>
      <c r="L27">
        <v>1.5</v>
      </c>
      <c r="M27">
        <v>3.5</v>
      </c>
      <c r="N27">
        <v>7.25</v>
      </c>
      <c r="P27">
        <v>0.5</v>
      </c>
      <c r="Q27" t="s">
        <v>126</v>
      </c>
      <c r="R27" t="s">
        <v>23</v>
      </c>
      <c r="S27">
        <v>6</v>
      </c>
    </row>
    <row r="28" spans="1:19" x14ac:dyDescent="0.3">
      <c r="A28">
        <v>2</v>
      </c>
      <c r="B28" t="s">
        <v>750</v>
      </c>
      <c r="C28">
        <v>80</v>
      </c>
      <c r="D28" t="s">
        <v>20</v>
      </c>
      <c r="E28">
        <v>2.375</v>
      </c>
      <c r="F28">
        <v>5.0199999999999996</v>
      </c>
      <c r="G28">
        <v>6.3</v>
      </c>
      <c r="I28" t="s">
        <v>753</v>
      </c>
      <c r="J28">
        <v>0.75</v>
      </c>
      <c r="K28">
        <v>1.05</v>
      </c>
      <c r="L28">
        <v>2</v>
      </c>
      <c r="M28">
        <v>5</v>
      </c>
      <c r="N28">
        <v>10</v>
      </c>
      <c r="P28">
        <v>0.5</v>
      </c>
      <c r="Q28" t="s">
        <v>127</v>
      </c>
      <c r="R28" t="s">
        <v>22</v>
      </c>
      <c r="S28">
        <v>5</v>
      </c>
    </row>
    <row r="29" spans="1:19" x14ac:dyDescent="0.3">
      <c r="A29">
        <v>2.5</v>
      </c>
      <c r="B29" t="s">
        <v>750</v>
      </c>
      <c r="C29">
        <v>80</v>
      </c>
      <c r="D29" t="s">
        <v>20</v>
      </c>
      <c r="E29">
        <v>2.875</v>
      </c>
      <c r="F29">
        <v>7.66</v>
      </c>
      <c r="G29">
        <v>9.49</v>
      </c>
      <c r="I29" t="s">
        <v>753</v>
      </c>
      <c r="J29">
        <v>0.75</v>
      </c>
      <c r="K29">
        <v>1.05</v>
      </c>
      <c r="L29">
        <v>2.5</v>
      </c>
      <c r="M29">
        <v>6</v>
      </c>
      <c r="N29">
        <v>11.0625</v>
      </c>
      <c r="P29">
        <v>0.5</v>
      </c>
      <c r="Q29" t="s">
        <v>127</v>
      </c>
      <c r="R29" t="s">
        <v>23</v>
      </c>
      <c r="S29">
        <v>6</v>
      </c>
    </row>
    <row r="30" spans="1:19" x14ac:dyDescent="0.3">
      <c r="A30">
        <v>3</v>
      </c>
      <c r="B30" t="s">
        <v>750</v>
      </c>
      <c r="C30">
        <v>80</v>
      </c>
      <c r="D30" t="s">
        <v>20</v>
      </c>
      <c r="E30">
        <v>3.5</v>
      </c>
      <c r="F30">
        <v>10.25</v>
      </c>
      <c r="G30">
        <v>13.11</v>
      </c>
      <c r="I30" t="s">
        <v>753</v>
      </c>
      <c r="J30">
        <v>0.75</v>
      </c>
      <c r="K30">
        <v>1.05</v>
      </c>
      <c r="L30">
        <v>3</v>
      </c>
      <c r="M30">
        <v>8</v>
      </c>
      <c r="N30">
        <f>13.8125</f>
        <v>13.8125</v>
      </c>
      <c r="P30">
        <v>0.5</v>
      </c>
      <c r="Q30" t="s">
        <v>128</v>
      </c>
      <c r="R30" t="s">
        <v>22</v>
      </c>
      <c r="S30">
        <v>3</v>
      </c>
    </row>
    <row r="31" spans="1:19" x14ac:dyDescent="0.3">
      <c r="A31">
        <v>3.5</v>
      </c>
      <c r="B31" t="s">
        <v>750</v>
      </c>
      <c r="C31">
        <v>80</v>
      </c>
      <c r="D31" t="s">
        <v>20</v>
      </c>
      <c r="E31">
        <v>4</v>
      </c>
      <c r="F31">
        <v>12.51</v>
      </c>
      <c r="G31">
        <v>16.36</v>
      </c>
      <c r="I31" t="s">
        <v>750</v>
      </c>
      <c r="J31">
        <v>0.75</v>
      </c>
      <c r="K31">
        <v>1.05</v>
      </c>
      <c r="L31">
        <v>0.5</v>
      </c>
      <c r="M31">
        <v>2</v>
      </c>
      <c r="N31">
        <v>5.3125</v>
      </c>
      <c r="P31">
        <v>0.5</v>
      </c>
      <c r="Q31" t="s">
        <v>760</v>
      </c>
      <c r="R31" t="s">
        <v>23</v>
      </c>
      <c r="S31">
        <v>3</v>
      </c>
    </row>
    <row r="32" spans="1:19" x14ac:dyDescent="0.3">
      <c r="A32">
        <v>4</v>
      </c>
      <c r="B32" t="s">
        <v>750</v>
      </c>
      <c r="C32">
        <v>80</v>
      </c>
      <c r="D32" t="s">
        <v>20</v>
      </c>
      <c r="E32">
        <v>4.5</v>
      </c>
      <c r="F32">
        <v>14.98</v>
      </c>
      <c r="G32">
        <v>19.96</v>
      </c>
      <c r="I32" t="s">
        <v>750</v>
      </c>
      <c r="J32">
        <v>0.75</v>
      </c>
      <c r="K32">
        <v>1.05</v>
      </c>
      <c r="L32">
        <v>0.75</v>
      </c>
      <c r="M32">
        <v>2.5</v>
      </c>
      <c r="N32">
        <f>6.1875</f>
        <v>6.1875</v>
      </c>
      <c r="P32">
        <v>0.5</v>
      </c>
      <c r="Q32" t="s">
        <v>129</v>
      </c>
      <c r="R32" t="s">
        <v>22</v>
      </c>
      <c r="S32">
        <v>3</v>
      </c>
    </row>
    <row r="33" spans="1:19" x14ac:dyDescent="0.3">
      <c r="A33">
        <v>5</v>
      </c>
      <c r="B33" t="s">
        <v>750</v>
      </c>
      <c r="C33">
        <v>80</v>
      </c>
      <c r="D33" t="s">
        <v>20</v>
      </c>
      <c r="E33">
        <v>5.5629999999999997</v>
      </c>
      <c r="F33">
        <v>20.78</v>
      </c>
      <c r="G33">
        <v>28.65</v>
      </c>
      <c r="I33" t="s">
        <v>750</v>
      </c>
      <c r="J33">
        <v>0.75</v>
      </c>
      <c r="K33">
        <v>1.05</v>
      </c>
      <c r="L33">
        <v>1</v>
      </c>
      <c r="M33">
        <v>2.5</v>
      </c>
      <c r="N33">
        <f>6.1875</f>
        <v>6.1875</v>
      </c>
      <c r="P33">
        <v>0.5</v>
      </c>
      <c r="Q33" t="s">
        <v>129</v>
      </c>
      <c r="R33" t="s">
        <v>23</v>
      </c>
      <c r="S33">
        <v>3</v>
      </c>
    </row>
    <row r="34" spans="1:19" x14ac:dyDescent="0.3">
      <c r="A34">
        <v>6</v>
      </c>
      <c r="B34" t="s">
        <v>750</v>
      </c>
      <c r="C34">
        <v>80</v>
      </c>
      <c r="D34" t="s">
        <v>20</v>
      </c>
      <c r="E34">
        <v>6.625</v>
      </c>
      <c r="F34">
        <v>28.57</v>
      </c>
      <c r="G34">
        <v>39.86</v>
      </c>
      <c r="I34" t="s">
        <v>750</v>
      </c>
      <c r="J34">
        <v>0.75</v>
      </c>
      <c r="K34">
        <v>1.05</v>
      </c>
      <c r="L34">
        <v>1.5</v>
      </c>
      <c r="M34">
        <v>3.5</v>
      </c>
      <c r="N34">
        <v>7.25</v>
      </c>
      <c r="P34">
        <v>0.75</v>
      </c>
      <c r="Q34" t="s">
        <v>120</v>
      </c>
      <c r="R34" t="s">
        <v>22</v>
      </c>
      <c r="S34">
        <v>7</v>
      </c>
    </row>
    <row r="35" spans="1:19" x14ac:dyDescent="0.3">
      <c r="A35">
        <v>8</v>
      </c>
      <c r="B35" t="s">
        <v>750</v>
      </c>
      <c r="C35">
        <v>80</v>
      </c>
      <c r="D35" t="s">
        <v>20</v>
      </c>
      <c r="E35">
        <v>8.625</v>
      </c>
      <c r="F35">
        <v>43.4</v>
      </c>
      <c r="G35">
        <v>63.2</v>
      </c>
      <c r="I35" t="s">
        <v>750</v>
      </c>
      <c r="J35">
        <v>0.75</v>
      </c>
      <c r="K35">
        <v>1.05</v>
      </c>
      <c r="L35">
        <v>2</v>
      </c>
      <c r="M35">
        <v>5</v>
      </c>
      <c r="N35">
        <v>10</v>
      </c>
      <c r="P35">
        <v>0.75</v>
      </c>
      <c r="Q35" t="s">
        <v>120</v>
      </c>
      <c r="R35" t="s">
        <v>23</v>
      </c>
      <c r="S35">
        <v>9</v>
      </c>
    </row>
    <row r="36" spans="1:19" x14ac:dyDescent="0.3">
      <c r="A36">
        <v>10</v>
      </c>
      <c r="B36" t="s">
        <v>750</v>
      </c>
      <c r="C36">
        <v>80</v>
      </c>
      <c r="D36" t="s">
        <v>20</v>
      </c>
      <c r="E36">
        <v>10.75</v>
      </c>
      <c r="F36">
        <v>64.739999999999995</v>
      </c>
      <c r="G36">
        <v>95.84</v>
      </c>
      <c r="I36" t="s">
        <v>750</v>
      </c>
      <c r="J36">
        <v>0.75</v>
      </c>
      <c r="K36">
        <v>1.05</v>
      </c>
      <c r="L36">
        <v>2.5</v>
      </c>
      <c r="M36">
        <v>6</v>
      </c>
      <c r="N36">
        <v>11.0625</v>
      </c>
      <c r="P36">
        <v>0.75</v>
      </c>
      <c r="Q36" t="s">
        <v>20</v>
      </c>
      <c r="R36" t="s">
        <v>22</v>
      </c>
      <c r="S36">
        <v>7</v>
      </c>
    </row>
    <row r="37" spans="1:19" x14ac:dyDescent="0.3">
      <c r="A37">
        <v>12</v>
      </c>
      <c r="B37" t="s">
        <v>750</v>
      </c>
      <c r="C37">
        <v>80</v>
      </c>
      <c r="D37" t="s">
        <v>20</v>
      </c>
      <c r="E37">
        <v>12.75</v>
      </c>
      <c r="F37">
        <v>88.6</v>
      </c>
      <c r="G37">
        <v>132.6</v>
      </c>
      <c r="I37" t="s">
        <v>750</v>
      </c>
      <c r="J37">
        <v>0.75</v>
      </c>
      <c r="K37">
        <v>1.05</v>
      </c>
      <c r="L37">
        <v>3</v>
      </c>
      <c r="M37">
        <v>8</v>
      </c>
      <c r="N37">
        <f>13.8125</f>
        <v>13.8125</v>
      </c>
      <c r="P37">
        <v>0.75</v>
      </c>
      <c r="Q37" t="s">
        <v>20</v>
      </c>
      <c r="R37" t="s">
        <v>23</v>
      </c>
      <c r="S37">
        <v>9</v>
      </c>
    </row>
    <row r="38" spans="1:19" x14ac:dyDescent="0.3">
      <c r="A38">
        <v>14</v>
      </c>
      <c r="B38" t="s">
        <v>750</v>
      </c>
      <c r="C38">
        <v>80</v>
      </c>
      <c r="D38" t="s">
        <v>20</v>
      </c>
      <c r="E38">
        <v>14</v>
      </c>
      <c r="F38">
        <v>107</v>
      </c>
      <c r="G38">
        <v>158.19999999999999</v>
      </c>
      <c r="I38" t="s">
        <v>751</v>
      </c>
      <c r="J38">
        <v>1</v>
      </c>
      <c r="K38">
        <v>1.125</v>
      </c>
      <c r="L38">
        <v>0.5</v>
      </c>
      <c r="M38">
        <v>2</v>
      </c>
      <c r="N38">
        <v>5.3125</v>
      </c>
      <c r="P38">
        <v>0.75</v>
      </c>
      <c r="Q38" t="s">
        <v>126</v>
      </c>
      <c r="R38" t="s">
        <v>22</v>
      </c>
      <c r="S38">
        <v>5</v>
      </c>
    </row>
    <row r="39" spans="1:19" x14ac:dyDescent="0.3">
      <c r="A39">
        <v>16</v>
      </c>
      <c r="B39" t="s">
        <v>750</v>
      </c>
      <c r="C39">
        <v>80</v>
      </c>
      <c r="D39" t="s">
        <v>20</v>
      </c>
      <c r="E39">
        <v>16</v>
      </c>
      <c r="F39">
        <v>137</v>
      </c>
      <c r="G39">
        <v>206.7</v>
      </c>
      <c r="I39" t="s">
        <v>751</v>
      </c>
      <c r="J39">
        <v>1</v>
      </c>
      <c r="K39">
        <v>1.125</v>
      </c>
      <c r="L39">
        <v>0.75</v>
      </c>
      <c r="M39">
        <v>2.5</v>
      </c>
      <c r="N39">
        <f>6.1875</f>
        <v>6.1875</v>
      </c>
      <c r="P39">
        <v>0.75</v>
      </c>
      <c r="Q39" t="s">
        <v>126</v>
      </c>
      <c r="R39" t="s">
        <v>23</v>
      </c>
      <c r="S39">
        <v>7</v>
      </c>
    </row>
    <row r="40" spans="1:19" x14ac:dyDescent="0.3">
      <c r="A40">
        <v>18</v>
      </c>
      <c r="B40" t="s">
        <v>750</v>
      </c>
      <c r="C40">
        <v>80</v>
      </c>
      <c r="D40" t="s">
        <v>20</v>
      </c>
      <c r="E40">
        <v>18</v>
      </c>
      <c r="F40">
        <v>171</v>
      </c>
      <c r="G40">
        <v>259.5</v>
      </c>
      <c r="I40" t="s">
        <v>751</v>
      </c>
      <c r="J40">
        <v>1</v>
      </c>
      <c r="K40">
        <v>1.125</v>
      </c>
      <c r="L40">
        <v>1</v>
      </c>
      <c r="M40">
        <v>3</v>
      </c>
      <c r="N40">
        <v>6.75</v>
      </c>
      <c r="P40">
        <v>0.75</v>
      </c>
      <c r="Q40" t="s">
        <v>127</v>
      </c>
      <c r="R40" t="s">
        <v>22</v>
      </c>
      <c r="S40">
        <v>5</v>
      </c>
    </row>
    <row r="41" spans="1:19" x14ac:dyDescent="0.3">
      <c r="A41">
        <v>20</v>
      </c>
      <c r="B41" t="s">
        <v>750</v>
      </c>
      <c r="C41">
        <v>80</v>
      </c>
      <c r="D41" t="s">
        <v>20</v>
      </c>
      <c r="E41">
        <v>20</v>
      </c>
      <c r="F41">
        <v>209</v>
      </c>
      <c r="G41">
        <v>318.39999999999998</v>
      </c>
      <c r="I41" t="s">
        <v>751</v>
      </c>
      <c r="J41">
        <v>1</v>
      </c>
      <c r="K41">
        <v>1.125</v>
      </c>
      <c r="L41">
        <v>1.5</v>
      </c>
      <c r="M41">
        <v>3.5</v>
      </c>
      <c r="N41">
        <v>7.25</v>
      </c>
      <c r="P41">
        <v>0.75</v>
      </c>
      <c r="Q41" t="s">
        <v>127</v>
      </c>
      <c r="R41" t="s">
        <v>23</v>
      </c>
      <c r="S41">
        <v>7</v>
      </c>
    </row>
    <row r="42" spans="1:19" x14ac:dyDescent="0.3">
      <c r="A42">
        <v>24</v>
      </c>
      <c r="B42" t="s">
        <v>750</v>
      </c>
      <c r="C42">
        <v>80</v>
      </c>
      <c r="D42" t="s">
        <v>20</v>
      </c>
      <c r="E42">
        <v>24</v>
      </c>
      <c r="F42">
        <v>297</v>
      </c>
      <c r="G42">
        <v>455.2</v>
      </c>
      <c r="I42" t="s">
        <v>753</v>
      </c>
      <c r="J42">
        <v>1</v>
      </c>
      <c r="K42">
        <v>1.3149999999999999</v>
      </c>
      <c r="L42">
        <v>0.5</v>
      </c>
      <c r="M42">
        <v>2</v>
      </c>
      <c r="N42">
        <v>5.3125</v>
      </c>
      <c r="P42">
        <v>0.75</v>
      </c>
      <c r="Q42" t="s">
        <v>128</v>
      </c>
      <c r="R42" t="s">
        <v>22</v>
      </c>
      <c r="S42">
        <v>3</v>
      </c>
    </row>
    <row r="43" spans="1:19" x14ac:dyDescent="0.3">
      <c r="A43">
        <v>0.25</v>
      </c>
      <c r="B43" t="s">
        <v>751</v>
      </c>
      <c r="C43" t="s">
        <v>752</v>
      </c>
      <c r="D43" t="s">
        <v>126</v>
      </c>
      <c r="E43">
        <v>0.375</v>
      </c>
      <c r="F43">
        <v>0.14499999999999999</v>
      </c>
      <c r="G43">
        <v>0.17699999999999999</v>
      </c>
      <c r="I43" t="s">
        <v>753</v>
      </c>
      <c r="J43">
        <v>1</v>
      </c>
      <c r="K43">
        <v>1.3149999999999999</v>
      </c>
      <c r="L43">
        <v>0.75</v>
      </c>
      <c r="M43">
        <v>2.5</v>
      </c>
      <c r="N43">
        <f>6.1875</f>
        <v>6.1875</v>
      </c>
      <c r="P43">
        <v>0.75</v>
      </c>
      <c r="Q43" t="s">
        <v>128</v>
      </c>
      <c r="R43" t="s">
        <v>23</v>
      </c>
      <c r="S43">
        <v>3</v>
      </c>
    </row>
    <row r="44" spans="1:19" x14ac:dyDescent="0.3">
      <c r="A44">
        <v>0.375</v>
      </c>
      <c r="B44" t="s">
        <v>751</v>
      </c>
      <c r="C44" t="s">
        <v>752</v>
      </c>
      <c r="D44" t="s">
        <v>126</v>
      </c>
      <c r="E44">
        <v>0.5</v>
      </c>
      <c r="F44">
        <v>0.26900000000000002</v>
      </c>
      <c r="G44">
        <v>0.27500000000000002</v>
      </c>
      <c r="I44" t="s">
        <v>753</v>
      </c>
      <c r="J44">
        <v>1</v>
      </c>
      <c r="K44">
        <v>1.3149999999999999</v>
      </c>
      <c r="L44">
        <v>1</v>
      </c>
      <c r="M44">
        <v>3</v>
      </c>
      <c r="N44">
        <v>6.75</v>
      </c>
      <c r="P44">
        <v>0.75</v>
      </c>
      <c r="Q44" t="s">
        <v>129</v>
      </c>
      <c r="R44" t="s">
        <v>22</v>
      </c>
      <c r="S44">
        <v>3</v>
      </c>
    </row>
    <row r="45" spans="1:19" x14ac:dyDescent="0.3">
      <c r="A45">
        <v>0.5</v>
      </c>
      <c r="B45" t="s">
        <v>751</v>
      </c>
      <c r="C45" t="s">
        <v>752</v>
      </c>
      <c r="D45" t="s">
        <v>126</v>
      </c>
      <c r="E45">
        <v>0.625</v>
      </c>
      <c r="F45">
        <v>0.34399999999999997</v>
      </c>
      <c r="G45">
        <v>0.438</v>
      </c>
      <c r="I45" t="s">
        <v>753</v>
      </c>
      <c r="J45">
        <v>1</v>
      </c>
      <c r="K45">
        <v>1.3149999999999999</v>
      </c>
      <c r="L45">
        <v>1.5</v>
      </c>
      <c r="M45">
        <v>4</v>
      </c>
      <c r="N45">
        <v>7.25</v>
      </c>
      <c r="P45">
        <v>0.75</v>
      </c>
      <c r="Q45" t="s">
        <v>129</v>
      </c>
      <c r="R45" t="s">
        <v>23</v>
      </c>
      <c r="S45">
        <v>3</v>
      </c>
    </row>
    <row r="46" spans="1:19" x14ac:dyDescent="0.3">
      <c r="A46">
        <v>0.625</v>
      </c>
      <c r="B46" t="s">
        <v>751</v>
      </c>
      <c r="C46" t="s">
        <v>752</v>
      </c>
      <c r="D46" t="s">
        <v>126</v>
      </c>
      <c r="E46">
        <v>0.75</v>
      </c>
      <c r="F46">
        <v>0.41799999999999998</v>
      </c>
      <c r="G46">
        <v>0.56299999999999994</v>
      </c>
      <c r="I46" t="s">
        <v>753</v>
      </c>
      <c r="J46">
        <v>1</v>
      </c>
      <c r="K46">
        <v>1.3149999999999999</v>
      </c>
      <c r="L46">
        <v>2</v>
      </c>
      <c r="M46">
        <v>5</v>
      </c>
      <c r="N46">
        <v>10</v>
      </c>
      <c r="P46">
        <v>1</v>
      </c>
      <c r="Q46" t="s">
        <v>120</v>
      </c>
      <c r="R46" t="s">
        <v>22</v>
      </c>
      <c r="S46">
        <v>7</v>
      </c>
    </row>
    <row r="47" spans="1:19" x14ac:dyDescent="0.3">
      <c r="A47">
        <v>0.75</v>
      </c>
      <c r="B47" t="s">
        <v>751</v>
      </c>
      <c r="C47" t="s">
        <v>752</v>
      </c>
      <c r="D47" t="s">
        <v>126</v>
      </c>
      <c r="E47">
        <v>0.875</v>
      </c>
      <c r="F47">
        <v>0.64100000000000001</v>
      </c>
      <c r="G47">
        <v>0.82899999999999996</v>
      </c>
      <c r="I47" t="s">
        <v>753</v>
      </c>
      <c r="J47">
        <v>1</v>
      </c>
      <c r="K47">
        <v>1.3149999999999999</v>
      </c>
      <c r="L47">
        <v>2.5</v>
      </c>
      <c r="M47">
        <v>6</v>
      </c>
      <c r="N47">
        <v>11.0625</v>
      </c>
      <c r="P47">
        <v>1</v>
      </c>
      <c r="Q47" t="s">
        <v>120</v>
      </c>
      <c r="R47" t="s">
        <v>23</v>
      </c>
      <c r="S47">
        <v>9</v>
      </c>
    </row>
    <row r="48" spans="1:19" x14ac:dyDescent="0.3">
      <c r="A48">
        <v>1</v>
      </c>
      <c r="B48" t="s">
        <v>751</v>
      </c>
      <c r="C48" t="s">
        <v>752</v>
      </c>
      <c r="D48" t="s">
        <v>126</v>
      </c>
      <c r="E48">
        <v>1.125</v>
      </c>
      <c r="F48">
        <v>0.83899999999999997</v>
      </c>
      <c r="G48">
        <v>1.1759999999999999</v>
      </c>
      <c r="I48" t="s">
        <v>753</v>
      </c>
      <c r="J48">
        <v>1</v>
      </c>
      <c r="K48">
        <v>1.3149999999999999</v>
      </c>
      <c r="L48">
        <v>3</v>
      </c>
      <c r="M48">
        <v>8</v>
      </c>
      <c r="N48">
        <f>13.8125</f>
        <v>13.8125</v>
      </c>
      <c r="P48">
        <v>1</v>
      </c>
      <c r="Q48" t="s">
        <v>20</v>
      </c>
      <c r="R48" t="s">
        <v>22</v>
      </c>
      <c r="S48">
        <v>7</v>
      </c>
    </row>
    <row r="49" spans="1:19" x14ac:dyDescent="0.3">
      <c r="A49">
        <v>1.25</v>
      </c>
      <c r="B49" t="s">
        <v>751</v>
      </c>
      <c r="C49" t="s">
        <v>752</v>
      </c>
      <c r="D49" t="s">
        <v>126</v>
      </c>
      <c r="E49">
        <v>1.375</v>
      </c>
      <c r="F49">
        <v>1.04</v>
      </c>
      <c r="G49">
        <v>1.57</v>
      </c>
      <c r="I49" t="s">
        <v>750</v>
      </c>
      <c r="J49">
        <v>1</v>
      </c>
      <c r="K49">
        <v>1.3149999999999999</v>
      </c>
      <c r="L49">
        <v>0.5</v>
      </c>
      <c r="M49">
        <v>2</v>
      </c>
      <c r="N49">
        <v>5.3125</v>
      </c>
      <c r="P49">
        <v>1</v>
      </c>
      <c r="Q49" t="s">
        <v>20</v>
      </c>
      <c r="R49" t="s">
        <v>23</v>
      </c>
      <c r="S49">
        <v>9</v>
      </c>
    </row>
    <row r="50" spans="1:19" x14ac:dyDescent="0.3">
      <c r="A50">
        <v>1.5</v>
      </c>
      <c r="B50" t="s">
        <v>751</v>
      </c>
      <c r="C50" t="s">
        <v>752</v>
      </c>
      <c r="D50" t="s">
        <v>126</v>
      </c>
      <c r="E50">
        <v>1.625</v>
      </c>
      <c r="F50">
        <v>1.36</v>
      </c>
      <c r="G50">
        <v>2.109</v>
      </c>
      <c r="I50" t="s">
        <v>750</v>
      </c>
      <c r="J50">
        <v>1</v>
      </c>
      <c r="K50">
        <v>1.3149999999999999</v>
      </c>
      <c r="L50">
        <v>0.75</v>
      </c>
      <c r="M50">
        <v>2.5</v>
      </c>
      <c r="N50">
        <f>6.1875</f>
        <v>6.1875</v>
      </c>
      <c r="P50">
        <v>1</v>
      </c>
      <c r="Q50" t="s">
        <v>126</v>
      </c>
      <c r="R50" t="s">
        <v>22</v>
      </c>
      <c r="S50">
        <v>6</v>
      </c>
    </row>
    <row r="51" spans="1:19" x14ac:dyDescent="0.3">
      <c r="A51">
        <v>2</v>
      </c>
      <c r="B51" t="s">
        <v>751</v>
      </c>
      <c r="C51" t="s">
        <v>752</v>
      </c>
      <c r="D51" t="s">
        <v>126</v>
      </c>
      <c r="E51">
        <v>2.125</v>
      </c>
      <c r="F51">
        <v>2.06</v>
      </c>
      <c r="G51">
        <v>3.3639999999999999</v>
      </c>
      <c r="I51" t="s">
        <v>750</v>
      </c>
      <c r="J51">
        <v>1</v>
      </c>
      <c r="K51">
        <v>1.3149999999999999</v>
      </c>
      <c r="L51">
        <v>1</v>
      </c>
      <c r="M51">
        <v>3</v>
      </c>
      <c r="N51">
        <v>6.75</v>
      </c>
      <c r="P51">
        <v>1</v>
      </c>
      <c r="Q51" t="s">
        <v>126</v>
      </c>
      <c r="R51" t="s">
        <v>23</v>
      </c>
      <c r="S51">
        <v>8</v>
      </c>
    </row>
    <row r="52" spans="1:19" x14ac:dyDescent="0.3">
      <c r="A52">
        <v>2.5</v>
      </c>
      <c r="B52" t="s">
        <v>751</v>
      </c>
      <c r="C52" t="s">
        <v>752</v>
      </c>
      <c r="D52" t="s">
        <v>126</v>
      </c>
      <c r="E52">
        <v>2.625</v>
      </c>
      <c r="F52">
        <v>2.93</v>
      </c>
      <c r="G52">
        <v>4.9269999999999996</v>
      </c>
      <c r="I52" t="s">
        <v>750</v>
      </c>
      <c r="J52">
        <v>1</v>
      </c>
      <c r="K52">
        <v>1.3149999999999999</v>
      </c>
      <c r="L52">
        <v>1.5</v>
      </c>
      <c r="M52">
        <v>4</v>
      </c>
      <c r="N52">
        <v>7.25</v>
      </c>
      <c r="P52">
        <v>1</v>
      </c>
      <c r="Q52" t="s">
        <v>127</v>
      </c>
      <c r="R52" t="s">
        <v>22</v>
      </c>
      <c r="S52">
        <v>6</v>
      </c>
    </row>
    <row r="53" spans="1:19" x14ac:dyDescent="0.3">
      <c r="A53">
        <v>3</v>
      </c>
      <c r="B53" t="s">
        <v>751</v>
      </c>
      <c r="C53" t="s">
        <v>752</v>
      </c>
      <c r="D53" t="s">
        <v>126</v>
      </c>
      <c r="E53">
        <v>3.125</v>
      </c>
      <c r="F53">
        <v>4</v>
      </c>
      <c r="G53">
        <v>6.87</v>
      </c>
      <c r="I53" t="s">
        <v>750</v>
      </c>
      <c r="J53">
        <v>1</v>
      </c>
      <c r="K53">
        <v>1.3149999999999999</v>
      </c>
      <c r="L53">
        <v>2</v>
      </c>
      <c r="M53">
        <v>5</v>
      </c>
      <c r="N53">
        <v>10</v>
      </c>
      <c r="P53">
        <v>1</v>
      </c>
      <c r="Q53" t="s">
        <v>127</v>
      </c>
      <c r="R53" t="s">
        <v>23</v>
      </c>
      <c r="S53">
        <v>8</v>
      </c>
    </row>
    <row r="54" spans="1:19" x14ac:dyDescent="0.3">
      <c r="A54">
        <v>3.5</v>
      </c>
      <c r="B54" t="s">
        <v>751</v>
      </c>
      <c r="C54" t="s">
        <v>752</v>
      </c>
      <c r="D54" t="s">
        <v>126</v>
      </c>
      <c r="E54">
        <v>3.625</v>
      </c>
      <c r="F54">
        <v>5.12</v>
      </c>
      <c r="G54">
        <v>9.0510000000000002</v>
      </c>
      <c r="I54" t="s">
        <v>750</v>
      </c>
      <c r="J54">
        <v>1</v>
      </c>
      <c r="K54">
        <v>1.3149999999999999</v>
      </c>
      <c r="L54">
        <v>2.5</v>
      </c>
      <c r="M54">
        <v>6</v>
      </c>
      <c r="N54">
        <v>11.0625</v>
      </c>
      <c r="P54">
        <v>1</v>
      </c>
      <c r="Q54" t="s">
        <v>128</v>
      </c>
      <c r="R54" t="s">
        <v>22</v>
      </c>
      <c r="S54">
        <v>3</v>
      </c>
    </row>
    <row r="55" spans="1:19" x14ac:dyDescent="0.3">
      <c r="A55">
        <v>4</v>
      </c>
      <c r="B55" t="s">
        <v>751</v>
      </c>
      <c r="C55" t="s">
        <v>752</v>
      </c>
      <c r="D55" t="s">
        <v>126</v>
      </c>
      <c r="E55">
        <v>4.125</v>
      </c>
      <c r="F55">
        <v>6.51</v>
      </c>
      <c r="G55">
        <v>11.564</v>
      </c>
      <c r="I55" t="s">
        <v>750</v>
      </c>
      <c r="J55">
        <v>1</v>
      </c>
      <c r="K55">
        <v>1.3149999999999999</v>
      </c>
      <c r="L55">
        <v>3</v>
      </c>
      <c r="M55">
        <v>8</v>
      </c>
      <c r="N55">
        <f>13.8125</f>
        <v>13.8125</v>
      </c>
      <c r="P55">
        <v>1</v>
      </c>
      <c r="Q55" t="s">
        <v>128</v>
      </c>
      <c r="R55" t="s">
        <v>23</v>
      </c>
      <c r="S55">
        <v>3</v>
      </c>
    </row>
    <row r="56" spans="1:19" x14ac:dyDescent="0.3">
      <c r="A56">
        <v>5</v>
      </c>
      <c r="B56" t="s">
        <v>751</v>
      </c>
      <c r="C56" t="s">
        <v>752</v>
      </c>
      <c r="D56" t="s">
        <v>126</v>
      </c>
      <c r="E56">
        <v>5.125</v>
      </c>
      <c r="F56">
        <v>9.67</v>
      </c>
      <c r="G56">
        <v>17.532</v>
      </c>
      <c r="I56" t="s">
        <v>751</v>
      </c>
      <c r="J56">
        <v>1.25</v>
      </c>
      <c r="K56">
        <v>1.375</v>
      </c>
      <c r="L56">
        <v>0.5</v>
      </c>
      <c r="M56">
        <v>2</v>
      </c>
      <c r="N56">
        <v>5.3125</v>
      </c>
      <c r="P56">
        <v>1</v>
      </c>
      <c r="Q56" t="s">
        <v>129</v>
      </c>
      <c r="R56" t="s">
        <v>22</v>
      </c>
      <c r="S56">
        <v>3</v>
      </c>
    </row>
    <row r="57" spans="1:19" x14ac:dyDescent="0.3">
      <c r="A57">
        <v>6</v>
      </c>
      <c r="B57" t="s">
        <v>751</v>
      </c>
      <c r="C57" t="s">
        <v>752</v>
      </c>
      <c r="D57" t="s">
        <v>126</v>
      </c>
      <c r="E57">
        <v>6.125</v>
      </c>
      <c r="F57">
        <v>13.9</v>
      </c>
      <c r="G57">
        <v>25.132000000000001</v>
      </c>
      <c r="I57" t="s">
        <v>751</v>
      </c>
      <c r="J57">
        <v>1.25</v>
      </c>
      <c r="K57">
        <v>1.375</v>
      </c>
      <c r="L57">
        <v>0.75</v>
      </c>
      <c r="M57">
        <v>2.5</v>
      </c>
      <c r="N57">
        <f>6.1875</f>
        <v>6.1875</v>
      </c>
      <c r="P57">
        <v>1</v>
      </c>
      <c r="Q57" t="s">
        <v>129</v>
      </c>
      <c r="R57" t="s">
        <v>23</v>
      </c>
      <c r="S57">
        <v>3</v>
      </c>
    </row>
    <row r="58" spans="1:19" x14ac:dyDescent="0.3">
      <c r="A58">
        <v>8</v>
      </c>
      <c r="B58" t="s">
        <v>751</v>
      </c>
      <c r="C58" t="s">
        <v>752</v>
      </c>
      <c r="D58" t="s">
        <v>126</v>
      </c>
      <c r="E58">
        <v>8.125</v>
      </c>
      <c r="F58">
        <v>25.9</v>
      </c>
      <c r="G58">
        <v>45.494</v>
      </c>
      <c r="I58" t="s">
        <v>751</v>
      </c>
      <c r="J58">
        <v>1.25</v>
      </c>
      <c r="K58">
        <v>1.375</v>
      </c>
      <c r="L58">
        <v>1</v>
      </c>
      <c r="M58">
        <v>3</v>
      </c>
      <c r="N58">
        <v>6.75</v>
      </c>
      <c r="P58">
        <v>1.25</v>
      </c>
      <c r="Q58" t="s">
        <v>120</v>
      </c>
      <c r="R58" t="s">
        <v>22</v>
      </c>
      <c r="S58">
        <v>7</v>
      </c>
    </row>
    <row r="59" spans="1:19" x14ac:dyDescent="0.3">
      <c r="A59">
        <v>10</v>
      </c>
      <c r="B59" t="s">
        <v>751</v>
      </c>
      <c r="C59" t="s">
        <v>752</v>
      </c>
      <c r="D59" t="s">
        <v>126</v>
      </c>
      <c r="E59">
        <v>10.125</v>
      </c>
      <c r="F59">
        <v>40.299999999999997</v>
      </c>
      <c r="G59">
        <v>70.688999999999993</v>
      </c>
      <c r="I59" t="s">
        <v>751</v>
      </c>
      <c r="J59">
        <v>1.25</v>
      </c>
      <c r="K59">
        <v>1.375</v>
      </c>
      <c r="L59">
        <v>1.5</v>
      </c>
      <c r="M59">
        <v>4</v>
      </c>
      <c r="N59">
        <v>7.25</v>
      </c>
      <c r="P59">
        <v>1.25</v>
      </c>
      <c r="Q59" t="s">
        <v>120</v>
      </c>
      <c r="R59" t="s">
        <v>23</v>
      </c>
      <c r="S59">
        <v>9</v>
      </c>
    </row>
    <row r="60" spans="1:19" x14ac:dyDescent="0.3">
      <c r="A60">
        <v>12</v>
      </c>
      <c r="B60" t="s">
        <v>751</v>
      </c>
      <c r="C60" t="s">
        <v>752</v>
      </c>
      <c r="D60" t="s">
        <v>126</v>
      </c>
      <c r="E60">
        <v>12.125</v>
      </c>
      <c r="F60">
        <v>57.8</v>
      </c>
      <c r="G60">
        <v>101.355</v>
      </c>
      <c r="I60" t="s">
        <v>753</v>
      </c>
      <c r="J60">
        <v>1.25</v>
      </c>
      <c r="K60">
        <v>1.66</v>
      </c>
      <c r="L60">
        <v>0.5</v>
      </c>
      <c r="M60">
        <v>2.5</v>
      </c>
      <c r="N60">
        <f>6.1875</f>
        <v>6.1875</v>
      </c>
      <c r="P60">
        <v>1.25</v>
      </c>
      <c r="Q60" t="s">
        <v>20</v>
      </c>
      <c r="R60" t="s">
        <v>22</v>
      </c>
      <c r="S60">
        <v>7</v>
      </c>
    </row>
    <row r="61" spans="1:19" x14ac:dyDescent="0.3">
      <c r="A61">
        <v>0.25</v>
      </c>
      <c r="B61" t="s">
        <v>751</v>
      </c>
      <c r="C61" t="s">
        <v>754</v>
      </c>
      <c r="D61" t="s">
        <v>127</v>
      </c>
      <c r="E61">
        <v>0.375</v>
      </c>
      <c r="F61">
        <v>0.126</v>
      </c>
      <c r="G61">
        <v>0.16</v>
      </c>
      <c r="I61" t="s">
        <v>753</v>
      </c>
      <c r="J61">
        <v>1.25</v>
      </c>
      <c r="K61">
        <v>1.66</v>
      </c>
      <c r="L61">
        <v>0.75</v>
      </c>
      <c r="M61">
        <v>3</v>
      </c>
      <c r="N61">
        <v>6.75</v>
      </c>
      <c r="P61">
        <v>1.25</v>
      </c>
      <c r="Q61" t="s">
        <v>20</v>
      </c>
      <c r="R61" t="s">
        <v>23</v>
      </c>
      <c r="S61">
        <v>9</v>
      </c>
    </row>
    <row r="62" spans="1:19" x14ac:dyDescent="0.3">
      <c r="A62">
        <v>0.375</v>
      </c>
      <c r="B62" t="s">
        <v>751</v>
      </c>
      <c r="C62" t="s">
        <v>754</v>
      </c>
      <c r="D62" t="s">
        <v>127</v>
      </c>
      <c r="E62">
        <v>0.5</v>
      </c>
      <c r="F62">
        <v>0.19800000000000001</v>
      </c>
      <c r="G62">
        <v>0.26100000000000001</v>
      </c>
      <c r="I62" t="s">
        <v>753</v>
      </c>
      <c r="J62">
        <v>1.25</v>
      </c>
      <c r="K62">
        <v>1.66</v>
      </c>
      <c r="L62">
        <v>1</v>
      </c>
      <c r="M62">
        <v>3</v>
      </c>
      <c r="N62">
        <v>6.75</v>
      </c>
      <c r="P62">
        <v>1.25</v>
      </c>
      <c r="Q62" t="s">
        <v>126</v>
      </c>
      <c r="R62" t="s">
        <v>22</v>
      </c>
      <c r="S62">
        <v>7</v>
      </c>
    </row>
    <row r="63" spans="1:19" x14ac:dyDescent="0.3">
      <c r="A63">
        <v>0.5</v>
      </c>
      <c r="B63" t="s">
        <v>751</v>
      </c>
      <c r="C63" t="s">
        <v>754</v>
      </c>
      <c r="D63" t="s">
        <v>127</v>
      </c>
      <c r="E63">
        <v>0.625</v>
      </c>
      <c r="F63">
        <v>0.28499999999999998</v>
      </c>
      <c r="G63">
        <v>0.38500000000000001</v>
      </c>
      <c r="I63" t="s">
        <v>753</v>
      </c>
      <c r="J63">
        <v>1.25</v>
      </c>
      <c r="K63">
        <v>1.66</v>
      </c>
      <c r="L63">
        <v>1.5</v>
      </c>
      <c r="M63">
        <v>5</v>
      </c>
      <c r="N63">
        <v>10</v>
      </c>
      <c r="P63">
        <v>1.25</v>
      </c>
      <c r="Q63" t="s">
        <v>126</v>
      </c>
      <c r="R63" t="s">
        <v>23</v>
      </c>
      <c r="S63">
        <v>9</v>
      </c>
    </row>
    <row r="64" spans="1:19" x14ac:dyDescent="0.3">
      <c r="A64">
        <v>0.625</v>
      </c>
      <c r="B64" t="s">
        <v>751</v>
      </c>
      <c r="C64" t="s">
        <v>754</v>
      </c>
      <c r="D64" t="s">
        <v>127</v>
      </c>
      <c r="E64">
        <v>0.75</v>
      </c>
      <c r="F64">
        <v>0.36199999999999999</v>
      </c>
      <c r="G64">
        <v>0.51200000000000001</v>
      </c>
      <c r="I64" t="s">
        <v>753</v>
      </c>
      <c r="J64">
        <v>1.25</v>
      </c>
      <c r="K64">
        <v>1.66</v>
      </c>
      <c r="L64">
        <v>2</v>
      </c>
      <c r="M64">
        <v>5</v>
      </c>
      <c r="N64">
        <v>10</v>
      </c>
      <c r="P64">
        <v>1.25</v>
      </c>
      <c r="Q64" t="s">
        <v>127</v>
      </c>
      <c r="R64" t="s">
        <v>22</v>
      </c>
      <c r="S64">
        <v>7</v>
      </c>
    </row>
    <row r="65" spans="1:19" x14ac:dyDescent="0.3">
      <c r="A65">
        <v>0.75</v>
      </c>
      <c r="B65" t="s">
        <v>751</v>
      </c>
      <c r="C65" t="s">
        <v>754</v>
      </c>
      <c r="D65" t="s">
        <v>127</v>
      </c>
      <c r="E65">
        <v>0.875</v>
      </c>
      <c r="F65">
        <v>0.45500000000000002</v>
      </c>
      <c r="G65">
        <v>0.66700000000000004</v>
      </c>
      <c r="I65" t="s">
        <v>753</v>
      </c>
      <c r="J65">
        <v>1.25</v>
      </c>
      <c r="K65">
        <v>1.66</v>
      </c>
      <c r="L65">
        <v>2.5</v>
      </c>
      <c r="M65">
        <v>6</v>
      </c>
      <c r="N65">
        <v>11.0625</v>
      </c>
      <c r="P65">
        <v>1.25</v>
      </c>
      <c r="Q65" t="s">
        <v>127</v>
      </c>
      <c r="R65" t="s">
        <v>23</v>
      </c>
      <c r="S65">
        <v>9</v>
      </c>
    </row>
    <row r="66" spans="1:19" x14ac:dyDescent="0.3">
      <c r="A66">
        <v>1</v>
      </c>
      <c r="B66" t="s">
        <v>751</v>
      </c>
      <c r="C66" t="s">
        <v>754</v>
      </c>
      <c r="D66" t="s">
        <v>127</v>
      </c>
      <c r="E66">
        <v>1.125</v>
      </c>
      <c r="F66">
        <v>0.65500000000000003</v>
      </c>
      <c r="G66">
        <v>1.0109999999999999</v>
      </c>
      <c r="I66" t="s">
        <v>753</v>
      </c>
      <c r="J66">
        <v>1.25</v>
      </c>
      <c r="K66">
        <v>1.66</v>
      </c>
      <c r="L66">
        <v>3</v>
      </c>
      <c r="M66">
        <v>8</v>
      </c>
      <c r="N66">
        <f>13.8125</f>
        <v>13.8125</v>
      </c>
      <c r="P66">
        <v>1.25</v>
      </c>
      <c r="Q66" t="s">
        <v>128</v>
      </c>
      <c r="R66" t="s">
        <v>22</v>
      </c>
      <c r="S66">
        <v>4</v>
      </c>
    </row>
    <row r="67" spans="1:19" x14ac:dyDescent="0.3">
      <c r="A67">
        <v>1.25</v>
      </c>
      <c r="B67" t="s">
        <v>751</v>
      </c>
      <c r="C67" t="s">
        <v>754</v>
      </c>
      <c r="D67" t="s">
        <v>127</v>
      </c>
      <c r="E67">
        <v>1.375</v>
      </c>
      <c r="F67">
        <v>0.88400000000000001</v>
      </c>
      <c r="G67">
        <v>1.427</v>
      </c>
      <c r="I67" t="s">
        <v>750</v>
      </c>
      <c r="J67">
        <v>1.25</v>
      </c>
      <c r="K67">
        <v>1.66</v>
      </c>
      <c r="L67">
        <v>0.5</v>
      </c>
      <c r="M67">
        <v>2.5</v>
      </c>
      <c r="N67">
        <f>6.1875</f>
        <v>6.1875</v>
      </c>
      <c r="P67">
        <v>1.25</v>
      </c>
      <c r="Q67" t="s">
        <v>128</v>
      </c>
      <c r="R67" t="s">
        <v>23</v>
      </c>
      <c r="S67">
        <v>4</v>
      </c>
    </row>
    <row r="68" spans="1:19" x14ac:dyDescent="0.3">
      <c r="A68">
        <v>1.5</v>
      </c>
      <c r="B68" t="s">
        <v>751</v>
      </c>
      <c r="C68" t="s">
        <v>754</v>
      </c>
      <c r="D68" t="s">
        <v>127</v>
      </c>
      <c r="E68">
        <v>1.625</v>
      </c>
      <c r="F68">
        <v>1.1399999999999999</v>
      </c>
      <c r="G68">
        <v>1.889</v>
      </c>
      <c r="I68" t="s">
        <v>750</v>
      </c>
      <c r="J68">
        <v>1.25</v>
      </c>
      <c r="K68">
        <v>1.66</v>
      </c>
      <c r="L68">
        <v>0.75</v>
      </c>
      <c r="M68">
        <v>3</v>
      </c>
      <c r="N68">
        <v>6.75</v>
      </c>
      <c r="P68">
        <v>1.25</v>
      </c>
      <c r="Q68" t="s">
        <v>129</v>
      </c>
      <c r="R68" t="s">
        <v>22</v>
      </c>
      <c r="S68">
        <v>4</v>
      </c>
    </row>
    <row r="69" spans="1:19" x14ac:dyDescent="0.3">
      <c r="A69">
        <v>2</v>
      </c>
      <c r="B69" t="s">
        <v>751</v>
      </c>
      <c r="C69" t="s">
        <v>754</v>
      </c>
      <c r="D69" t="s">
        <v>127</v>
      </c>
      <c r="E69">
        <v>2.125</v>
      </c>
      <c r="F69">
        <v>1.75</v>
      </c>
      <c r="G69">
        <v>3.0920000000000001</v>
      </c>
      <c r="I69" t="s">
        <v>750</v>
      </c>
      <c r="J69">
        <v>1.25</v>
      </c>
      <c r="K69">
        <v>1.66</v>
      </c>
      <c r="L69">
        <v>1</v>
      </c>
      <c r="M69">
        <v>3</v>
      </c>
      <c r="N69">
        <v>6.75</v>
      </c>
      <c r="P69">
        <v>1.25</v>
      </c>
      <c r="Q69" t="s">
        <v>129</v>
      </c>
      <c r="R69" t="s">
        <v>23</v>
      </c>
      <c r="S69">
        <v>4</v>
      </c>
    </row>
    <row r="70" spans="1:19" x14ac:dyDescent="0.3">
      <c r="A70">
        <v>2.5</v>
      </c>
      <c r="B70" t="s">
        <v>751</v>
      </c>
      <c r="C70" t="s">
        <v>754</v>
      </c>
      <c r="D70" t="s">
        <v>127</v>
      </c>
      <c r="E70">
        <v>2.625</v>
      </c>
      <c r="F70">
        <v>2.48</v>
      </c>
      <c r="G70">
        <v>4.5389999999999997</v>
      </c>
      <c r="I70" t="s">
        <v>750</v>
      </c>
      <c r="J70">
        <v>1.25</v>
      </c>
      <c r="K70">
        <v>1.66</v>
      </c>
      <c r="L70">
        <v>1.5</v>
      </c>
      <c r="M70">
        <v>5</v>
      </c>
      <c r="N70">
        <v>10</v>
      </c>
      <c r="P70">
        <v>1.5</v>
      </c>
      <c r="Q70" t="s">
        <v>120</v>
      </c>
      <c r="R70" t="s">
        <v>22</v>
      </c>
      <c r="S70">
        <v>9</v>
      </c>
    </row>
    <row r="71" spans="1:19" x14ac:dyDescent="0.3">
      <c r="A71">
        <v>3</v>
      </c>
      <c r="B71" t="s">
        <v>751</v>
      </c>
      <c r="C71" t="s">
        <v>754</v>
      </c>
      <c r="D71" t="s">
        <v>127</v>
      </c>
      <c r="E71">
        <v>3.125</v>
      </c>
      <c r="F71">
        <v>3.33</v>
      </c>
      <c r="G71">
        <v>6.2629999999999999</v>
      </c>
      <c r="I71" t="s">
        <v>750</v>
      </c>
      <c r="J71">
        <v>1.25</v>
      </c>
      <c r="K71">
        <v>1.66</v>
      </c>
      <c r="L71">
        <v>2</v>
      </c>
      <c r="M71">
        <v>5</v>
      </c>
      <c r="N71">
        <v>10</v>
      </c>
      <c r="P71">
        <v>1.5</v>
      </c>
      <c r="Q71" t="s">
        <v>120</v>
      </c>
      <c r="R71" t="s">
        <v>23</v>
      </c>
      <c r="S71">
        <v>12</v>
      </c>
    </row>
    <row r="72" spans="1:19" x14ac:dyDescent="0.3">
      <c r="A72">
        <v>3.5</v>
      </c>
      <c r="B72" t="s">
        <v>751</v>
      </c>
      <c r="C72" t="s">
        <v>754</v>
      </c>
      <c r="D72" t="s">
        <v>127</v>
      </c>
      <c r="E72">
        <v>3.625</v>
      </c>
      <c r="F72">
        <v>4.29</v>
      </c>
      <c r="G72">
        <v>8.2840000000000007</v>
      </c>
      <c r="I72" t="s">
        <v>750</v>
      </c>
      <c r="J72">
        <v>1.25</v>
      </c>
      <c r="K72">
        <v>1.66</v>
      </c>
      <c r="L72">
        <v>2.5</v>
      </c>
      <c r="M72">
        <v>6</v>
      </c>
      <c r="N72">
        <v>11.0625</v>
      </c>
      <c r="P72">
        <v>1.5</v>
      </c>
      <c r="Q72" t="s">
        <v>20</v>
      </c>
      <c r="R72" t="s">
        <v>22</v>
      </c>
      <c r="S72">
        <v>9</v>
      </c>
    </row>
    <row r="73" spans="1:19" x14ac:dyDescent="0.3">
      <c r="A73">
        <v>4</v>
      </c>
      <c r="B73" t="s">
        <v>751</v>
      </c>
      <c r="C73" t="s">
        <v>754</v>
      </c>
      <c r="D73" t="s">
        <v>127</v>
      </c>
      <c r="E73">
        <v>4.125</v>
      </c>
      <c r="F73">
        <v>5.38</v>
      </c>
      <c r="G73">
        <v>10.558999999999999</v>
      </c>
      <c r="I73" t="s">
        <v>750</v>
      </c>
      <c r="J73">
        <v>1.25</v>
      </c>
      <c r="K73">
        <v>1.66</v>
      </c>
      <c r="L73">
        <v>3</v>
      </c>
      <c r="M73">
        <v>8</v>
      </c>
      <c r="N73">
        <f>13.8125</f>
        <v>13.8125</v>
      </c>
      <c r="P73">
        <v>1.5</v>
      </c>
      <c r="Q73" t="s">
        <v>20</v>
      </c>
      <c r="R73" t="s">
        <v>23</v>
      </c>
      <c r="S73">
        <v>12</v>
      </c>
    </row>
    <row r="74" spans="1:19" x14ac:dyDescent="0.3">
      <c r="A74">
        <v>5</v>
      </c>
      <c r="B74" t="s">
        <v>751</v>
      </c>
      <c r="C74" t="s">
        <v>754</v>
      </c>
      <c r="D74" t="s">
        <v>127</v>
      </c>
      <c r="E74">
        <v>5.125</v>
      </c>
      <c r="F74">
        <v>7.61</v>
      </c>
      <c r="G74">
        <v>15.696999999999999</v>
      </c>
      <c r="I74" t="s">
        <v>751</v>
      </c>
      <c r="J74">
        <v>1.5</v>
      </c>
      <c r="K74">
        <v>1.625</v>
      </c>
      <c r="L74">
        <v>0.5</v>
      </c>
      <c r="M74">
        <v>2.5</v>
      </c>
      <c r="N74">
        <f>6.1875</f>
        <v>6.1875</v>
      </c>
      <c r="P74">
        <v>1.5</v>
      </c>
      <c r="Q74" t="s">
        <v>126</v>
      </c>
      <c r="R74" t="s">
        <v>22</v>
      </c>
      <c r="S74">
        <v>8</v>
      </c>
    </row>
    <row r="75" spans="1:19" x14ac:dyDescent="0.3">
      <c r="A75">
        <v>6</v>
      </c>
      <c r="B75" t="s">
        <v>751</v>
      </c>
      <c r="C75" t="s">
        <v>754</v>
      </c>
      <c r="D75" t="s">
        <v>127</v>
      </c>
      <c r="E75">
        <v>6.125</v>
      </c>
      <c r="F75">
        <v>10.199999999999999</v>
      </c>
      <c r="G75">
        <v>21.806000000000001</v>
      </c>
      <c r="I75" t="s">
        <v>751</v>
      </c>
      <c r="J75">
        <v>1.5</v>
      </c>
      <c r="K75">
        <v>1.625</v>
      </c>
      <c r="L75">
        <v>0.75</v>
      </c>
      <c r="M75">
        <v>3</v>
      </c>
      <c r="N75">
        <v>6.75</v>
      </c>
      <c r="P75">
        <v>1.5</v>
      </c>
      <c r="Q75" t="s">
        <v>126</v>
      </c>
      <c r="R75" t="s">
        <v>23</v>
      </c>
      <c r="S75">
        <v>10</v>
      </c>
    </row>
    <row r="76" spans="1:19" x14ac:dyDescent="0.3">
      <c r="A76">
        <v>8</v>
      </c>
      <c r="B76" t="s">
        <v>751</v>
      </c>
      <c r="C76" t="s">
        <v>754</v>
      </c>
      <c r="D76" t="s">
        <v>127</v>
      </c>
      <c r="E76">
        <v>8.125</v>
      </c>
      <c r="F76">
        <v>19.3</v>
      </c>
      <c r="G76">
        <v>39.58</v>
      </c>
      <c r="I76" t="s">
        <v>751</v>
      </c>
      <c r="J76">
        <v>1.5</v>
      </c>
      <c r="K76">
        <v>1.625</v>
      </c>
      <c r="L76">
        <v>1</v>
      </c>
      <c r="M76">
        <v>3.5</v>
      </c>
      <c r="N76">
        <v>7.25</v>
      </c>
      <c r="P76">
        <v>1.5</v>
      </c>
      <c r="Q76" t="s">
        <v>127</v>
      </c>
      <c r="R76" t="s">
        <v>22</v>
      </c>
      <c r="S76">
        <v>8</v>
      </c>
    </row>
    <row r="77" spans="1:19" x14ac:dyDescent="0.3">
      <c r="A77">
        <v>10</v>
      </c>
      <c r="B77" t="s">
        <v>751</v>
      </c>
      <c r="C77" t="s">
        <v>754</v>
      </c>
      <c r="D77" t="s">
        <v>127</v>
      </c>
      <c r="E77">
        <v>10.125</v>
      </c>
      <c r="F77">
        <v>30.1</v>
      </c>
      <c r="G77">
        <v>61.612000000000002</v>
      </c>
      <c r="I77" t="s">
        <v>751</v>
      </c>
      <c r="J77">
        <v>1.5</v>
      </c>
      <c r="K77">
        <v>1.625</v>
      </c>
      <c r="L77">
        <v>1.5</v>
      </c>
      <c r="M77">
        <v>5</v>
      </c>
      <c r="N77">
        <v>10</v>
      </c>
      <c r="P77">
        <v>1.5</v>
      </c>
      <c r="Q77" t="s">
        <v>127</v>
      </c>
      <c r="R77" t="s">
        <v>23</v>
      </c>
      <c r="S77">
        <v>10</v>
      </c>
    </row>
    <row r="78" spans="1:19" x14ac:dyDescent="0.3">
      <c r="A78">
        <v>12</v>
      </c>
      <c r="B78" t="s">
        <v>751</v>
      </c>
      <c r="C78" t="s">
        <v>754</v>
      </c>
      <c r="D78" t="s">
        <v>127</v>
      </c>
      <c r="E78">
        <v>12.125</v>
      </c>
      <c r="F78">
        <v>40.4</v>
      </c>
      <c r="G78">
        <v>85.89</v>
      </c>
      <c r="I78" t="s">
        <v>753</v>
      </c>
      <c r="J78">
        <v>1.5</v>
      </c>
      <c r="K78">
        <v>1.9</v>
      </c>
      <c r="L78">
        <v>0.5</v>
      </c>
      <c r="M78">
        <v>2.5</v>
      </c>
      <c r="N78">
        <f>6.1875</f>
        <v>6.1875</v>
      </c>
      <c r="P78">
        <v>1.5</v>
      </c>
      <c r="Q78" t="s">
        <v>128</v>
      </c>
      <c r="R78" t="s">
        <v>22</v>
      </c>
      <c r="S78">
        <v>4</v>
      </c>
    </row>
    <row r="79" spans="1:19" x14ac:dyDescent="0.3">
      <c r="A79">
        <v>0.125</v>
      </c>
      <c r="B79" t="s">
        <v>753</v>
      </c>
      <c r="C79">
        <v>40</v>
      </c>
      <c r="D79" t="s">
        <v>128</v>
      </c>
      <c r="E79">
        <v>0.40500000000000003</v>
      </c>
      <c r="F79">
        <v>4.2999999999999997E-2</v>
      </c>
      <c r="G79">
        <v>6.8000000000000005E-2</v>
      </c>
      <c r="I79" t="s">
        <v>753</v>
      </c>
      <c r="J79">
        <v>1.5</v>
      </c>
      <c r="K79">
        <v>1.9</v>
      </c>
      <c r="L79">
        <v>0.75</v>
      </c>
      <c r="M79">
        <v>3</v>
      </c>
      <c r="N79">
        <v>6.75</v>
      </c>
      <c r="P79">
        <v>1.5</v>
      </c>
      <c r="Q79" t="s">
        <v>128</v>
      </c>
      <c r="R79" t="s">
        <v>23</v>
      </c>
      <c r="S79">
        <v>4</v>
      </c>
    </row>
    <row r="80" spans="1:19" x14ac:dyDescent="0.3">
      <c r="A80">
        <v>0.25</v>
      </c>
      <c r="B80" t="s">
        <v>753</v>
      </c>
      <c r="C80">
        <v>40</v>
      </c>
      <c r="D80" t="s">
        <v>128</v>
      </c>
      <c r="E80">
        <v>0.54</v>
      </c>
      <c r="F80">
        <v>7.3999999999999996E-2</v>
      </c>
      <c r="G80">
        <v>0.11899999999999999</v>
      </c>
      <c r="I80" t="s">
        <v>753</v>
      </c>
      <c r="J80">
        <v>1.5</v>
      </c>
      <c r="K80">
        <v>1.9</v>
      </c>
      <c r="L80">
        <v>1</v>
      </c>
      <c r="M80">
        <v>3.5</v>
      </c>
      <c r="N80">
        <v>7.25</v>
      </c>
      <c r="P80">
        <v>1.5</v>
      </c>
      <c r="Q80" t="s">
        <v>129</v>
      </c>
      <c r="R80" t="s">
        <v>22</v>
      </c>
      <c r="S80">
        <v>4</v>
      </c>
    </row>
    <row r="81" spans="1:19" x14ac:dyDescent="0.3">
      <c r="A81">
        <v>0.375</v>
      </c>
      <c r="B81" t="s">
        <v>753</v>
      </c>
      <c r="C81">
        <v>40</v>
      </c>
      <c r="D81" t="s">
        <v>128</v>
      </c>
      <c r="E81">
        <v>0.67500000000000004</v>
      </c>
      <c r="F81">
        <v>0.1</v>
      </c>
      <c r="G81">
        <v>0.183</v>
      </c>
      <c r="I81" t="s">
        <v>753</v>
      </c>
      <c r="J81">
        <v>1.5</v>
      </c>
      <c r="K81">
        <v>1.9</v>
      </c>
      <c r="L81">
        <v>1.5</v>
      </c>
      <c r="M81">
        <v>5</v>
      </c>
      <c r="N81">
        <v>10</v>
      </c>
      <c r="P81">
        <v>1.5</v>
      </c>
      <c r="Q81" t="s">
        <v>129</v>
      </c>
      <c r="R81" t="s">
        <v>23</v>
      </c>
      <c r="S81">
        <v>4</v>
      </c>
    </row>
    <row r="82" spans="1:19" x14ac:dyDescent="0.3">
      <c r="A82">
        <v>0.5</v>
      </c>
      <c r="B82" t="s">
        <v>753</v>
      </c>
      <c r="C82">
        <v>40</v>
      </c>
      <c r="D82" t="s">
        <v>128</v>
      </c>
      <c r="E82">
        <v>0.84</v>
      </c>
      <c r="F82">
        <v>0.15</v>
      </c>
      <c r="G82">
        <v>0.28199999999999997</v>
      </c>
      <c r="I82" t="s">
        <v>753</v>
      </c>
      <c r="J82">
        <v>1.5</v>
      </c>
      <c r="K82">
        <v>1.9</v>
      </c>
      <c r="L82">
        <v>2</v>
      </c>
      <c r="M82">
        <v>6</v>
      </c>
      <c r="N82">
        <v>11.0625</v>
      </c>
      <c r="P82">
        <v>2</v>
      </c>
      <c r="Q82" t="s">
        <v>120</v>
      </c>
      <c r="R82" t="s">
        <v>22</v>
      </c>
      <c r="S82">
        <v>10</v>
      </c>
    </row>
    <row r="83" spans="1:19" x14ac:dyDescent="0.3">
      <c r="A83">
        <v>0.75</v>
      </c>
      <c r="B83" t="s">
        <v>753</v>
      </c>
      <c r="C83">
        <v>40</v>
      </c>
      <c r="D83" t="s">
        <v>128</v>
      </c>
      <c r="E83">
        <v>1.05</v>
      </c>
      <c r="F83">
        <v>0.19900000000000001</v>
      </c>
      <c r="G83">
        <v>0.42899999999999999</v>
      </c>
      <c r="I83" t="s">
        <v>753</v>
      </c>
      <c r="J83">
        <v>1.5</v>
      </c>
      <c r="K83">
        <v>1.9</v>
      </c>
      <c r="L83">
        <v>2.5</v>
      </c>
      <c r="M83">
        <v>8</v>
      </c>
      <c r="N83">
        <f>13.8125</f>
        <v>13.8125</v>
      </c>
      <c r="P83">
        <v>2</v>
      </c>
      <c r="Q83" t="s">
        <v>120</v>
      </c>
      <c r="R83" t="s">
        <v>23</v>
      </c>
      <c r="S83">
        <v>13</v>
      </c>
    </row>
    <row r="84" spans="1:19" x14ac:dyDescent="0.3">
      <c r="A84">
        <v>1</v>
      </c>
      <c r="B84" t="s">
        <v>753</v>
      </c>
      <c r="C84">
        <v>40</v>
      </c>
      <c r="D84" t="s">
        <v>128</v>
      </c>
      <c r="E84">
        <v>1.3149999999999999</v>
      </c>
      <c r="F84">
        <v>0.29499999999999998</v>
      </c>
      <c r="G84">
        <v>0.66900000000000004</v>
      </c>
      <c r="I84" t="s">
        <v>753</v>
      </c>
      <c r="J84">
        <v>1.5</v>
      </c>
      <c r="K84">
        <v>1.9</v>
      </c>
      <c r="L84">
        <v>3</v>
      </c>
      <c r="M84">
        <v>8</v>
      </c>
      <c r="N84">
        <f>13.8125</f>
        <v>13.8125</v>
      </c>
      <c r="P84">
        <v>2</v>
      </c>
      <c r="Q84" t="s">
        <v>20</v>
      </c>
      <c r="R84" t="s">
        <v>22</v>
      </c>
      <c r="S84">
        <v>10</v>
      </c>
    </row>
    <row r="85" spans="1:19" x14ac:dyDescent="0.3">
      <c r="A85">
        <v>1.25</v>
      </c>
      <c r="B85" t="s">
        <v>753</v>
      </c>
      <c r="C85">
        <v>40</v>
      </c>
      <c r="D85" t="s">
        <v>128</v>
      </c>
      <c r="E85">
        <v>1.66</v>
      </c>
      <c r="F85">
        <v>0.4</v>
      </c>
      <c r="G85">
        <v>1.0469999999999999</v>
      </c>
      <c r="I85" t="s">
        <v>750</v>
      </c>
      <c r="J85">
        <v>1.5</v>
      </c>
      <c r="K85">
        <v>1.9</v>
      </c>
      <c r="L85">
        <v>0.5</v>
      </c>
      <c r="M85">
        <v>2.5</v>
      </c>
      <c r="N85">
        <f>6.1875</f>
        <v>6.1875</v>
      </c>
      <c r="P85">
        <v>2</v>
      </c>
      <c r="Q85" t="s">
        <v>20</v>
      </c>
      <c r="R85" t="s">
        <v>23</v>
      </c>
      <c r="S85">
        <v>13</v>
      </c>
    </row>
    <row r="86" spans="1:19" x14ac:dyDescent="0.3">
      <c r="A86">
        <v>1.5</v>
      </c>
      <c r="B86" t="s">
        <v>753</v>
      </c>
      <c r="C86">
        <v>40</v>
      </c>
      <c r="D86" t="s">
        <v>128</v>
      </c>
      <c r="E86">
        <v>1.9</v>
      </c>
      <c r="F86">
        <v>0.47799999999999998</v>
      </c>
      <c r="G86">
        <v>1.36</v>
      </c>
      <c r="I86" t="s">
        <v>750</v>
      </c>
      <c r="J86">
        <v>1.5</v>
      </c>
      <c r="K86">
        <v>1.9</v>
      </c>
      <c r="L86">
        <v>0.75</v>
      </c>
      <c r="M86">
        <v>3</v>
      </c>
      <c r="N86">
        <v>6.75</v>
      </c>
      <c r="P86">
        <v>2</v>
      </c>
      <c r="Q86" t="s">
        <v>126</v>
      </c>
      <c r="R86" t="s">
        <v>22</v>
      </c>
      <c r="S86">
        <v>8</v>
      </c>
    </row>
    <row r="87" spans="1:19" x14ac:dyDescent="0.3">
      <c r="A87">
        <v>2</v>
      </c>
      <c r="B87" t="s">
        <v>753</v>
      </c>
      <c r="C87">
        <v>40</v>
      </c>
      <c r="D87" t="s">
        <v>128</v>
      </c>
      <c r="E87">
        <v>2.375</v>
      </c>
      <c r="F87">
        <v>0.64300000000000002</v>
      </c>
      <c r="G87">
        <v>2.0950000000000002</v>
      </c>
      <c r="I87" t="s">
        <v>750</v>
      </c>
      <c r="J87">
        <v>1.5</v>
      </c>
      <c r="K87">
        <v>1.9</v>
      </c>
      <c r="L87">
        <v>1</v>
      </c>
      <c r="M87">
        <v>3.5</v>
      </c>
      <c r="N87">
        <v>7.25</v>
      </c>
      <c r="P87">
        <v>2</v>
      </c>
      <c r="Q87" t="s">
        <v>126</v>
      </c>
      <c r="R87" t="s">
        <v>23</v>
      </c>
      <c r="S87">
        <v>11</v>
      </c>
    </row>
    <row r="88" spans="1:19" x14ac:dyDescent="0.3">
      <c r="A88">
        <v>2.5</v>
      </c>
      <c r="B88" t="s">
        <v>753</v>
      </c>
      <c r="C88">
        <v>40</v>
      </c>
      <c r="D88" t="s">
        <v>128</v>
      </c>
      <c r="E88">
        <v>2.875</v>
      </c>
      <c r="F88">
        <v>1.02</v>
      </c>
      <c r="G88">
        <v>3.0920000000000001</v>
      </c>
      <c r="I88" t="s">
        <v>750</v>
      </c>
      <c r="J88">
        <v>1.5</v>
      </c>
      <c r="K88">
        <v>1.9</v>
      </c>
      <c r="L88">
        <v>1.5</v>
      </c>
      <c r="M88">
        <v>5</v>
      </c>
      <c r="N88">
        <v>10</v>
      </c>
      <c r="P88">
        <v>2</v>
      </c>
      <c r="Q88" t="s">
        <v>127</v>
      </c>
      <c r="R88" t="s">
        <v>22</v>
      </c>
      <c r="S88">
        <v>8</v>
      </c>
    </row>
    <row r="89" spans="1:19" x14ac:dyDescent="0.3">
      <c r="A89">
        <v>3</v>
      </c>
      <c r="B89" t="s">
        <v>753</v>
      </c>
      <c r="C89">
        <v>40</v>
      </c>
      <c r="D89" t="s">
        <v>128</v>
      </c>
      <c r="E89">
        <v>3.5</v>
      </c>
      <c r="F89">
        <v>1.333</v>
      </c>
      <c r="G89">
        <v>4.5330000000000004</v>
      </c>
      <c r="I89" t="s">
        <v>750</v>
      </c>
      <c r="J89">
        <v>1.5</v>
      </c>
      <c r="K89">
        <v>1.9</v>
      </c>
      <c r="L89">
        <v>2</v>
      </c>
      <c r="M89">
        <v>6</v>
      </c>
      <c r="N89">
        <v>11.0625</v>
      </c>
      <c r="P89">
        <v>2</v>
      </c>
      <c r="Q89" t="s">
        <v>127</v>
      </c>
      <c r="R89" t="s">
        <v>23</v>
      </c>
      <c r="S89">
        <v>11</v>
      </c>
    </row>
    <row r="90" spans="1:19" x14ac:dyDescent="0.3">
      <c r="A90">
        <v>3.5</v>
      </c>
      <c r="B90" t="s">
        <v>753</v>
      </c>
      <c r="C90">
        <v>40</v>
      </c>
      <c r="D90" t="s">
        <v>128</v>
      </c>
      <c r="E90">
        <v>4</v>
      </c>
      <c r="F90">
        <v>1.5980000000000001</v>
      </c>
      <c r="G90">
        <v>5.8780000000000001</v>
      </c>
      <c r="I90" t="s">
        <v>750</v>
      </c>
      <c r="J90">
        <v>1.5</v>
      </c>
      <c r="K90">
        <v>1.9</v>
      </c>
      <c r="L90">
        <v>2.5</v>
      </c>
      <c r="M90">
        <v>8</v>
      </c>
      <c r="N90">
        <f>13.8125</f>
        <v>13.8125</v>
      </c>
      <c r="P90">
        <v>2</v>
      </c>
      <c r="Q90" t="s">
        <v>128</v>
      </c>
      <c r="R90" t="s">
        <v>22</v>
      </c>
      <c r="S90">
        <v>4</v>
      </c>
    </row>
    <row r="91" spans="1:19" x14ac:dyDescent="0.3">
      <c r="A91">
        <v>4</v>
      </c>
      <c r="B91" t="s">
        <v>753</v>
      </c>
      <c r="C91">
        <v>40</v>
      </c>
      <c r="D91" t="s">
        <v>128</v>
      </c>
      <c r="E91">
        <v>4.5</v>
      </c>
      <c r="F91">
        <v>1.899</v>
      </c>
      <c r="G91">
        <v>7.4089999999999998</v>
      </c>
      <c r="I91" t="s">
        <v>750</v>
      </c>
      <c r="J91">
        <v>1.5</v>
      </c>
      <c r="K91">
        <v>1.9</v>
      </c>
      <c r="L91">
        <v>3</v>
      </c>
      <c r="M91">
        <v>8</v>
      </c>
      <c r="N91">
        <f>13.8125</f>
        <v>13.8125</v>
      </c>
      <c r="P91">
        <v>2</v>
      </c>
      <c r="Q91" t="s">
        <v>128</v>
      </c>
      <c r="R91" t="s">
        <v>23</v>
      </c>
      <c r="S91">
        <v>4</v>
      </c>
    </row>
    <row r="92" spans="1:19" x14ac:dyDescent="0.3">
      <c r="A92">
        <v>5</v>
      </c>
      <c r="B92" t="s">
        <v>753</v>
      </c>
      <c r="C92">
        <v>40</v>
      </c>
      <c r="D92" t="s">
        <v>128</v>
      </c>
      <c r="E92">
        <v>5.5629999999999997</v>
      </c>
      <c r="F92">
        <v>2.77</v>
      </c>
      <c r="G92">
        <v>11.43</v>
      </c>
      <c r="I92" t="s">
        <v>751</v>
      </c>
      <c r="J92">
        <v>2</v>
      </c>
      <c r="K92">
        <v>2.125</v>
      </c>
      <c r="L92">
        <v>0.5</v>
      </c>
      <c r="M92">
        <v>3</v>
      </c>
      <c r="N92">
        <v>6.75</v>
      </c>
      <c r="P92">
        <v>2</v>
      </c>
      <c r="Q92" t="s">
        <v>129</v>
      </c>
      <c r="R92" t="s">
        <v>22</v>
      </c>
      <c r="S92">
        <v>4</v>
      </c>
    </row>
    <row r="93" spans="1:19" x14ac:dyDescent="0.3">
      <c r="A93">
        <v>6</v>
      </c>
      <c r="B93" t="s">
        <v>753</v>
      </c>
      <c r="C93">
        <v>40</v>
      </c>
      <c r="D93" t="s">
        <v>128</v>
      </c>
      <c r="E93">
        <v>6.625</v>
      </c>
      <c r="F93">
        <v>3.339</v>
      </c>
      <c r="G93">
        <v>15.489000000000001</v>
      </c>
      <c r="I93" t="s">
        <v>751</v>
      </c>
      <c r="J93">
        <v>2</v>
      </c>
      <c r="K93">
        <v>2.125</v>
      </c>
      <c r="L93">
        <v>0.75</v>
      </c>
      <c r="M93">
        <v>3.5</v>
      </c>
      <c r="N93">
        <v>7.25</v>
      </c>
      <c r="P93">
        <v>2</v>
      </c>
      <c r="Q93" t="s">
        <v>129</v>
      </c>
      <c r="R93" t="s">
        <v>23</v>
      </c>
      <c r="S93">
        <v>4</v>
      </c>
    </row>
    <row r="94" spans="1:19" x14ac:dyDescent="0.3">
      <c r="A94">
        <v>8</v>
      </c>
      <c r="B94" t="s">
        <v>753</v>
      </c>
      <c r="C94">
        <v>40</v>
      </c>
      <c r="D94" t="s">
        <v>128</v>
      </c>
      <c r="E94">
        <v>8.625</v>
      </c>
      <c r="F94">
        <v>5.28</v>
      </c>
      <c r="G94">
        <v>26.88</v>
      </c>
      <c r="I94" t="s">
        <v>751</v>
      </c>
      <c r="J94">
        <v>2</v>
      </c>
      <c r="K94">
        <v>2.125</v>
      </c>
      <c r="L94">
        <v>1</v>
      </c>
      <c r="M94">
        <v>4</v>
      </c>
      <c r="N94">
        <v>7.25</v>
      </c>
      <c r="P94">
        <v>2.5</v>
      </c>
      <c r="Q94" t="s">
        <v>120</v>
      </c>
      <c r="R94" t="s">
        <v>22</v>
      </c>
      <c r="S94">
        <v>11</v>
      </c>
    </row>
    <row r="95" spans="1:19" x14ac:dyDescent="0.3">
      <c r="A95">
        <v>10</v>
      </c>
      <c r="B95" t="s">
        <v>753</v>
      </c>
      <c r="C95">
        <v>40</v>
      </c>
      <c r="D95" t="s">
        <v>128</v>
      </c>
      <c r="E95">
        <v>10.75</v>
      </c>
      <c r="F95">
        <v>7.5049999999999999</v>
      </c>
      <c r="G95">
        <v>41.604999999999997</v>
      </c>
      <c r="I95" t="s">
        <v>751</v>
      </c>
      <c r="J95">
        <v>2</v>
      </c>
      <c r="K95">
        <v>2.125</v>
      </c>
      <c r="L95">
        <v>1.5</v>
      </c>
      <c r="M95">
        <v>5</v>
      </c>
      <c r="N95">
        <v>10</v>
      </c>
      <c r="P95">
        <v>2.5</v>
      </c>
      <c r="Q95" t="s">
        <v>120</v>
      </c>
      <c r="R95" t="s">
        <v>23</v>
      </c>
      <c r="S95">
        <v>14</v>
      </c>
    </row>
    <row r="96" spans="1:19" x14ac:dyDescent="0.3">
      <c r="A96">
        <v>12</v>
      </c>
      <c r="B96" t="s">
        <v>753</v>
      </c>
      <c r="C96">
        <v>40</v>
      </c>
      <c r="D96" t="s">
        <v>128</v>
      </c>
      <c r="E96">
        <v>12.75</v>
      </c>
      <c r="F96">
        <v>10.023</v>
      </c>
      <c r="G96">
        <v>58.523000000000003</v>
      </c>
      <c r="I96" t="s">
        <v>753</v>
      </c>
      <c r="J96">
        <v>2</v>
      </c>
      <c r="K96">
        <v>2.375</v>
      </c>
      <c r="L96">
        <v>0.5</v>
      </c>
      <c r="M96">
        <v>3</v>
      </c>
      <c r="N96">
        <v>6.75</v>
      </c>
      <c r="P96">
        <v>2.5</v>
      </c>
      <c r="Q96" t="s">
        <v>20</v>
      </c>
      <c r="R96" t="s">
        <v>22</v>
      </c>
      <c r="S96">
        <v>11</v>
      </c>
    </row>
    <row r="97" spans="1:19" x14ac:dyDescent="0.3">
      <c r="A97">
        <v>0.125</v>
      </c>
      <c r="B97" t="s">
        <v>753</v>
      </c>
      <c r="C97">
        <v>80</v>
      </c>
      <c r="D97" t="s">
        <v>129</v>
      </c>
      <c r="E97">
        <v>0.40500000000000003</v>
      </c>
      <c r="F97">
        <v>5.5E-2</v>
      </c>
      <c r="G97">
        <v>7.0999999999999994E-2</v>
      </c>
      <c r="I97" t="s">
        <v>753</v>
      </c>
      <c r="J97">
        <v>2</v>
      </c>
      <c r="K97">
        <v>2.375</v>
      </c>
      <c r="L97">
        <v>0.75</v>
      </c>
      <c r="M97">
        <v>3.5</v>
      </c>
      <c r="N97">
        <v>7.25</v>
      </c>
      <c r="P97">
        <v>2.5</v>
      </c>
      <c r="Q97" t="s">
        <v>20</v>
      </c>
      <c r="R97" t="s">
        <v>23</v>
      </c>
      <c r="S97">
        <v>14</v>
      </c>
    </row>
    <row r="98" spans="1:19" x14ac:dyDescent="0.3">
      <c r="A98">
        <v>0.25</v>
      </c>
      <c r="B98" t="s">
        <v>753</v>
      </c>
      <c r="C98">
        <v>80</v>
      </c>
      <c r="D98" t="s">
        <v>129</v>
      </c>
      <c r="E98">
        <v>0.54</v>
      </c>
      <c r="F98">
        <v>9.4E-2</v>
      </c>
      <c r="G98">
        <v>0.125</v>
      </c>
      <c r="I98" t="s">
        <v>753</v>
      </c>
      <c r="J98">
        <v>2</v>
      </c>
      <c r="K98">
        <v>2.375</v>
      </c>
      <c r="L98">
        <v>1</v>
      </c>
      <c r="M98">
        <v>4</v>
      </c>
      <c r="N98">
        <v>7.25</v>
      </c>
      <c r="P98">
        <v>2.5</v>
      </c>
      <c r="Q98" t="s">
        <v>126</v>
      </c>
      <c r="R98" t="s">
        <v>22</v>
      </c>
      <c r="S98">
        <v>9</v>
      </c>
    </row>
    <row r="99" spans="1:19" x14ac:dyDescent="0.3">
      <c r="A99">
        <v>0.375</v>
      </c>
      <c r="B99" t="s">
        <v>753</v>
      </c>
      <c r="C99">
        <v>80</v>
      </c>
      <c r="D99" t="s">
        <v>129</v>
      </c>
      <c r="E99">
        <v>0.67500000000000004</v>
      </c>
      <c r="F99">
        <v>0.129</v>
      </c>
      <c r="G99">
        <v>0.19</v>
      </c>
      <c r="I99" t="s">
        <v>753</v>
      </c>
      <c r="J99">
        <v>2</v>
      </c>
      <c r="K99">
        <v>2.375</v>
      </c>
      <c r="L99">
        <v>1.5</v>
      </c>
      <c r="M99">
        <v>5</v>
      </c>
      <c r="N99">
        <v>10</v>
      </c>
      <c r="P99">
        <v>2.5</v>
      </c>
      <c r="Q99" t="s">
        <v>126</v>
      </c>
      <c r="R99" t="s">
        <v>23</v>
      </c>
      <c r="S99">
        <v>13</v>
      </c>
    </row>
    <row r="100" spans="1:19" x14ac:dyDescent="0.3">
      <c r="A100">
        <v>0.5</v>
      </c>
      <c r="B100" t="s">
        <v>753</v>
      </c>
      <c r="C100">
        <v>80</v>
      </c>
      <c r="D100" t="s">
        <v>129</v>
      </c>
      <c r="E100">
        <v>0.84</v>
      </c>
      <c r="F100">
        <v>0.15</v>
      </c>
      <c r="G100">
        <v>0.251</v>
      </c>
      <c r="I100" t="s">
        <v>753</v>
      </c>
      <c r="J100">
        <v>2</v>
      </c>
      <c r="K100">
        <v>2.375</v>
      </c>
      <c r="L100">
        <v>2</v>
      </c>
      <c r="M100">
        <v>6</v>
      </c>
      <c r="N100">
        <v>11.0625</v>
      </c>
      <c r="P100">
        <v>2.5</v>
      </c>
      <c r="Q100" t="s">
        <v>127</v>
      </c>
      <c r="R100" t="s">
        <v>22</v>
      </c>
      <c r="S100">
        <v>9</v>
      </c>
    </row>
    <row r="101" spans="1:19" x14ac:dyDescent="0.3">
      <c r="A101">
        <v>0.75</v>
      </c>
      <c r="B101" t="s">
        <v>753</v>
      </c>
      <c r="C101">
        <v>80</v>
      </c>
      <c r="D101" t="s">
        <v>129</v>
      </c>
      <c r="E101">
        <v>1.05</v>
      </c>
      <c r="F101">
        <v>0.29499999999999998</v>
      </c>
      <c r="G101">
        <v>0.48099999999999998</v>
      </c>
      <c r="I101" t="s">
        <v>753</v>
      </c>
      <c r="J101">
        <v>2</v>
      </c>
      <c r="K101">
        <v>2.375</v>
      </c>
      <c r="L101">
        <v>2.5</v>
      </c>
      <c r="M101">
        <v>8</v>
      </c>
      <c r="N101">
        <f>13.8125</f>
        <v>13.8125</v>
      </c>
      <c r="P101">
        <v>2.5</v>
      </c>
      <c r="Q101" t="s">
        <v>127</v>
      </c>
      <c r="R101" t="s">
        <v>23</v>
      </c>
      <c r="S101">
        <v>13</v>
      </c>
    </row>
    <row r="102" spans="1:19" x14ac:dyDescent="0.3">
      <c r="A102">
        <v>1</v>
      </c>
      <c r="B102" t="s">
        <v>753</v>
      </c>
      <c r="C102">
        <v>80</v>
      </c>
      <c r="D102" t="s">
        <v>129</v>
      </c>
      <c r="E102">
        <v>1.3149999999999999</v>
      </c>
      <c r="F102">
        <v>0.38200000000000001</v>
      </c>
      <c r="G102">
        <v>0.69299999999999995</v>
      </c>
      <c r="I102" t="s">
        <v>753</v>
      </c>
      <c r="J102">
        <v>2</v>
      </c>
      <c r="K102">
        <v>2.375</v>
      </c>
      <c r="L102">
        <v>3</v>
      </c>
      <c r="M102">
        <v>8</v>
      </c>
      <c r="N102">
        <f>13.8125</f>
        <v>13.8125</v>
      </c>
      <c r="P102">
        <v>2.5</v>
      </c>
      <c r="Q102" t="s">
        <v>128</v>
      </c>
      <c r="R102" t="s">
        <v>22</v>
      </c>
      <c r="S102">
        <v>4</v>
      </c>
    </row>
    <row r="103" spans="1:19" x14ac:dyDescent="0.3">
      <c r="A103">
        <v>1.25</v>
      </c>
      <c r="B103" t="s">
        <v>753</v>
      </c>
      <c r="C103">
        <v>80</v>
      </c>
      <c r="D103" t="s">
        <v>129</v>
      </c>
      <c r="E103">
        <v>1.66</v>
      </c>
      <c r="F103">
        <v>0.52700000000000002</v>
      </c>
      <c r="G103">
        <v>1.0820000000000001</v>
      </c>
      <c r="I103" t="s">
        <v>753</v>
      </c>
      <c r="J103">
        <v>2</v>
      </c>
      <c r="K103">
        <v>2.375</v>
      </c>
      <c r="L103">
        <v>3.5</v>
      </c>
      <c r="M103">
        <v>10</v>
      </c>
      <c r="N103">
        <f>16.3125</f>
        <v>16.3125</v>
      </c>
      <c r="P103">
        <v>2.5</v>
      </c>
      <c r="Q103" t="s">
        <v>128</v>
      </c>
      <c r="R103" t="s">
        <v>23</v>
      </c>
      <c r="S103">
        <v>4</v>
      </c>
    </row>
    <row r="104" spans="1:19" x14ac:dyDescent="0.3">
      <c r="A104">
        <v>1.5</v>
      </c>
      <c r="B104" t="s">
        <v>753</v>
      </c>
      <c r="C104">
        <v>80</v>
      </c>
      <c r="D104" t="s">
        <v>129</v>
      </c>
      <c r="E104">
        <v>1.9</v>
      </c>
      <c r="F104">
        <v>0.63900000000000001</v>
      </c>
      <c r="G104">
        <v>1.4039999999999999</v>
      </c>
      <c r="I104" t="s">
        <v>750</v>
      </c>
      <c r="J104">
        <v>2</v>
      </c>
      <c r="K104">
        <v>2.375</v>
      </c>
      <c r="L104">
        <v>0.5</v>
      </c>
      <c r="M104">
        <v>3</v>
      </c>
      <c r="N104">
        <v>6.75</v>
      </c>
      <c r="P104">
        <v>2.5</v>
      </c>
      <c r="Q104" t="s">
        <v>129</v>
      </c>
      <c r="R104" t="s">
        <v>22</v>
      </c>
      <c r="S104">
        <v>4</v>
      </c>
    </row>
    <row r="105" spans="1:19" x14ac:dyDescent="0.3">
      <c r="A105">
        <v>2</v>
      </c>
      <c r="B105" t="s">
        <v>753</v>
      </c>
      <c r="C105">
        <v>80</v>
      </c>
      <c r="D105" t="s">
        <v>129</v>
      </c>
      <c r="E105">
        <v>2.375</v>
      </c>
      <c r="F105">
        <v>0.88400000000000001</v>
      </c>
      <c r="G105">
        <v>2.1629999999999998</v>
      </c>
      <c r="I105" t="s">
        <v>750</v>
      </c>
      <c r="J105">
        <v>2</v>
      </c>
      <c r="K105">
        <v>2.375</v>
      </c>
      <c r="L105">
        <v>0.75</v>
      </c>
      <c r="M105">
        <v>3.5</v>
      </c>
      <c r="N105">
        <v>7.25</v>
      </c>
      <c r="P105">
        <v>2.5</v>
      </c>
      <c r="Q105" t="s">
        <v>129</v>
      </c>
      <c r="R105" t="s">
        <v>23</v>
      </c>
      <c r="S105">
        <v>4</v>
      </c>
    </row>
    <row r="106" spans="1:19" x14ac:dyDescent="0.3">
      <c r="A106">
        <v>2.5</v>
      </c>
      <c r="B106" t="s">
        <v>753</v>
      </c>
      <c r="C106">
        <v>80</v>
      </c>
      <c r="D106" t="s">
        <v>129</v>
      </c>
      <c r="E106">
        <v>2.875</v>
      </c>
      <c r="F106">
        <v>1.35</v>
      </c>
      <c r="G106">
        <v>3.1840000000000002</v>
      </c>
      <c r="I106" t="s">
        <v>750</v>
      </c>
      <c r="J106">
        <v>2</v>
      </c>
      <c r="K106">
        <v>2.375</v>
      </c>
      <c r="L106">
        <v>1</v>
      </c>
      <c r="M106">
        <v>4</v>
      </c>
      <c r="N106">
        <v>7.25</v>
      </c>
      <c r="P106">
        <v>3</v>
      </c>
      <c r="Q106" t="s">
        <v>120</v>
      </c>
      <c r="R106" t="s">
        <v>22</v>
      </c>
      <c r="S106">
        <v>12</v>
      </c>
    </row>
    <row r="107" spans="1:19" x14ac:dyDescent="0.3">
      <c r="A107">
        <v>3</v>
      </c>
      <c r="B107" t="s">
        <v>753</v>
      </c>
      <c r="C107">
        <v>80</v>
      </c>
      <c r="D107" t="s">
        <v>129</v>
      </c>
      <c r="E107">
        <v>3.5</v>
      </c>
      <c r="F107">
        <v>1.804</v>
      </c>
      <c r="G107">
        <v>4.6639999999999997</v>
      </c>
      <c r="I107" t="s">
        <v>750</v>
      </c>
      <c r="J107">
        <v>2</v>
      </c>
      <c r="K107">
        <v>2.375</v>
      </c>
      <c r="L107">
        <v>1.5</v>
      </c>
      <c r="M107">
        <v>5</v>
      </c>
      <c r="N107">
        <v>10</v>
      </c>
      <c r="P107">
        <v>3</v>
      </c>
      <c r="Q107" t="s">
        <v>120</v>
      </c>
      <c r="R107" t="s">
        <v>23</v>
      </c>
      <c r="S107">
        <v>15</v>
      </c>
    </row>
    <row r="108" spans="1:19" x14ac:dyDescent="0.3">
      <c r="A108">
        <v>3.5</v>
      </c>
      <c r="B108" t="s">
        <v>753</v>
      </c>
      <c r="C108">
        <v>80</v>
      </c>
      <c r="D108" t="s">
        <v>129</v>
      </c>
      <c r="E108">
        <v>4</v>
      </c>
      <c r="F108">
        <v>2.1949999999999998</v>
      </c>
      <c r="G108">
        <v>6.0449999999999999</v>
      </c>
      <c r="I108" t="s">
        <v>750</v>
      </c>
      <c r="J108">
        <v>2</v>
      </c>
      <c r="K108">
        <v>2.375</v>
      </c>
      <c r="L108">
        <v>2</v>
      </c>
      <c r="M108">
        <v>6</v>
      </c>
      <c r="N108">
        <v>11.0625</v>
      </c>
      <c r="P108">
        <v>3</v>
      </c>
      <c r="Q108" t="s">
        <v>20</v>
      </c>
      <c r="R108" t="s">
        <v>22</v>
      </c>
      <c r="S108">
        <v>12</v>
      </c>
    </row>
    <row r="109" spans="1:19" x14ac:dyDescent="0.3">
      <c r="A109">
        <v>4</v>
      </c>
      <c r="B109" t="s">
        <v>753</v>
      </c>
      <c r="C109">
        <v>80</v>
      </c>
      <c r="D109" t="s">
        <v>129</v>
      </c>
      <c r="E109">
        <v>4.5</v>
      </c>
      <c r="F109">
        <v>2.6360000000000001</v>
      </c>
      <c r="G109">
        <v>7.6159999999999997</v>
      </c>
      <c r="I109" t="s">
        <v>750</v>
      </c>
      <c r="J109">
        <v>2</v>
      </c>
      <c r="K109">
        <v>2.375</v>
      </c>
      <c r="L109">
        <v>2.5</v>
      </c>
      <c r="M109">
        <v>8</v>
      </c>
      <c r="N109">
        <f>13.8125</f>
        <v>13.8125</v>
      </c>
      <c r="P109">
        <v>3</v>
      </c>
      <c r="Q109" t="s">
        <v>20</v>
      </c>
      <c r="R109" t="s">
        <v>23</v>
      </c>
      <c r="S109">
        <v>15</v>
      </c>
    </row>
    <row r="110" spans="1:19" x14ac:dyDescent="0.3">
      <c r="A110">
        <v>5</v>
      </c>
      <c r="B110" t="s">
        <v>753</v>
      </c>
      <c r="C110">
        <v>80</v>
      </c>
      <c r="D110" t="s">
        <v>129</v>
      </c>
      <c r="E110">
        <v>5.5629999999999997</v>
      </c>
      <c r="F110">
        <v>4.1260000000000003</v>
      </c>
      <c r="G110">
        <v>11.996</v>
      </c>
      <c r="I110" t="s">
        <v>750</v>
      </c>
      <c r="J110">
        <v>2</v>
      </c>
      <c r="K110">
        <v>2.375</v>
      </c>
      <c r="L110">
        <v>3</v>
      </c>
      <c r="M110">
        <v>8</v>
      </c>
      <c r="N110">
        <f>13.8125</f>
        <v>13.8125</v>
      </c>
      <c r="P110">
        <v>3</v>
      </c>
      <c r="Q110" t="s">
        <v>126</v>
      </c>
      <c r="R110" t="s">
        <v>22</v>
      </c>
      <c r="S110">
        <v>10</v>
      </c>
    </row>
    <row r="111" spans="1:19" x14ac:dyDescent="0.3">
      <c r="A111">
        <v>6</v>
      </c>
      <c r="B111" t="s">
        <v>753</v>
      </c>
      <c r="C111">
        <v>80</v>
      </c>
      <c r="D111" t="s">
        <v>129</v>
      </c>
      <c r="E111">
        <v>6.625</v>
      </c>
      <c r="F111">
        <v>5.0279999999999996</v>
      </c>
      <c r="G111">
        <v>16.318000000000001</v>
      </c>
      <c r="I111" t="s">
        <v>750</v>
      </c>
      <c r="J111">
        <v>2</v>
      </c>
      <c r="K111">
        <v>2.375</v>
      </c>
      <c r="L111">
        <v>3.5</v>
      </c>
      <c r="M111">
        <v>10</v>
      </c>
      <c r="N111">
        <f>16.3125</f>
        <v>16.3125</v>
      </c>
      <c r="P111">
        <v>3</v>
      </c>
      <c r="Q111" t="s">
        <v>126</v>
      </c>
      <c r="R111" t="s">
        <v>23</v>
      </c>
      <c r="S111">
        <v>14</v>
      </c>
    </row>
    <row r="112" spans="1:19" x14ac:dyDescent="0.3">
      <c r="A112">
        <v>8</v>
      </c>
      <c r="B112" t="s">
        <v>753</v>
      </c>
      <c r="C112">
        <v>80</v>
      </c>
      <c r="D112" t="s">
        <v>129</v>
      </c>
      <c r="E112">
        <v>8.625</v>
      </c>
      <c r="F112">
        <v>8.0229999999999997</v>
      </c>
      <c r="G112">
        <v>27.823</v>
      </c>
      <c r="I112" t="s">
        <v>751</v>
      </c>
      <c r="J112">
        <v>2.5</v>
      </c>
      <c r="K112">
        <v>2.625</v>
      </c>
      <c r="L112">
        <v>0.5</v>
      </c>
      <c r="M112">
        <v>3.5</v>
      </c>
      <c r="N112">
        <v>7.25</v>
      </c>
      <c r="P112">
        <v>3</v>
      </c>
      <c r="Q112" t="s">
        <v>127</v>
      </c>
      <c r="R112" t="s">
        <v>22</v>
      </c>
      <c r="S112">
        <v>10</v>
      </c>
    </row>
    <row r="113" spans="1:19" x14ac:dyDescent="0.3">
      <c r="A113">
        <v>10</v>
      </c>
      <c r="B113" t="s">
        <v>753</v>
      </c>
      <c r="C113">
        <v>80</v>
      </c>
      <c r="D113" t="s">
        <v>129</v>
      </c>
      <c r="E113">
        <v>10.75</v>
      </c>
      <c r="F113">
        <v>11.894</v>
      </c>
      <c r="G113">
        <v>42.994</v>
      </c>
      <c r="I113" t="s">
        <v>751</v>
      </c>
      <c r="J113">
        <v>2.5</v>
      </c>
      <c r="K113">
        <v>2.625</v>
      </c>
      <c r="L113">
        <v>0.75</v>
      </c>
      <c r="M113">
        <v>4</v>
      </c>
      <c r="N113">
        <v>7.25</v>
      </c>
      <c r="P113">
        <v>3</v>
      </c>
      <c r="Q113" t="s">
        <v>127</v>
      </c>
      <c r="R113" t="s">
        <v>23</v>
      </c>
      <c r="S113">
        <v>14</v>
      </c>
    </row>
    <row r="114" spans="1:19" x14ac:dyDescent="0.3">
      <c r="A114">
        <v>12</v>
      </c>
      <c r="B114" t="s">
        <v>753</v>
      </c>
      <c r="C114">
        <v>80</v>
      </c>
      <c r="D114" t="s">
        <v>129</v>
      </c>
      <c r="E114">
        <v>12.75</v>
      </c>
      <c r="F114">
        <v>16.364999999999998</v>
      </c>
      <c r="G114">
        <v>60.365000000000002</v>
      </c>
      <c r="I114" t="s">
        <v>751</v>
      </c>
      <c r="J114">
        <v>2.5</v>
      </c>
      <c r="K114">
        <v>2.625</v>
      </c>
      <c r="L114">
        <v>1</v>
      </c>
      <c r="M114">
        <v>4</v>
      </c>
      <c r="N114">
        <v>7.25</v>
      </c>
      <c r="P114">
        <v>3</v>
      </c>
      <c r="Q114" t="s">
        <v>128</v>
      </c>
      <c r="R114" t="s">
        <v>22</v>
      </c>
      <c r="S114">
        <v>4</v>
      </c>
    </row>
    <row r="115" spans="1:19" x14ac:dyDescent="0.3">
      <c r="I115" t="s">
        <v>751</v>
      </c>
      <c r="J115">
        <v>2.5</v>
      </c>
      <c r="K115">
        <v>2.625</v>
      </c>
      <c r="L115">
        <v>1.5</v>
      </c>
      <c r="M115">
        <v>5</v>
      </c>
      <c r="N115">
        <v>10</v>
      </c>
      <c r="P115">
        <v>3</v>
      </c>
      <c r="Q115" t="s">
        <v>128</v>
      </c>
      <c r="R115" t="s">
        <v>23</v>
      </c>
      <c r="S115">
        <v>4</v>
      </c>
    </row>
    <row r="116" spans="1:19" x14ac:dyDescent="0.3">
      <c r="B116" t="s">
        <v>755</v>
      </c>
      <c r="C116" t="s">
        <v>157</v>
      </c>
      <c r="F116" t="s">
        <v>755</v>
      </c>
      <c r="G116" t="s">
        <v>157</v>
      </c>
      <c r="I116" t="s">
        <v>753</v>
      </c>
      <c r="J116">
        <v>2.5</v>
      </c>
      <c r="K116">
        <v>2.875</v>
      </c>
      <c r="L116">
        <v>0.5</v>
      </c>
      <c r="M116">
        <v>3.5</v>
      </c>
      <c r="N116">
        <v>7.25</v>
      </c>
      <c r="P116">
        <v>3</v>
      </c>
      <c r="Q116" t="s">
        <v>129</v>
      </c>
      <c r="R116" t="s">
        <v>22</v>
      </c>
      <c r="S116">
        <v>4</v>
      </c>
    </row>
    <row r="117" spans="1:19" x14ac:dyDescent="0.3">
      <c r="A117" t="s">
        <v>756</v>
      </c>
      <c r="B117" t="str">
        <f>Calculations!B10</f>
        <v>Rigid Metal Conduit (RMC)</v>
      </c>
      <c r="C117">
        <f>Calculations!B11</f>
        <v>0.5</v>
      </c>
      <c r="E117" t="s">
        <v>757</v>
      </c>
      <c r="F117" t="str">
        <f>Calculations!B17</f>
        <v>Rigid Metal Conduit (RMC)</v>
      </c>
      <c r="G117">
        <f>Calculations!B18</f>
        <v>0</v>
      </c>
      <c r="I117" t="s">
        <v>753</v>
      </c>
      <c r="J117">
        <v>2.5</v>
      </c>
      <c r="K117">
        <v>2.875</v>
      </c>
      <c r="L117">
        <v>0.75</v>
      </c>
      <c r="M117">
        <v>4</v>
      </c>
      <c r="N117">
        <v>7.25</v>
      </c>
      <c r="P117">
        <v>3</v>
      </c>
      <c r="Q117" t="s">
        <v>129</v>
      </c>
      <c r="R117" t="s">
        <v>23</v>
      </c>
      <c r="S117">
        <v>4</v>
      </c>
    </row>
    <row r="118" spans="1:19" x14ac:dyDescent="0.3">
      <c r="A118" t="s">
        <v>758</v>
      </c>
      <c r="B118" t="s">
        <v>759</v>
      </c>
      <c r="E118" t="s">
        <v>758</v>
      </c>
      <c r="F118" t="s">
        <v>759</v>
      </c>
      <c r="I118" t="s">
        <v>753</v>
      </c>
      <c r="J118">
        <v>2.5</v>
      </c>
      <c r="K118">
        <v>2.875</v>
      </c>
      <c r="L118">
        <v>1</v>
      </c>
      <c r="M118">
        <v>5</v>
      </c>
      <c r="N118">
        <v>10</v>
      </c>
      <c r="P118">
        <v>3.5</v>
      </c>
      <c r="Q118" t="s">
        <v>120</v>
      </c>
      <c r="R118" t="s">
        <v>22</v>
      </c>
      <c r="S118">
        <v>13</v>
      </c>
    </row>
    <row r="119" spans="1:19" x14ac:dyDescent="0.3">
      <c r="A119" t="str" cm="1">
        <f t="array" ref="A119">_xlfn._xlws.FILTER(Pipe_weight[[Empty weight (lb/ft)]:[Water filled weight (lb/ft)]],(Pipe_weight[Input name]=B117)*(Pipe_weight[Pipe size]=C117),"no results")</f>
        <v>no results</v>
      </c>
      <c r="E119" t="str" cm="1">
        <f t="array" ref="E119">_xlfn._xlws.FILTER(Pipe_weight[[Empty weight (lb/ft)]:[Water filled weight (lb/ft)]],(Pipe_weight[Input name]=F117)*(Pipe_weight[Pipe size]=G117),"no results")</f>
        <v>no results</v>
      </c>
      <c r="I119" t="s">
        <v>753</v>
      </c>
      <c r="J119">
        <v>2.5</v>
      </c>
      <c r="K119">
        <v>2.875</v>
      </c>
      <c r="L119">
        <v>1.5</v>
      </c>
      <c r="M119">
        <v>6</v>
      </c>
      <c r="N119">
        <v>11.0625</v>
      </c>
      <c r="P119">
        <v>3.5</v>
      </c>
      <c r="Q119" t="s">
        <v>120</v>
      </c>
      <c r="R119" t="s">
        <v>23</v>
      </c>
      <c r="S119">
        <v>16</v>
      </c>
    </row>
    <row r="120" spans="1:19" x14ac:dyDescent="0.3">
      <c r="I120" t="s">
        <v>753</v>
      </c>
      <c r="J120">
        <v>2.5</v>
      </c>
      <c r="K120">
        <v>2.875</v>
      </c>
      <c r="L120">
        <v>2</v>
      </c>
      <c r="M120">
        <v>8</v>
      </c>
      <c r="N120">
        <f>13.8125</f>
        <v>13.8125</v>
      </c>
      <c r="P120">
        <v>3.5</v>
      </c>
      <c r="Q120" t="s">
        <v>20</v>
      </c>
      <c r="R120" t="s">
        <v>22</v>
      </c>
      <c r="S120">
        <v>13</v>
      </c>
    </row>
    <row r="121" spans="1:19" x14ac:dyDescent="0.3">
      <c r="I121" t="s">
        <v>753</v>
      </c>
      <c r="J121">
        <v>2.5</v>
      </c>
      <c r="K121">
        <v>2.875</v>
      </c>
      <c r="L121">
        <v>2.5</v>
      </c>
      <c r="M121">
        <v>8</v>
      </c>
      <c r="N121">
        <f>13.8125</f>
        <v>13.8125</v>
      </c>
      <c r="P121">
        <v>3.5</v>
      </c>
      <c r="Q121" t="s">
        <v>20</v>
      </c>
      <c r="R121" t="s">
        <v>23</v>
      </c>
      <c r="S121">
        <v>16</v>
      </c>
    </row>
    <row r="122" spans="1:19" x14ac:dyDescent="0.3">
      <c r="I122" t="s">
        <v>753</v>
      </c>
      <c r="J122">
        <v>2.5</v>
      </c>
      <c r="K122">
        <v>2.875</v>
      </c>
      <c r="L122">
        <v>3</v>
      </c>
      <c r="M122">
        <v>10</v>
      </c>
      <c r="N122">
        <f>16.3125</f>
        <v>16.3125</v>
      </c>
      <c r="P122">
        <v>3.5</v>
      </c>
      <c r="Q122" t="s">
        <v>126</v>
      </c>
      <c r="R122" t="s">
        <v>22</v>
      </c>
      <c r="S122">
        <v>11</v>
      </c>
    </row>
    <row r="123" spans="1:19" x14ac:dyDescent="0.3">
      <c r="I123" t="s">
        <v>753</v>
      </c>
      <c r="J123">
        <v>2.5</v>
      </c>
      <c r="K123">
        <v>2.875</v>
      </c>
      <c r="L123">
        <v>3.5</v>
      </c>
      <c r="M123">
        <v>10</v>
      </c>
      <c r="N123">
        <f>16.3125</f>
        <v>16.3125</v>
      </c>
      <c r="P123">
        <v>3.5</v>
      </c>
      <c r="Q123" t="s">
        <v>126</v>
      </c>
      <c r="R123" t="s">
        <v>23</v>
      </c>
      <c r="S123">
        <v>15</v>
      </c>
    </row>
    <row r="124" spans="1:19" x14ac:dyDescent="0.3">
      <c r="I124" t="s">
        <v>750</v>
      </c>
      <c r="J124">
        <v>2.5</v>
      </c>
      <c r="K124">
        <v>2.875</v>
      </c>
      <c r="L124">
        <v>0.5</v>
      </c>
      <c r="M124">
        <v>3.5</v>
      </c>
      <c r="N124">
        <v>7.25</v>
      </c>
      <c r="P124">
        <v>3.5</v>
      </c>
      <c r="Q124" t="s">
        <v>127</v>
      </c>
      <c r="R124" t="s">
        <v>22</v>
      </c>
      <c r="S124">
        <v>11</v>
      </c>
    </row>
    <row r="125" spans="1:19" x14ac:dyDescent="0.3">
      <c r="I125" t="s">
        <v>750</v>
      </c>
      <c r="J125">
        <v>2.5</v>
      </c>
      <c r="K125">
        <v>2.875</v>
      </c>
      <c r="L125">
        <v>0.75</v>
      </c>
      <c r="M125">
        <v>4</v>
      </c>
      <c r="N125">
        <v>7.25</v>
      </c>
      <c r="P125">
        <v>3.5</v>
      </c>
      <c r="Q125" t="s">
        <v>127</v>
      </c>
      <c r="R125" t="s">
        <v>23</v>
      </c>
      <c r="S125">
        <v>15</v>
      </c>
    </row>
    <row r="126" spans="1:19" x14ac:dyDescent="0.3">
      <c r="I126" t="s">
        <v>750</v>
      </c>
      <c r="J126">
        <v>2.5</v>
      </c>
      <c r="K126">
        <v>2.875</v>
      </c>
      <c r="L126">
        <v>1</v>
      </c>
      <c r="M126">
        <v>5</v>
      </c>
      <c r="N126">
        <v>10</v>
      </c>
      <c r="P126">
        <v>3.5</v>
      </c>
      <c r="Q126" t="s">
        <v>128</v>
      </c>
      <c r="R126" t="s">
        <v>22</v>
      </c>
      <c r="S126">
        <v>4</v>
      </c>
    </row>
    <row r="127" spans="1:19" x14ac:dyDescent="0.3">
      <c r="I127" t="s">
        <v>750</v>
      </c>
      <c r="J127">
        <v>2.5</v>
      </c>
      <c r="K127">
        <v>2.875</v>
      </c>
      <c r="L127">
        <v>1.5</v>
      </c>
      <c r="M127">
        <v>6</v>
      </c>
      <c r="N127">
        <v>11.0625</v>
      </c>
      <c r="P127">
        <v>3.5</v>
      </c>
      <c r="Q127" t="s">
        <v>128</v>
      </c>
      <c r="R127" t="s">
        <v>23</v>
      </c>
      <c r="S127">
        <v>4</v>
      </c>
    </row>
    <row r="128" spans="1:19" x14ac:dyDescent="0.3">
      <c r="I128" t="s">
        <v>750</v>
      </c>
      <c r="J128">
        <v>2.5</v>
      </c>
      <c r="K128">
        <v>2.875</v>
      </c>
      <c r="L128">
        <v>2</v>
      </c>
      <c r="M128">
        <v>8</v>
      </c>
      <c r="N128">
        <f>13.8125</f>
        <v>13.8125</v>
      </c>
      <c r="P128">
        <v>3.5</v>
      </c>
      <c r="Q128" t="s">
        <v>129</v>
      </c>
      <c r="R128" t="s">
        <v>22</v>
      </c>
      <c r="S128">
        <v>4</v>
      </c>
    </row>
    <row r="129" spans="9:19" x14ac:dyDescent="0.3">
      <c r="I129" t="s">
        <v>750</v>
      </c>
      <c r="J129">
        <v>2.5</v>
      </c>
      <c r="K129">
        <v>2.875</v>
      </c>
      <c r="L129">
        <v>2.5</v>
      </c>
      <c r="M129">
        <v>8</v>
      </c>
      <c r="N129">
        <f>13.8125</f>
        <v>13.8125</v>
      </c>
      <c r="P129">
        <v>3.5</v>
      </c>
      <c r="Q129" t="s">
        <v>129</v>
      </c>
      <c r="R129" t="s">
        <v>23</v>
      </c>
      <c r="S129">
        <v>4</v>
      </c>
    </row>
    <row r="130" spans="9:19" x14ac:dyDescent="0.3">
      <c r="I130" t="s">
        <v>750</v>
      </c>
      <c r="J130">
        <v>2.5</v>
      </c>
      <c r="K130">
        <v>2.875</v>
      </c>
      <c r="L130">
        <v>3</v>
      </c>
      <c r="M130">
        <v>10</v>
      </c>
      <c r="N130">
        <f>16.3125</f>
        <v>16.3125</v>
      </c>
      <c r="P130">
        <v>4</v>
      </c>
      <c r="Q130" t="s">
        <v>120</v>
      </c>
      <c r="R130" t="s">
        <v>22</v>
      </c>
      <c r="S130">
        <v>14</v>
      </c>
    </row>
    <row r="131" spans="9:19" x14ac:dyDescent="0.3">
      <c r="I131" t="s">
        <v>750</v>
      </c>
      <c r="J131">
        <v>2.5</v>
      </c>
      <c r="K131">
        <v>2.875</v>
      </c>
      <c r="L131">
        <v>3.5</v>
      </c>
      <c r="M131">
        <v>10</v>
      </c>
      <c r="N131">
        <f>16.3125</f>
        <v>16.3125</v>
      </c>
      <c r="P131">
        <v>4</v>
      </c>
      <c r="Q131" t="s">
        <v>120</v>
      </c>
      <c r="R131" t="s">
        <v>23</v>
      </c>
      <c r="S131">
        <v>17</v>
      </c>
    </row>
    <row r="132" spans="9:19" x14ac:dyDescent="0.3">
      <c r="I132" t="s">
        <v>751</v>
      </c>
      <c r="J132">
        <v>3</v>
      </c>
      <c r="K132">
        <v>3.125</v>
      </c>
      <c r="L132">
        <v>0.5</v>
      </c>
      <c r="M132">
        <v>4</v>
      </c>
      <c r="N132">
        <v>7.25</v>
      </c>
      <c r="P132">
        <v>4</v>
      </c>
      <c r="Q132" t="s">
        <v>20</v>
      </c>
      <c r="R132" t="s">
        <v>22</v>
      </c>
      <c r="S132">
        <v>14</v>
      </c>
    </row>
    <row r="133" spans="9:19" x14ac:dyDescent="0.3">
      <c r="I133" t="s">
        <v>751</v>
      </c>
      <c r="J133">
        <v>3</v>
      </c>
      <c r="K133">
        <v>3.125</v>
      </c>
      <c r="L133">
        <v>0.75</v>
      </c>
      <c r="M133">
        <v>5</v>
      </c>
      <c r="N133">
        <v>10</v>
      </c>
      <c r="P133">
        <v>4</v>
      </c>
      <c r="Q133" t="s">
        <v>20</v>
      </c>
      <c r="R133" t="s">
        <v>23</v>
      </c>
      <c r="S133">
        <v>17</v>
      </c>
    </row>
    <row r="134" spans="9:19" x14ac:dyDescent="0.3">
      <c r="I134" t="s">
        <v>751</v>
      </c>
      <c r="J134">
        <v>3</v>
      </c>
      <c r="K134">
        <v>3.125</v>
      </c>
      <c r="L134">
        <v>1</v>
      </c>
      <c r="M134">
        <v>5</v>
      </c>
      <c r="N134">
        <v>10</v>
      </c>
      <c r="P134">
        <v>4</v>
      </c>
      <c r="Q134" t="s">
        <v>126</v>
      </c>
      <c r="R134" t="s">
        <v>22</v>
      </c>
      <c r="S134">
        <v>12</v>
      </c>
    </row>
    <row r="135" spans="9:19" x14ac:dyDescent="0.3">
      <c r="I135" t="s">
        <v>751</v>
      </c>
      <c r="J135">
        <v>3</v>
      </c>
      <c r="K135">
        <v>3.125</v>
      </c>
      <c r="L135">
        <v>1.5</v>
      </c>
      <c r="M135">
        <v>6</v>
      </c>
      <c r="N135">
        <v>11.0625</v>
      </c>
      <c r="P135">
        <v>4</v>
      </c>
      <c r="Q135" t="s">
        <v>126</v>
      </c>
      <c r="R135" t="s">
        <v>23</v>
      </c>
      <c r="S135">
        <v>16</v>
      </c>
    </row>
    <row r="136" spans="9:19" x14ac:dyDescent="0.3">
      <c r="I136" t="s">
        <v>753</v>
      </c>
      <c r="J136">
        <v>3</v>
      </c>
      <c r="K136">
        <v>3.5</v>
      </c>
      <c r="L136">
        <v>0.5</v>
      </c>
      <c r="M136">
        <v>4</v>
      </c>
      <c r="N136">
        <v>7.25</v>
      </c>
      <c r="P136">
        <v>4</v>
      </c>
      <c r="Q136" t="s">
        <v>127</v>
      </c>
      <c r="R136" t="s">
        <v>22</v>
      </c>
      <c r="S136">
        <v>12</v>
      </c>
    </row>
    <row r="137" spans="9:19" x14ac:dyDescent="0.3">
      <c r="I137" t="s">
        <v>753</v>
      </c>
      <c r="J137">
        <v>3</v>
      </c>
      <c r="K137">
        <v>3.5</v>
      </c>
      <c r="L137">
        <v>0.75</v>
      </c>
      <c r="M137">
        <v>5</v>
      </c>
      <c r="N137">
        <v>10</v>
      </c>
      <c r="P137">
        <v>4</v>
      </c>
      <c r="Q137" t="s">
        <v>127</v>
      </c>
      <c r="R137" t="s">
        <v>23</v>
      </c>
      <c r="S137">
        <v>16</v>
      </c>
    </row>
    <row r="138" spans="9:19" x14ac:dyDescent="0.3">
      <c r="I138" t="s">
        <v>753</v>
      </c>
      <c r="J138">
        <v>3</v>
      </c>
      <c r="K138">
        <v>3.5</v>
      </c>
      <c r="L138">
        <v>1</v>
      </c>
      <c r="M138">
        <v>5</v>
      </c>
      <c r="N138">
        <v>10</v>
      </c>
      <c r="P138">
        <v>4</v>
      </c>
      <c r="Q138" t="s">
        <v>128</v>
      </c>
      <c r="R138" t="s">
        <v>22</v>
      </c>
      <c r="S138">
        <v>4</v>
      </c>
    </row>
    <row r="139" spans="9:19" x14ac:dyDescent="0.3">
      <c r="I139" t="s">
        <v>753</v>
      </c>
      <c r="J139">
        <v>3</v>
      </c>
      <c r="K139">
        <v>3.5</v>
      </c>
      <c r="L139">
        <v>1.5</v>
      </c>
      <c r="M139">
        <v>8</v>
      </c>
      <c r="N139">
        <f>13.8125</f>
        <v>13.8125</v>
      </c>
      <c r="P139">
        <v>4</v>
      </c>
      <c r="Q139" t="s">
        <v>128</v>
      </c>
      <c r="R139" t="s">
        <v>23</v>
      </c>
      <c r="S139">
        <v>4</v>
      </c>
    </row>
    <row r="140" spans="9:19" x14ac:dyDescent="0.3">
      <c r="I140" t="s">
        <v>753</v>
      </c>
      <c r="J140">
        <v>3</v>
      </c>
      <c r="K140">
        <v>3.5</v>
      </c>
      <c r="L140">
        <v>2</v>
      </c>
      <c r="M140">
        <v>8</v>
      </c>
      <c r="N140">
        <f>13.8125</f>
        <v>13.8125</v>
      </c>
      <c r="P140">
        <v>4</v>
      </c>
      <c r="Q140" t="s">
        <v>129</v>
      </c>
      <c r="R140" t="s">
        <v>22</v>
      </c>
      <c r="S140">
        <v>4</v>
      </c>
    </row>
    <row r="141" spans="9:19" x14ac:dyDescent="0.3">
      <c r="I141" t="s">
        <v>753</v>
      </c>
      <c r="J141">
        <v>3</v>
      </c>
      <c r="K141">
        <v>3.5</v>
      </c>
      <c r="L141">
        <v>2.5</v>
      </c>
      <c r="M141">
        <v>10</v>
      </c>
      <c r="N141">
        <f>16.3125</f>
        <v>16.3125</v>
      </c>
      <c r="P141">
        <v>4</v>
      </c>
      <c r="Q141" t="s">
        <v>129</v>
      </c>
      <c r="R141" t="s">
        <v>23</v>
      </c>
      <c r="S141">
        <v>4</v>
      </c>
    </row>
    <row r="142" spans="9:19" x14ac:dyDescent="0.3">
      <c r="I142" t="s">
        <v>753</v>
      </c>
      <c r="J142">
        <v>3</v>
      </c>
      <c r="K142">
        <v>3.5</v>
      </c>
      <c r="L142">
        <v>3</v>
      </c>
      <c r="M142">
        <v>10</v>
      </c>
      <c r="N142">
        <f>16.3125</f>
        <v>16.3125</v>
      </c>
      <c r="P142">
        <v>5</v>
      </c>
      <c r="Q142" t="s">
        <v>120</v>
      </c>
      <c r="R142" t="s">
        <v>22</v>
      </c>
      <c r="S142">
        <v>16</v>
      </c>
    </row>
    <row r="143" spans="9:19" x14ac:dyDescent="0.3">
      <c r="I143" t="s">
        <v>753</v>
      </c>
      <c r="J143">
        <v>3</v>
      </c>
      <c r="K143">
        <v>3.5</v>
      </c>
      <c r="L143">
        <v>3.5</v>
      </c>
      <c r="M143">
        <v>10</v>
      </c>
      <c r="N143">
        <f>16.3125</f>
        <v>16.3125</v>
      </c>
      <c r="P143">
        <v>5</v>
      </c>
      <c r="Q143" t="s">
        <v>120</v>
      </c>
      <c r="R143" t="s">
        <v>23</v>
      </c>
      <c r="S143">
        <v>19</v>
      </c>
    </row>
    <row r="144" spans="9:19" x14ac:dyDescent="0.3">
      <c r="I144" t="s">
        <v>753</v>
      </c>
      <c r="J144">
        <v>3</v>
      </c>
      <c r="K144">
        <v>3.5</v>
      </c>
      <c r="L144">
        <v>4</v>
      </c>
      <c r="M144">
        <v>12</v>
      </c>
      <c r="N144">
        <v>19.625</v>
      </c>
      <c r="P144">
        <v>5</v>
      </c>
      <c r="Q144" t="s">
        <v>20</v>
      </c>
      <c r="R144" t="s">
        <v>22</v>
      </c>
      <c r="S144">
        <v>16</v>
      </c>
    </row>
    <row r="145" spans="9:19" x14ac:dyDescent="0.3">
      <c r="I145" t="s">
        <v>750</v>
      </c>
      <c r="J145">
        <v>3</v>
      </c>
      <c r="K145">
        <v>3.5</v>
      </c>
      <c r="L145">
        <v>0.5</v>
      </c>
      <c r="M145">
        <v>4</v>
      </c>
      <c r="N145">
        <v>7.25</v>
      </c>
      <c r="P145">
        <v>5</v>
      </c>
      <c r="Q145" t="s">
        <v>20</v>
      </c>
      <c r="R145" t="s">
        <v>23</v>
      </c>
      <c r="S145">
        <v>19</v>
      </c>
    </row>
    <row r="146" spans="9:19" x14ac:dyDescent="0.3">
      <c r="I146" t="s">
        <v>750</v>
      </c>
      <c r="J146">
        <v>3</v>
      </c>
      <c r="K146">
        <v>3.5</v>
      </c>
      <c r="L146">
        <v>0.75</v>
      </c>
      <c r="M146">
        <v>5</v>
      </c>
      <c r="N146">
        <v>10</v>
      </c>
      <c r="P146">
        <v>5</v>
      </c>
      <c r="Q146" t="s">
        <v>126</v>
      </c>
      <c r="R146" t="s">
        <v>22</v>
      </c>
      <c r="S146">
        <v>13</v>
      </c>
    </row>
    <row r="147" spans="9:19" x14ac:dyDescent="0.3">
      <c r="I147" t="s">
        <v>750</v>
      </c>
      <c r="J147">
        <v>3</v>
      </c>
      <c r="K147">
        <v>3.5</v>
      </c>
      <c r="L147">
        <v>1</v>
      </c>
      <c r="M147">
        <v>5</v>
      </c>
      <c r="N147">
        <v>10</v>
      </c>
      <c r="P147">
        <v>5</v>
      </c>
      <c r="Q147" t="s">
        <v>126</v>
      </c>
      <c r="R147" t="s">
        <v>23</v>
      </c>
      <c r="S147">
        <v>18</v>
      </c>
    </row>
    <row r="148" spans="9:19" x14ac:dyDescent="0.3">
      <c r="I148" t="s">
        <v>750</v>
      </c>
      <c r="J148">
        <v>3</v>
      </c>
      <c r="K148">
        <v>3.5</v>
      </c>
      <c r="L148">
        <v>1.5</v>
      </c>
      <c r="M148">
        <v>8</v>
      </c>
      <c r="N148">
        <f>13.8125</f>
        <v>13.8125</v>
      </c>
      <c r="P148">
        <v>5</v>
      </c>
      <c r="Q148" t="s">
        <v>127</v>
      </c>
      <c r="R148" t="s">
        <v>22</v>
      </c>
      <c r="S148">
        <v>13</v>
      </c>
    </row>
    <row r="149" spans="9:19" x14ac:dyDescent="0.3">
      <c r="I149" t="s">
        <v>750</v>
      </c>
      <c r="J149">
        <v>3</v>
      </c>
      <c r="K149">
        <v>3.5</v>
      </c>
      <c r="L149">
        <v>2</v>
      </c>
      <c r="M149">
        <v>8</v>
      </c>
      <c r="N149">
        <f>13.8125</f>
        <v>13.8125</v>
      </c>
      <c r="P149">
        <v>5</v>
      </c>
      <c r="Q149" t="s">
        <v>127</v>
      </c>
      <c r="R149" t="s">
        <v>23</v>
      </c>
      <c r="S149">
        <v>18</v>
      </c>
    </row>
    <row r="150" spans="9:19" x14ac:dyDescent="0.3">
      <c r="I150" t="s">
        <v>750</v>
      </c>
      <c r="J150">
        <v>3</v>
      </c>
      <c r="K150">
        <v>3.5</v>
      </c>
      <c r="L150">
        <v>2.5</v>
      </c>
      <c r="M150">
        <v>10</v>
      </c>
      <c r="N150">
        <f>16.3125</f>
        <v>16.3125</v>
      </c>
      <c r="P150">
        <v>5</v>
      </c>
      <c r="Q150" t="s">
        <v>128</v>
      </c>
      <c r="R150" t="s">
        <v>22</v>
      </c>
      <c r="S150">
        <v>4</v>
      </c>
    </row>
    <row r="151" spans="9:19" x14ac:dyDescent="0.3">
      <c r="I151" t="s">
        <v>750</v>
      </c>
      <c r="J151">
        <v>3</v>
      </c>
      <c r="K151">
        <v>3.5</v>
      </c>
      <c r="L151">
        <v>3</v>
      </c>
      <c r="M151">
        <v>10</v>
      </c>
      <c r="N151">
        <f>16.3125</f>
        <v>16.3125</v>
      </c>
      <c r="P151">
        <v>5</v>
      </c>
      <c r="Q151" t="s">
        <v>128</v>
      </c>
      <c r="R151" t="s">
        <v>23</v>
      </c>
      <c r="S151">
        <v>4</v>
      </c>
    </row>
    <row r="152" spans="9:19" x14ac:dyDescent="0.3">
      <c r="I152" t="s">
        <v>750</v>
      </c>
      <c r="J152">
        <v>3</v>
      </c>
      <c r="K152">
        <v>3.5</v>
      </c>
      <c r="L152">
        <v>3.5</v>
      </c>
      <c r="M152">
        <v>10</v>
      </c>
      <c r="N152">
        <f>16.3125</f>
        <v>16.3125</v>
      </c>
      <c r="P152">
        <v>5</v>
      </c>
      <c r="Q152" t="s">
        <v>129</v>
      </c>
      <c r="R152" t="s">
        <v>22</v>
      </c>
      <c r="S152">
        <v>4</v>
      </c>
    </row>
    <row r="153" spans="9:19" x14ac:dyDescent="0.3">
      <c r="I153" t="s">
        <v>750</v>
      </c>
      <c r="J153">
        <v>3</v>
      </c>
      <c r="K153">
        <v>3.5</v>
      </c>
      <c r="L153">
        <v>4</v>
      </c>
      <c r="M153">
        <v>12</v>
      </c>
      <c r="N153">
        <v>19.625</v>
      </c>
      <c r="P153">
        <v>5</v>
      </c>
      <c r="Q153" t="s">
        <v>129</v>
      </c>
      <c r="R153" t="s">
        <v>23</v>
      </c>
      <c r="S153">
        <v>4</v>
      </c>
    </row>
    <row r="154" spans="9:19" x14ac:dyDescent="0.3">
      <c r="I154" t="s">
        <v>751</v>
      </c>
      <c r="J154">
        <v>3.5</v>
      </c>
      <c r="K154">
        <v>3.625</v>
      </c>
      <c r="L154">
        <v>0.5</v>
      </c>
      <c r="M154">
        <v>5</v>
      </c>
      <c r="N154">
        <v>10</v>
      </c>
      <c r="P154">
        <v>6</v>
      </c>
      <c r="Q154" t="s">
        <v>120</v>
      </c>
      <c r="R154" t="s">
        <v>22</v>
      </c>
      <c r="S154">
        <v>17</v>
      </c>
    </row>
    <row r="155" spans="9:19" x14ac:dyDescent="0.3">
      <c r="I155" t="s">
        <v>751</v>
      </c>
      <c r="J155">
        <v>3.5</v>
      </c>
      <c r="K155">
        <v>3.625</v>
      </c>
      <c r="L155">
        <v>0.75</v>
      </c>
      <c r="M155">
        <v>5</v>
      </c>
      <c r="N155">
        <v>10</v>
      </c>
      <c r="P155">
        <v>6</v>
      </c>
      <c r="Q155" t="s">
        <v>120</v>
      </c>
      <c r="R155" t="s">
        <v>23</v>
      </c>
      <c r="S155">
        <v>21</v>
      </c>
    </row>
    <row r="156" spans="9:19" x14ac:dyDescent="0.3">
      <c r="I156" t="s">
        <v>751</v>
      </c>
      <c r="J156">
        <v>3.5</v>
      </c>
      <c r="K156">
        <v>3.625</v>
      </c>
      <c r="L156">
        <v>1</v>
      </c>
      <c r="M156">
        <v>6</v>
      </c>
      <c r="N156">
        <v>11.0625</v>
      </c>
      <c r="P156">
        <v>6</v>
      </c>
      <c r="Q156" t="s">
        <v>20</v>
      </c>
      <c r="R156" t="s">
        <v>22</v>
      </c>
      <c r="S156">
        <v>17</v>
      </c>
    </row>
    <row r="157" spans="9:19" x14ac:dyDescent="0.3">
      <c r="I157" t="s">
        <v>751</v>
      </c>
      <c r="J157">
        <v>3.5</v>
      </c>
      <c r="K157">
        <v>3.625</v>
      </c>
      <c r="L157">
        <v>1.5</v>
      </c>
      <c r="M157">
        <v>6</v>
      </c>
      <c r="N157">
        <v>11.0625</v>
      </c>
      <c r="P157">
        <v>6</v>
      </c>
      <c r="Q157" t="s">
        <v>20</v>
      </c>
      <c r="R157" t="s">
        <v>23</v>
      </c>
      <c r="S157">
        <v>21</v>
      </c>
    </row>
    <row r="158" spans="9:19" x14ac:dyDescent="0.3">
      <c r="I158" t="s">
        <v>753</v>
      </c>
      <c r="J158">
        <v>3.5</v>
      </c>
      <c r="K158">
        <v>4</v>
      </c>
      <c r="L158">
        <v>0.5</v>
      </c>
      <c r="M158">
        <v>5</v>
      </c>
      <c r="N158">
        <v>10</v>
      </c>
      <c r="P158">
        <v>6</v>
      </c>
      <c r="Q158" t="s">
        <v>126</v>
      </c>
      <c r="R158" t="s">
        <v>22</v>
      </c>
      <c r="S158">
        <v>14</v>
      </c>
    </row>
    <row r="159" spans="9:19" x14ac:dyDescent="0.3">
      <c r="I159" t="s">
        <v>753</v>
      </c>
      <c r="J159">
        <v>3.5</v>
      </c>
      <c r="K159">
        <v>4</v>
      </c>
      <c r="L159">
        <v>0.75</v>
      </c>
      <c r="M159">
        <v>5</v>
      </c>
      <c r="N159">
        <v>10</v>
      </c>
      <c r="P159">
        <v>6</v>
      </c>
      <c r="Q159" t="s">
        <v>126</v>
      </c>
      <c r="R159" t="s">
        <v>23</v>
      </c>
      <c r="S159">
        <v>20</v>
      </c>
    </row>
    <row r="160" spans="9:19" x14ac:dyDescent="0.3">
      <c r="I160" t="s">
        <v>753</v>
      </c>
      <c r="J160">
        <v>3.5</v>
      </c>
      <c r="K160">
        <v>4</v>
      </c>
      <c r="L160">
        <v>1</v>
      </c>
      <c r="M160">
        <v>6</v>
      </c>
      <c r="N160">
        <v>11.0625</v>
      </c>
      <c r="P160">
        <v>6</v>
      </c>
      <c r="Q160" t="s">
        <v>127</v>
      </c>
      <c r="R160" t="s">
        <v>22</v>
      </c>
      <c r="S160">
        <v>14</v>
      </c>
    </row>
    <row r="161" spans="9:19" x14ac:dyDescent="0.3">
      <c r="I161" t="s">
        <v>753</v>
      </c>
      <c r="J161">
        <v>3.5</v>
      </c>
      <c r="K161">
        <v>4</v>
      </c>
      <c r="L161">
        <v>1.5</v>
      </c>
      <c r="M161">
        <v>8</v>
      </c>
      <c r="N161">
        <f>13.8125</f>
        <v>13.8125</v>
      </c>
      <c r="P161">
        <v>6</v>
      </c>
      <c r="Q161" t="s">
        <v>127</v>
      </c>
      <c r="R161" t="s">
        <v>23</v>
      </c>
      <c r="S161">
        <v>20</v>
      </c>
    </row>
    <row r="162" spans="9:19" x14ac:dyDescent="0.3">
      <c r="I162" t="s">
        <v>753</v>
      </c>
      <c r="J162">
        <v>3.5</v>
      </c>
      <c r="K162">
        <v>4</v>
      </c>
      <c r="L162">
        <v>2</v>
      </c>
      <c r="M162">
        <v>8</v>
      </c>
      <c r="N162">
        <f>13.8125</f>
        <v>13.8125</v>
      </c>
      <c r="P162">
        <v>6</v>
      </c>
      <c r="Q162" t="s">
        <v>128</v>
      </c>
      <c r="R162" t="s">
        <v>22</v>
      </c>
      <c r="S162">
        <v>4</v>
      </c>
    </row>
    <row r="163" spans="9:19" x14ac:dyDescent="0.3">
      <c r="I163" t="s">
        <v>753</v>
      </c>
      <c r="J163">
        <v>3.5</v>
      </c>
      <c r="K163">
        <v>4</v>
      </c>
      <c r="L163">
        <v>2.5</v>
      </c>
      <c r="M163">
        <v>10</v>
      </c>
      <c r="N163">
        <f>16.3125</f>
        <v>16.3125</v>
      </c>
      <c r="P163">
        <v>6</v>
      </c>
      <c r="Q163" t="s">
        <v>128</v>
      </c>
      <c r="R163" t="s">
        <v>23</v>
      </c>
      <c r="S163">
        <v>4</v>
      </c>
    </row>
    <row r="164" spans="9:19" x14ac:dyDescent="0.3">
      <c r="I164" t="s">
        <v>753</v>
      </c>
      <c r="J164">
        <v>3.5</v>
      </c>
      <c r="K164">
        <v>4</v>
      </c>
      <c r="L164">
        <v>3</v>
      </c>
      <c r="M164">
        <v>10</v>
      </c>
      <c r="N164">
        <f>16.3125</f>
        <v>16.3125</v>
      </c>
      <c r="P164">
        <v>6</v>
      </c>
      <c r="Q164" t="s">
        <v>129</v>
      </c>
      <c r="R164" t="s">
        <v>22</v>
      </c>
      <c r="S164">
        <v>4</v>
      </c>
    </row>
    <row r="165" spans="9:19" x14ac:dyDescent="0.3">
      <c r="I165" t="s">
        <v>753</v>
      </c>
      <c r="J165">
        <v>3.5</v>
      </c>
      <c r="K165">
        <v>4</v>
      </c>
      <c r="L165">
        <v>3.5</v>
      </c>
      <c r="M165">
        <v>12</v>
      </c>
      <c r="N165">
        <v>19.625</v>
      </c>
      <c r="P165">
        <v>6</v>
      </c>
      <c r="Q165" t="s">
        <v>129</v>
      </c>
      <c r="R165" t="s">
        <v>23</v>
      </c>
      <c r="S165">
        <v>4</v>
      </c>
    </row>
    <row r="166" spans="9:19" x14ac:dyDescent="0.3">
      <c r="I166" t="s">
        <v>753</v>
      </c>
      <c r="J166">
        <v>3.5</v>
      </c>
      <c r="K166">
        <v>4</v>
      </c>
      <c r="L166">
        <v>4</v>
      </c>
      <c r="M166">
        <v>12</v>
      </c>
      <c r="N166">
        <v>19.625</v>
      </c>
      <c r="P166">
        <v>8</v>
      </c>
      <c r="Q166" t="s">
        <v>120</v>
      </c>
      <c r="R166" t="s">
        <v>22</v>
      </c>
      <c r="S166">
        <v>19</v>
      </c>
    </row>
    <row r="167" spans="9:19" x14ac:dyDescent="0.3">
      <c r="I167" t="s">
        <v>750</v>
      </c>
      <c r="J167">
        <v>3.5</v>
      </c>
      <c r="K167">
        <v>4</v>
      </c>
      <c r="L167">
        <v>0.5</v>
      </c>
      <c r="M167">
        <v>5</v>
      </c>
      <c r="N167">
        <v>10</v>
      </c>
      <c r="P167">
        <v>8</v>
      </c>
      <c r="Q167" t="s">
        <v>120</v>
      </c>
      <c r="R167" t="s">
        <v>23</v>
      </c>
      <c r="S167">
        <v>24</v>
      </c>
    </row>
    <row r="168" spans="9:19" x14ac:dyDescent="0.3">
      <c r="I168" t="s">
        <v>750</v>
      </c>
      <c r="J168">
        <v>3.5</v>
      </c>
      <c r="K168">
        <v>4</v>
      </c>
      <c r="L168">
        <v>0.75</v>
      </c>
      <c r="M168">
        <v>5</v>
      </c>
      <c r="N168">
        <v>10</v>
      </c>
      <c r="P168">
        <v>8</v>
      </c>
      <c r="Q168" t="s">
        <v>20</v>
      </c>
      <c r="R168" t="s">
        <v>22</v>
      </c>
      <c r="S168">
        <v>19</v>
      </c>
    </row>
    <row r="169" spans="9:19" x14ac:dyDescent="0.3">
      <c r="I169" t="s">
        <v>750</v>
      </c>
      <c r="J169">
        <v>3.5</v>
      </c>
      <c r="K169">
        <v>4</v>
      </c>
      <c r="L169">
        <v>1</v>
      </c>
      <c r="M169">
        <v>6</v>
      </c>
      <c r="N169">
        <v>11.0625</v>
      </c>
      <c r="P169">
        <v>8</v>
      </c>
      <c r="Q169" t="s">
        <v>20</v>
      </c>
      <c r="R169" t="s">
        <v>23</v>
      </c>
      <c r="S169">
        <v>24</v>
      </c>
    </row>
    <row r="170" spans="9:19" x14ac:dyDescent="0.3">
      <c r="I170" t="s">
        <v>750</v>
      </c>
      <c r="J170">
        <v>3.5</v>
      </c>
      <c r="K170">
        <v>4</v>
      </c>
      <c r="L170">
        <v>1.5</v>
      </c>
      <c r="M170">
        <v>8</v>
      </c>
      <c r="N170">
        <f>13.8125</f>
        <v>13.8125</v>
      </c>
      <c r="P170">
        <v>8</v>
      </c>
      <c r="Q170" t="s">
        <v>126</v>
      </c>
      <c r="R170" t="s">
        <v>22</v>
      </c>
      <c r="S170">
        <v>16</v>
      </c>
    </row>
    <row r="171" spans="9:19" x14ac:dyDescent="0.3">
      <c r="I171" t="s">
        <v>750</v>
      </c>
      <c r="J171">
        <v>3.5</v>
      </c>
      <c r="K171">
        <v>4</v>
      </c>
      <c r="L171">
        <v>2</v>
      </c>
      <c r="M171">
        <v>8</v>
      </c>
      <c r="N171">
        <f>13.8125</f>
        <v>13.8125</v>
      </c>
      <c r="P171">
        <v>8</v>
      </c>
      <c r="Q171" t="s">
        <v>126</v>
      </c>
      <c r="R171" t="s">
        <v>23</v>
      </c>
      <c r="S171">
        <v>23</v>
      </c>
    </row>
    <row r="172" spans="9:19" x14ac:dyDescent="0.3">
      <c r="I172" t="s">
        <v>750</v>
      </c>
      <c r="J172">
        <v>3.5</v>
      </c>
      <c r="K172">
        <v>4</v>
      </c>
      <c r="L172">
        <v>2.5</v>
      </c>
      <c r="M172">
        <v>10</v>
      </c>
      <c r="N172">
        <f>16.3125</f>
        <v>16.3125</v>
      </c>
      <c r="P172">
        <v>8</v>
      </c>
      <c r="Q172" t="s">
        <v>127</v>
      </c>
      <c r="R172" t="s">
        <v>22</v>
      </c>
      <c r="S172">
        <v>16</v>
      </c>
    </row>
    <row r="173" spans="9:19" x14ac:dyDescent="0.3">
      <c r="I173" t="s">
        <v>750</v>
      </c>
      <c r="J173">
        <v>3.5</v>
      </c>
      <c r="K173">
        <v>4</v>
      </c>
      <c r="L173">
        <v>3</v>
      </c>
      <c r="M173">
        <v>10</v>
      </c>
      <c r="N173">
        <f>16.3125</f>
        <v>16.3125</v>
      </c>
      <c r="P173">
        <v>8</v>
      </c>
      <c r="Q173" t="s">
        <v>127</v>
      </c>
      <c r="R173" t="s">
        <v>23</v>
      </c>
      <c r="S173">
        <v>23</v>
      </c>
    </row>
    <row r="174" spans="9:19" x14ac:dyDescent="0.3">
      <c r="I174" t="s">
        <v>750</v>
      </c>
      <c r="J174">
        <v>3.5</v>
      </c>
      <c r="K174">
        <v>4</v>
      </c>
      <c r="L174">
        <v>3.5</v>
      </c>
      <c r="M174">
        <v>12</v>
      </c>
      <c r="N174">
        <v>19.625</v>
      </c>
      <c r="P174">
        <v>8</v>
      </c>
      <c r="Q174" t="s">
        <v>128</v>
      </c>
      <c r="R174" t="s">
        <v>22</v>
      </c>
      <c r="S174">
        <v>4</v>
      </c>
    </row>
    <row r="175" spans="9:19" x14ac:dyDescent="0.3">
      <c r="I175" t="s">
        <v>750</v>
      </c>
      <c r="J175">
        <v>3.5</v>
      </c>
      <c r="K175">
        <v>4</v>
      </c>
      <c r="L175">
        <v>4</v>
      </c>
      <c r="M175">
        <v>12</v>
      </c>
      <c r="N175">
        <v>19.625</v>
      </c>
      <c r="P175">
        <v>8</v>
      </c>
      <c r="Q175" t="s">
        <v>128</v>
      </c>
      <c r="R175" t="s">
        <v>23</v>
      </c>
      <c r="S175">
        <v>4</v>
      </c>
    </row>
    <row r="176" spans="9:19" x14ac:dyDescent="0.3">
      <c r="I176" t="s">
        <v>751</v>
      </c>
      <c r="J176">
        <v>4</v>
      </c>
      <c r="K176">
        <v>4.125</v>
      </c>
      <c r="L176">
        <v>0.5</v>
      </c>
      <c r="M176">
        <v>5</v>
      </c>
      <c r="N176">
        <v>10</v>
      </c>
      <c r="P176">
        <v>8</v>
      </c>
      <c r="Q176" t="s">
        <v>129</v>
      </c>
      <c r="R176" t="s">
        <v>22</v>
      </c>
      <c r="S176">
        <v>4</v>
      </c>
    </row>
    <row r="177" spans="9:19" x14ac:dyDescent="0.3">
      <c r="I177" t="s">
        <v>751</v>
      </c>
      <c r="J177">
        <v>4</v>
      </c>
      <c r="K177">
        <v>4.125</v>
      </c>
      <c r="L177">
        <v>0.75</v>
      </c>
      <c r="M177">
        <v>5</v>
      </c>
      <c r="N177">
        <v>10</v>
      </c>
      <c r="P177">
        <v>8</v>
      </c>
      <c r="Q177" t="s">
        <v>129</v>
      </c>
      <c r="R177" t="s">
        <v>23</v>
      </c>
      <c r="S177">
        <v>4</v>
      </c>
    </row>
    <row r="178" spans="9:19" x14ac:dyDescent="0.3">
      <c r="I178" t="s">
        <v>751</v>
      </c>
      <c r="J178">
        <v>4</v>
      </c>
      <c r="K178">
        <v>4.125</v>
      </c>
      <c r="L178">
        <v>1</v>
      </c>
      <c r="M178">
        <v>8</v>
      </c>
      <c r="N178">
        <f>13.8125</f>
        <v>13.8125</v>
      </c>
      <c r="P178">
        <v>10</v>
      </c>
      <c r="Q178" t="s">
        <v>120</v>
      </c>
      <c r="R178" t="s">
        <v>22</v>
      </c>
      <c r="S178">
        <v>22</v>
      </c>
    </row>
    <row r="179" spans="9:19" x14ac:dyDescent="0.3">
      <c r="I179" t="s">
        <v>751</v>
      </c>
      <c r="J179">
        <v>4</v>
      </c>
      <c r="K179">
        <v>4.125</v>
      </c>
      <c r="L179">
        <v>1.5</v>
      </c>
      <c r="M179">
        <v>8</v>
      </c>
      <c r="N179">
        <f>13.8125</f>
        <v>13.8125</v>
      </c>
      <c r="P179">
        <v>10</v>
      </c>
      <c r="Q179" t="s">
        <v>120</v>
      </c>
      <c r="R179" t="s">
        <v>23</v>
      </c>
      <c r="S179">
        <v>26</v>
      </c>
    </row>
    <row r="180" spans="9:19" x14ac:dyDescent="0.3">
      <c r="I180" t="s">
        <v>753</v>
      </c>
      <c r="J180">
        <v>4</v>
      </c>
      <c r="K180">
        <v>4.5</v>
      </c>
      <c r="L180">
        <v>0.5</v>
      </c>
      <c r="M180">
        <v>5</v>
      </c>
      <c r="N180">
        <v>10</v>
      </c>
      <c r="P180">
        <v>10</v>
      </c>
      <c r="Q180" t="s">
        <v>20</v>
      </c>
      <c r="R180" t="s">
        <v>22</v>
      </c>
      <c r="S180">
        <v>22</v>
      </c>
    </row>
    <row r="181" spans="9:19" x14ac:dyDescent="0.3">
      <c r="I181" t="s">
        <v>753</v>
      </c>
      <c r="J181">
        <v>4</v>
      </c>
      <c r="K181">
        <v>4.5</v>
      </c>
      <c r="L181">
        <v>0.75</v>
      </c>
      <c r="M181">
        <v>6</v>
      </c>
      <c r="N181">
        <v>11.0625</v>
      </c>
      <c r="P181">
        <v>10</v>
      </c>
      <c r="Q181" t="s">
        <v>20</v>
      </c>
      <c r="R181" t="s">
        <v>23</v>
      </c>
      <c r="S181">
        <v>26</v>
      </c>
    </row>
    <row r="182" spans="9:19" x14ac:dyDescent="0.3">
      <c r="I182" t="s">
        <v>753</v>
      </c>
      <c r="J182">
        <v>4</v>
      </c>
      <c r="K182">
        <v>4.5</v>
      </c>
      <c r="L182">
        <v>1</v>
      </c>
      <c r="M182">
        <v>6</v>
      </c>
      <c r="N182">
        <v>11.0625</v>
      </c>
      <c r="P182">
        <v>10</v>
      </c>
      <c r="Q182" t="s">
        <v>126</v>
      </c>
      <c r="R182" t="s">
        <v>22</v>
      </c>
      <c r="S182">
        <v>18</v>
      </c>
    </row>
    <row r="183" spans="9:19" x14ac:dyDescent="0.3">
      <c r="I183" t="s">
        <v>753</v>
      </c>
      <c r="J183">
        <v>4</v>
      </c>
      <c r="K183">
        <v>4.5</v>
      </c>
      <c r="L183">
        <v>1.5</v>
      </c>
      <c r="M183">
        <v>8</v>
      </c>
      <c r="N183">
        <f>13.8125</f>
        <v>13.8125</v>
      </c>
      <c r="P183">
        <v>10</v>
      </c>
      <c r="Q183" t="s">
        <v>126</v>
      </c>
      <c r="R183" t="s">
        <v>23</v>
      </c>
      <c r="S183">
        <v>25</v>
      </c>
    </row>
    <row r="184" spans="9:19" x14ac:dyDescent="0.3">
      <c r="I184" t="s">
        <v>753</v>
      </c>
      <c r="J184">
        <v>4</v>
      </c>
      <c r="K184">
        <v>4.5</v>
      </c>
      <c r="L184">
        <v>2</v>
      </c>
      <c r="M184">
        <v>8</v>
      </c>
      <c r="N184">
        <f>13.8125</f>
        <v>13.8125</v>
      </c>
      <c r="P184">
        <v>10</v>
      </c>
      <c r="Q184" t="s">
        <v>127</v>
      </c>
      <c r="R184" t="s">
        <v>22</v>
      </c>
      <c r="S184">
        <v>18</v>
      </c>
    </row>
    <row r="185" spans="9:19" x14ac:dyDescent="0.3">
      <c r="I185" t="s">
        <v>753</v>
      </c>
      <c r="J185">
        <v>4</v>
      </c>
      <c r="K185">
        <v>4.5</v>
      </c>
      <c r="L185">
        <v>2.5</v>
      </c>
      <c r="M185">
        <v>10</v>
      </c>
      <c r="N185">
        <f>16.3125</f>
        <v>16.3125</v>
      </c>
      <c r="P185">
        <v>10</v>
      </c>
      <c r="Q185" t="s">
        <v>127</v>
      </c>
      <c r="R185" t="s">
        <v>23</v>
      </c>
      <c r="S185">
        <v>25</v>
      </c>
    </row>
    <row r="186" spans="9:19" x14ac:dyDescent="0.3">
      <c r="I186" t="s">
        <v>753</v>
      </c>
      <c r="J186">
        <v>4</v>
      </c>
      <c r="K186">
        <v>4.5</v>
      </c>
      <c r="L186">
        <v>3</v>
      </c>
      <c r="M186">
        <v>10</v>
      </c>
      <c r="N186">
        <f>16.3125</f>
        <v>16.3125</v>
      </c>
      <c r="P186">
        <v>10</v>
      </c>
      <c r="Q186" t="s">
        <v>128</v>
      </c>
      <c r="R186" t="s">
        <v>22</v>
      </c>
      <c r="S186">
        <v>4</v>
      </c>
    </row>
    <row r="187" spans="9:19" x14ac:dyDescent="0.3">
      <c r="I187" t="s">
        <v>753</v>
      </c>
      <c r="J187">
        <v>4</v>
      </c>
      <c r="K187">
        <v>4.5</v>
      </c>
      <c r="L187">
        <v>3.5</v>
      </c>
      <c r="M187">
        <v>12</v>
      </c>
      <c r="N187">
        <v>19.625</v>
      </c>
      <c r="P187">
        <v>10</v>
      </c>
      <c r="Q187" t="s">
        <v>128</v>
      </c>
      <c r="R187" t="s">
        <v>23</v>
      </c>
      <c r="S187">
        <v>4</v>
      </c>
    </row>
    <row r="188" spans="9:19" x14ac:dyDescent="0.3">
      <c r="I188" t="s">
        <v>753</v>
      </c>
      <c r="J188">
        <v>4</v>
      </c>
      <c r="K188">
        <v>4.5</v>
      </c>
      <c r="L188">
        <v>4</v>
      </c>
      <c r="M188">
        <v>12</v>
      </c>
      <c r="N188">
        <v>19.625</v>
      </c>
      <c r="P188">
        <v>10</v>
      </c>
      <c r="Q188" t="s">
        <v>129</v>
      </c>
      <c r="R188" t="s">
        <v>22</v>
      </c>
      <c r="S188">
        <v>4</v>
      </c>
    </row>
    <row r="189" spans="9:19" x14ac:dyDescent="0.3">
      <c r="I189" t="s">
        <v>750</v>
      </c>
      <c r="J189">
        <v>4</v>
      </c>
      <c r="K189">
        <v>4.5</v>
      </c>
      <c r="L189">
        <v>0.5</v>
      </c>
      <c r="M189">
        <v>5</v>
      </c>
      <c r="N189">
        <v>10</v>
      </c>
      <c r="P189">
        <v>10</v>
      </c>
      <c r="Q189" t="s">
        <v>129</v>
      </c>
      <c r="R189" t="s">
        <v>23</v>
      </c>
      <c r="S189">
        <v>4</v>
      </c>
    </row>
    <row r="190" spans="9:19" x14ac:dyDescent="0.3">
      <c r="I190" t="s">
        <v>750</v>
      </c>
      <c r="J190">
        <v>4</v>
      </c>
      <c r="K190">
        <v>4.5</v>
      </c>
      <c r="L190">
        <v>0.75</v>
      </c>
      <c r="M190">
        <v>6</v>
      </c>
      <c r="N190">
        <v>11.0625</v>
      </c>
      <c r="P190">
        <v>12</v>
      </c>
      <c r="Q190" t="s">
        <v>120</v>
      </c>
      <c r="R190" t="s">
        <v>22</v>
      </c>
      <c r="S190">
        <v>23</v>
      </c>
    </row>
    <row r="191" spans="9:19" x14ac:dyDescent="0.3">
      <c r="I191" t="s">
        <v>750</v>
      </c>
      <c r="J191">
        <v>4</v>
      </c>
      <c r="K191">
        <v>4.5</v>
      </c>
      <c r="L191">
        <v>1</v>
      </c>
      <c r="M191">
        <v>6</v>
      </c>
      <c r="N191">
        <v>11.0625</v>
      </c>
      <c r="P191">
        <v>12</v>
      </c>
      <c r="Q191" t="s">
        <v>120</v>
      </c>
      <c r="R191" t="s">
        <v>23</v>
      </c>
      <c r="S191">
        <v>30</v>
      </c>
    </row>
    <row r="192" spans="9:19" x14ac:dyDescent="0.3">
      <c r="I192" t="s">
        <v>750</v>
      </c>
      <c r="J192">
        <v>4</v>
      </c>
      <c r="K192">
        <v>4.5</v>
      </c>
      <c r="L192">
        <v>1.5</v>
      </c>
      <c r="M192">
        <v>8</v>
      </c>
      <c r="N192">
        <f>13.8125</f>
        <v>13.8125</v>
      </c>
      <c r="P192">
        <v>12</v>
      </c>
      <c r="Q192" t="s">
        <v>20</v>
      </c>
      <c r="R192" t="s">
        <v>22</v>
      </c>
      <c r="S192">
        <v>23</v>
      </c>
    </row>
    <row r="193" spans="9:19" x14ac:dyDescent="0.3">
      <c r="I193" t="s">
        <v>750</v>
      </c>
      <c r="J193">
        <v>4</v>
      </c>
      <c r="K193">
        <v>4.5</v>
      </c>
      <c r="L193">
        <v>2</v>
      </c>
      <c r="M193">
        <v>8</v>
      </c>
      <c r="N193">
        <f>13.8125</f>
        <v>13.8125</v>
      </c>
      <c r="P193">
        <v>12</v>
      </c>
      <c r="Q193" t="s">
        <v>20</v>
      </c>
      <c r="R193" t="s">
        <v>23</v>
      </c>
      <c r="S193">
        <v>30</v>
      </c>
    </row>
    <row r="194" spans="9:19" x14ac:dyDescent="0.3">
      <c r="I194" t="s">
        <v>750</v>
      </c>
      <c r="J194">
        <v>4</v>
      </c>
      <c r="K194">
        <v>4.5</v>
      </c>
      <c r="L194">
        <v>2.5</v>
      </c>
      <c r="M194">
        <v>10</v>
      </c>
      <c r="N194">
        <f>16.3125</f>
        <v>16.3125</v>
      </c>
      <c r="P194">
        <v>12</v>
      </c>
      <c r="Q194" t="s">
        <v>126</v>
      </c>
      <c r="R194" t="s">
        <v>22</v>
      </c>
      <c r="S194">
        <v>19</v>
      </c>
    </row>
    <row r="195" spans="9:19" x14ac:dyDescent="0.3">
      <c r="I195" t="s">
        <v>750</v>
      </c>
      <c r="J195">
        <v>4</v>
      </c>
      <c r="K195">
        <v>4.5</v>
      </c>
      <c r="L195">
        <v>3</v>
      </c>
      <c r="M195">
        <v>10</v>
      </c>
      <c r="N195">
        <f>16.3125</f>
        <v>16.3125</v>
      </c>
      <c r="P195">
        <v>12</v>
      </c>
      <c r="Q195" t="s">
        <v>126</v>
      </c>
      <c r="R195" t="s">
        <v>23</v>
      </c>
      <c r="S195">
        <v>28</v>
      </c>
    </row>
    <row r="196" spans="9:19" x14ac:dyDescent="0.3">
      <c r="I196" t="s">
        <v>750</v>
      </c>
      <c r="J196">
        <v>4</v>
      </c>
      <c r="K196">
        <v>4.5</v>
      </c>
      <c r="L196">
        <v>3.5</v>
      </c>
      <c r="M196">
        <v>12</v>
      </c>
      <c r="N196">
        <v>19.625</v>
      </c>
      <c r="P196">
        <v>12</v>
      </c>
      <c r="Q196" t="s">
        <v>127</v>
      </c>
      <c r="R196" t="s">
        <v>22</v>
      </c>
      <c r="S196">
        <v>19</v>
      </c>
    </row>
    <row r="197" spans="9:19" x14ac:dyDescent="0.3">
      <c r="I197" t="s">
        <v>750</v>
      </c>
      <c r="J197">
        <v>4</v>
      </c>
      <c r="K197">
        <v>4.5</v>
      </c>
      <c r="L197">
        <v>4</v>
      </c>
      <c r="M197">
        <v>12</v>
      </c>
      <c r="N197">
        <v>19.625</v>
      </c>
      <c r="P197">
        <v>12</v>
      </c>
      <c r="Q197" t="s">
        <v>127</v>
      </c>
      <c r="R197" t="s">
        <v>23</v>
      </c>
      <c r="S197">
        <v>28</v>
      </c>
    </row>
    <row r="198" spans="9:19" x14ac:dyDescent="0.3">
      <c r="I198" t="s">
        <v>751</v>
      </c>
      <c r="J198">
        <v>5</v>
      </c>
      <c r="K198">
        <v>5.125</v>
      </c>
      <c r="L198">
        <v>0.5</v>
      </c>
      <c r="M198">
        <v>6</v>
      </c>
      <c r="N198">
        <v>11.0625</v>
      </c>
      <c r="P198">
        <v>12</v>
      </c>
      <c r="Q198" t="s">
        <v>128</v>
      </c>
      <c r="R198" t="s">
        <v>22</v>
      </c>
      <c r="S198">
        <v>4</v>
      </c>
    </row>
    <row r="199" spans="9:19" x14ac:dyDescent="0.3">
      <c r="I199" t="s">
        <v>751</v>
      </c>
      <c r="J199">
        <v>5</v>
      </c>
      <c r="K199">
        <v>5.125</v>
      </c>
      <c r="L199">
        <v>0.75</v>
      </c>
      <c r="M199">
        <v>6</v>
      </c>
      <c r="N199">
        <v>11.0625</v>
      </c>
      <c r="P199">
        <v>12</v>
      </c>
      <c r="Q199" t="s">
        <v>128</v>
      </c>
      <c r="R199" t="s">
        <v>23</v>
      </c>
      <c r="S199">
        <v>4</v>
      </c>
    </row>
    <row r="200" spans="9:19" x14ac:dyDescent="0.3">
      <c r="I200" t="s">
        <v>751</v>
      </c>
      <c r="J200">
        <v>5</v>
      </c>
      <c r="K200">
        <v>5.125</v>
      </c>
      <c r="L200">
        <v>1</v>
      </c>
      <c r="M200">
        <v>8</v>
      </c>
      <c r="N200">
        <f>13.8125</f>
        <v>13.8125</v>
      </c>
      <c r="P200">
        <v>12</v>
      </c>
      <c r="Q200" t="s">
        <v>129</v>
      </c>
      <c r="R200" t="s">
        <v>22</v>
      </c>
      <c r="S200">
        <v>4</v>
      </c>
    </row>
    <row r="201" spans="9:19" x14ac:dyDescent="0.3">
      <c r="I201" t="s">
        <v>751</v>
      </c>
      <c r="J201">
        <v>5</v>
      </c>
      <c r="K201">
        <v>5.125</v>
      </c>
      <c r="L201">
        <v>1.5</v>
      </c>
      <c r="M201">
        <v>8</v>
      </c>
      <c r="N201">
        <f>13.8125</f>
        <v>13.8125</v>
      </c>
      <c r="P201">
        <v>12</v>
      </c>
      <c r="Q201" t="s">
        <v>129</v>
      </c>
      <c r="R201" t="s">
        <v>23</v>
      </c>
      <c r="S201">
        <v>4</v>
      </c>
    </row>
    <row r="202" spans="9:19" x14ac:dyDescent="0.3">
      <c r="I202" t="s">
        <v>753</v>
      </c>
      <c r="J202">
        <v>5</v>
      </c>
      <c r="K202">
        <v>5.5629999999999997</v>
      </c>
      <c r="L202">
        <v>0.5</v>
      </c>
      <c r="M202">
        <v>6</v>
      </c>
      <c r="N202">
        <v>11.0625</v>
      </c>
      <c r="P202">
        <v>14</v>
      </c>
      <c r="Q202" t="s">
        <v>120</v>
      </c>
      <c r="R202" t="s">
        <v>22</v>
      </c>
      <c r="S202">
        <v>25</v>
      </c>
    </row>
    <row r="203" spans="9:19" x14ac:dyDescent="0.3">
      <c r="I203" t="s">
        <v>753</v>
      </c>
      <c r="J203">
        <v>5</v>
      </c>
      <c r="K203">
        <v>5.5629999999999997</v>
      </c>
      <c r="L203">
        <v>0.75</v>
      </c>
      <c r="M203">
        <v>8</v>
      </c>
      <c r="N203">
        <f>13.8125</f>
        <v>13.8125</v>
      </c>
      <c r="P203">
        <v>14</v>
      </c>
      <c r="Q203" t="s">
        <v>120</v>
      </c>
      <c r="R203" t="s">
        <v>23</v>
      </c>
      <c r="S203">
        <v>32</v>
      </c>
    </row>
    <row r="204" spans="9:19" x14ac:dyDescent="0.3">
      <c r="I204" t="s">
        <v>753</v>
      </c>
      <c r="J204">
        <v>5</v>
      </c>
      <c r="K204">
        <v>5.5629999999999997</v>
      </c>
      <c r="L204">
        <v>1</v>
      </c>
      <c r="M204">
        <v>8</v>
      </c>
      <c r="N204">
        <f>13.8125</f>
        <v>13.8125</v>
      </c>
      <c r="P204">
        <v>14</v>
      </c>
      <c r="Q204" t="s">
        <v>20</v>
      </c>
      <c r="R204" t="s">
        <v>22</v>
      </c>
      <c r="S204">
        <v>25</v>
      </c>
    </row>
    <row r="205" spans="9:19" x14ac:dyDescent="0.3">
      <c r="I205" t="s">
        <v>753</v>
      </c>
      <c r="J205">
        <v>5</v>
      </c>
      <c r="K205">
        <v>5.5629999999999997</v>
      </c>
      <c r="L205">
        <v>1.5</v>
      </c>
      <c r="M205">
        <v>8</v>
      </c>
      <c r="N205">
        <f>13.8125</f>
        <v>13.8125</v>
      </c>
      <c r="P205">
        <v>14</v>
      </c>
      <c r="Q205" t="s">
        <v>20</v>
      </c>
      <c r="R205" t="s">
        <v>23</v>
      </c>
      <c r="S205">
        <v>32</v>
      </c>
    </row>
    <row r="206" spans="9:19" x14ac:dyDescent="0.3">
      <c r="I206" t="s">
        <v>753</v>
      </c>
      <c r="J206">
        <v>5</v>
      </c>
      <c r="K206">
        <v>5.5629999999999997</v>
      </c>
      <c r="L206">
        <v>2</v>
      </c>
      <c r="M206">
        <v>10</v>
      </c>
      <c r="N206">
        <f>16.3125</f>
        <v>16.3125</v>
      </c>
      <c r="P206">
        <v>14</v>
      </c>
      <c r="Q206" t="s">
        <v>128</v>
      </c>
      <c r="R206" t="s">
        <v>22</v>
      </c>
      <c r="S206">
        <v>4</v>
      </c>
    </row>
    <row r="207" spans="9:19" x14ac:dyDescent="0.3">
      <c r="I207" t="s">
        <v>753</v>
      </c>
      <c r="J207">
        <v>5</v>
      </c>
      <c r="K207">
        <v>5.5629999999999997</v>
      </c>
      <c r="L207">
        <v>2.5</v>
      </c>
      <c r="M207">
        <v>10</v>
      </c>
      <c r="N207">
        <f>16.3125</f>
        <v>16.3125</v>
      </c>
      <c r="P207">
        <v>14</v>
      </c>
      <c r="Q207" t="s">
        <v>128</v>
      </c>
      <c r="R207" t="s">
        <v>23</v>
      </c>
      <c r="S207">
        <v>4</v>
      </c>
    </row>
    <row r="208" spans="9:19" x14ac:dyDescent="0.3">
      <c r="I208" t="s">
        <v>753</v>
      </c>
      <c r="J208">
        <v>5</v>
      </c>
      <c r="K208">
        <v>5.5629999999999997</v>
      </c>
      <c r="L208">
        <v>3</v>
      </c>
      <c r="M208">
        <v>12</v>
      </c>
      <c r="N208">
        <v>19.625</v>
      </c>
      <c r="P208">
        <v>14</v>
      </c>
      <c r="Q208" t="s">
        <v>129</v>
      </c>
      <c r="R208" t="s">
        <v>22</v>
      </c>
      <c r="S208">
        <v>4</v>
      </c>
    </row>
    <row r="209" spans="9:19" x14ac:dyDescent="0.3">
      <c r="I209" t="s">
        <v>753</v>
      </c>
      <c r="J209">
        <v>5</v>
      </c>
      <c r="K209">
        <v>5.5629999999999997</v>
      </c>
      <c r="L209">
        <v>3.5</v>
      </c>
      <c r="M209">
        <v>12</v>
      </c>
      <c r="N209">
        <v>19.625</v>
      </c>
      <c r="P209">
        <v>14</v>
      </c>
      <c r="Q209" t="s">
        <v>129</v>
      </c>
      <c r="R209" t="s">
        <v>23</v>
      </c>
      <c r="S209">
        <v>4</v>
      </c>
    </row>
    <row r="210" spans="9:19" x14ac:dyDescent="0.3">
      <c r="I210" t="s">
        <v>750</v>
      </c>
      <c r="J210">
        <v>5</v>
      </c>
      <c r="K210">
        <v>5.5620000000000003</v>
      </c>
      <c r="L210">
        <v>0.5</v>
      </c>
      <c r="M210">
        <v>6</v>
      </c>
      <c r="N210">
        <v>11.0625</v>
      </c>
      <c r="P210">
        <v>16</v>
      </c>
      <c r="Q210" t="s">
        <v>120</v>
      </c>
      <c r="R210" t="s">
        <v>22</v>
      </c>
      <c r="S210">
        <v>27</v>
      </c>
    </row>
    <row r="211" spans="9:19" x14ac:dyDescent="0.3">
      <c r="I211" t="s">
        <v>750</v>
      </c>
      <c r="J211">
        <v>5</v>
      </c>
      <c r="K211">
        <v>5.5620000000000003</v>
      </c>
      <c r="L211">
        <v>0.75</v>
      </c>
      <c r="M211">
        <v>8</v>
      </c>
      <c r="N211">
        <f>13.8125</f>
        <v>13.8125</v>
      </c>
      <c r="P211">
        <v>16</v>
      </c>
      <c r="Q211" t="s">
        <v>120</v>
      </c>
      <c r="R211" t="s">
        <v>23</v>
      </c>
      <c r="S211">
        <v>35</v>
      </c>
    </row>
    <row r="212" spans="9:19" x14ac:dyDescent="0.3">
      <c r="I212" t="s">
        <v>750</v>
      </c>
      <c r="J212">
        <v>5</v>
      </c>
      <c r="K212">
        <v>5.5620000000000003</v>
      </c>
      <c r="L212">
        <v>1</v>
      </c>
      <c r="M212">
        <v>8</v>
      </c>
      <c r="N212">
        <f>13.8125</f>
        <v>13.8125</v>
      </c>
      <c r="P212">
        <v>16</v>
      </c>
      <c r="Q212" t="s">
        <v>20</v>
      </c>
      <c r="R212" t="s">
        <v>22</v>
      </c>
      <c r="S212">
        <v>27</v>
      </c>
    </row>
    <row r="213" spans="9:19" x14ac:dyDescent="0.3">
      <c r="I213" t="s">
        <v>750</v>
      </c>
      <c r="J213">
        <v>5</v>
      </c>
      <c r="K213">
        <v>5.5620000000000003</v>
      </c>
      <c r="L213">
        <v>1.5</v>
      </c>
      <c r="M213">
        <v>8</v>
      </c>
      <c r="N213">
        <f>13.8125</f>
        <v>13.8125</v>
      </c>
      <c r="P213">
        <v>16</v>
      </c>
      <c r="Q213" t="s">
        <v>20</v>
      </c>
      <c r="R213" t="s">
        <v>23</v>
      </c>
      <c r="S213">
        <v>35</v>
      </c>
    </row>
    <row r="214" spans="9:19" x14ac:dyDescent="0.3">
      <c r="I214" t="s">
        <v>750</v>
      </c>
      <c r="J214">
        <v>5</v>
      </c>
      <c r="K214">
        <v>5.5620000000000003</v>
      </c>
      <c r="L214">
        <v>2</v>
      </c>
      <c r="M214">
        <v>10</v>
      </c>
      <c r="N214">
        <f>16.3125</f>
        <v>16.3125</v>
      </c>
      <c r="P214">
        <v>16</v>
      </c>
      <c r="Q214" t="s">
        <v>128</v>
      </c>
      <c r="R214" t="s">
        <v>22</v>
      </c>
      <c r="S214">
        <v>4</v>
      </c>
    </row>
    <row r="215" spans="9:19" x14ac:dyDescent="0.3">
      <c r="I215" t="s">
        <v>750</v>
      </c>
      <c r="J215">
        <v>5</v>
      </c>
      <c r="K215">
        <v>5.5620000000000003</v>
      </c>
      <c r="L215">
        <v>2.5</v>
      </c>
      <c r="M215">
        <v>10</v>
      </c>
      <c r="N215">
        <f>16.3125</f>
        <v>16.3125</v>
      </c>
      <c r="P215">
        <v>16</v>
      </c>
      <c r="Q215" t="s">
        <v>128</v>
      </c>
      <c r="R215" t="s">
        <v>23</v>
      </c>
      <c r="S215">
        <v>4</v>
      </c>
    </row>
    <row r="216" spans="9:19" x14ac:dyDescent="0.3">
      <c r="I216" t="s">
        <v>750</v>
      </c>
      <c r="J216">
        <v>5</v>
      </c>
      <c r="K216">
        <v>5.5620000000000003</v>
      </c>
      <c r="L216">
        <v>3</v>
      </c>
      <c r="M216">
        <v>12</v>
      </c>
      <c r="N216">
        <v>19.625</v>
      </c>
      <c r="P216">
        <v>16</v>
      </c>
      <c r="Q216" t="s">
        <v>129</v>
      </c>
      <c r="R216" t="s">
        <v>22</v>
      </c>
      <c r="S216">
        <v>4</v>
      </c>
    </row>
    <row r="217" spans="9:19" x14ac:dyDescent="0.3">
      <c r="I217" t="s">
        <v>750</v>
      </c>
      <c r="J217">
        <v>5</v>
      </c>
      <c r="K217">
        <v>5.5620000000000003</v>
      </c>
      <c r="L217">
        <v>3.5</v>
      </c>
      <c r="M217">
        <v>12</v>
      </c>
      <c r="N217">
        <v>19.625</v>
      </c>
      <c r="P217">
        <v>16</v>
      </c>
      <c r="Q217" t="s">
        <v>129</v>
      </c>
      <c r="R217" t="s">
        <v>23</v>
      </c>
      <c r="S217">
        <v>4</v>
      </c>
    </row>
    <row r="218" spans="9:19" x14ac:dyDescent="0.3">
      <c r="I218" t="s">
        <v>751</v>
      </c>
      <c r="J218">
        <v>6</v>
      </c>
      <c r="K218">
        <v>6.125</v>
      </c>
      <c r="L218">
        <v>0.5</v>
      </c>
      <c r="M218">
        <v>8</v>
      </c>
      <c r="N218">
        <f>13.8125</f>
        <v>13.8125</v>
      </c>
      <c r="P218">
        <v>18</v>
      </c>
      <c r="Q218" t="s">
        <v>120</v>
      </c>
      <c r="R218" t="s">
        <v>22</v>
      </c>
      <c r="S218">
        <v>28</v>
      </c>
    </row>
    <row r="219" spans="9:19" x14ac:dyDescent="0.3">
      <c r="I219" t="s">
        <v>751</v>
      </c>
      <c r="J219">
        <v>6</v>
      </c>
      <c r="K219">
        <v>6.125</v>
      </c>
      <c r="L219">
        <v>0.75</v>
      </c>
      <c r="M219">
        <v>8</v>
      </c>
      <c r="N219">
        <f>13.8125</f>
        <v>13.8125</v>
      </c>
      <c r="P219">
        <v>18</v>
      </c>
      <c r="Q219" t="s">
        <v>120</v>
      </c>
      <c r="R219" t="s">
        <v>23</v>
      </c>
      <c r="S219">
        <v>37</v>
      </c>
    </row>
    <row r="220" spans="9:19" x14ac:dyDescent="0.3">
      <c r="I220" t="s">
        <v>751</v>
      </c>
      <c r="J220">
        <v>6</v>
      </c>
      <c r="K220">
        <v>6.125</v>
      </c>
      <c r="L220">
        <v>1</v>
      </c>
      <c r="M220">
        <v>10</v>
      </c>
      <c r="N220">
        <f>16.3125</f>
        <v>16.3125</v>
      </c>
      <c r="P220">
        <v>18</v>
      </c>
      <c r="Q220" t="s">
        <v>20</v>
      </c>
      <c r="R220" t="s">
        <v>22</v>
      </c>
      <c r="S220">
        <v>28</v>
      </c>
    </row>
    <row r="221" spans="9:19" x14ac:dyDescent="0.3">
      <c r="I221" t="s">
        <v>751</v>
      </c>
      <c r="J221">
        <v>6</v>
      </c>
      <c r="K221">
        <v>6.125</v>
      </c>
      <c r="L221">
        <v>1.5</v>
      </c>
      <c r="M221">
        <v>10</v>
      </c>
      <c r="N221">
        <f>16.3125</f>
        <v>16.3125</v>
      </c>
      <c r="P221">
        <v>18</v>
      </c>
      <c r="Q221" t="s">
        <v>20</v>
      </c>
      <c r="R221" t="s">
        <v>23</v>
      </c>
      <c r="S221">
        <v>37</v>
      </c>
    </row>
    <row r="222" spans="9:19" x14ac:dyDescent="0.3">
      <c r="I222" t="s">
        <v>753</v>
      </c>
      <c r="J222">
        <v>6</v>
      </c>
      <c r="K222">
        <v>6.625</v>
      </c>
      <c r="L222">
        <v>0.5</v>
      </c>
      <c r="M222">
        <v>8</v>
      </c>
      <c r="N222">
        <f>13.8125</f>
        <v>13.8125</v>
      </c>
      <c r="P222">
        <v>20</v>
      </c>
      <c r="Q222" t="s">
        <v>120</v>
      </c>
      <c r="R222" t="s">
        <v>22</v>
      </c>
      <c r="S222">
        <v>30</v>
      </c>
    </row>
    <row r="223" spans="9:19" x14ac:dyDescent="0.3">
      <c r="I223" t="s">
        <v>753</v>
      </c>
      <c r="J223">
        <v>6</v>
      </c>
      <c r="K223">
        <v>6.625</v>
      </c>
      <c r="L223">
        <v>0.75</v>
      </c>
      <c r="M223">
        <v>8</v>
      </c>
      <c r="N223">
        <f>13.8125</f>
        <v>13.8125</v>
      </c>
      <c r="P223">
        <v>20</v>
      </c>
      <c r="Q223" t="s">
        <v>120</v>
      </c>
      <c r="R223" t="s">
        <v>23</v>
      </c>
      <c r="S223">
        <v>39</v>
      </c>
    </row>
    <row r="224" spans="9:19" x14ac:dyDescent="0.3">
      <c r="I224" t="s">
        <v>753</v>
      </c>
      <c r="J224">
        <v>6</v>
      </c>
      <c r="K224">
        <v>6.625</v>
      </c>
      <c r="L224">
        <v>1</v>
      </c>
      <c r="M224">
        <v>8</v>
      </c>
      <c r="N224">
        <f>13.8125</f>
        <v>13.8125</v>
      </c>
      <c r="P224">
        <v>20</v>
      </c>
      <c r="Q224" t="s">
        <v>20</v>
      </c>
      <c r="R224" t="s">
        <v>22</v>
      </c>
      <c r="S224">
        <v>30</v>
      </c>
    </row>
    <row r="225" spans="9:19" x14ac:dyDescent="0.3">
      <c r="I225" t="s">
        <v>753</v>
      </c>
      <c r="J225">
        <v>6</v>
      </c>
      <c r="K225">
        <v>6.625</v>
      </c>
      <c r="L225">
        <v>1.5</v>
      </c>
      <c r="M225">
        <v>10</v>
      </c>
      <c r="N225">
        <f>16.3125</f>
        <v>16.3125</v>
      </c>
      <c r="P225">
        <v>20</v>
      </c>
      <c r="Q225" t="s">
        <v>20</v>
      </c>
      <c r="R225" t="s">
        <v>23</v>
      </c>
      <c r="S225">
        <v>39</v>
      </c>
    </row>
    <row r="226" spans="9:19" x14ac:dyDescent="0.3">
      <c r="I226" t="s">
        <v>753</v>
      </c>
      <c r="J226">
        <v>6</v>
      </c>
      <c r="K226">
        <v>6.625</v>
      </c>
      <c r="L226">
        <v>2</v>
      </c>
      <c r="M226">
        <v>10</v>
      </c>
      <c r="N226">
        <f>16.3125</f>
        <v>16.3125</v>
      </c>
      <c r="P226">
        <v>24</v>
      </c>
      <c r="Q226" t="s">
        <v>120</v>
      </c>
      <c r="R226" t="s">
        <v>22</v>
      </c>
      <c r="S226">
        <v>32</v>
      </c>
    </row>
    <row r="227" spans="9:19" x14ac:dyDescent="0.3">
      <c r="I227" t="s">
        <v>753</v>
      </c>
      <c r="J227">
        <v>6</v>
      </c>
      <c r="K227">
        <v>6.625</v>
      </c>
      <c r="L227">
        <v>2.5</v>
      </c>
      <c r="M227">
        <v>12</v>
      </c>
      <c r="N227">
        <v>19.625</v>
      </c>
      <c r="P227">
        <v>24</v>
      </c>
      <c r="Q227" t="s">
        <v>120</v>
      </c>
      <c r="R227" t="s">
        <v>23</v>
      </c>
      <c r="S227">
        <v>42</v>
      </c>
    </row>
    <row r="228" spans="9:19" x14ac:dyDescent="0.3">
      <c r="I228" t="s">
        <v>753</v>
      </c>
      <c r="J228">
        <v>6</v>
      </c>
      <c r="K228">
        <v>6.625</v>
      </c>
      <c r="L228">
        <v>3</v>
      </c>
      <c r="M228">
        <v>12</v>
      </c>
      <c r="N228">
        <v>19.625</v>
      </c>
      <c r="P228">
        <v>24</v>
      </c>
      <c r="Q228" t="s">
        <v>20</v>
      </c>
      <c r="R228" t="s">
        <v>22</v>
      </c>
      <c r="S228">
        <v>32</v>
      </c>
    </row>
    <row r="229" spans="9:19" x14ac:dyDescent="0.3">
      <c r="I229" t="s">
        <v>750</v>
      </c>
      <c r="J229">
        <v>6</v>
      </c>
      <c r="K229">
        <v>6.625</v>
      </c>
      <c r="L229">
        <v>0.5</v>
      </c>
      <c r="M229">
        <v>8</v>
      </c>
      <c r="N229">
        <f>13.8125</f>
        <v>13.8125</v>
      </c>
      <c r="P229">
        <v>24</v>
      </c>
      <c r="Q229" t="s">
        <v>20</v>
      </c>
      <c r="R229" t="s">
        <v>23</v>
      </c>
      <c r="S229">
        <v>42</v>
      </c>
    </row>
    <row r="230" spans="9:19" x14ac:dyDescent="0.3">
      <c r="I230" t="s">
        <v>750</v>
      </c>
      <c r="J230">
        <v>6</v>
      </c>
      <c r="K230">
        <v>6.625</v>
      </c>
      <c r="L230">
        <v>0.75</v>
      </c>
      <c r="M230">
        <v>8</v>
      </c>
      <c r="N230">
        <f>13.8125</f>
        <v>13.8125</v>
      </c>
      <c r="P230">
        <v>30</v>
      </c>
      <c r="Q230" t="s">
        <v>120</v>
      </c>
      <c r="R230" t="s">
        <v>22</v>
      </c>
      <c r="S230">
        <v>33</v>
      </c>
    </row>
    <row r="231" spans="9:19" x14ac:dyDescent="0.3">
      <c r="I231" t="s">
        <v>750</v>
      </c>
      <c r="J231">
        <v>6</v>
      </c>
      <c r="K231">
        <v>6.625</v>
      </c>
      <c r="L231">
        <v>1</v>
      </c>
      <c r="M231">
        <v>8</v>
      </c>
      <c r="N231">
        <f>13.8125</f>
        <v>13.8125</v>
      </c>
      <c r="P231">
        <v>30</v>
      </c>
      <c r="Q231" t="s">
        <v>120</v>
      </c>
      <c r="R231" t="s">
        <v>23</v>
      </c>
      <c r="S231">
        <v>44</v>
      </c>
    </row>
    <row r="232" spans="9:19" x14ac:dyDescent="0.3">
      <c r="I232" t="s">
        <v>750</v>
      </c>
      <c r="J232">
        <v>6</v>
      </c>
      <c r="K232">
        <v>6.625</v>
      </c>
      <c r="L232">
        <v>1.5</v>
      </c>
      <c r="M232">
        <v>10</v>
      </c>
      <c r="N232">
        <f>16.3125</f>
        <v>16.3125</v>
      </c>
      <c r="P232">
        <v>30</v>
      </c>
      <c r="Q232" t="s">
        <v>20</v>
      </c>
      <c r="R232" t="s">
        <v>22</v>
      </c>
      <c r="S232">
        <v>33</v>
      </c>
    </row>
    <row r="233" spans="9:19" x14ac:dyDescent="0.3">
      <c r="I233" t="s">
        <v>750</v>
      </c>
      <c r="J233">
        <v>6</v>
      </c>
      <c r="K233">
        <v>6.625</v>
      </c>
      <c r="L233">
        <v>2</v>
      </c>
      <c r="M233">
        <v>10</v>
      </c>
      <c r="N233">
        <f>16.3125</f>
        <v>16.3125</v>
      </c>
      <c r="P233">
        <v>30</v>
      </c>
      <c r="Q233" t="s">
        <v>20</v>
      </c>
      <c r="R233" t="s">
        <v>23</v>
      </c>
      <c r="S233">
        <v>44</v>
      </c>
    </row>
    <row r="234" spans="9:19" x14ac:dyDescent="0.3">
      <c r="I234" t="s">
        <v>750</v>
      </c>
      <c r="J234">
        <v>6</v>
      </c>
      <c r="K234">
        <v>6.625</v>
      </c>
      <c r="L234">
        <v>2.5</v>
      </c>
      <c r="M234">
        <v>12</v>
      </c>
      <c r="N234">
        <v>19.625</v>
      </c>
    </row>
    <row r="235" spans="9:19" x14ac:dyDescent="0.3">
      <c r="I235" t="s">
        <v>750</v>
      </c>
      <c r="J235">
        <v>6</v>
      </c>
      <c r="K235">
        <v>6.625</v>
      </c>
      <c r="L235">
        <v>3</v>
      </c>
      <c r="M235">
        <v>12</v>
      </c>
      <c r="N235">
        <v>19.625</v>
      </c>
      <c r="P235" t="s">
        <v>736</v>
      </c>
    </row>
    <row r="236" spans="9:19" x14ac:dyDescent="0.3">
      <c r="I236" t="s">
        <v>753</v>
      </c>
      <c r="J236">
        <v>8</v>
      </c>
      <c r="K236">
        <v>8.625</v>
      </c>
      <c r="L236">
        <v>0.5</v>
      </c>
      <c r="M236">
        <v>10</v>
      </c>
      <c r="N236">
        <f>16.3125</f>
        <v>16.3125</v>
      </c>
      <c r="P236">
        <f>Calculations!B11</f>
        <v>0.5</v>
      </c>
      <c r="Q236" t="str">
        <f>Calculations!B10</f>
        <v>Rigid Metal Conduit (RMC)</v>
      </c>
      <c r="R236" t="e">
        <f>Calculations!#REF!</f>
        <v>#REF!</v>
      </c>
      <c r="S236" t="e" cm="1">
        <f t="array" ref="S236">_xlfn._xlws.FILTER(Pipe_spacing[Max spacing],(Pipe_spacing[Pipe size]=P236)*(Pipe_spacing[Material]=Q236)*(Pipe_spacing[contents]=R236),"no results")</f>
        <v>#REF!</v>
      </c>
    </row>
    <row r="237" spans="9:19" x14ac:dyDescent="0.3">
      <c r="I237" t="s">
        <v>753</v>
      </c>
      <c r="J237">
        <v>8</v>
      </c>
      <c r="K237">
        <v>8.625</v>
      </c>
      <c r="L237">
        <v>0.75</v>
      </c>
      <c r="M237">
        <v>10</v>
      </c>
      <c r="N237">
        <f>16.3125</f>
        <v>16.3125</v>
      </c>
    </row>
    <row r="238" spans="9:19" x14ac:dyDescent="0.3">
      <c r="I238" t="s">
        <v>753</v>
      </c>
      <c r="J238">
        <v>8</v>
      </c>
      <c r="K238">
        <v>8.625</v>
      </c>
      <c r="L238">
        <v>1</v>
      </c>
      <c r="M238">
        <v>10</v>
      </c>
      <c r="N238">
        <f>16.3125</f>
        <v>16.3125</v>
      </c>
      <c r="P238" t="s">
        <v>737</v>
      </c>
    </row>
    <row r="239" spans="9:19" x14ac:dyDescent="0.3">
      <c r="I239" t="s">
        <v>753</v>
      </c>
      <c r="J239">
        <v>8</v>
      </c>
      <c r="K239">
        <v>8.625</v>
      </c>
      <c r="L239">
        <v>1.5</v>
      </c>
      <c r="M239">
        <v>12</v>
      </c>
      <c r="N239">
        <v>19.625</v>
      </c>
      <c r="P239">
        <f>Calculations!B18</f>
        <v>0</v>
      </c>
      <c r="Q239" t="str">
        <f>Calculations!B17</f>
        <v>Rigid Metal Conduit (RMC)</v>
      </c>
      <c r="R239" t="e">
        <f>Calculations!#REF!</f>
        <v>#REF!</v>
      </c>
      <c r="S239" t="e" cm="1">
        <f t="array" ref="S239">_xlfn._xlws.FILTER(Pipe_spacing[Max spacing],(Pipe_spacing[Pipe size]=P239)*(Pipe_spacing[Material]=Q239)*(Pipe_spacing[contents]=R239),"no results")</f>
        <v>#REF!</v>
      </c>
    </row>
    <row r="240" spans="9:19" x14ac:dyDescent="0.3">
      <c r="I240" t="s">
        <v>753</v>
      </c>
      <c r="J240">
        <v>8</v>
      </c>
      <c r="K240">
        <v>8.625</v>
      </c>
      <c r="L240">
        <v>2</v>
      </c>
      <c r="M240">
        <v>12</v>
      </c>
      <c r="N240">
        <v>19.625</v>
      </c>
    </row>
    <row r="241" spans="9:19" x14ac:dyDescent="0.3">
      <c r="I241" t="s">
        <v>750</v>
      </c>
      <c r="J241">
        <v>8</v>
      </c>
      <c r="K241">
        <v>8.625</v>
      </c>
      <c r="L241">
        <v>0.5</v>
      </c>
      <c r="M241">
        <v>10</v>
      </c>
      <c r="N241">
        <f>16.3125</f>
        <v>16.3125</v>
      </c>
      <c r="S241" t="e">
        <f>MIN(S236,S239)</f>
        <v>#REF!</v>
      </c>
    </row>
    <row r="242" spans="9:19" x14ac:dyDescent="0.3">
      <c r="I242" t="s">
        <v>750</v>
      </c>
      <c r="J242">
        <v>8</v>
      </c>
      <c r="K242">
        <v>8.625</v>
      </c>
      <c r="L242">
        <v>0.75</v>
      </c>
      <c r="M242">
        <v>10</v>
      </c>
      <c r="N242">
        <f>16.3125</f>
        <v>16.3125</v>
      </c>
    </row>
    <row r="243" spans="9:19" x14ac:dyDescent="0.3">
      <c r="I243" t="s">
        <v>750</v>
      </c>
      <c r="J243">
        <v>8</v>
      </c>
      <c r="K243">
        <v>8.625</v>
      </c>
      <c r="L243">
        <v>1</v>
      </c>
      <c r="M243">
        <v>10</v>
      </c>
      <c r="N243">
        <f>16.3125</f>
        <v>16.3125</v>
      </c>
    </row>
    <row r="244" spans="9:19" x14ac:dyDescent="0.3">
      <c r="I244" t="s">
        <v>750</v>
      </c>
      <c r="J244">
        <v>8</v>
      </c>
      <c r="K244">
        <v>8.625</v>
      </c>
      <c r="L244">
        <v>1.5</v>
      </c>
      <c r="M244">
        <v>12</v>
      </c>
      <c r="N244">
        <v>19.625</v>
      </c>
    </row>
    <row r="245" spans="9:19" x14ac:dyDescent="0.3">
      <c r="I245" t="s">
        <v>750</v>
      </c>
      <c r="J245">
        <v>8</v>
      </c>
      <c r="K245">
        <v>8.625</v>
      </c>
      <c r="L245">
        <v>2</v>
      </c>
      <c r="M245">
        <v>12</v>
      </c>
      <c r="N245">
        <v>19.625</v>
      </c>
    </row>
    <row r="246" spans="9:19" x14ac:dyDescent="0.3">
      <c r="I246" t="s">
        <v>753</v>
      </c>
      <c r="J246">
        <v>10</v>
      </c>
      <c r="K246">
        <v>10.75</v>
      </c>
      <c r="L246">
        <v>0.5</v>
      </c>
      <c r="M246">
        <v>12</v>
      </c>
      <c r="N246">
        <v>19.625</v>
      </c>
    </row>
    <row r="247" spans="9:19" x14ac:dyDescent="0.3">
      <c r="I247" t="s">
        <v>753</v>
      </c>
      <c r="J247">
        <v>10</v>
      </c>
      <c r="K247">
        <v>10.75</v>
      </c>
      <c r="L247">
        <v>0.75</v>
      </c>
      <c r="M247">
        <v>12</v>
      </c>
      <c r="N247">
        <v>19.625</v>
      </c>
    </row>
    <row r="248" spans="9:19" x14ac:dyDescent="0.3">
      <c r="I248" t="s">
        <v>753</v>
      </c>
      <c r="J248">
        <v>10</v>
      </c>
      <c r="K248">
        <v>10.75</v>
      </c>
      <c r="L248">
        <v>1</v>
      </c>
      <c r="M248">
        <v>12</v>
      </c>
      <c r="N248">
        <v>19.625</v>
      </c>
    </row>
    <row r="249" spans="9:19" x14ac:dyDescent="0.3">
      <c r="I249" t="s">
        <v>750</v>
      </c>
      <c r="J249">
        <v>10</v>
      </c>
      <c r="K249">
        <v>10.75</v>
      </c>
      <c r="L249">
        <v>0.5</v>
      </c>
      <c r="M249">
        <v>12</v>
      </c>
      <c r="N249">
        <v>19.625</v>
      </c>
    </row>
    <row r="250" spans="9:19" x14ac:dyDescent="0.3">
      <c r="I250" t="s">
        <v>750</v>
      </c>
      <c r="J250">
        <v>10</v>
      </c>
      <c r="K250">
        <v>10.75</v>
      </c>
      <c r="L250">
        <v>0.75</v>
      </c>
      <c r="M250">
        <v>12</v>
      </c>
      <c r="N250">
        <v>19.625</v>
      </c>
    </row>
    <row r="251" spans="9:19" x14ac:dyDescent="0.3">
      <c r="I251" t="s">
        <v>750</v>
      </c>
      <c r="J251">
        <v>10</v>
      </c>
      <c r="K251">
        <v>10.75</v>
      </c>
      <c r="L251">
        <v>1</v>
      </c>
      <c r="M251">
        <v>12</v>
      </c>
      <c r="N251">
        <v>19.625</v>
      </c>
    </row>
    <row r="254" spans="9:19" x14ac:dyDescent="0.3">
      <c r="J254" t="s">
        <v>761</v>
      </c>
      <c r="K254" t="s">
        <v>157</v>
      </c>
      <c r="L254" t="s">
        <v>762</v>
      </c>
      <c r="M254" t="s">
        <v>763</v>
      </c>
    </row>
    <row r="255" spans="9:19" x14ac:dyDescent="0.3">
      <c r="I255" t="s">
        <v>18</v>
      </c>
      <c r="J255" t="e">
        <f>LEFT(Calculations!B10,FIND("-",Calculations!B10,1)-2)</f>
        <v>#VALUE!</v>
      </c>
      <c r="K255">
        <f>Calculations!B11</f>
        <v>0.5</v>
      </c>
      <c r="L255">
        <f>Calculations!B12</f>
        <v>31</v>
      </c>
      <c r="M255" t="e" cm="1">
        <f t="array" ref="M255">_xlfn._xlws.FILTER(Hanger_size[Shield or hanger size],(Hanger_size[Pipe material]=J255)*(Hanger_size[Pipe size]=K255)*(Hanger_size[Insulation thickness]=L255),"no results")</f>
        <v>#VALUE!</v>
      </c>
    </row>
    <row r="256" spans="9:19" x14ac:dyDescent="0.3">
      <c r="I256" t="s">
        <v>19</v>
      </c>
      <c r="J256" t="e">
        <f>LEFT(Calculations!B17,FIND("-",Calculations!B17,1)-2)</f>
        <v>#VALUE!</v>
      </c>
      <c r="K256">
        <f>Calculations!B18</f>
        <v>0</v>
      </c>
      <c r="L256" t="e">
        <f>Calculations!#REF!</f>
        <v>#REF!</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2"/>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652</v>
      </c>
      <c r="I2" t="s">
        <v>653</v>
      </c>
    </row>
    <row r="3" spans="1:43" x14ac:dyDescent="0.3">
      <c r="B3" t="s">
        <v>654</v>
      </c>
      <c r="D3" t="s">
        <v>655</v>
      </c>
      <c r="F3" t="s">
        <v>656</v>
      </c>
      <c r="H3" t="s">
        <v>657</v>
      </c>
      <c r="J3" t="s">
        <v>658</v>
      </c>
      <c r="L3" t="s">
        <v>659</v>
      </c>
      <c r="M3" t="s">
        <v>660</v>
      </c>
      <c r="N3" t="s">
        <v>661</v>
      </c>
      <c r="O3" t="s">
        <v>662</v>
      </c>
      <c r="Q3" t="s">
        <v>663</v>
      </c>
      <c r="R3" t="s">
        <v>664</v>
      </c>
      <c r="S3" t="s">
        <v>665</v>
      </c>
      <c r="U3" t="s">
        <v>666</v>
      </c>
      <c r="W3" t="s">
        <v>667</v>
      </c>
      <c r="X3" t="s">
        <v>658</v>
      </c>
      <c r="Z3" t="s">
        <v>659</v>
      </c>
      <c r="AB3" t="s">
        <v>660</v>
      </c>
      <c r="AD3" t="s">
        <v>661</v>
      </c>
      <c r="AF3" t="s">
        <v>662</v>
      </c>
      <c r="AH3" t="s">
        <v>663</v>
      </c>
      <c r="AJ3" t="s">
        <v>664</v>
      </c>
      <c r="AL3" t="s">
        <v>665</v>
      </c>
      <c r="AN3" t="s">
        <v>666</v>
      </c>
      <c r="AP3" t="s">
        <v>667</v>
      </c>
    </row>
    <row r="4" spans="1:43" x14ac:dyDescent="0.3">
      <c r="X4" t="s">
        <v>668</v>
      </c>
      <c r="Y4" t="s">
        <v>669</v>
      </c>
      <c r="Z4" t="s">
        <v>668</v>
      </c>
      <c r="AA4" t="s">
        <v>669</v>
      </c>
      <c r="AB4" t="s">
        <v>668</v>
      </c>
      <c r="AC4" t="s">
        <v>669</v>
      </c>
      <c r="AD4" t="s">
        <v>668</v>
      </c>
      <c r="AE4" t="s">
        <v>669</v>
      </c>
      <c r="AF4" t="s">
        <v>668</v>
      </c>
      <c r="AG4" t="s">
        <v>669</v>
      </c>
      <c r="AH4" t="s">
        <v>668</v>
      </c>
      <c r="AI4" t="s">
        <v>669</v>
      </c>
      <c r="AJ4" t="s">
        <v>668</v>
      </c>
      <c r="AK4" t="s">
        <v>669</v>
      </c>
      <c r="AL4" t="s">
        <v>668</v>
      </c>
      <c r="AM4" t="s">
        <v>669</v>
      </c>
      <c r="AN4" t="s">
        <v>668</v>
      </c>
      <c r="AO4" t="s">
        <v>669</v>
      </c>
      <c r="AP4" t="s">
        <v>668</v>
      </c>
      <c r="AQ4" t="s">
        <v>669</v>
      </c>
    </row>
    <row r="5" spans="1:43" x14ac:dyDescent="0.3">
      <c r="A5">
        <v>2420</v>
      </c>
      <c r="B5" t="s">
        <v>670</v>
      </c>
      <c r="C5" t="s">
        <v>671</v>
      </c>
      <c r="D5" t="s">
        <v>672</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673</v>
      </c>
      <c r="C6" t="s">
        <v>671</v>
      </c>
      <c r="D6" t="s">
        <v>672</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674</v>
      </c>
      <c r="C7" t="s">
        <v>671</v>
      </c>
      <c r="D7" t="s">
        <v>672</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675</v>
      </c>
      <c r="C8" t="s">
        <v>671</v>
      </c>
      <c r="D8" t="s">
        <v>672</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670</v>
      </c>
      <c r="C10" t="s">
        <v>671</v>
      </c>
      <c r="D10" t="s">
        <v>673</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673</v>
      </c>
      <c r="C11" t="s">
        <v>671</v>
      </c>
      <c r="D11" t="s">
        <v>673</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674</v>
      </c>
      <c r="C12" t="s">
        <v>671</v>
      </c>
      <c r="D12" t="s">
        <v>673</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675</v>
      </c>
      <c r="C13" t="s">
        <v>671</v>
      </c>
      <c r="D13" t="s">
        <v>673</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670</v>
      </c>
      <c r="C15" t="s">
        <v>671</v>
      </c>
      <c r="D15" t="s">
        <v>674</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673</v>
      </c>
      <c r="C16" t="s">
        <v>671</v>
      </c>
      <c r="D16" t="s">
        <v>674</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674</v>
      </c>
      <c r="C17" t="s">
        <v>671</v>
      </c>
      <c r="D17" t="s">
        <v>674</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675</v>
      </c>
      <c r="C18" t="s">
        <v>671</v>
      </c>
      <c r="D18" t="s">
        <v>674</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670</v>
      </c>
      <c r="C20" t="s">
        <v>671</v>
      </c>
      <c r="D20" t="s">
        <v>676</v>
      </c>
      <c r="F20" t="s">
        <v>671</v>
      </c>
      <c r="H20">
        <v>7</v>
      </c>
      <c r="J20">
        <v>28.46</v>
      </c>
      <c r="L20">
        <v>38.159999999999997</v>
      </c>
      <c r="M20">
        <v>41.72</v>
      </c>
      <c r="N20">
        <v>54.98</v>
      </c>
      <c r="O20">
        <v>28.46</v>
      </c>
      <c r="Q20">
        <v>41.72</v>
      </c>
      <c r="R20">
        <v>54.98</v>
      </c>
      <c r="S20">
        <v>28.46</v>
      </c>
      <c r="U20">
        <v>41.72</v>
      </c>
      <c r="W20">
        <v>54.98</v>
      </c>
      <c r="X20" t="s">
        <v>671</v>
      </c>
      <c r="Y20">
        <v>309.22000000000003</v>
      </c>
      <c r="Z20" t="s">
        <v>671</v>
      </c>
      <c r="AA20">
        <v>377.12</v>
      </c>
      <c r="AB20" t="s">
        <v>671</v>
      </c>
      <c r="AC20">
        <v>402.03999999999996</v>
      </c>
      <c r="AD20" t="s">
        <v>671</v>
      </c>
      <c r="AE20">
        <v>494.85999999999996</v>
      </c>
      <c r="AF20" t="s">
        <v>671</v>
      </c>
      <c r="AG20">
        <v>309.22000000000003</v>
      </c>
      <c r="AH20" t="s">
        <v>671</v>
      </c>
      <c r="AI20">
        <v>402.03999999999996</v>
      </c>
      <c r="AJ20" t="s">
        <v>671</v>
      </c>
      <c r="AK20">
        <v>494.85999999999996</v>
      </c>
      <c r="AL20" t="s">
        <v>671</v>
      </c>
      <c r="AM20">
        <v>309.22000000000003</v>
      </c>
      <c r="AN20" t="s">
        <v>671</v>
      </c>
      <c r="AO20">
        <v>402.03999999999996</v>
      </c>
      <c r="AP20" t="s">
        <v>671</v>
      </c>
      <c r="AQ20">
        <v>494.85999999999996</v>
      </c>
    </row>
    <row r="21" spans="1:43" x14ac:dyDescent="0.3">
      <c r="A21">
        <v>3660</v>
      </c>
      <c r="B21" t="s">
        <v>673</v>
      </c>
      <c r="C21" t="s">
        <v>671</v>
      </c>
      <c r="D21" t="s">
        <v>676</v>
      </c>
      <c r="F21" t="s">
        <v>671</v>
      </c>
      <c r="H21">
        <v>7</v>
      </c>
      <c r="J21">
        <v>32.340000000000003</v>
      </c>
      <c r="L21">
        <v>42.04</v>
      </c>
      <c r="M21">
        <v>49.48</v>
      </c>
      <c r="N21">
        <v>66.62</v>
      </c>
      <c r="O21">
        <v>32.340000000000003</v>
      </c>
      <c r="Q21">
        <v>49.48</v>
      </c>
      <c r="R21">
        <v>66.62</v>
      </c>
      <c r="S21">
        <v>32.340000000000003</v>
      </c>
      <c r="U21">
        <v>49.48</v>
      </c>
      <c r="W21">
        <v>66.62</v>
      </c>
      <c r="X21" t="s">
        <v>671</v>
      </c>
      <c r="Y21">
        <v>336.38</v>
      </c>
      <c r="Z21" t="s">
        <v>671</v>
      </c>
      <c r="AA21">
        <v>404.28</v>
      </c>
      <c r="AB21" t="s">
        <v>671</v>
      </c>
      <c r="AC21">
        <v>456.35999999999996</v>
      </c>
      <c r="AD21" t="s">
        <v>671</v>
      </c>
      <c r="AE21">
        <v>576.34</v>
      </c>
      <c r="AF21" t="s">
        <v>671</v>
      </c>
      <c r="AG21">
        <v>336.38</v>
      </c>
      <c r="AH21" t="s">
        <v>671</v>
      </c>
      <c r="AI21">
        <v>456.35999999999996</v>
      </c>
      <c r="AJ21" t="s">
        <v>671</v>
      </c>
      <c r="AK21">
        <v>576.34</v>
      </c>
      <c r="AL21" t="s">
        <v>671</v>
      </c>
      <c r="AM21">
        <v>336.38</v>
      </c>
      <c r="AN21" t="s">
        <v>671</v>
      </c>
      <c r="AO21">
        <v>456.35999999999996</v>
      </c>
      <c r="AP21" t="s">
        <v>671</v>
      </c>
      <c r="AQ21">
        <v>576.34</v>
      </c>
    </row>
    <row r="22" spans="1:43" x14ac:dyDescent="0.3">
      <c r="A22">
        <v>4860</v>
      </c>
      <c r="B22" t="s">
        <v>674</v>
      </c>
      <c r="C22" t="s">
        <v>671</v>
      </c>
      <c r="D22" t="s">
        <v>676</v>
      </c>
      <c r="F22" t="s">
        <v>671</v>
      </c>
      <c r="H22">
        <v>7</v>
      </c>
      <c r="J22">
        <v>36.22</v>
      </c>
      <c r="L22">
        <v>45.92</v>
      </c>
      <c r="M22">
        <v>57.24</v>
      </c>
      <c r="N22">
        <v>78.260000000000005</v>
      </c>
      <c r="O22">
        <v>36.22</v>
      </c>
      <c r="Q22">
        <v>57.24</v>
      </c>
      <c r="R22">
        <v>78.260000000000005</v>
      </c>
      <c r="S22">
        <v>36.22</v>
      </c>
      <c r="U22">
        <v>57.24</v>
      </c>
      <c r="W22">
        <v>78.260000000000005</v>
      </c>
      <c r="X22" t="s">
        <v>671</v>
      </c>
      <c r="Y22">
        <v>363.53999999999996</v>
      </c>
      <c r="Z22" t="s">
        <v>671</v>
      </c>
      <c r="AA22">
        <v>431.44</v>
      </c>
      <c r="AB22" t="s">
        <v>671</v>
      </c>
      <c r="AC22">
        <v>510.68</v>
      </c>
      <c r="AD22" t="s">
        <v>671</v>
      </c>
      <c r="AE22">
        <v>657.82</v>
      </c>
      <c r="AF22" t="s">
        <v>671</v>
      </c>
      <c r="AG22">
        <v>363.53999999999996</v>
      </c>
      <c r="AH22" t="s">
        <v>671</v>
      </c>
      <c r="AI22">
        <v>510.68</v>
      </c>
      <c r="AJ22" t="s">
        <v>671</v>
      </c>
      <c r="AK22">
        <v>657.82</v>
      </c>
      <c r="AL22" t="s">
        <v>671</v>
      </c>
      <c r="AM22">
        <v>363.53999999999996</v>
      </c>
      <c r="AN22" t="s">
        <v>671</v>
      </c>
      <c r="AO22">
        <v>510.68</v>
      </c>
      <c r="AP22" t="s">
        <v>677</v>
      </c>
      <c r="AQ22">
        <v>657.82</v>
      </c>
    </row>
    <row r="23" spans="1:43" x14ac:dyDescent="0.3">
      <c r="A23">
        <v>7260</v>
      </c>
      <c r="B23" t="s">
        <v>675</v>
      </c>
      <c r="C23" t="s">
        <v>671</v>
      </c>
      <c r="D23" t="s">
        <v>676</v>
      </c>
      <c r="F23" t="s">
        <v>671</v>
      </c>
      <c r="H23">
        <v>7</v>
      </c>
      <c r="J23">
        <v>43.98</v>
      </c>
      <c r="L23">
        <v>53.68</v>
      </c>
      <c r="M23">
        <v>72.760000000000005</v>
      </c>
      <c r="N23">
        <v>101.54</v>
      </c>
      <c r="O23">
        <v>43.98</v>
      </c>
      <c r="Q23">
        <v>72.760000000000005</v>
      </c>
      <c r="R23">
        <v>101.54</v>
      </c>
      <c r="S23">
        <v>43.98</v>
      </c>
      <c r="U23">
        <v>72.760000000000005</v>
      </c>
      <c r="W23">
        <v>101.54</v>
      </c>
      <c r="X23" t="s">
        <v>671</v>
      </c>
      <c r="Y23">
        <v>417.85999999999996</v>
      </c>
      <c r="Z23" t="s">
        <v>671</v>
      </c>
      <c r="AA23">
        <v>485.76</v>
      </c>
      <c r="AB23" t="s">
        <v>671</v>
      </c>
      <c r="AC23">
        <v>619.32000000000005</v>
      </c>
      <c r="AD23" t="s">
        <v>671</v>
      </c>
      <c r="AE23">
        <v>820.78000000000009</v>
      </c>
      <c r="AF23" t="s">
        <v>671</v>
      </c>
      <c r="AG23">
        <v>417.85999999999996</v>
      </c>
      <c r="AH23" t="s">
        <v>671</v>
      </c>
      <c r="AI23">
        <v>619.32000000000005</v>
      </c>
      <c r="AJ23" t="s">
        <v>671</v>
      </c>
      <c r="AK23">
        <v>820.78000000000009</v>
      </c>
      <c r="AL23" t="s">
        <v>671</v>
      </c>
      <c r="AM23">
        <v>417.85999999999996</v>
      </c>
      <c r="AN23" t="s">
        <v>671</v>
      </c>
      <c r="AO23">
        <v>619.32000000000005</v>
      </c>
      <c r="AP23" t="s">
        <v>671</v>
      </c>
      <c r="AQ23">
        <v>820.78000000000009</v>
      </c>
    </row>
    <row r="25" spans="1:43" x14ac:dyDescent="0.3">
      <c r="A25">
        <v>2472</v>
      </c>
      <c r="B25" t="s">
        <v>670</v>
      </c>
      <c r="C25" t="s">
        <v>671</v>
      </c>
      <c r="D25" t="s">
        <v>675</v>
      </c>
      <c r="F25" t="s">
        <v>671</v>
      </c>
      <c r="H25">
        <v>7</v>
      </c>
      <c r="J25">
        <v>30.4</v>
      </c>
      <c r="L25">
        <v>42.04</v>
      </c>
      <c r="M25">
        <v>43.66</v>
      </c>
      <c r="N25">
        <v>56.92</v>
      </c>
      <c r="O25">
        <v>30.4</v>
      </c>
      <c r="Q25">
        <v>43.66</v>
      </c>
      <c r="R25">
        <v>56.92</v>
      </c>
      <c r="S25">
        <v>30.4</v>
      </c>
      <c r="U25">
        <v>43.66</v>
      </c>
      <c r="W25">
        <v>56.92</v>
      </c>
      <c r="X25" t="s">
        <v>671</v>
      </c>
      <c r="Y25">
        <v>322.79999999999995</v>
      </c>
      <c r="Z25" t="s">
        <v>671</v>
      </c>
      <c r="AA25">
        <v>404.28</v>
      </c>
      <c r="AB25" t="s">
        <v>671</v>
      </c>
      <c r="AC25">
        <v>415.62</v>
      </c>
      <c r="AD25" t="s">
        <v>671</v>
      </c>
      <c r="AE25">
        <v>508.44</v>
      </c>
      <c r="AF25" t="s">
        <v>671</v>
      </c>
      <c r="AG25">
        <v>322.79999999999995</v>
      </c>
      <c r="AH25" t="s">
        <v>671</v>
      </c>
      <c r="AI25">
        <v>415.62</v>
      </c>
      <c r="AJ25" t="s">
        <v>671</v>
      </c>
      <c r="AK25">
        <v>508.44</v>
      </c>
      <c r="AL25" t="s">
        <v>671</v>
      </c>
      <c r="AM25">
        <v>322.79999999999995</v>
      </c>
      <c r="AN25" t="s">
        <v>671</v>
      </c>
      <c r="AO25">
        <v>415.62</v>
      </c>
      <c r="AP25" t="s">
        <v>671</v>
      </c>
      <c r="AQ25">
        <v>508.44</v>
      </c>
    </row>
    <row r="26" spans="1:43" x14ac:dyDescent="0.3">
      <c r="A26">
        <v>3672</v>
      </c>
      <c r="B26" t="s">
        <v>673</v>
      </c>
      <c r="C26" t="s">
        <v>671</v>
      </c>
      <c r="D26" t="s">
        <v>675</v>
      </c>
      <c r="F26" t="s">
        <v>671</v>
      </c>
      <c r="H26">
        <v>7</v>
      </c>
      <c r="J26">
        <v>34.28</v>
      </c>
      <c r="L26">
        <v>45.92</v>
      </c>
      <c r="M26">
        <v>51.42</v>
      </c>
      <c r="N26">
        <v>68.56</v>
      </c>
      <c r="O26">
        <v>34.28</v>
      </c>
      <c r="Q26">
        <v>51.42</v>
      </c>
      <c r="R26">
        <v>68.56</v>
      </c>
      <c r="S26">
        <v>34.28</v>
      </c>
      <c r="U26">
        <v>51.42</v>
      </c>
      <c r="W26">
        <v>68.56</v>
      </c>
      <c r="X26" t="s">
        <v>671</v>
      </c>
      <c r="Y26">
        <v>349.96000000000004</v>
      </c>
      <c r="Z26" t="s">
        <v>671</v>
      </c>
      <c r="AA26">
        <v>431.44</v>
      </c>
      <c r="AB26" t="s">
        <v>671</v>
      </c>
      <c r="AC26">
        <v>469.94</v>
      </c>
      <c r="AD26" t="s">
        <v>671</v>
      </c>
      <c r="AE26">
        <v>589.92000000000007</v>
      </c>
      <c r="AF26" t="s">
        <v>671</v>
      </c>
      <c r="AG26">
        <v>349.96000000000004</v>
      </c>
      <c r="AH26" t="s">
        <v>671</v>
      </c>
      <c r="AI26">
        <v>469.94</v>
      </c>
      <c r="AJ26" t="s">
        <v>671</v>
      </c>
      <c r="AK26">
        <v>589.92000000000007</v>
      </c>
      <c r="AL26" t="s">
        <v>671</v>
      </c>
      <c r="AM26">
        <v>349.96000000000004</v>
      </c>
      <c r="AN26" t="s">
        <v>671</v>
      </c>
      <c r="AO26">
        <v>469.94</v>
      </c>
      <c r="AP26" t="s">
        <v>671</v>
      </c>
      <c r="AQ26">
        <v>589.92000000000007</v>
      </c>
    </row>
    <row r="27" spans="1:43" x14ac:dyDescent="0.3">
      <c r="A27">
        <v>4872</v>
      </c>
      <c r="B27" t="s">
        <v>674</v>
      </c>
      <c r="C27" t="s">
        <v>671</v>
      </c>
      <c r="D27" t="s">
        <v>675</v>
      </c>
      <c r="F27" t="s">
        <v>671</v>
      </c>
      <c r="H27">
        <v>7</v>
      </c>
      <c r="J27">
        <v>38.159999999999997</v>
      </c>
      <c r="L27">
        <v>49.8</v>
      </c>
      <c r="M27">
        <v>59.18</v>
      </c>
      <c r="N27">
        <v>80.2</v>
      </c>
      <c r="O27">
        <v>38.159999999999997</v>
      </c>
      <c r="Q27">
        <v>59.18</v>
      </c>
      <c r="R27">
        <v>80.2</v>
      </c>
      <c r="S27">
        <v>38.159999999999997</v>
      </c>
      <c r="U27">
        <v>59.18</v>
      </c>
      <c r="W27">
        <v>80.2</v>
      </c>
      <c r="X27" t="s">
        <v>671</v>
      </c>
      <c r="Y27">
        <v>377.12</v>
      </c>
      <c r="Z27" t="s">
        <v>671</v>
      </c>
      <c r="AA27">
        <v>458.59999999999997</v>
      </c>
      <c r="AB27" t="s">
        <v>671</v>
      </c>
      <c r="AC27">
        <v>524.26</v>
      </c>
      <c r="AD27" t="s">
        <v>671</v>
      </c>
      <c r="AE27">
        <v>671.4</v>
      </c>
      <c r="AF27" t="s">
        <v>671</v>
      </c>
      <c r="AG27">
        <v>377.12</v>
      </c>
      <c r="AH27" t="s">
        <v>671</v>
      </c>
      <c r="AI27">
        <v>524.26</v>
      </c>
      <c r="AJ27" t="s">
        <v>671</v>
      </c>
      <c r="AK27">
        <v>671.4</v>
      </c>
      <c r="AL27" t="s">
        <v>671</v>
      </c>
      <c r="AM27">
        <v>377.12</v>
      </c>
      <c r="AN27" t="s">
        <v>671</v>
      </c>
      <c r="AO27">
        <v>524.26</v>
      </c>
      <c r="AP27" t="s">
        <v>671</v>
      </c>
      <c r="AQ27">
        <v>671.4</v>
      </c>
    </row>
    <row r="28" spans="1:43" x14ac:dyDescent="0.3">
      <c r="A28">
        <v>7272</v>
      </c>
      <c r="B28" t="s">
        <v>675</v>
      </c>
      <c r="C28" t="s">
        <v>671</v>
      </c>
      <c r="D28" t="s">
        <v>675</v>
      </c>
      <c r="F28" t="s">
        <v>671</v>
      </c>
      <c r="H28">
        <v>7</v>
      </c>
      <c r="J28">
        <v>45.92</v>
      </c>
      <c r="L28">
        <v>57.56</v>
      </c>
      <c r="M28">
        <v>74.7</v>
      </c>
      <c r="N28">
        <v>103.48</v>
      </c>
      <c r="O28">
        <v>45.92</v>
      </c>
      <c r="Q28">
        <v>74.7</v>
      </c>
      <c r="R28">
        <v>103.48</v>
      </c>
      <c r="S28">
        <v>45.92</v>
      </c>
      <c r="U28">
        <v>74.7</v>
      </c>
      <c r="W28">
        <v>103.48</v>
      </c>
      <c r="X28" t="s">
        <v>671</v>
      </c>
      <c r="Y28">
        <v>431.44</v>
      </c>
      <c r="Z28" t="s">
        <v>671</v>
      </c>
      <c r="AA28">
        <v>512.92000000000007</v>
      </c>
      <c r="AB28" t="s">
        <v>671</v>
      </c>
      <c r="AC28">
        <v>632.9</v>
      </c>
      <c r="AD28" t="s">
        <v>671</v>
      </c>
      <c r="AE28">
        <v>834.36</v>
      </c>
      <c r="AF28" t="s">
        <v>671</v>
      </c>
      <c r="AG28">
        <v>431.44</v>
      </c>
      <c r="AH28" t="s">
        <v>671</v>
      </c>
      <c r="AI28">
        <v>632.9</v>
      </c>
      <c r="AJ28" t="s">
        <v>671</v>
      </c>
      <c r="AK28">
        <v>834.36</v>
      </c>
      <c r="AL28" t="s">
        <v>671</v>
      </c>
      <c r="AM28">
        <v>431.44</v>
      </c>
      <c r="AN28" t="s">
        <v>671</v>
      </c>
      <c r="AO28">
        <v>632.9</v>
      </c>
      <c r="AP28" t="s">
        <v>671</v>
      </c>
      <c r="AQ28">
        <v>834.36</v>
      </c>
    </row>
    <row r="30" spans="1:43" x14ac:dyDescent="0.3">
      <c r="A30">
        <v>2484</v>
      </c>
      <c r="B30" t="s">
        <v>670</v>
      </c>
      <c r="C30" t="s">
        <v>671</v>
      </c>
      <c r="D30" t="s">
        <v>678</v>
      </c>
      <c r="F30" t="s">
        <v>671</v>
      </c>
      <c r="H30">
        <v>7</v>
      </c>
      <c r="J30">
        <v>32.340000000000003</v>
      </c>
      <c r="L30">
        <v>45.92</v>
      </c>
      <c r="M30">
        <v>45.6</v>
      </c>
      <c r="N30">
        <v>58.86</v>
      </c>
      <c r="O30">
        <v>32.340000000000003</v>
      </c>
      <c r="Q30">
        <v>45.6</v>
      </c>
      <c r="R30">
        <v>58.86</v>
      </c>
      <c r="S30">
        <v>32.340000000000003</v>
      </c>
      <c r="U30">
        <v>45.6</v>
      </c>
      <c r="W30">
        <v>58.86</v>
      </c>
      <c r="X30" t="s">
        <v>671</v>
      </c>
      <c r="Y30">
        <v>336.38</v>
      </c>
      <c r="Z30" t="s">
        <v>671</v>
      </c>
      <c r="AA30">
        <v>431.44</v>
      </c>
      <c r="AB30" t="s">
        <v>671</v>
      </c>
      <c r="AC30">
        <v>429.2</v>
      </c>
      <c r="AD30" t="s">
        <v>671</v>
      </c>
      <c r="AE30">
        <v>522.02</v>
      </c>
      <c r="AF30" t="s">
        <v>671</v>
      </c>
      <c r="AG30">
        <v>336.38</v>
      </c>
      <c r="AH30" t="s">
        <v>671</v>
      </c>
      <c r="AI30">
        <v>429.2</v>
      </c>
      <c r="AJ30" t="s">
        <v>671</v>
      </c>
      <c r="AK30">
        <v>522.02</v>
      </c>
      <c r="AL30" t="s">
        <v>671</v>
      </c>
      <c r="AM30">
        <v>336.38</v>
      </c>
      <c r="AN30" t="s">
        <v>671</v>
      </c>
      <c r="AO30">
        <v>429.2</v>
      </c>
      <c r="AP30" t="s">
        <v>671</v>
      </c>
      <c r="AQ30">
        <v>522.02</v>
      </c>
    </row>
    <row r="31" spans="1:43" x14ac:dyDescent="0.3">
      <c r="A31">
        <v>3684</v>
      </c>
      <c r="B31" t="s">
        <v>673</v>
      </c>
      <c r="C31" t="s">
        <v>671</v>
      </c>
      <c r="D31" t="s">
        <v>678</v>
      </c>
      <c r="F31" t="s">
        <v>671</v>
      </c>
      <c r="H31">
        <v>7</v>
      </c>
      <c r="J31">
        <v>36.22</v>
      </c>
      <c r="L31">
        <v>49.8</v>
      </c>
      <c r="M31">
        <v>53.36</v>
      </c>
      <c r="N31">
        <v>70.5</v>
      </c>
      <c r="O31">
        <v>36.22</v>
      </c>
      <c r="Q31">
        <v>53.36</v>
      </c>
      <c r="R31">
        <v>70.5</v>
      </c>
      <c r="S31">
        <v>36.22</v>
      </c>
      <c r="U31">
        <v>53.36</v>
      </c>
      <c r="W31">
        <v>70.5</v>
      </c>
      <c r="X31" t="s">
        <v>671</v>
      </c>
      <c r="Y31">
        <v>363.53999999999996</v>
      </c>
      <c r="Z31" t="s">
        <v>671</v>
      </c>
      <c r="AA31">
        <v>458.59999999999997</v>
      </c>
      <c r="AB31" t="s">
        <v>671</v>
      </c>
      <c r="AC31">
        <v>483.52</v>
      </c>
      <c r="AD31" t="s">
        <v>671</v>
      </c>
      <c r="AE31">
        <v>603.5</v>
      </c>
      <c r="AF31" t="s">
        <v>671</v>
      </c>
      <c r="AG31">
        <v>363.53999999999996</v>
      </c>
      <c r="AH31" t="s">
        <v>671</v>
      </c>
      <c r="AI31">
        <v>483.52</v>
      </c>
      <c r="AJ31" t="s">
        <v>671</v>
      </c>
      <c r="AK31">
        <v>603.5</v>
      </c>
      <c r="AL31" t="s">
        <v>671</v>
      </c>
      <c r="AM31">
        <v>363.53999999999996</v>
      </c>
      <c r="AN31" t="s">
        <v>671</v>
      </c>
      <c r="AO31">
        <v>483.52</v>
      </c>
      <c r="AP31" t="s">
        <v>671</v>
      </c>
      <c r="AQ31">
        <v>603.5</v>
      </c>
    </row>
    <row r="32" spans="1:43" x14ac:dyDescent="0.3">
      <c r="A32">
        <v>4884</v>
      </c>
      <c r="B32" t="s">
        <v>674</v>
      </c>
      <c r="C32" t="s">
        <v>671</v>
      </c>
      <c r="D32" t="s">
        <v>678</v>
      </c>
      <c r="F32" t="s">
        <v>671</v>
      </c>
      <c r="H32">
        <v>7</v>
      </c>
      <c r="J32">
        <v>40.1</v>
      </c>
      <c r="L32">
        <v>53.68</v>
      </c>
      <c r="M32">
        <v>61.12</v>
      </c>
      <c r="N32">
        <v>82.14</v>
      </c>
      <c r="O32">
        <v>40.1</v>
      </c>
      <c r="Q32">
        <v>61.12</v>
      </c>
      <c r="R32">
        <v>82.14</v>
      </c>
      <c r="S32">
        <v>40.1</v>
      </c>
      <c r="U32">
        <v>61.12</v>
      </c>
      <c r="W32">
        <v>82.14</v>
      </c>
      <c r="X32" t="s">
        <v>671</v>
      </c>
      <c r="Y32">
        <v>390.7</v>
      </c>
      <c r="Z32" t="s">
        <v>671</v>
      </c>
      <c r="AA32">
        <v>485.76</v>
      </c>
      <c r="AB32" t="s">
        <v>671</v>
      </c>
      <c r="AC32">
        <v>537.83999999999992</v>
      </c>
      <c r="AD32" t="s">
        <v>671</v>
      </c>
      <c r="AE32">
        <v>684.98</v>
      </c>
      <c r="AF32" t="s">
        <v>671</v>
      </c>
      <c r="AG32">
        <v>390.7</v>
      </c>
      <c r="AH32" t="s">
        <v>671</v>
      </c>
      <c r="AI32">
        <v>537.83999999999992</v>
      </c>
      <c r="AJ32" t="s">
        <v>671</v>
      </c>
      <c r="AK32">
        <v>684.98</v>
      </c>
      <c r="AL32" t="s">
        <v>671</v>
      </c>
      <c r="AM32">
        <v>390.7</v>
      </c>
      <c r="AN32" t="s">
        <v>671</v>
      </c>
      <c r="AO32">
        <v>537.83999999999992</v>
      </c>
      <c r="AP32" t="s">
        <v>671</v>
      </c>
      <c r="AQ32">
        <v>684.98</v>
      </c>
    </row>
    <row r="33" spans="1:43" x14ac:dyDescent="0.3">
      <c r="A33">
        <v>7284</v>
      </c>
      <c r="B33" t="s">
        <v>675</v>
      </c>
      <c r="C33" t="s">
        <v>671</v>
      </c>
      <c r="D33" t="s">
        <v>678</v>
      </c>
      <c r="F33" t="s">
        <v>671</v>
      </c>
      <c r="H33">
        <v>7</v>
      </c>
      <c r="J33">
        <v>47.86</v>
      </c>
      <c r="L33">
        <v>61.44</v>
      </c>
      <c r="M33">
        <v>76.64</v>
      </c>
      <c r="N33">
        <v>105.42</v>
      </c>
      <c r="O33">
        <v>36.86</v>
      </c>
      <c r="Q33">
        <v>76.64</v>
      </c>
      <c r="R33">
        <v>105.42</v>
      </c>
      <c r="S33">
        <v>47.86</v>
      </c>
      <c r="U33">
        <v>76.64</v>
      </c>
      <c r="W33">
        <v>105.42</v>
      </c>
      <c r="X33" t="s">
        <v>671</v>
      </c>
      <c r="Y33">
        <v>445.02</v>
      </c>
      <c r="Z33" t="s">
        <v>671</v>
      </c>
      <c r="AA33">
        <v>540.07999999999993</v>
      </c>
      <c r="AB33" t="s">
        <v>671</v>
      </c>
      <c r="AC33">
        <v>646.48</v>
      </c>
      <c r="AD33" t="s">
        <v>671</v>
      </c>
      <c r="AE33">
        <v>847.94</v>
      </c>
      <c r="AF33" t="s">
        <v>671</v>
      </c>
      <c r="AG33">
        <v>368.02</v>
      </c>
      <c r="AH33" t="s">
        <v>671</v>
      </c>
      <c r="AI33">
        <v>646.48</v>
      </c>
      <c r="AJ33" t="s">
        <v>671</v>
      </c>
      <c r="AK33">
        <v>847.94</v>
      </c>
      <c r="AL33" t="s">
        <v>671</v>
      </c>
      <c r="AM33">
        <v>445.02</v>
      </c>
      <c r="AN33" t="s">
        <v>671</v>
      </c>
      <c r="AO33">
        <v>646.48</v>
      </c>
      <c r="AP33" t="s">
        <v>671</v>
      </c>
      <c r="AQ33">
        <v>847.94</v>
      </c>
    </row>
    <row r="35" spans="1:43" x14ac:dyDescent="0.3">
      <c r="A35" t="s">
        <v>679</v>
      </c>
      <c r="X35" t="s">
        <v>680</v>
      </c>
    </row>
    <row r="36" spans="1:43" x14ac:dyDescent="0.3">
      <c r="A36" t="s">
        <v>681</v>
      </c>
      <c r="X36" t="s">
        <v>682</v>
      </c>
    </row>
    <row r="37" spans="1:43" x14ac:dyDescent="0.3">
      <c r="A37" t="s">
        <v>683</v>
      </c>
      <c r="X37" t="s">
        <v>684</v>
      </c>
    </row>
    <row r="184" spans="1:1" x14ac:dyDescent="0.3">
      <c r="A184">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6" customWidth="1"/>
    <col min="24" max="24" width="29.44140625" style="36" bestFit="1" customWidth="1"/>
    <col min="25" max="25" width="18.88671875" style="36" bestFit="1" customWidth="1"/>
    <col min="26" max="26" width="18.88671875" style="36" customWidth="1"/>
    <col min="27" max="27" width="9.44140625" style="36" bestFit="1" customWidth="1"/>
    <col min="28" max="29" width="11.88671875" style="36" bestFit="1" customWidth="1"/>
    <col min="30" max="32" width="11.88671875" style="36"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98</v>
      </c>
      <c r="B1" s="8" t="s">
        <v>99</v>
      </c>
      <c r="C1" s="8" t="s">
        <v>130</v>
      </c>
      <c r="D1" s="8" t="s">
        <v>131</v>
      </c>
      <c r="E1" s="8" t="s">
        <v>132</v>
      </c>
      <c r="F1" s="8" t="s">
        <v>133</v>
      </c>
      <c r="G1" s="8" t="s">
        <v>134</v>
      </c>
      <c r="H1" s="8" t="s">
        <v>135</v>
      </c>
      <c r="I1" s="8" t="s">
        <v>136</v>
      </c>
      <c r="J1" s="8" t="s">
        <v>137</v>
      </c>
      <c r="K1" s="8" t="s">
        <v>138</v>
      </c>
      <c r="L1" s="8" t="s">
        <v>139</v>
      </c>
      <c r="M1" s="8" t="s">
        <v>140</v>
      </c>
      <c r="N1" s="8" t="s">
        <v>141</v>
      </c>
      <c r="O1" s="8" t="s">
        <v>142</v>
      </c>
      <c r="P1" s="8" t="s">
        <v>143</v>
      </c>
      <c r="Q1" s="8" t="s">
        <v>144</v>
      </c>
      <c r="R1" s="8" t="s">
        <v>145</v>
      </c>
      <c r="S1" s="8" t="s">
        <v>146</v>
      </c>
      <c r="T1" s="45" t="s">
        <v>147</v>
      </c>
      <c r="U1" s="8" t="s">
        <v>148</v>
      </c>
      <c r="V1" s="8" t="s">
        <v>149</v>
      </c>
      <c r="W1" s="37" t="s">
        <v>150</v>
      </c>
      <c r="X1" s="37" t="s">
        <v>151</v>
      </c>
      <c r="Y1" s="37" t="s">
        <v>152</v>
      </c>
      <c r="Z1" s="37" t="s">
        <v>153</v>
      </c>
      <c r="AA1" s="37" t="s">
        <v>154</v>
      </c>
      <c r="AB1" s="37" t="s">
        <v>155</v>
      </c>
      <c r="AC1" s="37" t="s">
        <v>156</v>
      </c>
      <c r="AD1" s="37"/>
      <c r="AE1" s="37"/>
      <c r="AF1" s="37"/>
      <c r="AH1" s="9" t="s">
        <v>157</v>
      </c>
      <c r="AI1" s="9" t="s">
        <v>158</v>
      </c>
      <c r="AK1" s="9" t="s">
        <v>151</v>
      </c>
      <c r="AL1" s="9" t="s">
        <v>159</v>
      </c>
      <c r="AN1" s="9" t="s">
        <v>160</v>
      </c>
      <c r="AO1" s="9" t="s">
        <v>161</v>
      </c>
    </row>
    <row r="2" spans="1:41" x14ac:dyDescent="0.3">
      <c r="A2" s="1" t="s">
        <v>162</v>
      </c>
      <c r="B2" s="1" t="s">
        <v>163</v>
      </c>
      <c r="C2" s="1">
        <f t="shared" ref="C2:C65" si="0">E2+1.675</f>
        <v>25.675000000000001</v>
      </c>
      <c r="D2" s="1">
        <f t="shared" ref="D2:D65" si="1">F2+1.675+12.376</f>
        <v>34.051000000000002</v>
      </c>
      <c r="E2" s="1">
        <v>24</v>
      </c>
      <c r="F2" s="1">
        <v>20</v>
      </c>
      <c r="G2" s="1">
        <f>F2-(1.88*2)</f>
        <v>16.240000000000002</v>
      </c>
      <c r="H2" s="1">
        <v>0</v>
      </c>
      <c r="I2" s="1" t="s">
        <v>164</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165</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164</v>
      </c>
      <c r="AI2">
        <v>5.46</v>
      </c>
      <c r="AK2" t="s">
        <v>165</v>
      </c>
      <c r="AL2" s="38">
        <v>19.8</v>
      </c>
      <c r="AN2" t="s">
        <v>166</v>
      </c>
      <c r="AO2" s="5">
        <v>9.2959999999999994</v>
      </c>
    </row>
    <row r="3" spans="1:41" x14ac:dyDescent="0.3">
      <c r="A3" s="1" t="s">
        <v>167</v>
      </c>
      <c r="B3" s="1" t="s">
        <v>168</v>
      </c>
      <c r="C3" s="1">
        <f t="shared" si="0"/>
        <v>37.674999999999997</v>
      </c>
      <c r="D3" s="1">
        <f t="shared" si="1"/>
        <v>34.051000000000002</v>
      </c>
      <c r="E3" s="1">
        <v>36</v>
      </c>
      <c r="F3" s="1">
        <f>F2</f>
        <v>20</v>
      </c>
      <c r="G3" s="1">
        <f t="shared" ref="G3:G25" si="4">F3-(1.88*2)</f>
        <v>16.240000000000002</v>
      </c>
      <c r="H3" s="1">
        <v>0</v>
      </c>
      <c r="I3" s="1" t="s">
        <v>164</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165</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169</v>
      </c>
      <c r="AI3">
        <v>13.93</v>
      </c>
      <c r="AK3" t="s">
        <v>170</v>
      </c>
      <c r="AL3" s="38">
        <v>27.72</v>
      </c>
      <c r="AN3" t="s">
        <v>171</v>
      </c>
      <c r="AO3" s="5">
        <v>9.4659999999999993</v>
      </c>
    </row>
    <row r="4" spans="1:41" x14ac:dyDescent="0.3">
      <c r="A4" s="1" t="s">
        <v>172</v>
      </c>
      <c r="B4" s="1" t="s">
        <v>173</v>
      </c>
      <c r="C4" s="1">
        <f t="shared" si="0"/>
        <v>49.674999999999997</v>
      </c>
      <c r="D4" s="1">
        <f t="shared" si="1"/>
        <v>34.051000000000002</v>
      </c>
      <c r="E4" s="1">
        <v>48</v>
      </c>
      <c r="F4" s="1">
        <f t="shared" ref="F4:F5" si="10">F3</f>
        <v>20</v>
      </c>
      <c r="G4" s="1">
        <f t="shared" si="4"/>
        <v>16.240000000000002</v>
      </c>
      <c r="H4" s="1">
        <v>0</v>
      </c>
      <c r="I4" s="1" t="s">
        <v>164</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165</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174</v>
      </c>
      <c r="AI4">
        <v>29.7</v>
      </c>
      <c r="AK4" t="s">
        <v>175</v>
      </c>
      <c r="AL4" s="38">
        <v>30</v>
      </c>
    </row>
    <row r="5" spans="1:41" x14ac:dyDescent="0.3">
      <c r="A5" s="1" t="s">
        <v>176</v>
      </c>
      <c r="B5" s="1" t="s">
        <v>177</v>
      </c>
      <c r="C5" s="1">
        <f t="shared" si="0"/>
        <v>73.674999999999997</v>
      </c>
      <c r="D5" s="1">
        <f t="shared" si="1"/>
        <v>34.051000000000002</v>
      </c>
      <c r="E5" s="1">
        <v>72</v>
      </c>
      <c r="F5" s="1">
        <f t="shared" si="10"/>
        <v>20</v>
      </c>
      <c r="G5" s="1">
        <f t="shared" si="4"/>
        <v>16.240000000000002</v>
      </c>
      <c r="H5" s="1">
        <v>0</v>
      </c>
      <c r="I5" s="1" t="s">
        <v>164</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165</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178</v>
      </c>
      <c r="AL5" s="38">
        <v>40.200000000000003</v>
      </c>
    </row>
    <row r="6" spans="1:41" x14ac:dyDescent="0.3">
      <c r="A6" s="1" t="s">
        <v>179</v>
      </c>
      <c r="B6" s="1" t="s">
        <v>180</v>
      </c>
      <c r="C6" s="1">
        <f t="shared" si="0"/>
        <v>25.675000000000001</v>
      </c>
      <c r="D6" s="1">
        <f t="shared" si="1"/>
        <v>50.050999999999995</v>
      </c>
      <c r="E6" s="1">
        <v>24</v>
      </c>
      <c r="F6" s="1">
        <v>36</v>
      </c>
      <c r="G6" s="1">
        <f t="shared" si="4"/>
        <v>32.24</v>
      </c>
      <c r="H6" s="1">
        <v>0</v>
      </c>
      <c r="I6" s="1" t="s">
        <v>164</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165</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181</v>
      </c>
      <c r="AL6" s="38">
        <v>30</v>
      </c>
    </row>
    <row r="7" spans="1:41" x14ac:dyDescent="0.3">
      <c r="A7" s="1" t="s">
        <v>182</v>
      </c>
      <c r="B7" s="1" t="s">
        <v>183</v>
      </c>
      <c r="C7" s="1">
        <f t="shared" si="0"/>
        <v>37.674999999999997</v>
      </c>
      <c r="D7" s="1">
        <f t="shared" si="1"/>
        <v>50.050999999999995</v>
      </c>
      <c r="E7" s="1">
        <v>36</v>
      </c>
      <c r="F7" s="1">
        <f>F6</f>
        <v>36</v>
      </c>
      <c r="G7" s="1">
        <f t="shared" si="4"/>
        <v>32.24</v>
      </c>
      <c r="H7" s="1">
        <v>0</v>
      </c>
      <c r="I7" s="1" t="s">
        <v>164</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165</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184</v>
      </c>
      <c r="AL7" s="38">
        <v>40.200000000000003</v>
      </c>
    </row>
    <row r="8" spans="1:41" x14ac:dyDescent="0.3">
      <c r="A8" s="1" t="s">
        <v>185</v>
      </c>
      <c r="B8" s="1" t="s">
        <v>186</v>
      </c>
      <c r="C8" s="1">
        <f t="shared" si="0"/>
        <v>49.674999999999997</v>
      </c>
      <c r="D8" s="1">
        <f t="shared" si="1"/>
        <v>50.050999999999995</v>
      </c>
      <c r="E8" s="1">
        <v>48</v>
      </c>
      <c r="F8" s="1">
        <f t="shared" ref="F8:F13" si="12">F7</f>
        <v>36</v>
      </c>
      <c r="G8" s="1">
        <f t="shared" si="4"/>
        <v>32.24</v>
      </c>
      <c r="H8" s="1">
        <v>0</v>
      </c>
      <c r="I8" s="1" t="s">
        <v>164</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165</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187</v>
      </c>
      <c r="B9" s="1" t="s">
        <v>188</v>
      </c>
      <c r="C9" s="1">
        <f t="shared" si="0"/>
        <v>73.674999999999997</v>
      </c>
      <c r="D9" s="1">
        <f t="shared" si="1"/>
        <v>50.050999999999995</v>
      </c>
      <c r="E9" s="1">
        <v>72</v>
      </c>
      <c r="F9" s="1">
        <f t="shared" si="12"/>
        <v>36</v>
      </c>
      <c r="G9" s="1">
        <f t="shared" si="4"/>
        <v>32.24</v>
      </c>
      <c r="H9" s="1">
        <v>0</v>
      </c>
      <c r="I9" s="1" t="s">
        <v>164</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165</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189</v>
      </c>
      <c r="B10" s="1" t="s">
        <v>190</v>
      </c>
      <c r="C10" s="1">
        <f t="shared" si="0"/>
        <v>25.675000000000001</v>
      </c>
      <c r="D10" s="1">
        <f t="shared" si="1"/>
        <v>62.050999999999995</v>
      </c>
      <c r="E10" s="1">
        <v>24</v>
      </c>
      <c r="F10" s="1">
        <v>48</v>
      </c>
      <c r="G10" s="1">
        <f t="shared" si="4"/>
        <v>44.24</v>
      </c>
      <c r="H10" s="1">
        <v>0</v>
      </c>
      <c r="I10" s="1" t="s">
        <v>164</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165</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191</v>
      </c>
      <c r="B11" s="1" t="s">
        <v>192</v>
      </c>
      <c r="C11" s="1">
        <f t="shared" si="0"/>
        <v>37.674999999999997</v>
      </c>
      <c r="D11" s="1">
        <f t="shared" si="1"/>
        <v>62.050999999999995</v>
      </c>
      <c r="E11" s="1">
        <v>36</v>
      </c>
      <c r="F11" s="1">
        <f t="shared" si="12"/>
        <v>48</v>
      </c>
      <c r="G11" s="1">
        <f t="shared" si="4"/>
        <v>44.24</v>
      </c>
      <c r="H11" s="1">
        <v>0</v>
      </c>
      <c r="I11" s="1" t="s">
        <v>164</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165</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193</v>
      </c>
      <c r="B12" s="1" t="s">
        <v>194</v>
      </c>
      <c r="C12" s="1">
        <f t="shared" si="0"/>
        <v>49.674999999999997</v>
      </c>
      <c r="D12" s="1">
        <f t="shared" si="1"/>
        <v>62.050999999999995</v>
      </c>
      <c r="E12" s="1">
        <v>48</v>
      </c>
      <c r="F12" s="1">
        <f t="shared" si="12"/>
        <v>48</v>
      </c>
      <c r="G12" s="1">
        <f t="shared" si="4"/>
        <v>44.24</v>
      </c>
      <c r="H12" s="1">
        <v>0</v>
      </c>
      <c r="I12" s="1" t="s">
        <v>164</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165</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164</v>
      </c>
      <c r="B13" s="1" t="s">
        <v>195</v>
      </c>
      <c r="C13" s="1">
        <f t="shared" si="0"/>
        <v>73.674999999999997</v>
      </c>
      <c r="D13" s="1">
        <f t="shared" si="1"/>
        <v>62.050999999999995</v>
      </c>
      <c r="E13" s="1">
        <v>72</v>
      </c>
      <c r="F13" s="1">
        <f t="shared" si="12"/>
        <v>48</v>
      </c>
      <c r="G13" s="1">
        <f t="shared" si="4"/>
        <v>44.24</v>
      </c>
      <c r="H13" s="1">
        <v>0</v>
      </c>
      <c r="I13" s="1" t="s">
        <v>164</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165</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196</v>
      </c>
      <c r="B14" s="1" t="s">
        <v>197</v>
      </c>
      <c r="C14" s="1">
        <f t="shared" si="0"/>
        <v>25.675000000000001</v>
      </c>
      <c r="D14" s="1">
        <f t="shared" si="1"/>
        <v>74.051000000000002</v>
      </c>
      <c r="E14" s="1">
        <v>24</v>
      </c>
      <c r="F14" s="1">
        <v>60</v>
      </c>
      <c r="G14" s="1">
        <f t="shared" si="4"/>
        <v>56.24</v>
      </c>
      <c r="H14" s="1">
        <v>0</v>
      </c>
      <c r="I14" s="1" t="s">
        <v>164</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165</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198</v>
      </c>
      <c r="B15" s="1" t="s">
        <v>199</v>
      </c>
      <c r="C15" s="1">
        <f t="shared" si="0"/>
        <v>37.674999999999997</v>
      </c>
      <c r="D15" s="1">
        <f t="shared" si="1"/>
        <v>74.051000000000002</v>
      </c>
      <c r="E15" s="1">
        <v>36</v>
      </c>
      <c r="F15" s="1">
        <v>60</v>
      </c>
      <c r="G15" s="1">
        <f t="shared" si="4"/>
        <v>56.24</v>
      </c>
      <c r="H15" s="1">
        <v>0</v>
      </c>
      <c r="I15" s="1" t="s">
        <v>164</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165</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200</v>
      </c>
      <c r="B16" s="1" t="s">
        <v>201</v>
      </c>
      <c r="C16" s="1">
        <f t="shared" si="0"/>
        <v>49.674999999999997</v>
      </c>
      <c r="D16" s="1">
        <f t="shared" si="1"/>
        <v>74.051000000000002</v>
      </c>
      <c r="E16" s="1">
        <v>48</v>
      </c>
      <c r="F16" s="1">
        <v>60</v>
      </c>
      <c r="G16" s="1">
        <f t="shared" si="4"/>
        <v>56.24</v>
      </c>
      <c r="H16" s="1">
        <v>0</v>
      </c>
      <c r="I16" s="1" t="s">
        <v>164</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165</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202</v>
      </c>
      <c r="B17" s="1" t="s">
        <v>203</v>
      </c>
      <c r="C17" s="1">
        <f t="shared" si="0"/>
        <v>73.674999999999997</v>
      </c>
      <c r="D17" s="1">
        <f t="shared" si="1"/>
        <v>74.051000000000002</v>
      </c>
      <c r="E17" s="1">
        <v>72</v>
      </c>
      <c r="F17" s="1">
        <v>60</v>
      </c>
      <c r="G17" s="1">
        <f t="shared" si="4"/>
        <v>56.24</v>
      </c>
      <c r="H17" s="1">
        <v>0</v>
      </c>
      <c r="I17" s="1" t="s">
        <v>164</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165</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204</v>
      </c>
      <c r="B18" s="1" t="s">
        <v>205</v>
      </c>
      <c r="C18" s="1">
        <f t="shared" si="0"/>
        <v>25.675000000000001</v>
      </c>
      <c r="D18" s="1">
        <f t="shared" si="1"/>
        <v>86.051000000000002</v>
      </c>
      <c r="E18" s="1">
        <v>24</v>
      </c>
      <c r="F18" s="1">
        <v>72</v>
      </c>
      <c r="G18" s="1">
        <f t="shared" si="4"/>
        <v>68.239999999999995</v>
      </c>
      <c r="H18" s="1">
        <v>0</v>
      </c>
      <c r="I18" s="1" t="s">
        <v>164</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165</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206</v>
      </c>
      <c r="B19" s="1" t="s">
        <v>207</v>
      </c>
      <c r="C19" s="1">
        <f t="shared" si="0"/>
        <v>37.674999999999997</v>
      </c>
      <c r="D19" s="1">
        <f t="shared" si="1"/>
        <v>86.051000000000002</v>
      </c>
      <c r="E19" s="1">
        <v>36</v>
      </c>
      <c r="F19" s="1">
        <v>72</v>
      </c>
      <c r="G19" s="1">
        <f t="shared" si="4"/>
        <v>68.239999999999995</v>
      </c>
      <c r="H19" s="1">
        <v>0</v>
      </c>
      <c r="I19" s="1" t="s">
        <v>164</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165</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208</v>
      </c>
      <c r="B20" s="1" t="s">
        <v>209</v>
      </c>
      <c r="C20" s="1">
        <f t="shared" si="0"/>
        <v>49.674999999999997</v>
      </c>
      <c r="D20" s="1">
        <f t="shared" si="1"/>
        <v>86.051000000000002</v>
      </c>
      <c r="E20" s="1">
        <v>48</v>
      </c>
      <c r="F20" s="1">
        <v>72</v>
      </c>
      <c r="G20" s="1">
        <f t="shared" si="4"/>
        <v>68.239999999999995</v>
      </c>
      <c r="H20" s="1">
        <v>0</v>
      </c>
      <c r="I20" s="1" t="s">
        <v>164</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165</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210</v>
      </c>
      <c r="B21" s="1" t="s">
        <v>211</v>
      </c>
      <c r="C21" s="1">
        <f t="shared" si="0"/>
        <v>73.674999999999997</v>
      </c>
      <c r="D21" s="1">
        <f t="shared" si="1"/>
        <v>86.051000000000002</v>
      </c>
      <c r="E21" s="1">
        <v>72</v>
      </c>
      <c r="F21" s="1">
        <v>72</v>
      </c>
      <c r="G21" s="1">
        <f t="shared" si="4"/>
        <v>68.239999999999995</v>
      </c>
      <c r="H21" s="1">
        <v>0</v>
      </c>
      <c r="I21" s="1" t="s">
        <v>164</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165</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212</v>
      </c>
      <c r="B22" s="1" t="s">
        <v>213</v>
      </c>
      <c r="C22" s="1">
        <f t="shared" si="0"/>
        <v>25.675000000000001</v>
      </c>
      <c r="D22" s="1">
        <f t="shared" si="1"/>
        <v>98.051000000000002</v>
      </c>
      <c r="E22" s="1">
        <v>24</v>
      </c>
      <c r="F22" s="1">
        <v>84</v>
      </c>
      <c r="G22" s="1">
        <f t="shared" si="4"/>
        <v>80.239999999999995</v>
      </c>
      <c r="H22" s="1">
        <v>0</v>
      </c>
      <c r="I22" s="1" t="s">
        <v>164</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165</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214</v>
      </c>
      <c r="B23" s="1" t="s">
        <v>215</v>
      </c>
      <c r="C23" s="1">
        <f t="shared" si="0"/>
        <v>37.674999999999997</v>
      </c>
      <c r="D23" s="1">
        <f t="shared" si="1"/>
        <v>98.051000000000002</v>
      </c>
      <c r="E23" s="1">
        <v>36</v>
      </c>
      <c r="F23" s="1">
        <v>84</v>
      </c>
      <c r="G23" s="1">
        <f t="shared" si="4"/>
        <v>80.239999999999995</v>
      </c>
      <c r="H23" s="1">
        <v>0</v>
      </c>
      <c r="I23" s="1" t="s">
        <v>164</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165</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216</v>
      </c>
      <c r="B24" s="1" t="s">
        <v>217</v>
      </c>
      <c r="C24" s="1">
        <f t="shared" si="0"/>
        <v>49.674999999999997</v>
      </c>
      <c r="D24" s="1">
        <f t="shared" si="1"/>
        <v>98.051000000000002</v>
      </c>
      <c r="E24" s="1">
        <v>48</v>
      </c>
      <c r="F24" s="1">
        <v>84</v>
      </c>
      <c r="G24" s="1">
        <f t="shared" si="4"/>
        <v>80.239999999999995</v>
      </c>
      <c r="H24" s="1">
        <v>0</v>
      </c>
      <c r="I24" s="1" t="s">
        <v>164</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165</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218</v>
      </c>
      <c r="B25" s="1" t="s">
        <v>219</v>
      </c>
      <c r="C25" s="1">
        <f t="shared" si="0"/>
        <v>73.674999999999997</v>
      </c>
      <c r="D25" s="1">
        <f t="shared" si="1"/>
        <v>98.051000000000002</v>
      </c>
      <c r="E25" s="1">
        <v>72</v>
      </c>
      <c r="F25" s="1">
        <v>84</v>
      </c>
      <c r="G25" s="1">
        <f t="shared" si="4"/>
        <v>80.239999999999995</v>
      </c>
      <c r="H25" s="1">
        <v>0</v>
      </c>
      <c r="I25" s="1" t="s">
        <v>164</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165</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220</v>
      </c>
      <c r="B26" s="1" t="s">
        <v>221</v>
      </c>
      <c r="C26" s="1">
        <f t="shared" si="0"/>
        <v>25.675000000000001</v>
      </c>
      <c r="D26" s="1">
        <f t="shared" si="1"/>
        <v>34.051000000000002</v>
      </c>
      <c r="E26" s="1">
        <v>24</v>
      </c>
      <c r="F26" s="1">
        <v>20</v>
      </c>
      <c r="G26" s="1">
        <f>F26-(1.88*2)</f>
        <v>16.240000000000002</v>
      </c>
      <c r="H26" s="1">
        <v>0</v>
      </c>
      <c r="I26" s="1" t="s">
        <v>164</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170</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222</v>
      </c>
      <c r="B27" s="1" t="s">
        <v>223</v>
      </c>
      <c r="C27" s="1">
        <f t="shared" si="0"/>
        <v>37.674999999999997</v>
      </c>
      <c r="D27" s="1">
        <f t="shared" si="1"/>
        <v>34.051000000000002</v>
      </c>
      <c r="E27" s="1">
        <v>36</v>
      </c>
      <c r="F27" s="1">
        <f>F26</f>
        <v>20</v>
      </c>
      <c r="G27" s="1">
        <f t="shared" ref="G27:G49" si="13">F27-(1.88*2)</f>
        <v>16.240000000000002</v>
      </c>
      <c r="H27" s="1">
        <v>0</v>
      </c>
      <c r="I27" s="1" t="s">
        <v>164</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170</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224</v>
      </c>
      <c r="B28" s="1" t="s">
        <v>225</v>
      </c>
      <c r="C28" s="1">
        <f t="shared" si="0"/>
        <v>49.674999999999997</v>
      </c>
      <c r="D28" s="1">
        <f t="shared" si="1"/>
        <v>34.051000000000002</v>
      </c>
      <c r="E28" s="1">
        <v>48</v>
      </c>
      <c r="F28" s="1">
        <f t="shared" ref="F28:F29" si="16">F27</f>
        <v>20</v>
      </c>
      <c r="G28" s="1">
        <f t="shared" si="13"/>
        <v>16.240000000000002</v>
      </c>
      <c r="H28" s="1">
        <v>0</v>
      </c>
      <c r="I28" s="1" t="s">
        <v>164</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170</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226</v>
      </c>
      <c r="B29" s="1" t="s">
        <v>227</v>
      </c>
      <c r="C29" s="1">
        <f t="shared" si="0"/>
        <v>73.674999999999997</v>
      </c>
      <c r="D29" s="1">
        <f t="shared" si="1"/>
        <v>34.051000000000002</v>
      </c>
      <c r="E29" s="1">
        <v>72</v>
      </c>
      <c r="F29" s="1">
        <f t="shared" si="16"/>
        <v>20</v>
      </c>
      <c r="G29" s="1">
        <f t="shared" si="13"/>
        <v>16.240000000000002</v>
      </c>
      <c r="H29" s="1">
        <v>0</v>
      </c>
      <c r="I29" s="1" t="s">
        <v>164</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170</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228</v>
      </c>
      <c r="B30" s="1" t="s">
        <v>229</v>
      </c>
      <c r="C30" s="1">
        <f t="shared" si="0"/>
        <v>25.675000000000001</v>
      </c>
      <c r="D30" s="1">
        <f t="shared" si="1"/>
        <v>50.050999999999995</v>
      </c>
      <c r="E30" s="1">
        <v>24</v>
      </c>
      <c r="F30" s="1">
        <v>36</v>
      </c>
      <c r="G30" s="1">
        <f t="shared" si="13"/>
        <v>32.24</v>
      </c>
      <c r="H30" s="1">
        <v>0</v>
      </c>
      <c r="I30" s="1" t="s">
        <v>164</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170</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230</v>
      </c>
      <c r="B31" s="1" t="s">
        <v>231</v>
      </c>
      <c r="C31" s="1">
        <f t="shared" si="0"/>
        <v>37.674999999999997</v>
      </c>
      <c r="D31" s="1">
        <f t="shared" si="1"/>
        <v>50.050999999999995</v>
      </c>
      <c r="E31" s="1">
        <v>36</v>
      </c>
      <c r="F31" s="1">
        <f>F30</f>
        <v>36</v>
      </c>
      <c r="G31" s="1">
        <f t="shared" si="13"/>
        <v>32.24</v>
      </c>
      <c r="H31" s="1">
        <v>0</v>
      </c>
      <c r="I31" s="1" t="s">
        <v>164</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170</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232</v>
      </c>
      <c r="B32" s="1" t="s">
        <v>233</v>
      </c>
      <c r="C32" s="1">
        <f t="shared" si="0"/>
        <v>49.674999999999997</v>
      </c>
      <c r="D32" s="1">
        <f t="shared" si="1"/>
        <v>50.050999999999995</v>
      </c>
      <c r="E32" s="1">
        <v>48</v>
      </c>
      <c r="F32" s="1">
        <f t="shared" ref="F32:F37" si="17">F31</f>
        <v>36</v>
      </c>
      <c r="G32" s="1">
        <f t="shared" si="13"/>
        <v>32.24</v>
      </c>
      <c r="H32" s="1">
        <v>0</v>
      </c>
      <c r="I32" s="1" t="s">
        <v>164</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170</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234</v>
      </c>
      <c r="B33" s="1" t="s">
        <v>235</v>
      </c>
      <c r="C33" s="1">
        <f t="shared" si="0"/>
        <v>73.674999999999997</v>
      </c>
      <c r="D33" s="1">
        <f t="shared" si="1"/>
        <v>50.050999999999995</v>
      </c>
      <c r="E33" s="1">
        <v>72</v>
      </c>
      <c r="F33" s="1">
        <f t="shared" si="17"/>
        <v>36</v>
      </c>
      <c r="G33" s="1">
        <f t="shared" si="13"/>
        <v>32.24</v>
      </c>
      <c r="H33" s="1">
        <v>0</v>
      </c>
      <c r="I33" s="1" t="s">
        <v>164</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170</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236</v>
      </c>
      <c r="B34" s="1" t="s">
        <v>237</v>
      </c>
      <c r="C34" s="1">
        <f t="shared" si="0"/>
        <v>25.675000000000001</v>
      </c>
      <c r="D34" s="1">
        <f t="shared" si="1"/>
        <v>62.050999999999995</v>
      </c>
      <c r="E34" s="1">
        <v>24</v>
      </c>
      <c r="F34" s="1">
        <v>48</v>
      </c>
      <c r="G34" s="1">
        <f t="shared" si="13"/>
        <v>44.24</v>
      </c>
      <c r="H34" s="1">
        <v>0</v>
      </c>
      <c r="I34" s="1" t="s">
        <v>164</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170</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238</v>
      </c>
      <c r="B35" s="1" t="s">
        <v>239</v>
      </c>
      <c r="C35" s="1">
        <f t="shared" si="0"/>
        <v>37.674999999999997</v>
      </c>
      <c r="D35" s="1">
        <f t="shared" si="1"/>
        <v>62.050999999999995</v>
      </c>
      <c r="E35" s="1">
        <v>36</v>
      </c>
      <c r="F35" s="1">
        <f t="shared" si="17"/>
        <v>48</v>
      </c>
      <c r="G35" s="1">
        <f t="shared" si="13"/>
        <v>44.24</v>
      </c>
      <c r="H35" s="1">
        <v>0</v>
      </c>
      <c r="I35" s="1" t="s">
        <v>164</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170</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240</v>
      </c>
      <c r="B36" s="1" t="s">
        <v>241</v>
      </c>
      <c r="C36" s="1">
        <f t="shared" si="0"/>
        <v>49.674999999999997</v>
      </c>
      <c r="D36" s="1">
        <f t="shared" si="1"/>
        <v>62.050999999999995</v>
      </c>
      <c r="E36" s="1">
        <v>48</v>
      </c>
      <c r="F36" s="1">
        <f t="shared" si="17"/>
        <v>48</v>
      </c>
      <c r="G36" s="1">
        <f t="shared" si="13"/>
        <v>44.24</v>
      </c>
      <c r="H36" s="1">
        <v>0</v>
      </c>
      <c r="I36" s="1" t="s">
        <v>164</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170</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242</v>
      </c>
      <c r="B37" s="1" t="s">
        <v>243</v>
      </c>
      <c r="C37" s="1">
        <f t="shared" si="0"/>
        <v>73.674999999999997</v>
      </c>
      <c r="D37" s="1">
        <f t="shared" si="1"/>
        <v>62.050999999999995</v>
      </c>
      <c r="E37" s="1">
        <v>72</v>
      </c>
      <c r="F37" s="1">
        <f t="shared" si="17"/>
        <v>48</v>
      </c>
      <c r="G37" s="1">
        <f t="shared" si="13"/>
        <v>44.24</v>
      </c>
      <c r="H37" s="1">
        <v>0</v>
      </c>
      <c r="I37" s="1" t="s">
        <v>164</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170</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244</v>
      </c>
      <c r="B38" s="1" t="s">
        <v>245</v>
      </c>
      <c r="C38" s="1">
        <f t="shared" si="0"/>
        <v>25.675000000000001</v>
      </c>
      <c r="D38" s="1">
        <f t="shared" si="1"/>
        <v>74.051000000000002</v>
      </c>
      <c r="E38" s="1">
        <v>24</v>
      </c>
      <c r="F38" s="1">
        <v>60</v>
      </c>
      <c r="G38" s="1">
        <f t="shared" si="13"/>
        <v>56.24</v>
      </c>
      <c r="H38" s="1">
        <v>0</v>
      </c>
      <c r="I38" s="1" t="s">
        <v>164</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170</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246</v>
      </c>
      <c r="B39" s="1" t="s">
        <v>247</v>
      </c>
      <c r="C39" s="1">
        <f t="shared" si="0"/>
        <v>37.674999999999997</v>
      </c>
      <c r="D39" s="1">
        <f t="shared" si="1"/>
        <v>74.051000000000002</v>
      </c>
      <c r="E39" s="1">
        <v>36</v>
      </c>
      <c r="F39" s="1">
        <v>60</v>
      </c>
      <c r="G39" s="1">
        <f t="shared" si="13"/>
        <v>56.24</v>
      </c>
      <c r="H39" s="1">
        <v>0</v>
      </c>
      <c r="I39" s="1" t="s">
        <v>164</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170</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248</v>
      </c>
      <c r="B40" s="1" t="s">
        <v>249</v>
      </c>
      <c r="C40" s="1">
        <f t="shared" si="0"/>
        <v>49.674999999999997</v>
      </c>
      <c r="D40" s="1">
        <f t="shared" si="1"/>
        <v>74.051000000000002</v>
      </c>
      <c r="E40" s="1">
        <v>48</v>
      </c>
      <c r="F40" s="1">
        <v>60</v>
      </c>
      <c r="G40" s="1">
        <f t="shared" si="13"/>
        <v>56.24</v>
      </c>
      <c r="H40" s="1">
        <v>0</v>
      </c>
      <c r="I40" s="1" t="s">
        <v>164</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170</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250</v>
      </c>
      <c r="B41" s="1" t="s">
        <v>251</v>
      </c>
      <c r="C41" s="1">
        <f t="shared" si="0"/>
        <v>73.674999999999997</v>
      </c>
      <c r="D41" s="1">
        <f t="shared" si="1"/>
        <v>74.051000000000002</v>
      </c>
      <c r="E41" s="1">
        <v>72</v>
      </c>
      <c r="F41" s="1">
        <v>60</v>
      </c>
      <c r="G41" s="1">
        <f t="shared" si="13"/>
        <v>56.24</v>
      </c>
      <c r="H41" s="1">
        <v>0</v>
      </c>
      <c r="I41" s="1" t="s">
        <v>164</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170</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252</v>
      </c>
      <c r="B42" s="1" t="s">
        <v>253</v>
      </c>
      <c r="C42" s="1">
        <f t="shared" si="0"/>
        <v>25.675000000000001</v>
      </c>
      <c r="D42" s="1">
        <f t="shared" si="1"/>
        <v>86.051000000000002</v>
      </c>
      <c r="E42" s="1">
        <v>24</v>
      </c>
      <c r="F42" s="1">
        <v>72</v>
      </c>
      <c r="G42" s="1">
        <f t="shared" si="13"/>
        <v>68.239999999999995</v>
      </c>
      <c r="H42" s="1">
        <v>0</v>
      </c>
      <c r="I42" s="1" t="s">
        <v>164</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170</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254</v>
      </c>
      <c r="B43" s="1" t="s">
        <v>255</v>
      </c>
      <c r="C43" s="1">
        <f t="shared" si="0"/>
        <v>37.674999999999997</v>
      </c>
      <c r="D43" s="1">
        <f t="shared" si="1"/>
        <v>86.051000000000002</v>
      </c>
      <c r="E43" s="1">
        <v>36</v>
      </c>
      <c r="F43" s="1">
        <v>72</v>
      </c>
      <c r="G43" s="1">
        <f t="shared" si="13"/>
        <v>68.239999999999995</v>
      </c>
      <c r="H43" s="1">
        <v>0</v>
      </c>
      <c r="I43" s="1" t="s">
        <v>164</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170</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256</v>
      </c>
      <c r="B44" s="1" t="s">
        <v>257</v>
      </c>
      <c r="C44" s="1">
        <f t="shared" si="0"/>
        <v>49.674999999999997</v>
      </c>
      <c r="D44" s="1">
        <f t="shared" si="1"/>
        <v>86.051000000000002</v>
      </c>
      <c r="E44" s="1">
        <v>48</v>
      </c>
      <c r="F44" s="1">
        <v>72</v>
      </c>
      <c r="G44" s="1">
        <f t="shared" si="13"/>
        <v>68.239999999999995</v>
      </c>
      <c r="H44" s="1">
        <v>0</v>
      </c>
      <c r="I44" s="1" t="s">
        <v>164</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170</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258</v>
      </c>
      <c r="B45" s="1" t="s">
        <v>259</v>
      </c>
      <c r="C45" s="1">
        <f t="shared" si="0"/>
        <v>73.674999999999997</v>
      </c>
      <c r="D45" s="1">
        <f t="shared" si="1"/>
        <v>86.051000000000002</v>
      </c>
      <c r="E45" s="1">
        <v>72</v>
      </c>
      <c r="F45" s="1">
        <v>72</v>
      </c>
      <c r="G45" s="1">
        <f t="shared" si="13"/>
        <v>68.239999999999995</v>
      </c>
      <c r="H45" s="1">
        <v>0</v>
      </c>
      <c r="I45" s="1" t="s">
        <v>164</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170</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260</v>
      </c>
      <c r="B46" s="1" t="s">
        <v>261</v>
      </c>
      <c r="C46" s="1">
        <f t="shared" si="0"/>
        <v>25.675000000000001</v>
      </c>
      <c r="D46" s="1">
        <f t="shared" si="1"/>
        <v>98.051000000000002</v>
      </c>
      <c r="E46" s="1">
        <v>24</v>
      </c>
      <c r="F46" s="1">
        <v>84</v>
      </c>
      <c r="G46" s="1">
        <f t="shared" si="13"/>
        <v>80.239999999999995</v>
      </c>
      <c r="H46" s="1">
        <v>0</v>
      </c>
      <c r="I46" s="1" t="s">
        <v>164</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170</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262</v>
      </c>
      <c r="B47" s="1" t="s">
        <v>263</v>
      </c>
      <c r="C47" s="1">
        <f t="shared" si="0"/>
        <v>37.674999999999997</v>
      </c>
      <c r="D47" s="1">
        <f t="shared" si="1"/>
        <v>98.051000000000002</v>
      </c>
      <c r="E47" s="1">
        <v>36</v>
      </c>
      <c r="F47" s="1">
        <v>84</v>
      </c>
      <c r="G47" s="1">
        <f t="shared" si="13"/>
        <v>80.239999999999995</v>
      </c>
      <c r="H47" s="1">
        <v>0</v>
      </c>
      <c r="I47" s="1" t="s">
        <v>164</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170</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264</v>
      </c>
      <c r="B48" s="1" t="s">
        <v>265</v>
      </c>
      <c r="C48" s="1">
        <f t="shared" si="0"/>
        <v>49.674999999999997</v>
      </c>
      <c r="D48" s="1">
        <f t="shared" si="1"/>
        <v>98.051000000000002</v>
      </c>
      <c r="E48" s="1">
        <v>48</v>
      </c>
      <c r="F48" s="1">
        <v>84</v>
      </c>
      <c r="G48" s="1">
        <f t="shared" si="13"/>
        <v>80.239999999999995</v>
      </c>
      <c r="H48" s="1">
        <v>0</v>
      </c>
      <c r="I48" s="1" t="s">
        <v>164</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170</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266</v>
      </c>
      <c r="B49" s="1" t="s">
        <v>267</v>
      </c>
      <c r="C49" s="1">
        <f t="shared" si="0"/>
        <v>73.674999999999997</v>
      </c>
      <c r="D49" s="1">
        <f t="shared" si="1"/>
        <v>98.051000000000002</v>
      </c>
      <c r="E49" s="1">
        <v>72</v>
      </c>
      <c r="F49" s="1">
        <v>84</v>
      </c>
      <c r="G49" s="1">
        <f t="shared" si="13"/>
        <v>80.239999999999995</v>
      </c>
      <c r="H49" s="1">
        <v>0</v>
      </c>
      <c r="I49" s="1" t="s">
        <v>164</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170</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268</v>
      </c>
      <c r="B50" s="1" t="s">
        <v>269</v>
      </c>
      <c r="C50" s="1">
        <f t="shared" si="0"/>
        <v>25.675000000000001</v>
      </c>
      <c r="D50" s="1">
        <f t="shared" si="1"/>
        <v>34.051000000000002</v>
      </c>
      <c r="E50" s="1">
        <v>24</v>
      </c>
      <c r="F50" s="1">
        <v>20</v>
      </c>
      <c r="G50" s="1">
        <f>F50-(1.88*2)</f>
        <v>16.240000000000002</v>
      </c>
      <c r="H50" s="1">
        <v>1</v>
      </c>
      <c r="I50" s="1" t="s">
        <v>164</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181</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270</v>
      </c>
      <c r="B51" s="1" t="s">
        <v>271</v>
      </c>
      <c r="C51" s="1">
        <f t="shared" si="0"/>
        <v>37.674999999999997</v>
      </c>
      <c r="D51" s="1">
        <f t="shared" si="1"/>
        <v>34.051000000000002</v>
      </c>
      <c r="E51" s="1">
        <v>36</v>
      </c>
      <c r="F51" s="1">
        <f>F50</f>
        <v>20</v>
      </c>
      <c r="G51" s="1">
        <f t="shared" ref="G51:G73" si="18">F51-(1.88*2)</f>
        <v>16.240000000000002</v>
      </c>
      <c r="H51" s="1">
        <v>1</v>
      </c>
      <c r="I51" s="1" t="s">
        <v>164</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181</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272</v>
      </c>
      <c r="B52" s="1" t="s">
        <v>273</v>
      </c>
      <c r="C52" s="1">
        <f t="shared" si="0"/>
        <v>49.674999999999997</v>
      </c>
      <c r="D52" s="1">
        <f t="shared" si="1"/>
        <v>34.051000000000002</v>
      </c>
      <c r="E52" s="1">
        <v>48</v>
      </c>
      <c r="F52" s="1">
        <f t="shared" ref="F52:F53" si="21">F51</f>
        <v>20</v>
      </c>
      <c r="G52" s="1">
        <f t="shared" si="18"/>
        <v>16.240000000000002</v>
      </c>
      <c r="H52" s="1">
        <v>1</v>
      </c>
      <c r="I52" s="1" t="s">
        <v>164</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181</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274</v>
      </c>
      <c r="B53" s="1" t="s">
        <v>275</v>
      </c>
      <c r="C53" s="1">
        <f t="shared" si="0"/>
        <v>73.674999999999997</v>
      </c>
      <c r="D53" s="1">
        <f t="shared" si="1"/>
        <v>34.051000000000002</v>
      </c>
      <c r="E53" s="1">
        <v>72</v>
      </c>
      <c r="F53" s="1">
        <f t="shared" si="21"/>
        <v>20</v>
      </c>
      <c r="G53" s="1">
        <f t="shared" si="18"/>
        <v>16.240000000000002</v>
      </c>
      <c r="H53" s="1">
        <v>1</v>
      </c>
      <c r="I53" s="1" t="s">
        <v>164</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181</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276</v>
      </c>
      <c r="B54" s="1" t="s">
        <v>277</v>
      </c>
      <c r="C54" s="1">
        <f t="shared" si="0"/>
        <v>25.675000000000001</v>
      </c>
      <c r="D54" s="1">
        <f t="shared" si="1"/>
        <v>50.050999999999995</v>
      </c>
      <c r="E54" s="1">
        <v>24</v>
      </c>
      <c r="F54" s="1">
        <v>36</v>
      </c>
      <c r="G54" s="1">
        <f t="shared" si="18"/>
        <v>32.24</v>
      </c>
      <c r="H54" s="1">
        <v>1</v>
      </c>
      <c r="I54" s="1" t="s">
        <v>164</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181</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278</v>
      </c>
      <c r="B55" s="1" t="s">
        <v>279</v>
      </c>
      <c r="C55" s="1">
        <f t="shared" si="0"/>
        <v>37.674999999999997</v>
      </c>
      <c r="D55" s="1">
        <f t="shared" si="1"/>
        <v>50.050999999999995</v>
      </c>
      <c r="E55" s="1">
        <v>36</v>
      </c>
      <c r="F55" s="1">
        <f>F54</f>
        <v>36</v>
      </c>
      <c r="G55" s="1">
        <f t="shared" si="18"/>
        <v>32.24</v>
      </c>
      <c r="H55" s="1">
        <v>1</v>
      </c>
      <c r="I55" s="1" t="s">
        <v>164</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181</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280</v>
      </c>
      <c r="B56" s="1" t="s">
        <v>281</v>
      </c>
      <c r="C56" s="1">
        <f t="shared" si="0"/>
        <v>49.674999999999997</v>
      </c>
      <c r="D56" s="1">
        <f t="shared" si="1"/>
        <v>50.050999999999995</v>
      </c>
      <c r="E56" s="1">
        <v>48</v>
      </c>
      <c r="F56" s="1">
        <f t="shared" ref="F56:F61" si="22">F55</f>
        <v>36</v>
      </c>
      <c r="G56" s="1">
        <f t="shared" si="18"/>
        <v>32.24</v>
      </c>
      <c r="H56" s="1">
        <v>1</v>
      </c>
      <c r="I56" s="1" t="s">
        <v>164</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181</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282</v>
      </c>
      <c r="B57" s="1" t="s">
        <v>283</v>
      </c>
      <c r="C57" s="1">
        <f t="shared" si="0"/>
        <v>73.674999999999997</v>
      </c>
      <c r="D57" s="1">
        <f t="shared" si="1"/>
        <v>50.050999999999995</v>
      </c>
      <c r="E57" s="1">
        <v>72</v>
      </c>
      <c r="F57" s="1">
        <f t="shared" si="22"/>
        <v>36</v>
      </c>
      <c r="G57" s="1">
        <f t="shared" si="18"/>
        <v>32.24</v>
      </c>
      <c r="H57" s="1">
        <v>1</v>
      </c>
      <c r="I57" s="1" t="s">
        <v>164</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181</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284</v>
      </c>
      <c r="B58" s="1" t="s">
        <v>285</v>
      </c>
      <c r="C58" s="1">
        <f t="shared" si="0"/>
        <v>25.675000000000001</v>
      </c>
      <c r="D58" s="1">
        <f t="shared" si="1"/>
        <v>62.050999999999995</v>
      </c>
      <c r="E58" s="1">
        <v>24</v>
      </c>
      <c r="F58" s="1">
        <v>48</v>
      </c>
      <c r="G58" s="1">
        <f t="shared" si="18"/>
        <v>44.24</v>
      </c>
      <c r="H58" s="1">
        <v>1</v>
      </c>
      <c r="I58" s="1" t="s">
        <v>164</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181</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286</v>
      </c>
      <c r="B59" s="1" t="s">
        <v>287</v>
      </c>
      <c r="C59" s="1">
        <f t="shared" si="0"/>
        <v>37.674999999999997</v>
      </c>
      <c r="D59" s="1">
        <f t="shared" si="1"/>
        <v>62.050999999999995</v>
      </c>
      <c r="E59" s="1">
        <v>36</v>
      </c>
      <c r="F59" s="1">
        <f t="shared" si="22"/>
        <v>48</v>
      </c>
      <c r="G59" s="1">
        <f t="shared" si="18"/>
        <v>44.24</v>
      </c>
      <c r="H59" s="1">
        <v>1</v>
      </c>
      <c r="I59" s="1" t="s">
        <v>164</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181</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288</v>
      </c>
      <c r="B60" s="1" t="s">
        <v>289</v>
      </c>
      <c r="C60" s="1">
        <f t="shared" si="0"/>
        <v>49.674999999999997</v>
      </c>
      <c r="D60" s="1">
        <f t="shared" si="1"/>
        <v>62.050999999999995</v>
      </c>
      <c r="E60" s="1">
        <v>48</v>
      </c>
      <c r="F60" s="1">
        <f t="shared" si="22"/>
        <v>48</v>
      </c>
      <c r="G60" s="1">
        <f t="shared" si="18"/>
        <v>44.24</v>
      </c>
      <c r="H60" s="1">
        <v>1</v>
      </c>
      <c r="I60" s="1" t="s">
        <v>164</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181</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290</v>
      </c>
      <c r="B61" s="1" t="s">
        <v>291</v>
      </c>
      <c r="C61" s="1">
        <f t="shared" si="0"/>
        <v>73.674999999999997</v>
      </c>
      <c r="D61" s="1">
        <f t="shared" si="1"/>
        <v>62.050999999999995</v>
      </c>
      <c r="E61" s="1">
        <v>72</v>
      </c>
      <c r="F61" s="1">
        <f t="shared" si="22"/>
        <v>48</v>
      </c>
      <c r="G61" s="1">
        <f t="shared" si="18"/>
        <v>44.24</v>
      </c>
      <c r="H61" s="1">
        <v>1</v>
      </c>
      <c r="I61" s="1" t="s">
        <v>164</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181</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292</v>
      </c>
      <c r="B62" s="1" t="s">
        <v>293</v>
      </c>
      <c r="C62" s="1">
        <f t="shared" si="0"/>
        <v>25.675000000000001</v>
      </c>
      <c r="D62" s="1">
        <f t="shared" si="1"/>
        <v>74.051000000000002</v>
      </c>
      <c r="E62" s="1">
        <v>24</v>
      </c>
      <c r="F62" s="1">
        <v>60</v>
      </c>
      <c r="G62" s="1">
        <f t="shared" si="18"/>
        <v>56.24</v>
      </c>
      <c r="H62" s="1">
        <v>1</v>
      </c>
      <c r="I62" s="1" t="s">
        <v>164</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181</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294</v>
      </c>
      <c r="B63" s="1" t="s">
        <v>295</v>
      </c>
      <c r="C63" s="1">
        <f t="shared" si="0"/>
        <v>37.674999999999997</v>
      </c>
      <c r="D63" s="1">
        <f t="shared" si="1"/>
        <v>74.051000000000002</v>
      </c>
      <c r="E63" s="1">
        <v>36</v>
      </c>
      <c r="F63" s="1">
        <v>60</v>
      </c>
      <c r="G63" s="1">
        <f t="shared" si="18"/>
        <v>56.24</v>
      </c>
      <c r="H63" s="1">
        <v>1</v>
      </c>
      <c r="I63" s="1" t="s">
        <v>164</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181</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296</v>
      </c>
      <c r="B64" s="1" t="s">
        <v>297</v>
      </c>
      <c r="C64" s="1">
        <f t="shared" si="0"/>
        <v>49.674999999999997</v>
      </c>
      <c r="D64" s="1">
        <f t="shared" si="1"/>
        <v>74.051000000000002</v>
      </c>
      <c r="E64" s="1">
        <v>48</v>
      </c>
      <c r="F64" s="1">
        <v>60</v>
      </c>
      <c r="G64" s="1">
        <f t="shared" si="18"/>
        <v>56.24</v>
      </c>
      <c r="H64" s="1">
        <v>1</v>
      </c>
      <c r="I64" s="1" t="s">
        <v>164</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181</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298</v>
      </c>
      <c r="B65" s="1" t="s">
        <v>299</v>
      </c>
      <c r="C65" s="1">
        <f t="shared" si="0"/>
        <v>73.674999999999997</v>
      </c>
      <c r="D65" s="1">
        <f t="shared" si="1"/>
        <v>74.051000000000002</v>
      </c>
      <c r="E65" s="1">
        <v>72</v>
      </c>
      <c r="F65" s="1">
        <v>60</v>
      </c>
      <c r="G65" s="1">
        <f t="shared" si="18"/>
        <v>56.24</v>
      </c>
      <c r="H65" s="1">
        <v>1</v>
      </c>
      <c r="I65" s="1" t="s">
        <v>164</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181</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300</v>
      </c>
      <c r="B66" s="1" t="s">
        <v>301</v>
      </c>
      <c r="C66" s="1">
        <f t="shared" ref="C66:C129" si="23">E66+1.675</f>
        <v>25.675000000000001</v>
      </c>
      <c r="D66" s="1">
        <f t="shared" ref="D66:D129" si="24">F66+1.675+12.376</f>
        <v>86.051000000000002</v>
      </c>
      <c r="E66" s="1">
        <v>24</v>
      </c>
      <c r="F66" s="1">
        <v>72</v>
      </c>
      <c r="G66" s="1">
        <f t="shared" si="18"/>
        <v>68.239999999999995</v>
      </c>
      <c r="H66" s="1">
        <v>1</v>
      </c>
      <c r="I66" s="1" t="s">
        <v>164</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181</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302</v>
      </c>
      <c r="B67" s="1" t="s">
        <v>303</v>
      </c>
      <c r="C67" s="1">
        <f t="shared" si="23"/>
        <v>37.674999999999997</v>
      </c>
      <c r="D67" s="1">
        <f t="shared" si="24"/>
        <v>86.051000000000002</v>
      </c>
      <c r="E67" s="1">
        <v>36</v>
      </c>
      <c r="F67" s="1">
        <v>72</v>
      </c>
      <c r="G67" s="1">
        <f t="shared" si="18"/>
        <v>68.239999999999995</v>
      </c>
      <c r="H67" s="1">
        <v>1</v>
      </c>
      <c r="I67" s="1" t="s">
        <v>164</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181</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304</v>
      </c>
      <c r="B68" s="1" t="s">
        <v>305</v>
      </c>
      <c r="C68" s="1">
        <f t="shared" si="23"/>
        <v>49.674999999999997</v>
      </c>
      <c r="D68" s="1">
        <f t="shared" si="24"/>
        <v>86.051000000000002</v>
      </c>
      <c r="E68" s="1">
        <v>48</v>
      </c>
      <c r="F68" s="1">
        <v>72</v>
      </c>
      <c r="G68" s="1">
        <f t="shared" si="18"/>
        <v>68.239999999999995</v>
      </c>
      <c r="H68" s="1">
        <v>1</v>
      </c>
      <c r="I68" s="1" t="s">
        <v>164</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181</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306</v>
      </c>
      <c r="B69" s="1" t="s">
        <v>307</v>
      </c>
      <c r="C69" s="1">
        <f t="shared" si="23"/>
        <v>73.674999999999997</v>
      </c>
      <c r="D69" s="1">
        <f t="shared" si="24"/>
        <v>86.051000000000002</v>
      </c>
      <c r="E69" s="1">
        <v>72</v>
      </c>
      <c r="F69" s="1">
        <v>72</v>
      </c>
      <c r="G69" s="1">
        <f t="shared" si="18"/>
        <v>68.239999999999995</v>
      </c>
      <c r="H69" s="1">
        <v>1</v>
      </c>
      <c r="I69" s="1" t="s">
        <v>164</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181</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308</v>
      </c>
      <c r="B70" s="1" t="s">
        <v>309</v>
      </c>
      <c r="C70" s="1">
        <f t="shared" si="23"/>
        <v>25.675000000000001</v>
      </c>
      <c r="D70" s="1">
        <f t="shared" si="24"/>
        <v>98.051000000000002</v>
      </c>
      <c r="E70" s="1">
        <v>24</v>
      </c>
      <c r="F70" s="1">
        <v>84</v>
      </c>
      <c r="G70" s="1">
        <f t="shared" si="18"/>
        <v>80.239999999999995</v>
      </c>
      <c r="H70" s="1">
        <v>1</v>
      </c>
      <c r="I70" s="1" t="s">
        <v>164</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181</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310</v>
      </c>
      <c r="B71" s="1" t="s">
        <v>311</v>
      </c>
      <c r="C71" s="1">
        <f t="shared" si="23"/>
        <v>37.674999999999997</v>
      </c>
      <c r="D71" s="1">
        <f t="shared" si="24"/>
        <v>98.051000000000002</v>
      </c>
      <c r="E71" s="1">
        <v>36</v>
      </c>
      <c r="F71" s="1">
        <v>84</v>
      </c>
      <c r="G71" s="1">
        <f t="shared" si="18"/>
        <v>80.239999999999995</v>
      </c>
      <c r="H71" s="1">
        <v>1</v>
      </c>
      <c r="I71" s="1" t="s">
        <v>164</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181</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312</v>
      </c>
      <c r="B72" s="1" t="s">
        <v>313</v>
      </c>
      <c r="C72" s="1">
        <f t="shared" si="23"/>
        <v>49.674999999999997</v>
      </c>
      <c r="D72" s="1">
        <f t="shared" si="24"/>
        <v>98.051000000000002</v>
      </c>
      <c r="E72" s="1">
        <v>48</v>
      </c>
      <c r="F72" s="1">
        <v>84</v>
      </c>
      <c r="G72" s="1">
        <f t="shared" si="18"/>
        <v>80.239999999999995</v>
      </c>
      <c r="H72" s="1">
        <v>1</v>
      </c>
      <c r="I72" s="1" t="s">
        <v>164</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181</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314</v>
      </c>
      <c r="B73" s="1" t="s">
        <v>315</v>
      </c>
      <c r="C73" s="1">
        <f t="shared" si="23"/>
        <v>73.674999999999997</v>
      </c>
      <c r="D73" s="1">
        <f t="shared" si="24"/>
        <v>98.051000000000002</v>
      </c>
      <c r="E73" s="1">
        <v>72</v>
      </c>
      <c r="F73" s="1">
        <v>84</v>
      </c>
      <c r="G73" s="1">
        <f t="shared" si="18"/>
        <v>80.239999999999995</v>
      </c>
      <c r="H73" s="1">
        <v>1</v>
      </c>
      <c r="I73" s="1" t="s">
        <v>164</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181</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316</v>
      </c>
      <c r="B74" s="1" t="s">
        <v>317</v>
      </c>
      <c r="C74" s="1">
        <f t="shared" si="23"/>
        <v>25.675000000000001</v>
      </c>
      <c r="D74" s="1">
        <f t="shared" si="24"/>
        <v>34.051000000000002</v>
      </c>
      <c r="E74" s="1">
        <v>24</v>
      </c>
      <c r="F74" s="1">
        <v>20</v>
      </c>
      <c r="G74" s="1">
        <f>F74-(1.88*2)</f>
        <v>16.240000000000002</v>
      </c>
      <c r="H74" s="1">
        <v>2</v>
      </c>
      <c r="I74" s="1" t="s">
        <v>164</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184</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318</v>
      </c>
      <c r="B75" s="1" t="s">
        <v>319</v>
      </c>
      <c r="C75" s="1">
        <f t="shared" si="23"/>
        <v>37.674999999999997</v>
      </c>
      <c r="D75" s="1">
        <f t="shared" si="24"/>
        <v>34.051000000000002</v>
      </c>
      <c r="E75" s="1">
        <v>36</v>
      </c>
      <c r="F75" s="1">
        <f>F74</f>
        <v>20</v>
      </c>
      <c r="G75" s="1">
        <f t="shared" ref="G75:G97" si="31">F75-(1.88*2)</f>
        <v>16.240000000000002</v>
      </c>
      <c r="H75" s="1">
        <v>2</v>
      </c>
      <c r="I75" s="1" t="s">
        <v>164</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184</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320</v>
      </c>
      <c r="B76" s="1" t="s">
        <v>321</v>
      </c>
      <c r="C76" s="1">
        <f t="shared" si="23"/>
        <v>49.674999999999997</v>
      </c>
      <c r="D76" s="1">
        <f t="shared" si="24"/>
        <v>34.051000000000002</v>
      </c>
      <c r="E76" s="1">
        <v>48</v>
      </c>
      <c r="F76" s="1">
        <f t="shared" ref="F76:F77" si="34">F75</f>
        <v>20</v>
      </c>
      <c r="G76" s="1">
        <f t="shared" si="31"/>
        <v>16.240000000000002</v>
      </c>
      <c r="H76" s="1">
        <v>2</v>
      </c>
      <c r="I76" s="1" t="s">
        <v>164</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184</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322</v>
      </c>
      <c r="B77" s="1" t="s">
        <v>323</v>
      </c>
      <c r="C77" s="1">
        <f t="shared" si="23"/>
        <v>73.674999999999997</v>
      </c>
      <c r="D77" s="1">
        <f t="shared" si="24"/>
        <v>34.051000000000002</v>
      </c>
      <c r="E77" s="1">
        <v>72</v>
      </c>
      <c r="F77" s="1">
        <f t="shared" si="34"/>
        <v>20</v>
      </c>
      <c r="G77" s="1">
        <f t="shared" si="31"/>
        <v>16.240000000000002</v>
      </c>
      <c r="H77" s="1">
        <v>2</v>
      </c>
      <c r="I77" s="1" t="s">
        <v>164</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184</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324</v>
      </c>
      <c r="B78" s="1" t="s">
        <v>325</v>
      </c>
      <c r="C78" s="1">
        <f t="shared" si="23"/>
        <v>25.675000000000001</v>
      </c>
      <c r="D78" s="1">
        <f t="shared" si="24"/>
        <v>50.050999999999995</v>
      </c>
      <c r="E78" s="1">
        <v>24</v>
      </c>
      <c r="F78" s="1">
        <v>36</v>
      </c>
      <c r="G78" s="1">
        <f t="shared" si="31"/>
        <v>32.24</v>
      </c>
      <c r="H78" s="1">
        <v>2</v>
      </c>
      <c r="I78" s="1" t="s">
        <v>164</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184</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326</v>
      </c>
      <c r="B79" s="1" t="s">
        <v>327</v>
      </c>
      <c r="C79" s="1">
        <f t="shared" si="23"/>
        <v>37.674999999999997</v>
      </c>
      <c r="D79" s="1">
        <f t="shared" si="24"/>
        <v>50.050999999999995</v>
      </c>
      <c r="E79" s="1">
        <v>36</v>
      </c>
      <c r="F79" s="1">
        <f>F78</f>
        <v>36</v>
      </c>
      <c r="G79" s="1">
        <f t="shared" si="31"/>
        <v>32.24</v>
      </c>
      <c r="H79" s="1">
        <v>2</v>
      </c>
      <c r="I79" s="1" t="s">
        <v>164</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184</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328</v>
      </c>
      <c r="B80" s="1" t="s">
        <v>329</v>
      </c>
      <c r="C80" s="1">
        <f t="shared" si="23"/>
        <v>49.674999999999997</v>
      </c>
      <c r="D80" s="1">
        <f t="shared" si="24"/>
        <v>50.050999999999995</v>
      </c>
      <c r="E80" s="1">
        <v>48</v>
      </c>
      <c r="F80" s="1">
        <f t="shared" ref="F80:F85" si="35">F79</f>
        <v>36</v>
      </c>
      <c r="G80" s="1">
        <f t="shared" si="31"/>
        <v>32.24</v>
      </c>
      <c r="H80" s="1">
        <v>2</v>
      </c>
      <c r="I80" s="1" t="s">
        <v>164</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184</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330</v>
      </c>
      <c r="B81" s="1" t="s">
        <v>331</v>
      </c>
      <c r="C81" s="1">
        <f t="shared" si="23"/>
        <v>73.674999999999997</v>
      </c>
      <c r="D81" s="1">
        <f t="shared" si="24"/>
        <v>50.050999999999995</v>
      </c>
      <c r="E81" s="1">
        <v>72</v>
      </c>
      <c r="F81" s="1">
        <f t="shared" si="35"/>
        <v>36</v>
      </c>
      <c r="G81" s="1">
        <f t="shared" si="31"/>
        <v>32.24</v>
      </c>
      <c r="H81" s="1">
        <v>2</v>
      </c>
      <c r="I81" s="1" t="s">
        <v>164</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184</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332</v>
      </c>
      <c r="B82" s="1" t="s">
        <v>333</v>
      </c>
      <c r="C82" s="1">
        <f t="shared" si="23"/>
        <v>25.675000000000001</v>
      </c>
      <c r="D82" s="1">
        <f t="shared" si="24"/>
        <v>62.050999999999995</v>
      </c>
      <c r="E82" s="1">
        <v>24</v>
      </c>
      <c r="F82" s="1">
        <v>48</v>
      </c>
      <c r="G82" s="1">
        <f t="shared" si="31"/>
        <v>44.24</v>
      </c>
      <c r="H82" s="1">
        <v>2</v>
      </c>
      <c r="I82" s="1" t="s">
        <v>164</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184</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334</v>
      </c>
      <c r="B83" s="1" t="s">
        <v>335</v>
      </c>
      <c r="C83" s="1">
        <f t="shared" si="23"/>
        <v>37.674999999999997</v>
      </c>
      <c r="D83" s="1">
        <f t="shared" si="24"/>
        <v>62.050999999999995</v>
      </c>
      <c r="E83" s="1">
        <v>36</v>
      </c>
      <c r="F83" s="1">
        <f t="shared" si="35"/>
        <v>48</v>
      </c>
      <c r="G83" s="1">
        <f t="shared" si="31"/>
        <v>44.24</v>
      </c>
      <c r="H83" s="1">
        <v>2</v>
      </c>
      <c r="I83" s="1" t="s">
        <v>164</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184</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336</v>
      </c>
      <c r="B84" s="1" t="s">
        <v>337</v>
      </c>
      <c r="C84" s="1">
        <f t="shared" si="23"/>
        <v>49.674999999999997</v>
      </c>
      <c r="D84" s="1">
        <f t="shared" si="24"/>
        <v>62.050999999999995</v>
      </c>
      <c r="E84" s="1">
        <v>48</v>
      </c>
      <c r="F84" s="1">
        <f t="shared" si="35"/>
        <v>48</v>
      </c>
      <c r="G84" s="1">
        <f t="shared" si="31"/>
        <v>44.24</v>
      </c>
      <c r="H84" s="1">
        <v>2</v>
      </c>
      <c r="I84" s="1" t="s">
        <v>164</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184</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338</v>
      </c>
      <c r="B85" s="1" t="s">
        <v>339</v>
      </c>
      <c r="C85" s="1">
        <f t="shared" si="23"/>
        <v>73.674999999999997</v>
      </c>
      <c r="D85" s="1">
        <f t="shared" si="24"/>
        <v>62.050999999999995</v>
      </c>
      <c r="E85" s="1">
        <v>72</v>
      </c>
      <c r="F85" s="1">
        <f t="shared" si="35"/>
        <v>48</v>
      </c>
      <c r="G85" s="1">
        <f t="shared" si="31"/>
        <v>44.24</v>
      </c>
      <c r="H85" s="1">
        <v>2</v>
      </c>
      <c r="I85" s="1" t="s">
        <v>164</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184</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340</v>
      </c>
      <c r="B86" s="1" t="s">
        <v>341</v>
      </c>
      <c r="C86" s="1">
        <f t="shared" si="23"/>
        <v>25.675000000000001</v>
      </c>
      <c r="D86" s="1">
        <f t="shared" si="24"/>
        <v>74.051000000000002</v>
      </c>
      <c r="E86" s="1">
        <v>24</v>
      </c>
      <c r="F86" s="1">
        <v>60</v>
      </c>
      <c r="G86" s="1">
        <f t="shared" si="31"/>
        <v>56.24</v>
      </c>
      <c r="H86" s="1">
        <v>2</v>
      </c>
      <c r="I86" s="1" t="s">
        <v>164</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184</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342</v>
      </c>
      <c r="B87" s="1" t="s">
        <v>343</v>
      </c>
      <c r="C87" s="1">
        <f t="shared" si="23"/>
        <v>37.674999999999997</v>
      </c>
      <c r="D87" s="1">
        <f t="shared" si="24"/>
        <v>74.051000000000002</v>
      </c>
      <c r="E87" s="1">
        <v>36</v>
      </c>
      <c r="F87" s="1">
        <v>60</v>
      </c>
      <c r="G87" s="1">
        <f t="shared" si="31"/>
        <v>56.24</v>
      </c>
      <c r="H87" s="1">
        <v>2</v>
      </c>
      <c r="I87" s="1" t="s">
        <v>164</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184</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344</v>
      </c>
      <c r="B88" s="1" t="s">
        <v>345</v>
      </c>
      <c r="C88" s="1">
        <f t="shared" si="23"/>
        <v>49.674999999999997</v>
      </c>
      <c r="D88" s="1">
        <f t="shared" si="24"/>
        <v>74.051000000000002</v>
      </c>
      <c r="E88" s="1">
        <v>48</v>
      </c>
      <c r="F88" s="1">
        <v>60</v>
      </c>
      <c r="G88" s="1">
        <f t="shared" si="31"/>
        <v>56.24</v>
      </c>
      <c r="H88" s="1">
        <v>2</v>
      </c>
      <c r="I88" s="1" t="s">
        <v>164</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184</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346</v>
      </c>
      <c r="B89" s="1" t="s">
        <v>347</v>
      </c>
      <c r="C89" s="1">
        <f t="shared" si="23"/>
        <v>73.674999999999997</v>
      </c>
      <c r="D89" s="1">
        <f t="shared" si="24"/>
        <v>74.051000000000002</v>
      </c>
      <c r="E89" s="1">
        <v>72</v>
      </c>
      <c r="F89" s="1">
        <v>60</v>
      </c>
      <c r="G89" s="1">
        <f t="shared" si="31"/>
        <v>56.24</v>
      </c>
      <c r="H89" s="1">
        <v>2</v>
      </c>
      <c r="I89" s="1" t="s">
        <v>164</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184</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348</v>
      </c>
      <c r="B90" s="1" t="s">
        <v>349</v>
      </c>
      <c r="C90" s="1">
        <f t="shared" si="23"/>
        <v>25.675000000000001</v>
      </c>
      <c r="D90" s="1">
        <f t="shared" si="24"/>
        <v>86.051000000000002</v>
      </c>
      <c r="E90" s="1">
        <v>24</v>
      </c>
      <c r="F90" s="1">
        <v>72</v>
      </c>
      <c r="G90" s="1">
        <f t="shared" si="31"/>
        <v>68.239999999999995</v>
      </c>
      <c r="H90" s="1">
        <v>2</v>
      </c>
      <c r="I90" s="1" t="s">
        <v>164</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184</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350</v>
      </c>
      <c r="B91" s="1" t="s">
        <v>351</v>
      </c>
      <c r="C91" s="1">
        <f t="shared" si="23"/>
        <v>37.674999999999997</v>
      </c>
      <c r="D91" s="1">
        <f t="shared" si="24"/>
        <v>86.051000000000002</v>
      </c>
      <c r="E91" s="1">
        <v>36</v>
      </c>
      <c r="F91" s="1">
        <v>72</v>
      </c>
      <c r="G91" s="1">
        <f t="shared" si="31"/>
        <v>68.239999999999995</v>
      </c>
      <c r="H91" s="1">
        <v>2</v>
      </c>
      <c r="I91" s="1" t="s">
        <v>164</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184</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352</v>
      </c>
      <c r="B92" s="1" t="s">
        <v>353</v>
      </c>
      <c r="C92" s="1">
        <f t="shared" si="23"/>
        <v>49.674999999999997</v>
      </c>
      <c r="D92" s="1">
        <f t="shared" si="24"/>
        <v>86.051000000000002</v>
      </c>
      <c r="E92" s="1">
        <v>48</v>
      </c>
      <c r="F92" s="1">
        <v>72</v>
      </c>
      <c r="G92" s="1">
        <f t="shared" si="31"/>
        <v>68.239999999999995</v>
      </c>
      <c r="H92" s="1">
        <v>2</v>
      </c>
      <c r="I92" s="1" t="s">
        <v>164</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184</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354</v>
      </c>
      <c r="B93" s="1" t="s">
        <v>355</v>
      </c>
      <c r="C93" s="1">
        <f t="shared" si="23"/>
        <v>73.674999999999997</v>
      </c>
      <c r="D93" s="1">
        <f t="shared" si="24"/>
        <v>86.051000000000002</v>
      </c>
      <c r="E93" s="1">
        <v>72</v>
      </c>
      <c r="F93" s="1">
        <v>72</v>
      </c>
      <c r="G93" s="1">
        <f t="shared" si="31"/>
        <v>68.239999999999995</v>
      </c>
      <c r="H93" s="1">
        <v>2</v>
      </c>
      <c r="I93" s="1" t="s">
        <v>164</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184</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356</v>
      </c>
      <c r="B94" s="1" t="s">
        <v>357</v>
      </c>
      <c r="C94" s="1">
        <f t="shared" si="23"/>
        <v>25.675000000000001</v>
      </c>
      <c r="D94" s="1">
        <f t="shared" si="24"/>
        <v>98.051000000000002</v>
      </c>
      <c r="E94" s="1">
        <v>24</v>
      </c>
      <c r="F94" s="1">
        <v>84</v>
      </c>
      <c r="G94" s="1">
        <f t="shared" si="31"/>
        <v>80.239999999999995</v>
      </c>
      <c r="H94" s="1">
        <v>2</v>
      </c>
      <c r="I94" s="1" t="s">
        <v>164</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184</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358</v>
      </c>
      <c r="B95" s="1" t="s">
        <v>359</v>
      </c>
      <c r="C95" s="1">
        <f t="shared" si="23"/>
        <v>37.674999999999997</v>
      </c>
      <c r="D95" s="1">
        <f t="shared" si="24"/>
        <v>98.051000000000002</v>
      </c>
      <c r="E95" s="1">
        <v>36</v>
      </c>
      <c r="F95" s="1">
        <v>84</v>
      </c>
      <c r="G95" s="1">
        <f t="shared" si="31"/>
        <v>80.239999999999995</v>
      </c>
      <c r="H95" s="1">
        <v>2</v>
      </c>
      <c r="I95" s="1" t="s">
        <v>164</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184</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360</v>
      </c>
      <c r="B96" s="1" t="s">
        <v>361</v>
      </c>
      <c r="C96" s="1">
        <f t="shared" si="23"/>
        <v>49.674999999999997</v>
      </c>
      <c r="D96" s="1">
        <f t="shared" si="24"/>
        <v>98.051000000000002</v>
      </c>
      <c r="E96" s="1">
        <v>48</v>
      </c>
      <c r="F96" s="1">
        <v>84</v>
      </c>
      <c r="G96" s="1">
        <f t="shared" si="31"/>
        <v>80.239999999999995</v>
      </c>
      <c r="H96" s="1">
        <v>2</v>
      </c>
      <c r="I96" s="1" t="s">
        <v>164</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184</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362</v>
      </c>
      <c r="B97" s="1" t="s">
        <v>363</v>
      </c>
      <c r="C97" s="1">
        <f t="shared" si="23"/>
        <v>73.674999999999997</v>
      </c>
      <c r="D97" s="1">
        <f t="shared" si="24"/>
        <v>98.051000000000002</v>
      </c>
      <c r="E97" s="1">
        <v>72</v>
      </c>
      <c r="F97" s="1">
        <v>84</v>
      </c>
      <c r="G97" s="1">
        <f t="shared" si="31"/>
        <v>80.239999999999995</v>
      </c>
      <c r="H97" s="1">
        <v>2</v>
      </c>
      <c r="I97" s="1" t="s">
        <v>164</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184</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364</v>
      </c>
      <c r="B98" t="s">
        <v>365</v>
      </c>
      <c r="C98">
        <f t="shared" si="23"/>
        <v>25.675000000000001</v>
      </c>
      <c r="D98">
        <f t="shared" si="24"/>
        <v>34.051000000000002</v>
      </c>
      <c r="E98">
        <v>24</v>
      </c>
      <c r="F98">
        <v>20</v>
      </c>
      <c r="G98">
        <f>F98-(1.88*2)</f>
        <v>16.240000000000002</v>
      </c>
      <c r="H98">
        <v>0</v>
      </c>
      <c r="I98" t="s">
        <v>169</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165</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366</v>
      </c>
      <c r="B99" t="s">
        <v>367</v>
      </c>
      <c r="C99">
        <f t="shared" si="23"/>
        <v>37.674999999999997</v>
      </c>
      <c r="D99">
        <f t="shared" si="24"/>
        <v>34.051000000000002</v>
      </c>
      <c r="E99">
        <v>36</v>
      </c>
      <c r="F99">
        <f>F98</f>
        <v>20</v>
      </c>
      <c r="G99">
        <f t="shared" ref="G99:G121" si="36">F99-(1.88*2)</f>
        <v>16.240000000000002</v>
      </c>
      <c r="H99">
        <v>0</v>
      </c>
      <c r="I99" t="s">
        <v>169</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165</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368</v>
      </c>
      <c r="B100" t="s">
        <v>369</v>
      </c>
      <c r="C100">
        <f t="shared" si="23"/>
        <v>49.674999999999997</v>
      </c>
      <c r="D100">
        <f t="shared" si="24"/>
        <v>34.051000000000002</v>
      </c>
      <c r="E100">
        <v>48</v>
      </c>
      <c r="F100">
        <f t="shared" ref="F100:F101" si="40">F99</f>
        <v>20</v>
      </c>
      <c r="G100">
        <f t="shared" si="36"/>
        <v>16.240000000000002</v>
      </c>
      <c r="H100">
        <v>0</v>
      </c>
      <c r="I100" t="s">
        <v>169</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165</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370</v>
      </c>
      <c r="B101" t="s">
        <v>371</v>
      </c>
      <c r="C101">
        <f t="shared" si="23"/>
        <v>73.674999999999997</v>
      </c>
      <c r="D101">
        <f t="shared" si="24"/>
        <v>34.051000000000002</v>
      </c>
      <c r="E101">
        <v>72</v>
      </c>
      <c r="F101">
        <f t="shared" si="40"/>
        <v>20</v>
      </c>
      <c r="G101">
        <f t="shared" si="36"/>
        <v>16.240000000000002</v>
      </c>
      <c r="H101">
        <v>0</v>
      </c>
      <c r="I101" t="s">
        <v>169</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165</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372</v>
      </c>
      <c r="B102" t="s">
        <v>373</v>
      </c>
      <c r="C102">
        <f t="shared" si="23"/>
        <v>25.675000000000001</v>
      </c>
      <c r="D102">
        <f t="shared" si="24"/>
        <v>50.050999999999995</v>
      </c>
      <c r="E102">
        <v>24</v>
      </c>
      <c r="F102">
        <v>36</v>
      </c>
      <c r="G102">
        <f t="shared" si="36"/>
        <v>32.24</v>
      </c>
      <c r="H102">
        <v>0</v>
      </c>
      <c r="I102" t="s">
        <v>169</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165</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374</v>
      </c>
      <c r="B103" t="s">
        <v>375</v>
      </c>
      <c r="C103">
        <f t="shared" si="23"/>
        <v>37.674999999999997</v>
      </c>
      <c r="D103">
        <f t="shared" si="24"/>
        <v>50.050999999999995</v>
      </c>
      <c r="E103">
        <v>36</v>
      </c>
      <c r="F103">
        <f>F102</f>
        <v>36</v>
      </c>
      <c r="G103">
        <f t="shared" si="36"/>
        <v>32.24</v>
      </c>
      <c r="H103">
        <v>0</v>
      </c>
      <c r="I103" t="s">
        <v>169</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165</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376</v>
      </c>
      <c r="B104" t="s">
        <v>377</v>
      </c>
      <c r="C104">
        <f t="shared" si="23"/>
        <v>49.674999999999997</v>
      </c>
      <c r="D104">
        <f t="shared" si="24"/>
        <v>50.050999999999995</v>
      </c>
      <c r="E104">
        <v>48</v>
      </c>
      <c r="F104">
        <f t="shared" ref="F104:F109" si="41">F103</f>
        <v>36</v>
      </c>
      <c r="G104">
        <f t="shared" si="36"/>
        <v>32.24</v>
      </c>
      <c r="H104">
        <v>0</v>
      </c>
      <c r="I104" t="s">
        <v>169</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165</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378</v>
      </c>
      <c r="B105" t="s">
        <v>379</v>
      </c>
      <c r="C105">
        <f t="shared" si="23"/>
        <v>73.674999999999997</v>
      </c>
      <c r="D105">
        <f t="shared" si="24"/>
        <v>50.050999999999995</v>
      </c>
      <c r="E105">
        <v>72</v>
      </c>
      <c r="F105">
        <f t="shared" si="41"/>
        <v>36</v>
      </c>
      <c r="G105">
        <f t="shared" si="36"/>
        <v>32.24</v>
      </c>
      <c r="H105">
        <v>0</v>
      </c>
      <c r="I105" t="s">
        <v>169</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165</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380</v>
      </c>
      <c r="B106" t="s">
        <v>381</v>
      </c>
      <c r="C106">
        <f t="shared" si="23"/>
        <v>25.675000000000001</v>
      </c>
      <c r="D106">
        <f t="shared" si="24"/>
        <v>62.050999999999995</v>
      </c>
      <c r="E106">
        <v>24</v>
      </c>
      <c r="F106">
        <v>48</v>
      </c>
      <c r="G106">
        <f t="shared" si="36"/>
        <v>44.24</v>
      </c>
      <c r="H106">
        <v>0</v>
      </c>
      <c r="I106" t="s">
        <v>169</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165</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382</v>
      </c>
      <c r="B107" t="s">
        <v>383</v>
      </c>
      <c r="C107">
        <f t="shared" si="23"/>
        <v>37.674999999999997</v>
      </c>
      <c r="D107">
        <f t="shared" si="24"/>
        <v>62.050999999999995</v>
      </c>
      <c r="E107">
        <v>36</v>
      </c>
      <c r="F107">
        <f t="shared" si="41"/>
        <v>48</v>
      </c>
      <c r="G107">
        <f t="shared" si="36"/>
        <v>44.24</v>
      </c>
      <c r="H107">
        <v>0</v>
      </c>
      <c r="I107" t="s">
        <v>169</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165</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384</v>
      </c>
      <c r="B108" t="s">
        <v>385</v>
      </c>
      <c r="C108">
        <f t="shared" si="23"/>
        <v>49.674999999999997</v>
      </c>
      <c r="D108">
        <f t="shared" si="24"/>
        <v>62.050999999999995</v>
      </c>
      <c r="E108">
        <v>48</v>
      </c>
      <c r="F108">
        <f t="shared" si="41"/>
        <v>48</v>
      </c>
      <c r="G108">
        <f t="shared" si="36"/>
        <v>44.24</v>
      </c>
      <c r="H108">
        <v>0</v>
      </c>
      <c r="I108" t="s">
        <v>169</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165</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386</v>
      </c>
      <c r="B109" t="s">
        <v>387</v>
      </c>
      <c r="C109">
        <f t="shared" si="23"/>
        <v>73.674999999999997</v>
      </c>
      <c r="D109">
        <f t="shared" si="24"/>
        <v>62.050999999999995</v>
      </c>
      <c r="E109">
        <v>72</v>
      </c>
      <c r="F109">
        <f t="shared" si="41"/>
        <v>48</v>
      </c>
      <c r="G109">
        <f t="shared" si="36"/>
        <v>44.24</v>
      </c>
      <c r="H109">
        <v>0</v>
      </c>
      <c r="I109" t="s">
        <v>169</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165</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388</v>
      </c>
      <c r="B110" t="s">
        <v>389</v>
      </c>
      <c r="C110">
        <f t="shared" si="23"/>
        <v>25.675000000000001</v>
      </c>
      <c r="D110">
        <f t="shared" si="24"/>
        <v>74.051000000000002</v>
      </c>
      <c r="E110">
        <v>24</v>
      </c>
      <c r="F110">
        <v>60</v>
      </c>
      <c r="G110">
        <f t="shared" si="36"/>
        <v>56.24</v>
      </c>
      <c r="H110">
        <v>0</v>
      </c>
      <c r="I110" t="s">
        <v>169</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165</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390</v>
      </c>
      <c r="B111" t="s">
        <v>391</v>
      </c>
      <c r="C111">
        <f t="shared" si="23"/>
        <v>37.674999999999997</v>
      </c>
      <c r="D111">
        <f t="shared" si="24"/>
        <v>74.051000000000002</v>
      </c>
      <c r="E111">
        <v>36</v>
      </c>
      <c r="F111">
        <v>60</v>
      </c>
      <c r="G111">
        <f t="shared" si="36"/>
        <v>56.24</v>
      </c>
      <c r="H111">
        <v>0</v>
      </c>
      <c r="I111" t="s">
        <v>169</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165</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392</v>
      </c>
      <c r="B112" t="s">
        <v>393</v>
      </c>
      <c r="C112">
        <f t="shared" si="23"/>
        <v>49.674999999999997</v>
      </c>
      <c r="D112">
        <f t="shared" si="24"/>
        <v>74.051000000000002</v>
      </c>
      <c r="E112">
        <v>48</v>
      </c>
      <c r="F112">
        <v>60</v>
      </c>
      <c r="G112">
        <f t="shared" si="36"/>
        <v>56.24</v>
      </c>
      <c r="H112">
        <v>0</v>
      </c>
      <c r="I112" t="s">
        <v>169</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165</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394</v>
      </c>
      <c r="B113" t="s">
        <v>395</v>
      </c>
      <c r="C113">
        <f t="shared" si="23"/>
        <v>73.674999999999997</v>
      </c>
      <c r="D113">
        <f t="shared" si="24"/>
        <v>74.051000000000002</v>
      </c>
      <c r="E113">
        <v>72</v>
      </c>
      <c r="F113">
        <v>60</v>
      </c>
      <c r="G113">
        <f t="shared" si="36"/>
        <v>56.24</v>
      </c>
      <c r="H113">
        <v>0</v>
      </c>
      <c r="I113" t="s">
        <v>169</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165</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396</v>
      </c>
      <c r="B114" t="s">
        <v>397</v>
      </c>
      <c r="C114">
        <f t="shared" si="23"/>
        <v>25.675000000000001</v>
      </c>
      <c r="D114">
        <f t="shared" si="24"/>
        <v>86.051000000000002</v>
      </c>
      <c r="E114">
        <v>24</v>
      </c>
      <c r="F114">
        <v>72</v>
      </c>
      <c r="G114">
        <f t="shared" si="36"/>
        <v>68.239999999999995</v>
      </c>
      <c r="H114">
        <v>0</v>
      </c>
      <c r="I114" t="s">
        <v>169</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165</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398</v>
      </c>
      <c r="B115" t="s">
        <v>399</v>
      </c>
      <c r="C115">
        <f t="shared" si="23"/>
        <v>37.674999999999997</v>
      </c>
      <c r="D115">
        <f t="shared" si="24"/>
        <v>86.051000000000002</v>
      </c>
      <c r="E115">
        <v>36</v>
      </c>
      <c r="F115">
        <v>72</v>
      </c>
      <c r="G115">
        <f t="shared" si="36"/>
        <v>68.239999999999995</v>
      </c>
      <c r="H115">
        <v>0</v>
      </c>
      <c r="I115" t="s">
        <v>169</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165</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400</v>
      </c>
      <c r="B116" t="s">
        <v>401</v>
      </c>
      <c r="C116">
        <f t="shared" si="23"/>
        <v>49.674999999999997</v>
      </c>
      <c r="D116">
        <f t="shared" si="24"/>
        <v>86.051000000000002</v>
      </c>
      <c r="E116">
        <v>48</v>
      </c>
      <c r="F116">
        <v>72</v>
      </c>
      <c r="G116">
        <f t="shared" si="36"/>
        <v>68.239999999999995</v>
      </c>
      <c r="H116">
        <v>0</v>
      </c>
      <c r="I116" t="s">
        <v>169</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165</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402</v>
      </c>
      <c r="B117" t="s">
        <v>403</v>
      </c>
      <c r="C117">
        <f t="shared" si="23"/>
        <v>73.674999999999997</v>
      </c>
      <c r="D117">
        <f t="shared" si="24"/>
        <v>86.051000000000002</v>
      </c>
      <c r="E117">
        <v>72</v>
      </c>
      <c r="F117">
        <v>72</v>
      </c>
      <c r="G117">
        <f t="shared" si="36"/>
        <v>68.239999999999995</v>
      </c>
      <c r="H117">
        <v>0</v>
      </c>
      <c r="I117" t="s">
        <v>169</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165</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404</v>
      </c>
      <c r="B118" t="s">
        <v>405</v>
      </c>
      <c r="C118">
        <f t="shared" si="23"/>
        <v>25.675000000000001</v>
      </c>
      <c r="D118">
        <f t="shared" si="24"/>
        <v>98.051000000000002</v>
      </c>
      <c r="E118">
        <v>24</v>
      </c>
      <c r="F118">
        <v>84</v>
      </c>
      <c r="G118">
        <f t="shared" si="36"/>
        <v>80.239999999999995</v>
      </c>
      <c r="H118">
        <v>0</v>
      </c>
      <c r="I118" t="s">
        <v>169</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165</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406</v>
      </c>
      <c r="B119" t="s">
        <v>407</v>
      </c>
      <c r="C119">
        <f t="shared" si="23"/>
        <v>37.674999999999997</v>
      </c>
      <c r="D119">
        <f t="shared" si="24"/>
        <v>98.051000000000002</v>
      </c>
      <c r="E119">
        <v>36</v>
      </c>
      <c r="F119">
        <v>84</v>
      </c>
      <c r="G119">
        <f t="shared" si="36"/>
        <v>80.239999999999995</v>
      </c>
      <c r="H119">
        <v>0</v>
      </c>
      <c r="I119" t="s">
        <v>169</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165</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408</v>
      </c>
      <c r="B120" t="s">
        <v>409</v>
      </c>
      <c r="C120">
        <f t="shared" si="23"/>
        <v>49.674999999999997</v>
      </c>
      <c r="D120">
        <f t="shared" si="24"/>
        <v>98.051000000000002</v>
      </c>
      <c r="E120">
        <v>48</v>
      </c>
      <c r="F120">
        <v>84</v>
      </c>
      <c r="G120">
        <f t="shared" si="36"/>
        <v>80.239999999999995</v>
      </c>
      <c r="H120">
        <v>0</v>
      </c>
      <c r="I120" t="s">
        <v>169</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165</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410</v>
      </c>
      <c r="B121" t="s">
        <v>411</v>
      </c>
      <c r="C121">
        <f t="shared" si="23"/>
        <v>73.674999999999997</v>
      </c>
      <c r="D121">
        <f t="shared" si="24"/>
        <v>98.051000000000002</v>
      </c>
      <c r="E121">
        <v>72</v>
      </c>
      <c r="F121">
        <v>84</v>
      </c>
      <c r="G121">
        <f t="shared" si="36"/>
        <v>80.239999999999995</v>
      </c>
      <c r="H121">
        <v>0</v>
      </c>
      <c r="I121" t="s">
        <v>169</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165</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412</v>
      </c>
      <c r="B122" t="s">
        <v>413</v>
      </c>
      <c r="C122">
        <f t="shared" si="23"/>
        <v>25.675000000000001</v>
      </c>
      <c r="D122">
        <f t="shared" si="24"/>
        <v>34.051000000000002</v>
      </c>
      <c r="E122">
        <v>24</v>
      </c>
      <c r="F122">
        <v>20</v>
      </c>
      <c r="G122">
        <f>F122-(1.88*2)</f>
        <v>16.240000000000002</v>
      </c>
      <c r="H122">
        <v>1</v>
      </c>
      <c r="I122" t="s">
        <v>169</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181</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414</v>
      </c>
      <c r="B123" t="s">
        <v>415</v>
      </c>
      <c r="C123">
        <f t="shared" si="23"/>
        <v>37.674999999999997</v>
      </c>
      <c r="D123">
        <f t="shared" si="24"/>
        <v>34.051000000000002</v>
      </c>
      <c r="E123">
        <v>36</v>
      </c>
      <c r="F123">
        <f>F122</f>
        <v>20</v>
      </c>
      <c r="G123">
        <f t="shared" ref="G123:G145" si="42">F123-(1.88*2)</f>
        <v>16.240000000000002</v>
      </c>
      <c r="H123">
        <v>1</v>
      </c>
      <c r="I123" t="s">
        <v>169</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181</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416</v>
      </c>
      <c r="B124" t="s">
        <v>417</v>
      </c>
      <c r="C124">
        <f t="shared" si="23"/>
        <v>49.674999999999997</v>
      </c>
      <c r="D124">
        <f t="shared" si="24"/>
        <v>34.051000000000002</v>
      </c>
      <c r="E124">
        <v>48</v>
      </c>
      <c r="F124">
        <f t="shared" ref="F124:F125" si="45">F123</f>
        <v>20</v>
      </c>
      <c r="G124">
        <f t="shared" si="42"/>
        <v>16.240000000000002</v>
      </c>
      <c r="H124">
        <v>1</v>
      </c>
      <c r="I124" t="s">
        <v>169</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181</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418</v>
      </c>
      <c r="B125" t="s">
        <v>419</v>
      </c>
      <c r="C125">
        <f t="shared" si="23"/>
        <v>73.674999999999997</v>
      </c>
      <c r="D125">
        <f t="shared" si="24"/>
        <v>34.051000000000002</v>
      </c>
      <c r="E125">
        <v>72</v>
      </c>
      <c r="F125">
        <f t="shared" si="45"/>
        <v>20</v>
      </c>
      <c r="G125">
        <f t="shared" si="42"/>
        <v>16.240000000000002</v>
      </c>
      <c r="H125">
        <v>1</v>
      </c>
      <c r="I125" t="s">
        <v>169</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181</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420</v>
      </c>
      <c r="B126" t="s">
        <v>421</v>
      </c>
      <c r="C126">
        <f t="shared" si="23"/>
        <v>25.675000000000001</v>
      </c>
      <c r="D126">
        <f t="shared" si="24"/>
        <v>50.050999999999995</v>
      </c>
      <c r="E126">
        <v>24</v>
      </c>
      <c r="F126">
        <v>36</v>
      </c>
      <c r="G126">
        <f t="shared" si="42"/>
        <v>32.24</v>
      </c>
      <c r="H126">
        <v>1</v>
      </c>
      <c r="I126" t="s">
        <v>169</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181</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422</v>
      </c>
      <c r="B127" t="s">
        <v>423</v>
      </c>
      <c r="C127">
        <f t="shared" si="23"/>
        <v>37.674999999999997</v>
      </c>
      <c r="D127">
        <f t="shared" si="24"/>
        <v>50.050999999999995</v>
      </c>
      <c r="E127">
        <v>36</v>
      </c>
      <c r="F127">
        <f>F126</f>
        <v>36</v>
      </c>
      <c r="G127">
        <f t="shared" si="42"/>
        <v>32.24</v>
      </c>
      <c r="H127">
        <v>1</v>
      </c>
      <c r="I127" t="s">
        <v>169</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181</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424</v>
      </c>
      <c r="B128" t="s">
        <v>425</v>
      </c>
      <c r="C128">
        <f t="shared" si="23"/>
        <v>49.674999999999997</v>
      </c>
      <c r="D128">
        <f t="shared" si="24"/>
        <v>50.050999999999995</v>
      </c>
      <c r="E128">
        <v>48</v>
      </c>
      <c r="F128">
        <f t="shared" ref="F128:F133" si="46">F127</f>
        <v>36</v>
      </c>
      <c r="G128">
        <f t="shared" si="42"/>
        <v>32.24</v>
      </c>
      <c r="H128">
        <v>1</v>
      </c>
      <c r="I128" t="s">
        <v>169</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181</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426</v>
      </c>
      <c r="B129" t="s">
        <v>427</v>
      </c>
      <c r="C129">
        <f t="shared" si="23"/>
        <v>73.674999999999997</v>
      </c>
      <c r="D129">
        <f t="shared" si="24"/>
        <v>50.050999999999995</v>
      </c>
      <c r="E129">
        <v>72</v>
      </c>
      <c r="F129">
        <f t="shared" si="46"/>
        <v>36</v>
      </c>
      <c r="G129">
        <f t="shared" si="42"/>
        <v>32.24</v>
      </c>
      <c r="H129">
        <v>1</v>
      </c>
      <c r="I129" t="s">
        <v>169</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181</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428</v>
      </c>
      <c r="B130" t="s">
        <v>429</v>
      </c>
      <c r="C130">
        <f t="shared" ref="C130:C193" si="47">E130+1.675</f>
        <v>25.675000000000001</v>
      </c>
      <c r="D130">
        <f t="shared" ref="D130:D193" si="48">F130+1.675+12.376</f>
        <v>62.050999999999995</v>
      </c>
      <c r="E130">
        <v>24</v>
      </c>
      <c r="F130">
        <v>48</v>
      </c>
      <c r="G130">
        <f t="shared" si="42"/>
        <v>44.24</v>
      </c>
      <c r="H130">
        <v>1</v>
      </c>
      <c r="I130" t="s">
        <v>169</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181</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430</v>
      </c>
      <c r="B131" t="s">
        <v>431</v>
      </c>
      <c r="C131">
        <f t="shared" si="47"/>
        <v>37.674999999999997</v>
      </c>
      <c r="D131">
        <f t="shared" si="48"/>
        <v>62.050999999999995</v>
      </c>
      <c r="E131">
        <v>36</v>
      </c>
      <c r="F131">
        <f t="shared" si="46"/>
        <v>48</v>
      </c>
      <c r="G131">
        <f t="shared" si="42"/>
        <v>44.24</v>
      </c>
      <c r="H131">
        <v>1</v>
      </c>
      <c r="I131" t="s">
        <v>169</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181</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432</v>
      </c>
      <c r="B132" t="s">
        <v>433</v>
      </c>
      <c r="C132">
        <f t="shared" si="47"/>
        <v>49.674999999999997</v>
      </c>
      <c r="D132">
        <f t="shared" si="48"/>
        <v>62.050999999999995</v>
      </c>
      <c r="E132">
        <v>48</v>
      </c>
      <c r="F132">
        <f t="shared" si="46"/>
        <v>48</v>
      </c>
      <c r="G132">
        <f t="shared" si="42"/>
        <v>44.24</v>
      </c>
      <c r="H132">
        <v>1</v>
      </c>
      <c r="I132" t="s">
        <v>169</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181</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434</v>
      </c>
      <c r="B133" t="s">
        <v>435</v>
      </c>
      <c r="C133">
        <f t="shared" si="47"/>
        <v>73.674999999999997</v>
      </c>
      <c r="D133">
        <f t="shared" si="48"/>
        <v>62.050999999999995</v>
      </c>
      <c r="E133">
        <v>72</v>
      </c>
      <c r="F133">
        <f t="shared" si="46"/>
        <v>48</v>
      </c>
      <c r="G133">
        <f t="shared" si="42"/>
        <v>44.24</v>
      </c>
      <c r="H133">
        <v>1</v>
      </c>
      <c r="I133" t="s">
        <v>169</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181</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436</v>
      </c>
      <c r="B134" t="s">
        <v>437</v>
      </c>
      <c r="C134">
        <f t="shared" si="47"/>
        <v>25.675000000000001</v>
      </c>
      <c r="D134">
        <f t="shared" si="48"/>
        <v>74.051000000000002</v>
      </c>
      <c r="E134">
        <v>24</v>
      </c>
      <c r="F134">
        <v>60</v>
      </c>
      <c r="G134">
        <f t="shared" si="42"/>
        <v>56.24</v>
      </c>
      <c r="H134">
        <v>1</v>
      </c>
      <c r="I134" t="s">
        <v>169</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181</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438</v>
      </c>
      <c r="B135" t="s">
        <v>439</v>
      </c>
      <c r="C135">
        <f t="shared" si="47"/>
        <v>37.674999999999997</v>
      </c>
      <c r="D135">
        <f t="shared" si="48"/>
        <v>74.051000000000002</v>
      </c>
      <c r="E135">
        <v>36</v>
      </c>
      <c r="F135">
        <v>60</v>
      </c>
      <c r="G135">
        <f t="shared" si="42"/>
        <v>56.24</v>
      </c>
      <c r="H135">
        <v>1</v>
      </c>
      <c r="I135" t="s">
        <v>169</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181</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440</v>
      </c>
      <c r="B136" t="s">
        <v>441</v>
      </c>
      <c r="C136">
        <f t="shared" si="47"/>
        <v>49.674999999999997</v>
      </c>
      <c r="D136">
        <f t="shared" si="48"/>
        <v>74.051000000000002</v>
      </c>
      <c r="E136">
        <v>48</v>
      </c>
      <c r="F136">
        <v>60</v>
      </c>
      <c r="G136">
        <f t="shared" si="42"/>
        <v>56.24</v>
      </c>
      <c r="H136">
        <v>1</v>
      </c>
      <c r="I136" t="s">
        <v>169</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181</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442</v>
      </c>
      <c r="B137" t="s">
        <v>443</v>
      </c>
      <c r="C137">
        <f t="shared" si="47"/>
        <v>73.674999999999997</v>
      </c>
      <c r="D137">
        <f t="shared" si="48"/>
        <v>74.051000000000002</v>
      </c>
      <c r="E137">
        <v>72</v>
      </c>
      <c r="F137">
        <v>60</v>
      </c>
      <c r="G137">
        <f t="shared" si="42"/>
        <v>56.24</v>
      </c>
      <c r="H137">
        <v>1</v>
      </c>
      <c r="I137" t="s">
        <v>169</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181</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444</v>
      </c>
      <c r="B138" t="s">
        <v>445</v>
      </c>
      <c r="C138">
        <f t="shared" si="47"/>
        <v>25.675000000000001</v>
      </c>
      <c r="D138">
        <f t="shared" si="48"/>
        <v>86.051000000000002</v>
      </c>
      <c r="E138">
        <v>24</v>
      </c>
      <c r="F138">
        <v>72</v>
      </c>
      <c r="G138">
        <f t="shared" si="42"/>
        <v>68.239999999999995</v>
      </c>
      <c r="H138">
        <v>1</v>
      </c>
      <c r="I138" t="s">
        <v>169</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181</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446</v>
      </c>
      <c r="B139" t="s">
        <v>447</v>
      </c>
      <c r="C139">
        <f t="shared" si="47"/>
        <v>37.674999999999997</v>
      </c>
      <c r="D139">
        <f t="shared" si="48"/>
        <v>86.051000000000002</v>
      </c>
      <c r="E139">
        <v>36</v>
      </c>
      <c r="F139">
        <v>72</v>
      </c>
      <c r="G139">
        <f t="shared" si="42"/>
        <v>68.239999999999995</v>
      </c>
      <c r="H139">
        <v>1</v>
      </c>
      <c r="I139" t="s">
        <v>169</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181</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448</v>
      </c>
      <c r="B140" t="s">
        <v>449</v>
      </c>
      <c r="C140">
        <f t="shared" si="47"/>
        <v>49.674999999999997</v>
      </c>
      <c r="D140">
        <f t="shared" si="48"/>
        <v>86.051000000000002</v>
      </c>
      <c r="E140">
        <v>48</v>
      </c>
      <c r="F140">
        <v>72</v>
      </c>
      <c r="G140">
        <f t="shared" si="42"/>
        <v>68.239999999999995</v>
      </c>
      <c r="H140">
        <v>1</v>
      </c>
      <c r="I140" t="s">
        <v>169</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181</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450</v>
      </c>
      <c r="B141" t="s">
        <v>451</v>
      </c>
      <c r="C141">
        <f t="shared" si="47"/>
        <v>73.674999999999997</v>
      </c>
      <c r="D141">
        <f t="shared" si="48"/>
        <v>86.051000000000002</v>
      </c>
      <c r="E141">
        <v>72</v>
      </c>
      <c r="F141">
        <v>72</v>
      </c>
      <c r="G141">
        <f t="shared" si="42"/>
        <v>68.239999999999995</v>
      </c>
      <c r="H141">
        <v>1</v>
      </c>
      <c r="I141" t="s">
        <v>169</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181</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452</v>
      </c>
      <c r="B142" t="s">
        <v>453</v>
      </c>
      <c r="C142">
        <f t="shared" si="47"/>
        <v>25.675000000000001</v>
      </c>
      <c r="D142">
        <f t="shared" si="48"/>
        <v>98.051000000000002</v>
      </c>
      <c r="E142">
        <v>24</v>
      </c>
      <c r="F142">
        <v>84</v>
      </c>
      <c r="G142">
        <f t="shared" si="42"/>
        <v>80.239999999999995</v>
      </c>
      <c r="H142">
        <v>1</v>
      </c>
      <c r="I142" t="s">
        <v>169</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181</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454</v>
      </c>
      <c r="B143" t="s">
        <v>455</v>
      </c>
      <c r="C143">
        <f t="shared" si="47"/>
        <v>37.674999999999997</v>
      </c>
      <c r="D143">
        <f t="shared" si="48"/>
        <v>98.051000000000002</v>
      </c>
      <c r="E143">
        <v>36</v>
      </c>
      <c r="F143">
        <v>84</v>
      </c>
      <c r="G143">
        <f t="shared" si="42"/>
        <v>80.239999999999995</v>
      </c>
      <c r="H143">
        <v>1</v>
      </c>
      <c r="I143" t="s">
        <v>169</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181</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456</v>
      </c>
      <c r="B144" t="s">
        <v>457</v>
      </c>
      <c r="C144">
        <f t="shared" si="47"/>
        <v>49.674999999999997</v>
      </c>
      <c r="D144">
        <f t="shared" si="48"/>
        <v>98.051000000000002</v>
      </c>
      <c r="E144">
        <v>48</v>
      </c>
      <c r="F144">
        <v>84</v>
      </c>
      <c r="G144">
        <f t="shared" si="42"/>
        <v>80.239999999999995</v>
      </c>
      <c r="H144">
        <v>1</v>
      </c>
      <c r="I144" t="s">
        <v>169</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181</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458</v>
      </c>
      <c r="B145" t="s">
        <v>459</v>
      </c>
      <c r="C145">
        <f t="shared" si="47"/>
        <v>73.674999999999997</v>
      </c>
      <c r="D145">
        <f t="shared" si="48"/>
        <v>98.051000000000002</v>
      </c>
      <c r="E145">
        <v>72</v>
      </c>
      <c r="F145">
        <v>84</v>
      </c>
      <c r="G145">
        <f t="shared" si="42"/>
        <v>80.239999999999995</v>
      </c>
      <c r="H145">
        <v>1</v>
      </c>
      <c r="I145" t="s">
        <v>169</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181</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460</v>
      </c>
      <c r="B146" t="s">
        <v>461</v>
      </c>
      <c r="C146">
        <f t="shared" si="47"/>
        <v>25.675000000000001</v>
      </c>
      <c r="D146">
        <f t="shared" si="48"/>
        <v>34.051000000000002</v>
      </c>
      <c r="E146">
        <v>24</v>
      </c>
      <c r="F146">
        <v>20</v>
      </c>
      <c r="G146">
        <f>F146-(1.88*2)</f>
        <v>16.240000000000002</v>
      </c>
      <c r="H146">
        <v>2</v>
      </c>
      <c r="I146" t="s">
        <v>169</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184</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462</v>
      </c>
      <c r="B147" t="s">
        <v>463</v>
      </c>
      <c r="C147">
        <f t="shared" si="47"/>
        <v>37.674999999999997</v>
      </c>
      <c r="D147">
        <f t="shared" si="48"/>
        <v>34.051000000000002</v>
      </c>
      <c r="E147">
        <v>36</v>
      </c>
      <c r="F147">
        <f>F146</f>
        <v>20</v>
      </c>
      <c r="G147">
        <f t="shared" ref="G147:G169" si="54">F147-(1.88*2)</f>
        <v>16.240000000000002</v>
      </c>
      <c r="H147">
        <v>2</v>
      </c>
      <c r="I147" t="s">
        <v>169</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184</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464</v>
      </c>
      <c r="B148" t="s">
        <v>465</v>
      </c>
      <c r="C148">
        <f t="shared" si="47"/>
        <v>49.674999999999997</v>
      </c>
      <c r="D148">
        <f t="shared" si="48"/>
        <v>34.051000000000002</v>
      </c>
      <c r="E148">
        <v>48</v>
      </c>
      <c r="F148">
        <f t="shared" ref="F148:F149" si="57">F147</f>
        <v>20</v>
      </c>
      <c r="G148">
        <f t="shared" si="54"/>
        <v>16.240000000000002</v>
      </c>
      <c r="H148">
        <v>2</v>
      </c>
      <c r="I148" t="s">
        <v>169</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184</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466</v>
      </c>
      <c r="B149" t="s">
        <v>467</v>
      </c>
      <c r="C149">
        <f t="shared" si="47"/>
        <v>73.674999999999997</v>
      </c>
      <c r="D149">
        <f t="shared" si="48"/>
        <v>34.051000000000002</v>
      </c>
      <c r="E149">
        <v>72</v>
      </c>
      <c r="F149">
        <f t="shared" si="57"/>
        <v>20</v>
      </c>
      <c r="G149">
        <f t="shared" si="54"/>
        <v>16.240000000000002</v>
      </c>
      <c r="H149">
        <v>2</v>
      </c>
      <c r="I149" t="s">
        <v>169</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184</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468</v>
      </c>
      <c r="B150" t="s">
        <v>469</v>
      </c>
      <c r="C150">
        <f t="shared" si="47"/>
        <v>25.675000000000001</v>
      </c>
      <c r="D150">
        <f t="shared" si="48"/>
        <v>50.050999999999995</v>
      </c>
      <c r="E150">
        <v>24</v>
      </c>
      <c r="F150">
        <v>36</v>
      </c>
      <c r="G150">
        <f t="shared" si="54"/>
        <v>32.24</v>
      </c>
      <c r="H150">
        <v>2</v>
      </c>
      <c r="I150" t="s">
        <v>169</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184</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470</v>
      </c>
      <c r="B151" t="s">
        <v>471</v>
      </c>
      <c r="C151">
        <f t="shared" si="47"/>
        <v>37.674999999999997</v>
      </c>
      <c r="D151">
        <f t="shared" si="48"/>
        <v>50.050999999999995</v>
      </c>
      <c r="E151">
        <v>36</v>
      </c>
      <c r="F151">
        <f>F150</f>
        <v>36</v>
      </c>
      <c r="G151">
        <f t="shared" si="54"/>
        <v>32.24</v>
      </c>
      <c r="H151">
        <v>2</v>
      </c>
      <c r="I151" t="s">
        <v>169</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184</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472</v>
      </c>
      <c r="B152" t="s">
        <v>473</v>
      </c>
      <c r="C152">
        <f t="shared" si="47"/>
        <v>49.674999999999997</v>
      </c>
      <c r="D152">
        <f t="shared" si="48"/>
        <v>50.050999999999995</v>
      </c>
      <c r="E152">
        <v>48</v>
      </c>
      <c r="F152">
        <f t="shared" ref="F152:F157" si="58">F151</f>
        <v>36</v>
      </c>
      <c r="G152">
        <f t="shared" si="54"/>
        <v>32.24</v>
      </c>
      <c r="H152">
        <v>2</v>
      </c>
      <c r="I152" t="s">
        <v>169</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184</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474</v>
      </c>
      <c r="B153" t="s">
        <v>475</v>
      </c>
      <c r="C153">
        <f t="shared" si="47"/>
        <v>73.674999999999997</v>
      </c>
      <c r="D153">
        <f t="shared" si="48"/>
        <v>50.050999999999995</v>
      </c>
      <c r="E153">
        <v>72</v>
      </c>
      <c r="F153">
        <f t="shared" si="58"/>
        <v>36</v>
      </c>
      <c r="G153">
        <f t="shared" si="54"/>
        <v>32.24</v>
      </c>
      <c r="H153">
        <v>2</v>
      </c>
      <c r="I153" t="s">
        <v>169</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184</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476</v>
      </c>
      <c r="B154" t="s">
        <v>477</v>
      </c>
      <c r="C154">
        <f t="shared" si="47"/>
        <v>25.675000000000001</v>
      </c>
      <c r="D154">
        <f t="shared" si="48"/>
        <v>62.050999999999995</v>
      </c>
      <c r="E154">
        <v>24</v>
      </c>
      <c r="F154">
        <v>48</v>
      </c>
      <c r="G154">
        <f t="shared" si="54"/>
        <v>44.24</v>
      </c>
      <c r="H154">
        <v>2</v>
      </c>
      <c r="I154" t="s">
        <v>169</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184</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478</v>
      </c>
      <c r="B155" t="s">
        <v>479</v>
      </c>
      <c r="C155">
        <f t="shared" si="47"/>
        <v>37.674999999999997</v>
      </c>
      <c r="D155">
        <f t="shared" si="48"/>
        <v>62.050999999999995</v>
      </c>
      <c r="E155">
        <v>36</v>
      </c>
      <c r="F155">
        <f t="shared" si="58"/>
        <v>48</v>
      </c>
      <c r="G155">
        <f t="shared" si="54"/>
        <v>44.24</v>
      </c>
      <c r="H155">
        <v>2</v>
      </c>
      <c r="I155" t="s">
        <v>169</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184</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480</v>
      </c>
      <c r="B156" t="s">
        <v>481</v>
      </c>
      <c r="C156">
        <f t="shared" si="47"/>
        <v>49.674999999999997</v>
      </c>
      <c r="D156">
        <f t="shared" si="48"/>
        <v>62.050999999999995</v>
      </c>
      <c r="E156">
        <v>48</v>
      </c>
      <c r="F156">
        <f t="shared" si="58"/>
        <v>48</v>
      </c>
      <c r="G156">
        <f t="shared" si="54"/>
        <v>44.24</v>
      </c>
      <c r="H156">
        <v>2</v>
      </c>
      <c r="I156" t="s">
        <v>169</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184</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482</v>
      </c>
      <c r="B157" t="s">
        <v>483</v>
      </c>
      <c r="C157">
        <f t="shared" si="47"/>
        <v>73.674999999999997</v>
      </c>
      <c r="D157">
        <f t="shared" si="48"/>
        <v>62.050999999999995</v>
      </c>
      <c r="E157">
        <v>72</v>
      </c>
      <c r="F157">
        <f t="shared" si="58"/>
        <v>48</v>
      </c>
      <c r="G157">
        <f t="shared" si="54"/>
        <v>44.24</v>
      </c>
      <c r="H157">
        <v>2</v>
      </c>
      <c r="I157" t="s">
        <v>169</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184</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484</v>
      </c>
      <c r="B158" t="s">
        <v>485</v>
      </c>
      <c r="C158">
        <f t="shared" si="47"/>
        <v>25.675000000000001</v>
      </c>
      <c r="D158">
        <f t="shared" si="48"/>
        <v>74.051000000000002</v>
      </c>
      <c r="E158">
        <v>24</v>
      </c>
      <c r="F158">
        <v>60</v>
      </c>
      <c r="G158">
        <f t="shared" si="54"/>
        <v>56.24</v>
      </c>
      <c r="H158">
        <v>2</v>
      </c>
      <c r="I158" t="s">
        <v>169</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184</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486</v>
      </c>
      <c r="B159" t="s">
        <v>487</v>
      </c>
      <c r="C159">
        <f t="shared" si="47"/>
        <v>37.674999999999997</v>
      </c>
      <c r="D159">
        <f t="shared" si="48"/>
        <v>74.051000000000002</v>
      </c>
      <c r="E159">
        <v>36</v>
      </c>
      <c r="F159">
        <v>60</v>
      </c>
      <c r="G159">
        <f t="shared" si="54"/>
        <v>56.24</v>
      </c>
      <c r="H159">
        <v>2</v>
      </c>
      <c r="I159" t="s">
        <v>169</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184</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488</v>
      </c>
      <c r="B160" t="s">
        <v>489</v>
      </c>
      <c r="C160">
        <f t="shared" si="47"/>
        <v>49.674999999999997</v>
      </c>
      <c r="D160">
        <f t="shared" si="48"/>
        <v>74.051000000000002</v>
      </c>
      <c r="E160">
        <v>48</v>
      </c>
      <c r="F160">
        <v>60</v>
      </c>
      <c r="G160">
        <f t="shared" si="54"/>
        <v>56.24</v>
      </c>
      <c r="H160">
        <v>2</v>
      </c>
      <c r="I160" t="s">
        <v>169</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184</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490</v>
      </c>
      <c r="B161" t="s">
        <v>491</v>
      </c>
      <c r="C161">
        <f t="shared" si="47"/>
        <v>73.674999999999997</v>
      </c>
      <c r="D161">
        <f t="shared" si="48"/>
        <v>74.051000000000002</v>
      </c>
      <c r="E161">
        <v>72</v>
      </c>
      <c r="F161">
        <v>60</v>
      </c>
      <c r="G161">
        <f t="shared" si="54"/>
        <v>56.24</v>
      </c>
      <c r="H161">
        <v>2</v>
      </c>
      <c r="I161" t="s">
        <v>169</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184</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492</v>
      </c>
      <c r="B162" t="s">
        <v>493</v>
      </c>
      <c r="C162">
        <f t="shared" si="47"/>
        <v>25.675000000000001</v>
      </c>
      <c r="D162">
        <f t="shared" si="48"/>
        <v>86.051000000000002</v>
      </c>
      <c r="E162">
        <v>24</v>
      </c>
      <c r="F162">
        <v>72</v>
      </c>
      <c r="G162">
        <f t="shared" si="54"/>
        <v>68.239999999999995</v>
      </c>
      <c r="H162">
        <v>2</v>
      </c>
      <c r="I162" t="s">
        <v>169</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184</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494</v>
      </c>
      <c r="B163" t="s">
        <v>495</v>
      </c>
      <c r="C163">
        <f t="shared" si="47"/>
        <v>37.674999999999997</v>
      </c>
      <c r="D163">
        <f t="shared" si="48"/>
        <v>86.051000000000002</v>
      </c>
      <c r="E163">
        <v>36</v>
      </c>
      <c r="F163">
        <v>72</v>
      </c>
      <c r="G163">
        <f t="shared" si="54"/>
        <v>68.239999999999995</v>
      </c>
      <c r="H163">
        <v>2</v>
      </c>
      <c r="I163" t="s">
        <v>169</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184</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496</v>
      </c>
      <c r="B164" t="s">
        <v>497</v>
      </c>
      <c r="C164">
        <f t="shared" si="47"/>
        <v>49.674999999999997</v>
      </c>
      <c r="D164">
        <f t="shared" si="48"/>
        <v>86.051000000000002</v>
      </c>
      <c r="E164">
        <v>48</v>
      </c>
      <c r="F164">
        <v>72</v>
      </c>
      <c r="G164">
        <f t="shared" si="54"/>
        <v>68.239999999999995</v>
      </c>
      <c r="H164">
        <v>2</v>
      </c>
      <c r="I164" t="s">
        <v>169</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184</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498</v>
      </c>
      <c r="B165" t="s">
        <v>499</v>
      </c>
      <c r="C165">
        <f t="shared" si="47"/>
        <v>73.674999999999997</v>
      </c>
      <c r="D165">
        <f t="shared" si="48"/>
        <v>86.051000000000002</v>
      </c>
      <c r="E165">
        <v>72</v>
      </c>
      <c r="F165">
        <v>72</v>
      </c>
      <c r="G165">
        <f t="shared" si="54"/>
        <v>68.239999999999995</v>
      </c>
      <c r="H165">
        <v>2</v>
      </c>
      <c r="I165" t="s">
        <v>169</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184</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500</v>
      </c>
      <c r="B166" t="s">
        <v>501</v>
      </c>
      <c r="C166">
        <f t="shared" si="47"/>
        <v>25.675000000000001</v>
      </c>
      <c r="D166">
        <f t="shared" si="48"/>
        <v>98.051000000000002</v>
      </c>
      <c r="E166">
        <v>24</v>
      </c>
      <c r="F166">
        <v>84</v>
      </c>
      <c r="G166">
        <f t="shared" si="54"/>
        <v>80.239999999999995</v>
      </c>
      <c r="H166">
        <v>2</v>
      </c>
      <c r="I166" t="s">
        <v>169</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184</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502</v>
      </c>
      <c r="B167" t="s">
        <v>503</v>
      </c>
      <c r="C167">
        <f t="shared" si="47"/>
        <v>37.674999999999997</v>
      </c>
      <c r="D167">
        <f t="shared" si="48"/>
        <v>98.051000000000002</v>
      </c>
      <c r="E167">
        <v>36</v>
      </c>
      <c r="F167">
        <v>84</v>
      </c>
      <c r="G167">
        <f t="shared" si="54"/>
        <v>80.239999999999995</v>
      </c>
      <c r="H167">
        <v>2</v>
      </c>
      <c r="I167" t="s">
        <v>169</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184</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504</v>
      </c>
      <c r="B168" t="s">
        <v>505</v>
      </c>
      <c r="C168">
        <f t="shared" si="47"/>
        <v>49.674999999999997</v>
      </c>
      <c r="D168">
        <f t="shared" si="48"/>
        <v>98.051000000000002</v>
      </c>
      <c r="E168">
        <v>48</v>
      </c>
      <c r="F168">
        <v>84</v>
      </c>
      <c r="G168">
        <f t="shared" si="54"/>
        <v>80.239999999999995</v>
      </c>
      <c r="H168">
        <v>2</v>
      </c>
      <c r="I168" t="s">
        <v>169</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184</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506</v>
      </c>
      <c r="B169" t="s">
        <v>507</v>
      </c>
      <c r="C169">
        <f t="shared" si="47"/>
        <v>73.674999999999997</v>
      </c>
      <c r="D169">
        <f t="shared" si="48"/>
        <v>98.051000000000002</v>
      </c>
      <c r="E169">
        <v>72</v>
      </c>
      <c r="F169">
        <v>84</v>
      </c>
      <c r="G169">
        <f t="shared" si="54"/>
        <v>80.239999999999995</v>
      </c>
      <c r="H169">
        <v>2</v>
      </c>
      <c r="I169" t="s">
        <v>169</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184</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508</v>
      </c>
      <c r="B170" s="1" t="s">
        <v>509</v>
      </c>
      <c r="C170" s="1">
        <f t="shared" si="47"/>
        <v>25.675000000000001</v>
      </c>
      <c r="D170" s="1">
        <f t="shared" si="48"/>
        <v>34.051000000000002</v>
      </c>
      <c r="E170" s="1">
        <v>24</v>
      </c>
      <c r="F170" s="1">
        <v>20</v>
      </c>
      <c r="G170" s="1">
        <f>F170-(1.88*2)</f>
        <v>16.240000000000002</v>
      </c>
      <c r="H170" s="1">
        <v>0</v>
      </c>
      <c r="I170" s="1" t="s">
        <v>174</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165</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510</v>
      </c>
      <c r="B171" s="1" t="s">
        <v>511</v>
      </c>
      <c r="C171" s="1">
        <f t="shared" si="47"/>
        <v>37.674999999999997</v>
      </c>
      <c r="D171" s="1">
        <f t="shared" si="48"/>
        <v>34.051000000000002</v>
      </c>
      <c r="E171" s="1">
        <v>36</v>
      </c>
      <c r="F171" s="1">
        <f>F170</f>
        <v>20</v>
      </c>
      <c r="G171" s="1">
        <f t="shared" ref="G171:G193" si="60">F171-(1.88*2)</f>
        <v>16.240000000000002</v>
      </c>
      <c r="H171" s="1">
        <v>0</v>
      </c>
      <c r="I171" s="1" t="s">
        <v>174</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165</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512</v>
      </c>
      <c r="B172" s="1" t="s">
        <v>513</v>
      </c>
      <c r="C172" s="1">
        <f t="shared" si="47"/>
        <v>49.674999999999997</v>
      </c>
      <c r="D172" s="1">
        <f t="shared" si="48"/>
        <v>34.051000000000002</v>
      </c>
      <c r="E172" s="1">
        <v>48</v>
      </c>
      <c r="F172" s="1">
        <f t="shared" ref="F172:F173" si="64">F171</f>
        <v>20</v>
      </c>
      <c r="G172" s="1">
        <f t="shared" si="60"/>
        <v>16.240000000000002</v>
      </c>
      <c r="H172" s="1">
        <v>0</v>
      </c>
      <c r="I172" s="1" t="s">
        <v>174</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165</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514</v>
      </c>
      <c r="B173" s="1" t="s">
        <v>515</v>
      </c>
      <c r="C173" s="1">
        <f t="shared" si="47"/>
        <v>73.674999999999997</v>
      </c>
      <c r="D173" s="1">
        <f t="shared" si="48"/>
        <v>34.051000000000002</v>
      </c>
      <c r="E173" s="1">
        <v>72</v>
      </c>
      <c r="F173" s="1">
        <f t="shared" si="64"/>
        <v>20</v>
      </c>
      <c r="G173" s="1">
        <f t="shared" si="60"/>
        <v>16.240000000000002</v>
      </c>
      <c r="H173" s="1">
        <v>0</v>
      </c>
      <c r="I173" s="1" t="s">
        <v>174</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165</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516</v>
      </c>
      <c r="B174" s="1" t="s">
        <v>517</v>
      </c>
      <c r="C174" s="1">
        <f t="shared" si="47"/>
        <v>25.675000000000001</v>
      </c>
      <c r="D174" s="1">
        <f t="shared" si="48"/>
        <v>50.050999999999995</v>
      </c>
      <c r="E174" s="1">
        <v>24</v>
      </c>
      <c r="F174" s="1">
        <v>36</v>
      </c>
      <c r="G174" s="1">
        <f t="shared" si="60"/>
        <v>32.24</v>
      </c>
      <c r="H174" s="1">
        <v>0</v>
      </c>
      <c r="I174" s="1" t="s">
        <v>174</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165</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518</v>
      </c>
      <c r="B175" s="1" t="s">
        <v>519</v>
      </c>
      <c r="C175" s="1">
        <f t="shared" si="47"/>
        <v>37.674999999999997</v>
      </c>
      <c r="D175" s="1">
        <f t="shared" si="48"/>
        <v>50.050999999999995</v>
      </c>
      <c r="E175" s="1">
        <v>36</v>
      </c>
      <c r="F175" s="1">
        <f>F174</f>
        <v>36</v>
      </c>
      <c r="G175" s="1">
        <f t="shared" si="60"/>
        <v>32.24</v>
      </c>
      <c r="H175" s="1">
        <v>0</v>
      </c>
      <c r="I175" s="1" t="s">
        <v>174</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165</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520</v>
      </c>
      <c r="B176" s="1" t="s">
        <v>521</v>
      </c>
      <c r="C176" s="1">
        <f t="shared" si="47"/>
        <v>49.674999999999997</v>
      </c>
      <c r="D176" s="1">
        <f t="shared" si="48"/>
        <v>50.050999999999995</v>
      </c>
      <c r="E176" s="1">
        <v>48</v>
      </c>
      <c r="F176" s="1">
        <f t="shared" ref="F176:F181" si="65">F175</f>
        <v>36</v>
      </c>
      <c r="G176" s="1">
        <f t="shared" si="60"/>
        <v>32.24</v>
      </c>
      <c r="H176" s="1">
        <v>0</v>
      </c>
      <c r="I176" s="1" t="s">
        <v>174</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165</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522</v>
      </c>
      <c r="B177" s="1" t="s">
        <v>523</v>
      </c>
      <c r="C177" s="1">
        <f t="shared" si="47"/>
        <v>73.674999999999997</v>
      </c>
      <c r="D177" s="1">
        <f t="shared" si="48"/>
        <v>50.050999999999995</v>
      </c>
      <c r="E177" s="1">
        <v>72</v>
      </c>
      <c r="F177" s="1">
        <f t="shared" si="65"/>
        <v>36</v>
      </c>
      <c r="G177" s="1">
        <f t="shared" si="60"/>
        <v>32.24</v>
      </c>
      <c r="H177" s="1">
        <v>0</v>
      </c>
      <c r="I177" s="1" t="s">
        <v>174</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165</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524</v>
      </c>
      <c r="B178" s="1" t="s">
        <v>525</v>
      </c>
      <c r="C178" s="1">
        <f t="shared" si="47"/>
        <v>25.675000000000001</v>
      </c>
      <c r="D178" s="1">
        <f t="shared" si="48"/>
        <v>62.050999999999995</v>
      </c>
      <c r="E178" s="1">
        <v>24</v>
      </c>
      <c r="F178" s="1">
        <v>48</v>
      </c>
      <c r="G178" s="1">
        <f t="shared" si="60"/>
        <v>44.24</v>
      </c>
      <c r="H178" s="1">
        <v>0</v>
      </c>
      <c r="I178" s="1" t="s">
        <v>174</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165</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526</v>
      </c>
      <c r="B179" s="1" t="s">
        <v>527</v>
      </c>
      <c r="C179" s="1">
        <f t="shared" si="47"/>
        <v>37.674999999999997</v>
      </c>
      <c r="D179" s="1">
        <f t="shared" si="48"/>
        <v>62.050999999999995</v>
      </c>
      <c r="E179" s="1">
        <v>36</v>
      </c>
      <c r="F179" s="1">
        <f t="shared" si="65"/>
        <v>48</v>
      </c>
      <c r="G179" s="1">
        <f t="shared" si="60"/>
        <v>44.24</v>
      </c>
      <c r="H179" s="1">
        <v>0</v>
      </c>
      <c r="I179" s="1" t="s">
        <v>174</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165</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528</v>
      </c>
      <c r="B180" s="1" t="s">
        <v>529</v>
      </c>
      <c r="C180" s="1">
        <f t="shared" si="47"/>
        <v>49.674999999999997</v>
      </c>
      <c r="D180" s="1">
        <f t="shared" si="48"/>
        <v>62.050999999999995</v>
      </c>
      <c r="E180" s="1">
        <v>48</v>
      </c>
      <c r="F180" s="1">
        <f t="shared" si="65"/>
        <v>48</v>
      </c>
      <c r="G180" s="1">
        <f t="shared" si="60"/>
        <v>44.24</v>
      </c>
      <c r="H180" s="1">
        <v>0</v>
      </c>
      <c r="I180" s="1" t="s">
        <v>174</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165</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530</v>
      </c>
      <c r="B181" s="1" t="s">
        <v>531</v>
      </c>
      <c r="C181" s="1">
        <f t="shared" si="47"/>
        <v>73.674999999999997</v>
      </c>
      <c r="D181" s="1">
        <f t="shared" si="48"/>
        <v>62.050999999999995</v>
      </c>
      <c r="E181" s="1">
        <v>72</v>
      </c>
      <c r="F181" s="1">
        <f t="shared" si="65"/>
        <v>48</v>
      </c>
      <c r="G181" s="1">
        <f t="shared" si="60"/>
        <v>44.24</v>
      </c>
      <c r="H181" s="1">
        <v>0</v>
      </c>
      <c r="I181" s="1" t="s">
        <v>174</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165</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532</v>
      </c>
      <c r="B182" s="1" t="s">
        <v>533</v>
      </c>
      <c r="C182" s="1">
        <f t="shared" si="47"/>
        <v>25.675000000000001</v>
      </c>
      <c r="D182" s="1">
        <f t="shared" si="48"/>
        <v>74.051000000000002</v>
      </c>
      <c r="E182" s="1">
        <v>24</v>
      </c>
      <c r="F182" s="1">
        <v>60</v>
      </c>
      <c r="G182" s="1">
        <f t="shared" si="60"/>
        <v>56.24</v>
      </c>
      <c r="H182" s="1">
        <v>0</v>
      </c>
      <c r="I182" s="1" t="s">
        <v>174</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165</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534</v>
      </c>
      <c r="B183" s="1" t="s">
        <v>535</v>
      </c>
      <c r="C183" s="1">
        <f t="shared" si="47"/>
        <v>37.674999999999997</v>
      </c>
      <c r="D183" s="1">
        <f t="shared" si="48"/>
        <v>74.051000000000002</v>
      </c>
      <c r="E183" s="1">
        <v>36</v>
      </c>
      <c r="F183" s="1">
        <v>60</v>
      </c>
      <c r="G183" s="1">
        <f t="shared" si="60"/>
        <v>56.24</v>
      </c>
      <c r="H183" s="1">
        <v>0</v>
      </c>
      <c r="I183" s="1" t="s">
        <v>174</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165</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536</v>
      </c>
      <c r="B184" s="1" t="s">
        <v>537</v>
      </c>
      <c r="C184" s="1">
        <f t="shared" si="47"/>
        <v>49.674999999999997</v>
      </c>
      <c r="D184" s="1">
        <f t="shared" si="48"/>
        <v>74.051000000000002</v>
      </c>
      <c r="E184" s="1">
        <v>48</v>
      </c>
      <c r="F184" s="1">
        <v>60</v>
      </c>
      <c r="G184" s="1">
        <f t="shared" si="60"/>
        <v>56.24</v>
      </c>
      <c r="H184" s="1">
        <v>0</v>
      </c>
      <c r="I184" s="1" t="s">
        <v>174</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165</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538</v>
      </c>
      <c r="B185" s="1" t="s">
        <v>539</v>
      </c>
      <c r="C185" s="1">
        <f t="shared" si="47"/>
        <v>73.674999999999997</v>
      </c>
      <c r="D185" s="1">
        <f t="shared" si="48"/>
        <v>74.051000000000002</v>
      </c>
      <c r="E185" s="1">
        <v>72</v>
      </c>
      <c r="F185" s="1">
        <v>60</v>
      </c>
      <c r="G185" s="1">
        <f t="shared" si="60"/>
        <v>56.24</v>
      </c>
      <c r="H185" s="1">
        <v>0</v>
      </c>
      <c r="I185" s="1" t="s">
        <v>174</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165</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540</v>
      </c>
      <c r="B186" s="1" t="s">
        <v>541</v>
      </c>
      <c r="C186" s="1">
        <f t="shared" si="47"/>
        <v>25.675000000000001</v>
      </c>
      <c r="D186" s="1">
        <f t="shared" si="48"/>
        <v>86.051000000000002</v>
      </c>
      <c r="E186" s="1">
        <v>24</v>
      </c>
      <c r="F186" s="1">
        <v>72</v>
      </c>
      <c r="G186" s="1">
        <f t="shared" si="60"/>
        <v>68.239999999999995</v>
      </c>
      <c r="H186" s="1">
        <v>0</v>
      </c>
      <c r="I186" s="1" t="s">
        <v>174</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165</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542</v>
      </c>
      <c r="B187" s="1" t="s">
        <v>543</v>
      </c>
      <c r="C187" s="1">
        <f t="shared" si="47"/>
        <v>37.674999999999997</v>
      </c>
      <c r="D187" s="1">
        <f t="shared" si="48"/>
        <v>86.051000000000002</v>
      </c>
      <c r="E187" s="1">
        <v>36</v>
      </c>
      <c r="F187" s="1">
        <v>72</v>
      </c>
      <c r="G187" s="1">
        <f t="shared" si="60"/>
        <v>68.239999999999995</v>
      </c>
      <c r="H187" s="1">
        <v>0</v>
      </c>
      <c r="I187" s="1" t="s">
        <v>174</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165</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544</v>
      </c>
      <c r="B188" s="1" t="s">
        <v>545</v>
      </c>
      <c r="C188" s="1">
        <f t="shared" si="47"/>
        <v>49.674999999999997</v>
      </c>
      <c r="D188" s="1">
        <f t="shared" si="48"/>
        <v>86.051000000000002</v>
      </c>
      <c r="E188" s="1">
        <v>48</v>
      </c>
      <c r="F188" s="1">
        <v>72</v>
      </c>
      <c r="G188" s="1">
        <f t="shared" si="60"/>
        <v>68.239999999999995</v>
      </c>
      <c r="H188" s="1">
        <v>0</v>
      </c>
      <c r="I188" s="1" t="s">
        <v>174</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165</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546</v>
      </c>
      <c r="B189" s="1" t="s">
        <v>547</v>
      </c>
      <c r="C189" s="1">
        <f t="shared" si="47"/>
        <v>73.674999999999997</v>
      </c>
      <c r="D189" s="1">
        <f t="shared" si="48"/>
        <v>86.051000000000002</v>
      </c>
      <c r="E189" s="1">
        <v>72</v>
      </c>
      <c r="F189" s="1">
        <v>72</v>
      </c>
      <c r="G189" s="1">
        <f t="shared" si="60"/>
        <v>68.239999999999995</v>
      </c>
      <c r="H189" s="1">
        <v>0</v>
      </c>
      <c r="I189" s="1" t="s">
        <v>174</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165</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548</v>
      </c>
      <c r="B190" s="1" t="s">
        <v>549</v>
      </c>
      <c r="C190" s="1">
        <f t="shared" si="47"/>
        <v>25.675000000000001</v>
      </c>
      <c r="D190" s="1">
        <f t="shared" si="48"/>
        <v>98.051000000000002</v>
      </c>
      <c r="E190" s="1">
        <v>24</v>
      </c>
      <c r="F190" s="1">
        <v>84</v>
      </c>
      <c r="G190" s="1">
        <f t="shared" si="60"/>
        <v>80.239999999999995</v>
      </c>
      <c r="H190" s="1">
        <v>0</v>
      </c>
      <c r="I190" s="1" t="s">
        <v>174</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165</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550</v>
      </c>
      <c r="B191" s="1" t="s">
        <v>551</v>
      </c>
      <c r="C191" s="1">
        <f t="shared" si="47"/>
        <v>37.674999999999997</v>
      </c>
      <c r="D191" s="1">
        <f t="shared" si="48"/>
        <v>98.051000000000002</v>
      </c>
      <c r="E191" s="1">
        <v>36</v>
      </c>
      <c r="F191" s="1">
        <v>84</v>
      </c>
      <c r="G191" s="1">
        <f t="shared" si="60"/>
        <v>80.239999999999995</v>
      </c>
      <c r="H191" s="1">
        <v>0</v>
      </c>
      <c r="I191" s="1" t="s">
        <v>174</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165</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552</v>
      </c>
      <c r="B192" s="1" t="s">
        <v>553</v>
      </c>
      <c r="C192" s="1">
        <f t="shared" si="47"/>
        <v>49.674999999999997</v>
      </c>
      <c r="D192" s="1">
        <f t="shared" si="48"/>
        <v>98.051000000000002</v>
      </c>
      <c r="E192" s="1">
        <v>48</v>
      </c>
      <c r="F192" s="1">
        <v>84</v>
      </c>
      <c r="G192" s="1">
        <f t="shared" si="60"/>
        <v>80.239999999999995</v>
      </c>
      <c r="H192" s="1">
        <v>0</v>
      </c>
      <c r="I192" s="1" t="s">
        <v>174</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165</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554</v>
      </c>
      <c r="B193" s="1" t="s">
        <v>555</v>
      </c>
      <c r="C193" s="1">
        <f t="shared" si="47"/>
        <v>73.674999999999997</v>
      </c>
      <c r="D193" s="1">
        <f t="shared" si="48"/>
        <v>98.051000000000002</v>
      </c>
      <c r="E193" s="1">
        <v>72</v>
      </c>
      <c r="F193" s="1">
        <v>84</v>
      </c>
      <c r="G193" s="1">
        <f t="shared" si="60"/>
        <v>80.239999999999995</v>
      </c>
      <c r="H193" s="1">
        <v>0</v>
      </c>
      <c r="I193" s="1" t="s">
        <v>174</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181</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556</v>
      </c>
      <c r="B194" s="1" t="s">
        <v>557</v>
      </c>
      <c r="C194" s="1">
        <f t="shared" ref="C194:C241" si="66">E194+1.675</f>
        <v>25.675000000000001</v>
      </c>
      <c r="D194" s="1">
        <f t="shared" ref="D194:D241" si="67">F194+1.675+12.376</f>
        <v>34.051000000000002</v>
      </c>
      <c r="E194" s="1">
        <v>24</v>
      </c>
      <c r="F194" s="1">
        <v>20</v>
      </c>
      <c r="G194" s="1">
        <f>F194-(1.88*2)</f>
        <v>16.240000000000002</v>
      </c>
      <c r="H194" s="1">
        <v>1</v>
      </c>
      <c r="I194" s="1" t="s">
        <v>174</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181</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558</v>
      </c>
      <c r="B195" s="1" t="s">
        <v>559</v>
      </c>
      <c r="C195" s="1">
        <f t="shared" si="66"/>
        <v>37.674999999999997</v>
      </c>
      <c r="D195" s="1">
        <f t="shared" si="67"/>
        <v>34.051000000000002</v>
      </c>
      <c r="E195" s="1">
        <v>36</v>
      </c>
      <c r="F195" s="1">
        <f>F194</f>
        <v>20</v>
      </c>
      <c r="G195" s="1">
        <f t="shared" ref="G195:G217" si="70">F195-(1.88*2)</f>
        <v>16.240000000000002</v>
      </c>
      <c r="H195" s="1">
        <v>1</v>
      </c>
      <c r="I195" s="1" t="s">
        <v>174</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181</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560</v>
      </c>
      <c r="B196" s="1" t="s">
        <v>561</v>
      </c>
      <c r="C196" s="1">
        <f t="shared" si="66"/>
        <v>49.674999999999997</v>
      </c>
      <c r="D196" s="1">
        <f t="shared" si="67"/>
        <v>34.051000000000002</v>
      </c>
      <c r="E196" s="1">
        <v>48</v>
      </c>
      <c r="F196" s="1">
        <f t="shared" ref="F196:F197" si="75">F195</f>
        <v>20</v>
      </c>
      <c r="G196" s="1">
        <f t="shared" si="70"/>
        <v>16.240000000000002</v>
      </c>
      <c r="H196" s="1">
        <v>1</v>
      </c>
      <c r="I196" s="1" t="s">
        <v>174</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181</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562</v>
      </c>
      <c r="B197" s="1" t="s">
        <v>563</v>
      </c>
      <c r="C197" s="1">
        <f t="shared" si="66"/>
        <v>73.674999999999997</v>
      </c>
      <c r="D197" s="1">
        <f t="shared" si="67"/>
        <v>34.051000000000002</v>
      </c>
      <c r="E197" s="1">
        <v>72</v>
      </c>
      <c r="F197" s="1">
        <f t="shared" si="75"/>
        <v>20</v>
      </c>
      <c r="G197" s="1">
        <f t="shared" si="70"/>
        <v>16.240000000000002</v>
      </c>
      <c r="H197" s="1">
        <v>1</v>
      </c>
      <c r="I197" s="1" t="s">
        <v>174</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181</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564</v>
      </c>
      <c r="B198" s="1" t="s">
        <v>565</v>
      </c>
      <c r="C198" s="1">
        <f t="shared" si="66"/>
        <v>25.675000000000001</v>
      </c>
      <c r="D198" s="1">
        <f t="shared" si="67"/>
        <v>50.050999999999995</v>
      </c>
      <c r="E198" s="1">
        <v>24</v>
      </c>
      <c r="F198" s="1">
        <v>36</v>
      </c>
      <c r="G198" s="1">
        <f t="shared" si="70"/>
        <v>32.24</v>
      </c>
      <c r="H198" s="1">
        <v>1</v>
      </c>
      <c r="I198" s="1" t="s">
        <v>174</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181</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566</v>
      </c>
      <c r="B199" s="1" t="s">
        <v>567</v>
      </c>
      <c r="C199" s="1">
        <f t="shared" si="66"/>
        <v>37.674999999999997</v>
      </c>
      <c r="D199" s="1">
        <f t="shared" si="67"/>
        <v>50.050999999999995</v>
      </c>
      <c r="E199" s="1">
        <v>36</v>
      </c>
      <c r="F199" s="1">
        <f>F198</f>
        <v>36</v>
      </c>
      <c r="G199" s="1">
        <f t="shared" si="70"/>
        <v>32.24</v>
      </c>
      <c r="H199" s="1">
        <v>1</v>
      </c>
      <c r="I199" s="1" t="s">
        <v>174</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181</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568</v>
      </c>
      <c r="B200" s="1" t="s">
        <v>569</v>
      </c>
      <c r="C200" s="1">
        <f t="shared" si="66"/>
        <v>49.674999999999997</v>
      </c>
      <c r="D200" s="1">
        <f t="shared" si="67"/>
        <v>50.050999999999995</v>
      </c>
      <c r="E200" s="1">
        <v>48</v>
      </c>
      <c r="F200" s="1">
        <f t="shared" ref="F200:F205" si="77">F199</f>
        <v>36</v>
      </c>
      <c r="G200" s="1">
        <f t="shared" si="70"/>
        <v>32.24</v>
      </c>
      <c r="H200" s="1">
        <v>1</v>
      </c>
      <c r="I200" s="1" t="s">
        <v>174</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181</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570</v>
      </c>
      <c r="B201" s="1" t="s">
        <v>571</v>
      </c>
      <c r="C201" s="1">
        <f t="shared" si="66"/>
        <v>73.674999999999997</v>
      </c>
      <c r="D201" s="1">
        <f t="shared" si="67"/>
        <v>50.050999999999995</v>
      </c>
      <c r="E201" s="1">
        <v>72</v>
      </c>
      <c r="F201" s="1">
        <f t="shared" si="77"/>
        <v>36</v>
      </c>
      <c r="G201" s="1">
        <f t="shared" si="70"/>
        <v>32.24</v>
      </c>
      <c r="H201" s="1">
        <v>1</v>
      </c>
      <c r="I201" s="1" t="s">
        <v>174</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181</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572</v>
      </c>
      <c r="B202" s="1" t="s">
        <v>573</v>
      </c>
      <c r="C202" s="1">
        <f t="shared" si="66"/>
        <v>25.675000000000001</v>
      </c>
      <c r="D202" s="1">
        <f t="shared" si="67"/>
        <v>62.050999999999995</v>
      </c>
      <c r="E202" s="1">
        <v>24</v>
      </c>
      <c r="F202" s="1">
        <v>48</v>
      </c>
      <c r="G202" s="1">
        <f t="shared" si="70"/>
        <v>44.24</v>
      </c>
      <c r="H202" s="1">
        <v>1</v>
      </c>
      <c r="I202" s="1" t="s">
        <v>174</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181</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574</v>
      </c>
      <c r="B203" s="1" t="s">
        <v>575</v>
      </c>
      <c r="C203" s="1">
        <f t="shared" si="66"/>
        <v>37.674999999999997</v>
      </c>
      <c r="D203" s="1">
        <f t="shared" si="67"/>
        <v>62.050999999999995</v>
      </c>
      <c r="E203" s="1">
        <v>36</v>
      </c>
      <c r="F203" s="1">
        <f t="shared" si="77"/>
        <v>48</v>
      </c>
      <c r="G203" s="1">
        <f t="shared" si="70"/>
        <v>44.24</v>
      </c>
      <c r="H203" s="1">
        <v>1</v>
      </c>
      <c r="I203" s="1" t="s">
        <v>174</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181</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576</v>
      </c>
      <c r="B204" s="1" t="s">
        <v>577</v>
      </c>
      <c r="C204" s="1">
        <f t="shared" si="66"/>
        <v>49.674999999999997</v>
      </c>
      <c r="D204" s="1">
        <f t="shared" si="67"/>
        <v>62.050999999999995</v>
      </c>
      <c r="E204" s="1">
        <v>48</v>
      </c>
      <c r="F204" s="1">
        <f t="shared" si="77"/>
        <v>48</v>
      </c>
      <c r="G204" s="1">
        <f t="shared" si="70"/>
        <v>44.24</v>
      </c>
      <c r="H204" s="1">
        <v>1</v>
      </c>
      <c r="I204" s="1" t="s">
        <v>174</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181</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578</v>
      </c>
      <c r="B205" s="1" t="s">
        <v>579</v>
      </c>
      <c r="C205" s="1">
        <f t="shared" si="66"/>
        <v>73.674999999999997</v>
      </c>
      <c r="D205" s="1">
        <f t="shared" si="67"/>
        <v>62.050999999999995</v>
      </c>
      <c r="E205" s="1">
        <v>72</v>
      </c>
      <c r="F205" s="1">
        <f t="shared" si="77"/>
        <v>48</v>
      </c>
      <c r="G205" s="1">
        <f t="shared" si="70"/>
        <v>44.24</v>
      </c>
      <c r="H205" s="1">
        <v>1</v>
      </c>
      <c r="I205" s="1" t="s">
        <v>174</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181</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580</v>
      </c>
      <c r="B206" s="1" t="s">
        <v>581</v>
      </c>
      <c r="C206" s="1">
        <f t="shared" si="66"/>
        <v>25.675000000000001</v>
      </c>
      <c r="D206" s="1">
        <f t="shared" si="67"/>
        <v>74.051000000000002</v>
      </c>
      <c r="E206" s="1">
        <v>24</v>
      </c>
      <c r="F206" s="1">
        <v>60</v>
      </c>
      <c r="G206" s="1">
        <f t="shared" si="70"/>
        <v>56.24</v>
      </c>
      <c r="H206" s="1">
        <v>1</v>
      </c>
      <c r="I206" s="1" t="s">
        <v>174</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181</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582</v>
      </c>
      <c r="B207" s="1" t="s">
        <v>583</v>
      </c>
      <c r="C207" s="1">
        <f t="shared" si="66"/>
        <v>37.674999999999997</v>
      </c>
      <c r="D207" s="1">
        <f t="shared" si="67"/>
        <v>74.051000000000002</v>
      </c>
      <c r="E207" s="1">
        <v>36</v>
      </c>
      <c r="F207" s="1">
        <v>60</v>
      </c>
      <c r="G207" s="1">
        <f t="shared" si="70"/>
        <v>56.24</v>
      </c>
      <c r="H207" s="1">
        <v>1</v>
      </c>
      <c r="I207" s="1" t="s">
        <v>174</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181</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584</v>
      </c>
      <c r="B208" s="1" t="s">
        <v>585</v>
      </c>
      <c r="C208" s="1">
        <f t="shared" si="66"/>
        <v>49.674999999999997</v>
      </c>
      <c r="D208" s="1">
        <f t="shared" si="67"/>
        <v>74.051000000000002</v>
      </c>
      <c r="E208" s="1">
        <v>48</v>
      </c>
      <c r="F208" s="1">
        <v>60</v>
      </c>
      <c r="G208" s="1">
        <f t="shared" si="70"/>
        <v>56.24</v>
      </c>
      <c r="H208" s="1">
        <v>1</v>
      </c>
      <c r="I208" s="1" t="s">
        <v>174</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181</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586</v>
      </c>
      <c r="B209" s="1" t="s">
        <v>587</v>
      </c>
      <c r="C209" s="1">
        <f t="shared" si="66"/>
        <v>73.674999999999997</v>
      </c>
      <c r="D209" s="1">
        <f t="shared" si="67"/>
        <v>74.051000000000002</v>
      </c>
      <c r="E209" s="1">
        <v>72</v>
      </c>
      <c r="F209" s="1">
        <v>60</v>
      </c>
      <c r="G209" s="1">
        <f t="shared" si="70"/>
        <v>56.24</v>
      </c>
      <c r="H209" s="1">
        <v>1</v>
      </c>
      <c r="I209" s="1" t="s">
        <v>174</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181</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588</v>
      </c>
      <c r="B210" s="1" t="s">
        <v>589</v>
      </c>
      <c r="C210" s="1">
        <f t="shared" si="66"/>
        <v>25.675000000000001</v>
      </c>
      <c r="D210" s="1">
        <f t="shared" si="67"/>
        <v>86.051000000000002</v>
      </c>
      <c r="E210" s="1">
        <v>24</v>
      </c>
      <c r="F210" s="1">
        <v>72</v>
      </c>
      <c r="G210" s="1">
        <f t="shared" si="70"/>
        <v>68.239999999999995</v>
      </c>
      <c r="H210" s="1">
        <v>1</v>
      </c>
      <c r="I210" s="1" t="s">
        <v>174</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181</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590</v>
      </c>
      <c r="B211" s="1" t="s">
        <v>591</v>
      </c>
      <c r="C211" s="1">
        <f t="shared" si="66"/>
        <v>37.674999999999997</v>
      </c>
      <c r="D211" s="1">
        <f t="shared" si="67"/>
        <v>86.051000000000002</v>
      </c>
      <c r="E211" s="1">
        <v>36</v>
      </c>
      <c r="F211" s="1">
        <v>72</v>
      </c>
      <c r="G211" s="1">
        <f t="shared" si="70"/>
        <v>68.239999999999995</v>
      </c>
      <c r="H211" s="1">
        <v>1</v>
      </c>
      <c r="I211" s="1" t="s">
        <v>174</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181</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592</v>
      </c>
      <c r="B212" s="1" t="s">
        <v>593</v>
      </c>
      <c r="C212" s="1">
        <f t="shared" si="66"/>
        <v>49.674999999999997</v>
      </c>
      <c r="D212" s="1">
        <f t="shared" si="67"/>
        <v>86.051000000000002</v>
      </c>
      <c r="E212" s="1">
        <v>48</v>
      </c>
      <c r="F212" s="1">
        <v>72</v>
      </c>
      <c r="G212" s="1">
        <f t="shared" si="70"/>
        <v>68.239999999999995</v>
      </c>
      <c r="H212" s="1">
        <v>1</v>
      </c>
      <c r="I212" s="1" t="s">
        <v>174</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181</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594</v>
      </c>
      <c r="B213" s="1" t="s">
        <v>595</v>
      </c>
      <c r="C213" s="1">
        <f t="shared" si="66"/>
        <v>73.674999999999997</v>
      </c>
      <c r="D213" s="1">
        <f t="shared" si="67"/>
        <v>86.051000000000002</v>
      </c>
      <c r="E213" s="1">
        <v>72</v>
      </c>
      <c r="F213" s="1">
        <v>72</v>
      </c>
      <c r="G213" s="1">
        <f t="shared" si="70"/>
        <v>68.239999999999995</v>
      </c>
      <c r="H213" s="1">
        <v>1</v>
      </c>
      <c r="I213" s="1" t="s">
        <v>174</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181</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596</v>
      </c>
      <c r="B214" s="1" t="s">
        <v>597</v>
      </c>
      <c r="C214" s="1">
        <f t="shared" si="66"/>
        <v>25.675000000000001</v>
      </c>
      <c r="D214" s="1">
        <f t="shared" si="67"/>
        <v>98.051000000000002</v>
      </c>
      <c r="E214" s="1">
        <v>24</v>
      </c>
      <c r="F214" s="1">
        <v>84</v>
      </c>
      <c r="G214" s="1">
        <f t="shared" si="70"/>
        <v>80.239999999999995</v>
      </c>
      <c r="H214" s="1">
        <v>1</v>
      </c>
      <c r="I214" s="1" t="s">
        <v>174</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181</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598</v>
      </c>
      <c r="B215" s="1" t="s">
        <v>599</v>
      </c>
      <c r="C215" s="1">
        <f t="shared" si="66"/>
        <v>37.674999999999997</v>
      </c>
      <c r="D215" s="1">
        <f t="shared" si="67"/>
        <v>98.051000000000002</v>
      </c>
      <c r="E215" s="1">
        <v>36</v>
      </c>
      <c r="F215" s="1">
        <v>84</v>
      </c>
      <c r="G215" s="1">
        <f t="shared" si="70"/>
        <v>80.239999999999995</v>
      </c>
      <c r="H215" s="1">
        <v>1</v>
      </c>
      <c r="I215" s="1" t="s">
        <v>174</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181</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600</v>
      </c>
      <c r="B216" s="1" t="s">
        <v>601</v>
      </c>
      <c r="C216" s="1">
        <f t="shared" si="66"/>
        <v>49.674999999999997</v>
      </c>
      <c r="D216" s="1">
        <f t="shared" si="67"/>
        <v>98.051000000000002</v>
      </c>
      <c r="E216" s="1">
        <v>48</v>
      </c>
      <c r="F216" s="1">
        <v>84</v>
      </c>
      <c r="G216" s="1">
        <f t="shared" si="70"/>
        <v>80.239999999999995</v>
      </c>
      <c r="H216" s="1">
        <v>1</v>
      </c>
      <c r="I216" s="1" t="s">
        <v>174</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181</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602</v>
      </c>
      <c r="B217" s="1" t="s">
        <v>603</v>
      </c>
      <c r="C217" s="1">
        <f t="shared" si="66"/>
        <v>73.674999999999997</v>
      </c>
      <c r="D217" s="1">
        <f t="shared" si="67"/>
        <v>98.051000000000002</v>
      </c>
      <c r="E217" s="1">
        <v>72</v>
      </c>
      <c r="F217" s="1">
        <v>84</v>
      </c>
      <c r="G217" s="1">
        <f t="shared" si="70"/>
        <v>80.239999999999995</v>
      </c>
      <c r="H217" s="1">
        <v>1</v>
      </c>
      <c r="I217" s="1" t="s">
        <v>174</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181</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604</v>
      </c>
      <c r="B218" s="1" t="s">
        <v>605</v>
      </c>
      <c r="C218" s="1">
        <f t="shared" si="66"/>
        <v>25.675000000000001</v>
      </c>
      <c r="D218" s="1">
        <f t="shared" si="67"/>
        <v>34.051000000000002</v>
      </c>
      <c r="E218" s="1">
        <v>24</v>
      </c>
      <c r="F218" s="1">
        <v>20</v>
      </c>
      <c r="G218" s="1">
        <f>F218-(1.88*2)</f>
        <v>16.240000000000002</v>
      </c>
      <c r="H218" s="1">
        <v>2</v>
      </c>
      <c r="I218" s="1" t="s">
        <v>174</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184</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606</v>
      </c>
      <c r="B219" s="1" t="s">
        <v>607</v>
      </c>
      <c r="C219" s="1">
        <f t="shared" si="66"/>
        <v>37.674999999999997</v>
      </c>
      <c r="D219" s="1">
        <f t="shared" si="67"/>
        <v>34.051000000000002</v>
      </c>
      <c r="E219" s="1">
        <v>36</v>
      </c>
      <c r="F219" s="1">
        <f>F218</f>
        <v>20</v>
      </c>
      <c r="G219" s="1">
        <f t="shared" ref="G219:G241" si="78">F219-(1.88*2)</f>
        <v>16.240000000000002</v>
      </c>
      <c r="H219" s="1">
        <v>2</v>
      </c>
      <c r="I219" s="1" t="s">
        <v>174</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184</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608</v>
      </c>
      <c r="B220" s="1" t="s">
        <v>609</v>
      </c>
      <c r="C220" s="1">
        <f t="shared" si="66"/>
        <v>49.674999999999997</v>
      </c>
      <c r="D220" s="1">
        <f t="shared" si="67"/>
        <v>34.051000000000002</v>
      </c>
      <c r="E220" s="1">
        <v>48</v>
      </c>
      <c r="F220" s="1">
        <f t="shared" ref="F220:F221" si="81">F219</f>
        <v>20</v>
      </c>
      <c r="G220" s="1">
        <f t="shared" si="78"/>
        <v>16.240000000000002</v>
      </c>
      <c r="H220" s="1">
        <v>2</v>
      </c>
      <c r="I220" s="1" t="s">
        <v>174</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184</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610</v>
      </c>
      <c r="B221" s="1" t="s">
        <v>611</v>
      </c>
      <c r="C221" s="1">
        <f t="shared" si="66"/>
        <v>73.674999999999997</v>
      </c>
      <c r="D221" s="1">
        <f t="shared" si="67"/>
        <v>34.051000000000002</v>
      </c>
      <c r="E221" s="1">
        <v>72</v>
      </c>
      <c r="F221" s="1">
        <f t="shared" si="81"/>
        <v>20</v>
      </c>
      <c r="G221" s="1">
        <f t="shared" si="78"/>
        <v>16.240000000000002</v>
      </c>
      <c r="H221" s="1">
        <v>2</v>
      </c>
      <c r="I221" s="1" t="s">
        <v>174</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184</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612</v>
      </c>
      <c r="B222" s="1" t="s">
        <v>613</v>
      </c>
      <c r="C222" s="1">
        <f t="shared" si="66"/>
        <v>25.675000000000001</v>
      </c>
      <c r="D222" s="1">
        <f t="shared" si="67"/>
        <v>50.050999999999995</v>
      </c>
      <c r="E222" s="1">
        <v>24</v>
      </c>
      <c r="F222" s="1">
        <v>36</v>
      </c>
      <c r="G222" s="1">
        <f t="shared" si="78"/>
        <v>32.24</v>
      </c>
      <c r="H222" s="1">
        <v>2</v>
      </c>
      <c r="I222" s="1" t="s">
        <v>174</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184</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614</v>
      </c>
      <c r="B223" s="1" t="s">
        <v>615</v>
      </c>
      <c r="C223" s="1">
        <f t="shared" si="66"/>
        <v>37.674999999999997</v>
      </c>
      <c r="D223" s="1">
        <f t="shared" si="67"/>
        <v>50.050999999999995</v>
      </c>
      <c r="E223" s="1">
        <v>36</v>
      </c>
      <c r="F223" s="1">
        <f>F222</f>
        <v>36</v>
      </c>
      <c r="G223" s="1">
        <f t="shared" si="78"/>
        <v>32.24</v>
      </c>
      <c r="H223" s="1">
        <v>2</v>
      </c>
      <c r="I223" s="1" t="s">
        <v>174</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184</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616</v>
      </c>
      <c r="B224" s="1" t="s">
        <v>617</v>
      </c>
      <c r="C224" s="1">
        <f t="shared" si="66"/>
        <v>49.674999999999997</v>
      </c>
      <c r="D224" s="1">
        <f t="shared" si="67"/>
        <v>50.050999999999995</v>
      </c>
      <c r="E224" s="1">
        <v>48</v>
      </c>
      <c r="F224" s="1">
        <f t="shared" ref="F224:F229" si="82">F223</f>
        <v>36</v>
      </c>
      <c r="G224" s="1">
        <f t="shared" si="78"/>
        <v>32.24</v>
      </c>
      <c r="H224" s="1">
        <v>2</v>
      </c>
      <c r="I224" s="1" t="s">
        <v>174</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184</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618</v>
      </c>
      <c r="B225" s="1" t="s">
        <v>619</v>
      </c>
      <c r="C225" s="1">
        <f t="shared" si="66"/>
        <v>73.674999999999997</v>
      </c>
      <c r="D225" s="1">
        <f t="shared" si="67"/>
        <v>50.050999999999995</v>
      </c>
      <c r="E225" s="1">
        <v>72</v>
      </c>
      <c r="F225" s="1">
        <f t="shared" si="82"/>
        <v>36</v>
      </c>
      <c r="G225" s="1">
        <f t="shared" si="78"/>
        <v>32.24</v>
      </c>
      <c r="H225" s="1">
        <v>2</v>
      </c>
      <c r="I225" s="1" t="s">
        <v>174</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184</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620</v>
      </c>
      <c r="B226" s="1" t="s">
        <v>621</v>
      </c>
      <c r="C226" s="1">
        <f t="shared" si="66"/>
        <v>25.675000000000001</v>
      </c>
      <c r="D226" s="1">
        <f t="shared" si="67"/>
        <v>62.050999999999995</v>
      </c>
      <c r="E226" s="1">
        <v>24</v>
      </c>
      <c r="F226" s="1">
        <v>48</v>
      </c>
      <c r="G226" s="1">
        <f t="shared" si="78"/>
        <v>44.24</v>
      </c>
      <c r="H226" s="1">
        <v>2</v>
      </c>
      <c r="I226" s="1" t="s">
        <v>174</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184</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622</v>
      </c>
      <c r="B227" s="1" t="s">
        <v>623</v>
      </c>
      <c r="C227" s="1">
        <f t="shared" si="66"/>
        <v>37.674999999999997</v>
      </c>
      <c r="D227" s="1">
        <f t="shared" si="67"/>
        <v>62.050999999999995</v>
      </c>
      <c r="E227" s="1">
        <v>36</v>
      </c>
      <c r="F227" s="1">
        <f t="shared" si="82"/>
        <v>48</v>
      </c>
      <c r="G227" s="1">
        <f t="shared" si="78"/>
        <v>44.24</v>
      </c>
      <c r="H227" s="1">
        <v>2</v>
      </c>
      <c r="I227" s="1" t="s">
        <v>174</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184</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624</v>
      </c>
      <c r="B228" s="1" t="s">
        <v>625</v>
      </c>
      <c r="C228" s="1">
        <f t="shared" si="66"/>
        <v>49.674999999999997</v>
      </c>
      <c r="D228" s="1">
        <f t="shared" si="67"/>
        <v>62.050999999999995</v>
      </c>
      <c r="E228" s="1">
        <v>48</v>
      </c>
      <c r="F228" s="1">
        <f t="shared" si="82"/>
        <v>48</v>
      </c>
      <c r="G228" s="1">
        <f t="shared" si="78"/>
        <v>44.24</v>
      </c>
      <c r="H228" s="1">
        <v>2</v>
      </c>
      <c r="I228" s="1" t="s">
        <v>174</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184</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626</v>
      </c>
      <c r="B229" s="1" t="s">
        <v>627</v>
      </c>
      <c r="C229" s="1">
        <f t="shared" si="66"/>
        <v>73.674999999999997</v>
      </c>
      <c r="D229" s="1">
        <f t="shared" si="67"/>
        <v>62.050999999999995</v>
      </c>
      <c r="E229" s="1">
        <v>72</v>
      </c>
      <c r="F229" s="1">
        <f t="shared" si="82"/>
        <v>48</v>
      </c>
      <c r="G229" s="1">
        <f t="shared" si="78"/>
        <v>44.24</v>
      </c>
      <c r="H229" s="1">
        <v>2</v>
      </c>
      <c r="I229" s="1" t="s">
        <v>174</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184</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628</v>
      </c>
      <c r="B230" s="1" t="s">
        <v>629</v>
      </c>
      <c r="C230" s="1">
        <f t="shared" si="66"/>
        <v>25.675000000000001</v>
      </c>
      <c r="D230" s="1">
        <f t="shared" si="67"/>
        <v>74.051000000000002</v>
      </c>
      <c r="E230" s="1">
        <v>24</v>
      </c>
      <c r="F230" s="1">
        <v>60</v>
      </c>
      <c r="G230" s="1">
        <f t="shared" si="78"/>
        <v>56.24</v>
      </c>
      <c r="H230" s="1">
        <v>2</v>
      </c>
      <c r="I230" s="1" t="s">
        <v>174</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184</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630</v>
      </c>
      <c r="B231" s="1" t="s">
        <v>631</v>
      </c>
      <c r="C231" s="1">
        <f t="shared" si="66"/>
        <v>37.674999999999997</v>
      </c>
      <c r="D231" s="1">
        <f t="shared" si="67"/>
        <v>74.051000000000002</v>
      </c>
      <c r="E231" s="1">
        <v>36</v>
      </c>
      <c r="F231" s="1">
        <v>60</v>
      </c>
      <c r="G231" s="1">
        <f t="shared" si="78"/>
        <v>56.24</v>
      </c>
      <c r="H231" s="1">
        <v>2</v>
      </c>
      <c r="I231" s="1" t="s">
        <v>174</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184</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632</v>
      </c>
      <c r="B232" s="1" t="s">
        <v>633</v>
      </c>
      <c r="C232" s="1">
        <f t="shared" si="66"/>
        <v>49.674999999999997</v>
      </c>
      <c r="D232" s="1">
        <f t="shared" si="67"/>
        <v>74.051000000000002</v>
      </c>
      <c r="E232" s="1">
        <v>48</v>
      </c>
      <c r="F232" s="1">
        <v>60</v>
      </c>
      <c r="G232" s="1">
        <f t="shared" si="78"/>
        <v>56.24</v>
      </c>
      <c r="H232" s="1">
        <v>2</v>
      </c>
      <c r="I232" s="1" t="s">
        <v>174</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184</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634</v>
      </c>
      <c r="B233" s="1" t="s">
        <v>635</v>
      </c>
      <c r="C233" s="1">
        <f t="shared" si="66"/>
        <v>73.674999999999997</v>
      </c>
      <c r="D233" s="1">
        <f t="shared" si="67"/>
        <v>74.051000000000002</v>
      </c>
      <c r="E233" s="1">
        <v>72</v>
      </c>
      <c r="F233" s="1">
        <v>60</v>
      </c>
      <c r="G233" s="1">
        <f t="shared" si="78"/>
        <v>56.24</v>
      </c>
      <c r="H233" s="1">
        <v>2</v>
      </c>
      <c r="I233" s="1" t="s">
        <v>174</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184</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636</v>
      </c>
      <c r="B234" s="1" t="s">
        <v>637</v>
      </c>
      <c r="C234" s="1">
        <f t="shared" si="66"/>
        <v>25.675000000000001</v>
      </c>
      <c r="D234" s="1">
        <f t="shared" si="67"/>
        <v>86.051000000000002</v>
      </c>
      <c r="E234" s="1">
        <v>24</v>
      </c>
      <c r="F234" s="1">
        <v>72</v>
      </c>
      <c r="G234" s="1">
        <f t="shared" si="78"/>
        <v>68.239999999999995</v>
      </c>
      <c r="H234" s="1">
        <v>2</v>
      </c>
      <c r="I234" s="1" t="s">
        <v>174</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184</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638</v>
      </c>
      <c r="B235" s="1" t="s">
        <v>639</v>
      </c>
      <c r="C235" s="1">
        <f t="shared" si="66"/>
        <v>37.674999999999997</v>
      </c>
      <c r="D235" s="1">
        <f t="shared" si="67"/>
        <v>86.051000000000002</v>
      </c>
      <c r="E235" s="1">
        <v>36</v>
      </c>
      <c r="F235" s="1">
        <v>72</v>
      </c>
      <c r="G235" s="1">
        <f t="shared" si="78"/>
        <v>68.239999999999995</v>
      </c>
      <c r="H235" s="1">
        <v>2</v>
      </c>
      <c r="I235" s="1" t="s">
        <v>174</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184</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640</v>
      </c>
      <c r="B236" s="1" t="s">
        <v>641</v>
      </c>
      <c r="C236" s="1">
        <f t="shared" si="66"/>
        <v>49.674999999999997</v>
      </c>
      <c r="D236" s="1">
        <f t="shared" si="67"/>
        <v>86.051000000000002</v>
      </c>
      <c r="E236" s="1">
        <v>48</v>
      </c>
      <c r="F236" s="1">
        <v>72</v>
      </c>
      <c r="G236" s="1">
        <f t="shared" si="78"/>
        <v>68.239999999999995</v>
      </c>
      <c r="H236" s="1">
        <v>2</v>
      </c>
      <c r="I236" s="1" t="s">
        <v>174</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184</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642</v>
      </c>
      <c r="B237" s="1" t="s">
        <v>643</v>
      </c>
      <c r="C237" s="1">
        <f t="shared" si="66"/>
        <v>73.674999999999997</v>
      </c>
      <c r="D237" s="1">
        <f t="shared" si="67"/>
        <v>86.051000000000002</v>
      </c>
      <c r="E237" s="1">
        <v>72</v>
      </c>
      <c r="F237" s="1">
        <v>72</v>
      </c>
      <c r="G237" s="1">
        <f t="shared" si="78"/>
        <v>68.239999999999995</v>
      </c>
      <c r="H237" s="1">
        <v>2</v>
      </c>
      <c r="I237" s="1" t="s">
        <v>174</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184</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644</v>
      </c>
      <c r="B238" s="1" t="s">
        <v>645</v>
      </c>
      <c r="C238" s="1">
        <f t="shared" si="66"/>
        <v>25.675000000000001</v>
      </c>
      <c r="D238" s="1">
        <f t="shared" si="67"/>
        <v>98.051000000000002</v>
      </c>
      <c r="E238" s="1">
        <v>24</v>
      </c>
      <c r="F238" s="1">
        <v>84</v>
      </c>
      <c r="G238" s="1">
        <f t="shared" si="78"/>
        <v>80.239999999999995</v>
      </c>
      <c r="H238" s="1">
        <v>2</v>
      </c>
      <c r="I238" s="1" t="s">
        <v>174</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184</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646</v>
      </c>
      <c r="B239" s="1" t="s">
        <v>647</v>
      </c>
      <c r="C239" s="1">
        <f t="shared" si="66"/>
        <v>37.674999999999997</v>
      </c>
      <c r="D239" s="1">
        <f t="shared" si="67"/>
        <v>98.051000000000002</v>
      </c>
      <c r="E239" s="1">
        <v>36</v>
      </c>
      <c r="F239" s="1">
        <v>84</v>
      </c>
      <c r="G239" s="1">
        <f t="shared" si="78"/>
        <v>80.239999999999995</v>
      </c>
      <c r="H239" s="1">
        <v>2</v>
      </c>
      <c r="I239" s="1" t="s">
        <v>174</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184</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648</v>
      </c>
      <c r="B240" s="1" t="s">
        <v>649</v>
      </c>
      <c r="C240" s="1">
        <f t="shared" si="66"/>
        <v>49.674999999999997</v>
      </c>
      <c r="D240" s="1">
        <f t="shared" si="67"/>
        <v>98.051000000000002</v>
      </c>
      <c r="E240" s="1">
        <v>48</v>
      </c>
      <c r="F240" s="1">
        <v>84</v>
      </c>
      <c r="G240" s="1">
        <f t="shared" si="78"/>
        <v>80.239999999999995</v>
      </c>
      <c r="H240" s="1">
        <v>2</v>
      </c>
      <c r="I240" s="1" t="s">
        <v>174</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184</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650</v>
      </c>
      <c r="B241" s="1" t="s">
        <v>651</v>
      </c>
      <c r="C241" s="1">
        <f t="shared" si="66"/>
        <v>73.674999999999997</v>
      </c>
      <c r="D241" s="1">
        <f t="shared" si="67"/>
        <v>98.051000000000002</v>
      </c>
      <c r="E241" s="1">
        <v>72</v>
      </c>
      <c r="F241" s="1">
        <v>84</v>
      </c>
      <c r="G241" s="1">
        <f t="shared" si="78"/>
        <v>80.239999999999995</v>
      </c>
      <c r="H241" s="1">
        <v>2</v>
      </c>
      <c r="I241" s="1" t="s">
        <v>174</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184</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3">
      <c r="Y246" s="46"/>
      <c r="Z246" s="46"/>
      <c r="AA246" s="46"/>
      <c r="AB246" s="46"/>
      <c r="AC246" s="46"/>
      <c r="AD246" s="46"/>
      <c r="AE246" s="46"/>
      <c r="AF246" s="46"/>
    </row>
    <row r="247" spans="1:32" x14ac:dyDescent="0.3">
      <c r="Y247" s="46"/>
      <c r="Z247" s="46"/>
      <c r="AA247" s="46"/>
      <c r="AB247" s="46"/>
      <c r="AC247" s="46"/>
      <c r="AD247" s="46"/>
      <c r="AE247" s="46"/>
      <c r="AF247" s="46"/>
    </row>
    <row r="248" spans="1:32" x14ac:dyDescent="0.3">
      <c r="Y248" s="46"/>
      <c r="Z248" s="46"/>
      <c r="AA248" s="46"/>
      <c r="AB248" s="46"/>
      <c r="AC248" s="46"/>
      <c r="AD248" s="46"/>
      <c r="AE248" s="46"/>
      <c r="AF248" s="46"/>
    </row>
    <row r="249" spans="1:32" x14ac:dyDescent="0.3">
      <c r="Y249" s="46"/>
      <c r="Z249" s="46"/>
      <c r="AA249" s="46"/>
      <c r="AB249" s="46"/>
      <c r="AC249" s="46"/>
      <c r="AD249" s="46"/>
      <c r="AE249" s="46"/>
      <c r="AF249" s="46"/>
    </row>
    <row r="250" spans="1:32" x14ac:dyDescent="0.3">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14"/>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98</v>
      </c>
      <c r="B1" t="s">
        <v>99</v>
      </c>
      <c r="C1" t="s">
        <v>110</v>
      </c>
      <c r="D1" t="s">
        <v>685</v>
      </c>
      <c r="E1" t="s">
        <v>686</v>
      </c>
      <c r="F1" t="s">
        <v>687</v>
      </c>
      <c r="G1" t="s">
        <v>688</v>
      </c>
      <c r="H1" t="s">
        <v>689</v>
      </c>
      <c r="I1" t="s">
        <v>690</v>
      </c>
      <c r="J1" t="s">
        <v>691</v>
      </c>
      <c r="N1" t="s">
        <v>692</v>
      </c>
      <c r="O1" t="s">
        <v>693</v>
      </c>
      <c r="Q1" t="s">
        <v>694</v>
      </c>
      <c r="R1" t="s">
        <v>693</v>
      </c>
    </row>
    <row r="2" spans="1:18" x14ac:dyDescent="0.3">
      <c r="A2" s="1" t="s">
        <v>695</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3">
      <c r="A3" s="39" t="s">
        <v>696</v>
      </c>
      <c r="B3" s="39" t="str">
        <f t="shared" ref="B3:B31" si="0">D3&amp;" inch clevis hanger on 0."&amp;E3&amp;" rod"</f>
        <v>3 inch clevis hanger on 0.500 rod</v>
      </c>
      <c r="C3" s="40" t="s">
        <v>122</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3">
      <c r="A4" s="39" t="s">
        <v>697</v>
      </c>
      <c r="B4" s="39" t="str">
        <f t="shared" si="0"/>
        <v>4 inch clevis hanger on 0.625 rod</v>
      </c>
      <c r="C4" s="40" t="s">
        <v>122</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3">
      <c r="A5" s="39" t="s">
        <v>698</v>
      </c>
      <c r="B5" s="39" t="str">
        <f t="shared" si="0"/>
        <v>5 inch clevis hanger on 0.625 rod</v>
      </c>
      <c r="C5" s="40" t="s">
        <v>122</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3">
      <c r="A6" s="39" t="s">
        <v>699</v>
      </c>
      <c r="B6" s="39" t="str">
        <f t="shared" si="0"/>
        <v>6 inch clevis hanger on 0.750 rod</v>
      </c>
      <c r="C6" s="40" t="s">
        <v>122</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3">
      <c r="A7" s="39" t="s">
        <v>700</v>
      </c>
      <c r="B7" s="39" t="str">
        <f t="shared" si="0"/>
        <v>8 inch clevis hanger on 0.875 rod</v>
      </c>
      <c r="C7" s="40" t="s">
        <v>122</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3">
      <c r="A8" s="39" t="s">
        <v>701</v>
      </c>
      <c r="B8" s="39" t="str">
        <f t="shared" si="0"/>
        <v>10 inch clevis hanger on 0.875 rod</v>
      </c>
      <c r="C8" s="40" t="s">
        <v>122</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3">
      <c r="A9" s="39" t="s">
        <v>702</v>
      </c>
      <c r="B9" s="39" t="str">
        <f t="shared" si="0"/>
        <v>12 inch clevis hanger on 0.875 rod</v>
      </c>
      <c r="C9" s="40" t="s">
        <v>122</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3">
      <c r="A10" s="1" t="s">
        <v>703</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704</v>
      </c>
    </row>
    <row r="11" spans="1:18" x14ac:dyDescent="0.3">
      <c r="A11" s="1" t="s">
        <v>705</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3">
      <c r="A12" s="1" t="s">
        <v>706</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3">
      <c r="A13" s="39" t="s">
        <v>707</v>
      </c>
      <c r="B13" s="39" t="str">
        <f t="shared" ref="B13:B21" si="3">D13&amp;" inch roller hanger on 0."&amp;E13&amp;" rod"</f>
        <v>3 inch roller hanger on 0.500 rod</v>
      </c>
      <c r="C13" s="40" t="s">
        <v>27</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3">
      <c r="A14" s="39" t="s">
        <v>708</v>
      </c>
      <c r="B14" s="39" t="str">
        <f t="shared" si="3"/>
        <v>4 inch roller hanger on 0.625 rod</v>
      </c>
      <c r="C14" s="40" t="s">
        <v>27</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3">
      <c r="A15" s="39" t="s">
        <v>709</v>
      </c>
      <c r="B15" s="39" t="str">
        <f t="shared" si="3"/>
        <v>5 inch roller hanger on 0.625 rod</v>
      </c>
      <c r="C15" s="40" t="s">
        <v>27</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3">
      <c r="A16" s="39" t="s">
        <v>710</v>
      </c>
      <c r="B16" s="39" t="str">
        <f t="shared" si="3"/>
        <v>6 inch roller hanger on 0.750 rod</v>
      </c>
      <c r="C16" s="40" t="s">
        <v>27</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3">
      <c r="A17" s="39" t="s">
        <v>711</v>
      </c>
      <c r="B17" s="39" t="str">
        <f t="shared" si="3"/>
        <v>8 inch roller hanger on 0.875 rod</v>
      </c>
      <c r="C17" s="40" t="s">
        <v>27</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3">
      <c r="A18" s="39" t="s">
        <v>712</v>
      </c>
      <c r="B18" s="39" t="str">
        <f t="shared" si="3"/>
        <v>10 inch roller hanger on 0.875 rod</v>
      </c>
      <c r="C18" s="40" t="s">
        <v>27</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3">
      <c r="A19" s="39" t="s">
        <v>713</v>
      </c>
      <c r="B19" s="39" t="str">
        <f t="shared" si="3"/>
        <v>12 inch roller hanger on 0.875 rod</v>
      </c>
      <c r="C19" s="40" t="s">
        <v>27</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3">
      <c r="A20" s="1" t="s">
        <v>714</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3">
      <c r="A21" s="1" t="s">
        <v>715</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3">
      <c r="A22" s="1" t="s">
        <v>716</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3">
      <c r="A23" s="1" t="s">
        <v>717</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3">
      <c r="A24" s="1" t="s">
        <v>718</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3">
      <c r="A25" s="1" t="s">
        <v>719</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3">
      <c r="A26" s="1" t="s">
        <v>720</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3">
      <c r="A27" s="1" t="s">
        <v>721</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3">
      <c r="A28" s="1" t="s">
        <v>722</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3">
      <c r="A29" s="1" t="s">
        <v>723</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3">
      <c r="A30" s="1" t="s">
        <v>724</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3">
      <c r="A31" s="1" t="s">
        <v>725</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3">
      <c r="A32" s="1" t="s">
        <v>726</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3">
      <c r="A33" s="1" t="s">
        <v>727</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3">
      <c r="A34" s="1" t="s">
        <v>728</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3">
      <c r="A35" s="1" t="s">
        <v>729</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3">
      <c r="A36" s="1" t="s">
        <v>730</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3">
      <c r="A37" s="1" t="s">
        <v>731</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3">
      <c r="A38" s="1" t="s">
        <v>732</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3">
      <c r="A39" s="1" t="s">
        <v>733</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3">
      <c r="A40" s="1" t="s">
        <v>734</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3">
      <c r="A41" s="1" t="s">
        <v>735</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3">
      <c r="A43" t="s">
        <v>736</v>
      </c>
      <c r="L43" t="s">
        <v>737</v>
      </c>
    </row>
    <row r="44" spans="1:12" x14ac:dyDescent="0.3">
      <c r="A44" t="str" cm="1">
        <f t="array" ref="A44">IF(Inputs!C11="","",_xlfn._xlws.FILTER(Hanger_list[],(Hanger_list[Hanger type]=Calculations!#REF!)*(Hanger_list[Hanger size (in)]=Calculations!#REF!),""))</f>
        <v/>
      </c>
      <c r="L44" t="str" cm="1">
        <f t="array" ref="L44">IF(Inputs!D11="","",_xlfn._xlws.FILTER(Hanger_list[],(Hanger_list[Hanger type]=Calculations!#REF!)*(Hanger_list[Hanger size (in)]=Calculations!#REF!),""))</f>
        <v/>
      </c>
    </row>
  </sheetData>
  <phoneticPr fontId="2" type="noConversion"/>
  <pageMargins left="0.7" right="0.7" top="0.75" bottom="0.75" header="0.3" footer="0.3"/>
  <tableParts count="3">
    <tablePart r:id="rId1"/>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15"/>
  <dimension ref="A1:E26"/>
  <sheetViews>
    <sheetView workbookViewId="0">
      <selection activeCell="B11" sqref="B11"/>
    </sheetView>
  </sheetViews>
  <sheetFormatPr defaultRowHeight="14.4" x14ac:dyDescent="0.3"/>
  <cols>
    <col min="2" max="2" width="13.88671875" customWidth="1"/>
    <col min="3" max="3" width="15.5546875" customWidth="1"/>
    <col min="4" max="4" width="22.88671875" customWidth="1"/>
    <col min="5" max="5" width="23.44140625" customWidth="1"/>
  </cols>
  <sheetData>
    <row r="1" spans="1:5" x14ac:dyDescent="0.3">
      <c r="A1" t="s">
        <v>785</v>
      </c>
      <c r="B1" t="s">
        <v>786</v>
      </c>
      <c r="C1" t="s">
        <v>787</v>
      </c>
      <c r="D1" t="s">
        <v>788</v>
      </c>
      <c r="E1" t="s">
        <v>789</v>
      </c>
    </row>
    <row r="2" spans="1:5" x14ac:dyDescent="0.3">
      <c r="A2">
        <v>8</v>
      </c>
      <c r="B2">
        <v>0.1681</v>
      </c>
      <c r="C2">
        <v>4.2699999999999996</v>
      </c>
      <c r="D2">
        <v>6.8579999999999997</v>
      </c>
      <c r="E2">
        <v>33.481999999999999</v>
      </c>
    </row>
    <row r="3" spans="1:5" x14ac:dyDescent="0.3">
      <c r="A3">
        <v>9</v>
      </c>
      <c r="B3">
        <v>0.1532</v>
      </c>
      <c r="C3">
        <v>3.891</v>
      </c>
      <c r="D3">
        <v>6.25</v>
      </c>
      <c r="E3">
        <v>30.513999999999999</v>
      </c>
    </row>
    <row r="4" spans="1:5" x14ac:dyDescent="0.3">
      <c r="A4">
        <v>10</v>
      </c>
      <c r="B4">
        <v>0.13819999999999999</v>
      </c>
      <c r="C4">
        <v>3.51</v>
      </c>
      <c r="D4">
        <v>5.6379999999999999</v>
      </c>
      <c r="E4">
        <v>27.527000000000001</v>
      </c>
    </row>
    <row r="5" spans="1:5" x14ac:dyDescent="0.3">
      <c r="A5">
        <v>11</v>
      </c>
      <c r="B5">
        <v>0.12330000000000001</v>
      </c>
      <c r="C5">
        <v>3.1320000000000001</v>
      </c>
      <c r="D5">
        <v>5.03</v>
      </c>
      <c r="E5">
        <v>24.559000000000001</v>
      </c>
    </row>
    <row r="6" spans="1:5" x14ac:dyDescent="0.3">
      <c r="A6">
        <v>12</v>
      </c>
      <c r="B6">
        <v>0.1084</v>
      </c>
      <c r="C6">
        <v>2.7530000000000001</v>
      </c>
      <c r="D6">
        <v>4.4219999999999997</v>
      </c>
      <c r="E6">
        <v>21.591000000000001</v>
      </c>
    </row>
    <row r="7" spans="1:5" x14ac:dyDescent="0.3">
      <c r="A7">
        <v>13</v>
      </c>
      <c r="B7">
        <v>9.3399999999999997E-2</v>
      </c>
      <c r="C7">
        <v>2.3719999999999999</v>
      </c>
      <c r="D7">
        <v>3.81</v>
      </c>
      <c r="E7">
        <v>18.603000000000002</v>
      </c>
    </row>
    <row r="8" spans="1:5" x14ac:dyDescent="0.3">
      <c r="A8">
        <v>14</v>
      </c>
      <c r="B8">
        <v>7.85E-2</v>
      </c>
      <c r="C8">
        <v>1.994</v>
      </c>
      <c r="D8">
        <v>3.202</v>
      </c>
      <c r="E8">
        <v>15.635999999999999</v>
      </c>
    </row>
    <row r="9" spans="1:5" x14ac:dyDescent="0.3">
      <c r="A9">
        <v>15</v>
      </c>
      <c r="B9">
        <v>7.0999999999999994E-2</v>
      </c>
      <c r="C9">
        <v>1.8029999999999999</v>
      </c>
      <c r="D9">
        <v>2.8959999999999999</v>
      </c>
      <c r="E9">
        <v>14.141999999999999</v>
      </c>
    </row>
    <row r="10" spans="1:5" x14ac:dyDescent="0.3">
      <c r="A10">
        <v>16</v>
      </c>
      <c r="B10">
        <v>6.3500000000000001E-2</v>
      </c>
      <c r="C10">
        <v>1.613</v>
      </c>
      <c r="D10">
        <v>2.59</v>
      </c>
      <c r="E10">
        <v>12.648</v>
      </c>
    </row>
    <row r="11" spans="1:5" x14ac:dyDescent="0.3">
      <c r="A11">
        <v>17</v>
      </c>
      <c r="B11">
        <v>5.7500000000000002E-2</v>
      </c>
      <c r="C11">
        <v>1.4610000000000001</v>
      </c>
      <c r="D11">
        <v>2.3460000000000001</v>
      </c>
      <c r="E11">
        <v>11.452999999999999</v>
      </c>
    </row>
    <row r="12" spans="1:5" x14ac:dyDescent="0.3">
      <c r="A12">
        <v>18</v>
      </c>
      <c r="B12">
        <v>5.16E-2</v>
      </c>
      <c r="C12">
        <v>1.3109999999999999</v>
      </c>
      <c r="D12">
        <v>2.105</v>
      </c>
      <c r="E12">
        <v>10.278</v>
      </c>
    </row>
    <row r="13" spans="1:5" x14ac:dyDescent="0.3">
      <c r="A13">
        <v>19</v>
      </c>
      <c r="B13">
        <v>4.5600000000000002E-2</v>
      </c>
      <c r="C13">
        <v>1.1579999999999999</v>
      </c>
      <c r="D13">
        <v>1.86</v>
      </c>
      <c r="E13">
        <v>9.0830000000000002</v>
      </c>
    </row>
    <row r="14" spans="1:5" x14ac:dyDescent="0.3">
      <c r="A14">
        <v>20</v>
      </c>
      <c r="B14">
        <v>3.9600000000000003E-2</v>
      </c>
      <c r="C14">
        <v>1.006</v>
      </c>
      <c r="D14">
        <v>1.615</v>
      </c>
      <c r="E14">
        <v>7.8879999999999999</v>
      </c>
    </row>
    <row r="15" spans="1:5" x14ac:dyDescent="0.3">
      <c r="A15">
        <v>21</v>
      </c>
      <c r="B15">
        <v>3.6600000000000001E-2</v>
      </c>
      <c r="C15">
        <v>0.93</v>
      </c>
      <c r="D15">
        <v>1.4930000000000001</v>
      </c>
      <c r="E15">
        <v>7.29</v>
      </c>
    </row>
    <row r="16" spans="1:5" x14ac:dyDescent="0.3">
      <c r="A16">
        <v>22</v>
      </c>
      <c r="B16">
        <v>3.3599999999999998E-2</v>
      </c>
      <c r="C16">
        <v>0.85299999999999998</v>
      </c>
      <c r="D16">
        <v>1.371</v>
      </c>
      <c r="E16">
        <v>6.6920000000000002</v>
      </c>
    </row>
    <row r="17" spans="1:5" x14ac:dyDescent="0.3">
      <c r="A17">
        <v>23</v>
      </c>
      <c r="B17">
        <v>3.0599999999999999E-2</v>
      </c>
      <c r="C17">
        <v>0.77700000000000002</v>
      </c>
      <c r="D17">
        <v>1.248</v>
      </c>
      <c r="E17">
        <v>6.0949999999999998</v>
      </c>
    </row>
    <row r="18" spans="1:5" x14ac:dyDescent="0.3">
      <c r="A18">
        <v>24</v>
      </c>
      <c r="B18">
        <v>2.76E-2</v>
      </c>
      <c r="C18">
        <v>0.70099999999999996</v>
      </c>
      <c r="D18">
        <v>1.1259999999999999</v>
      </c>
      <c r="E18">
        <v>5.4969999999999999</v>
      </c>
    </row>
    <row r="19" spans="1:5" x14ac:dyDescent="0.3">
      <c r="A19">
        <v>25</v>
      </c>
      <c r="B19">
        <v>2.47E-2</v>
      </c>
      <c r="C19">
        <v>0.627</v>
      </c>
      <c r="D19">
        <v>1.008</v>
      </c>
      <c r="E19">
        <v>4.92</v>
      </c>
    </row>
    <row r="20" spans="1:5" x14ac:dyDescent="0.3">
      <c r="A20">
        <v>26</v>
      </c>
      <c r="B20">
        <v>2.1700000000000001E-2</v>
      </c>
      <c r="C20">
        <v>0.55100000000000005</v>
      </c>
      <c r="D20">
        <v>0.88500000000000001</v>
      </c>
      <c r="E20">
        <v>4.3220000000000001</v>
      </c>
    </row>
    <row r="21" spans="1:5" x14ac:dyDescent="0.3">
      <c r="A21">
        <v>27</v>
      </c>
      <c r="B21">
        <v>2.0199999999999999E-2</v>
      </c>
      <c r="C21">
        <v>0.51300000000000001</v>
      </c>
      <c r="D21">
        <v>0.82399999999999995</v>
      </c>
      <c r="E21">
        <v>4.0229999999999997</v>
      </c>
    </row>
    <row r="22" spans="1:5" x14ac:dyDescent="0.3">
      <c r="A22">
        <v>28</v>
      </c>
      <c r="B22">
        <v>1.8700000000000001E-2</v>
      </c>
      <c r="C22">
        <v>0.47499999999999998</v>
      </c>
      <c r="D22">
        <v>0.76300000000000001</v>
      </c>
      <c r="E22">
        <v>3.7250000000000001</v>
      </c>
    </row>
    <row r="23" spans="1:5" x14ac:dyDescent="0.3">
      <c r="A23">
        <v>29</v>
      </c>
      <c r="B23">
        <v>1.72E-2</v>
      </c>
      <c r="C23">
        <v>0.437</v>
      </c>
      <c r="D23">
        <v>0.70199999999999996</v>
      </c>
      <c r="E23">
        <v>3.4260000000000002</v>
      </c>
    </row>
    <row r="24" spans="1:5" x14ac:dyDescent="0.3">
      <c r="A24">
        <v>30</v>
      </c>
      <c r="B24">
        <v>1.5699999999999999E-2</v>
      </c>
      <c r="C24">
        <v>0.39900000000000002</v>
      </c>
      <c r="D24">
        <v>0.64</v>
      </c>
      <c r="E24">
        <v>3.1269999999999998</v>
      </c>
    </row>
    <row r="25" spans="1:5" x14ac:dyDescent="0.3">
      <c r="A25">
        <v>31</v>
      </c>
      <c r="B25">
        <v>1.4200000000000001E-2</v>
      </c>
      <c r="C25">
        <v>0.36099999999999999</v>
      </c>
      <c r="D25">
        <v>0.57899999999999996</v>
      </c>
      <c r="E25">
        <v>2.8279999999999998</v>
      </c>
    </row>
    <row r="26" spans="1:5" x14ac:dyDescent="0.3">
      <c r="A26">
        <v>32</v>
      </c>
      <c r="B26">
        <v>1.34E-2</v>
      </c>
      <c r="C26">
        <v>0.34</v>
      </c>
      <c r="D26">
        <v>0.54700000000000004</v>
      </c>
      <c r="E26">
        <v>2.669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SharedWithUser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9666DA-2F63-415F-99F7-AD3B438B9FB2}">
  <ds:schemaRefs>
    <ds:schemaRef ds:uri="http://www.w3.org/XML/1998/namespace"/>
    <ds:schemaRef ds:uri="http://schemas.microsoft.com/office/2006/documentManagement/types"/>
    <ds:schemaRef ds:uri="21230d39-7673-4100-ac72-63fcb55cb7aa"/>
    <ds:schemaRef ds:uri="http://purl.org/dc/terms/"/>
    <ds:schemaRef ds:uri="http://schemas.microsoft.com/office/infopath/2007/PartnerControls"/>
    <ds:schemaRef ds:uri="http://purl.org/dc/elements/1.1/"/>
    <ds:schemaRef ds:uri="http://schemas.openxmlformats.org/package/2006/metadata/core-properties"/>
    <ds:schemaRef ds:uri="cb3764de-d77e-46e9-b8ab-67618f655149"/>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8BD2F508-54EC-44F1-B07A-2F463A62A570}">
  <ds:schemaRefs>
    <ds:schemaRef ds:uri="http://schemas.microsoft.com/DataMashup"/>
  </ds:schemaRefs>
</ds:datastoreItem>
</file>

<file path=customXml/itemProps3.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6B6D97-2869-4D4A-939D-EFE6D8B97B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Inputs</vt:lpstr>
      <vt:lpstr>Excel Tests</vt:lpstr>
      <vt:lpstr>Website tests</vt:lpstr>
      <vt:lpstr>Testing</vt:lpstr>
      <vt:lpstr>Sheet2</vt:lpstr>
      <vt:lpstr>Calculations</vt:lpstr>
      <vt:lpstr>New Calcs for Span</vt:lpstr>
      <vt:lpstr>reference tables</vt:lpstr>
      <vt:lpstr>ConduitTable</vt:lpstr>
      <vt:lpstr>Strut loads</vt:lpstr>
      <vt:lpstr>Pictures</vt:lpstr>
      <vt:lpstr>Quoting tool</vt:lpstr>
      <vt:lpstr>Strut loadsAltered</vt:lpstr>
      <vt:lpstr>Pipe weight, hangers, spacing</vt:lpstr>
      <vt:lpstr>Pallet and shipping info</vt:lpstr>
      <vt:lpstr>H-frame item list</vt:lpstr>
      <vt:lpstr>Hanger_list</vt:lpstr>
      <vt:lpstr>Duct gauge weights</vt:lpstr>
      <vt:lpstr>'Website tests'!ExternalData_1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2024-06-03T19:27:46Z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