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DevD\ProjectA\ExcelToCSVBin\SrcFolder\"/>
    </mc:Choice>
  </mc:AlternateContent>
  <xr:revisionPtr revIDLastSave="0" documentId="13_ncr:1_{4206C30A-0FC5-4ADF-ADC6-62D5D2E08C1F}" xr6:coauthVersionLast="47" xr6:coauthVersionMax="47" xr10:uidLastSave="{00000000-0000-0000-0000-000000000000}"/>
  <bookViews>
    <workbookView xWindow="0" yWindow="1665" windowWidth="24855" windowHeight="13020" tabRatio="894" activeTab="11" xr2:uid="{00000000-000D-0000-FFFF-FFFF00000000}"/>
  </bookViews>
  <sheets>
    <sheet name="ConfigTable" sheetId="18" r:id="rId1"/>
    <sheet name="StageInfo" sheetId="26" r:id="rId2"/>
    <sheet name="Localization" sheetId="29" r:id="rId3"/>
    <sheet name="StageRewardInfo" sheetId="27" r:id="rId4"/>
    <sheet name="PushReward" sheetId="43" r:id="rId5"/>
    <sheet name="DevilSay" sheetId="44" r:id="rId6"/>
    <sheet name="WorldShipReward" sheetId="42" r:id="rId7"/>
    <sheet name="PopupSound" sheetId="41" r:id="rId8"/>
    <sheet name="EnumTable" sheetId="17" r:id="rId9"/>
    <sheet name="WaveStage" sheetId="32" r:id="rId10"/>
    <sheet name="ProjectileInfo" sheetId="24" r:id="rId11"/>
    <sheet name="Unitinfo" sheetId="23" r:id="rId12"/>
    <sheet name="UnitGradeInfo" sheetId="25" r:id="rId13"/>
    <sheet name="GachaList" sheetId="28" r:id="rId14"/>
    <sheet name="TutorialInfo" sheetId="33" r:id="rId15"/>
    <sheet name="Level" sheetId="36" r:id="rId16"/>
    <sheet name="Attendance" sheetId="35" r:id="rId17"/>
    <sheet name="Dialogue" sheetId="34" r:id="rId18"/>
    <sheet name="ref_Rarity" sheetId="40" r:id="rId19"/>
    <sheet name="ref_Unit_Balance" sheetId="37" r:id="rId20"/>
    <sheet name="ref_Stage_Balance" sheetId="38" r:id="rId21"/>
  </sheets>
  <definedNames>
    <definedName name="_xlnm._FilterDatabase" localSheetId="11" hidden="1">Unitinfo!$A$3:$M$79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9" i="25" l="1"/>
  <c r="L50" i="25"/>
  <c r="L51" i="25"/>
  <c r="L52" i="25"/>
  <c r="L53" i="25"/>
  <c r="L54" i="25"/>
  <c r="L55" i="25"/>
  <c r="L56" i="25"/>
  <c r="L57" i="25"/>
  <c r="L58" i="25"/>
  <c r="L59" i="25"/>
  <c r="L60" i="25"/>
  <c r="L61" i="25"/>
  <c r="L62" i="25"/>
  <c r="L63" i="25"/>
  <c r="L64" i="25"/>
  <c r="L65" i="25"/>
  <c r="L66" i="25"/>
  <c r="L67" i="25"/>
  <c r="L68" i="25"/>
  <c r="L69" i="25"/>
  <c r="L70" i="25"/>
  <c r="L71" i="25"/>
  <c r="L72" i="25"/>
  <c r="L73" i="25"/>
  <c r="L74" i="25"/>
  <c r="L75" i="25"/>
  <c r="L76" i="25"/>
  <c r="L77" i="25"/>
  <c r="L78" i="25"/>
  <c r="L79" i="25"/>
  <c r="L80" i="25"/>
  <c r="L81" i="25"/>
  <c r="L82" i="25"/>
  <c r="L83" i="25"/>
  <c r="L84" i="25"/>
  <c r="L85" i="25"/>
  <c r="L86" i="25"/>
  <c r="L87" i="25"/>
  <c r="L88" i="25"/>
  <c r="D57" i="43"/>
  <c r="D58" i="43"/>
  <c r="D59" i="43"/>
  <c r="D60" i="43"/>
  <c r="D61" i="43"/>
  <c r="D62" i="43"/>
  <c r="D63" i="43"/>
  <c r="D64" i="43"/>
  <c r="D65" i="43"/>
  <c r="D66" i="43"/>
  <c r="D67" i="43"/>
  <c r="D68" i="43"/>
  <c r="D69" i="43"/>
  <c r="D53" i="43"/>
  <c r="D54" i="43"/>
  <c r="D55" i="43"/>
  <c r="D56" i="43"/>
  <c r="D52" i="43"/>
  <c r="D51" i="43"/>
  <c r="D50" i="43"/>
  <c r="D49" i="43"/>
  <c r="D48" i="43"/>
  <c r="D47" i="43"/>
  <c r="D46" i="43"/>
  <c r="D45" i="43"/>
  <c r="D44" i="43"/>
  <c r="D43" i="43"/>
  <c r="D42" i="43"/>
  <c r="D17" i="43"/>
  <c r="D18" i="43"/>
  <c r="D19" i="43"/>
  <c r="D20" i="43"/>
  <c r="D21" i="43"/>
  <c r="D22" i="43"/>
  <c r="D23" i="43"/>
  <c r="D24" i="43"/>
  <c r="D25" i="43"/>
  <c r="D26" i="43"/>
  <c r="D27" i="43"/>
  <c r="D28" i="43"/>
  <c r="D29" i="43"/>
  <c r="D30" i="43"/>
  <c r="D31" i="43"/>
  <c r="D32" i="43"/>
  <c r="D33" i="43"/>
  <c r="D34" i="43"/>
  <c r="D35" i="43"/>
  <c r="D36" i="43"/>
  <c r="D37" i="43"/>
  <c r="D38" i="43"/>
  <c r="D39" i="43"/>
  <c r="D40" i="43"/>
  <c r="D41" i="43"/>
  <c r="D5" i="43"/>
  <c r="D6" i="43"/>
  <c r="D7" i="43"/>
  <c r="D8" i="43"/>
  <c r="D9" i="43"/>
  <c r="D10" i="43"/>
  <c r="D11" i="43"/>
  <c r="D12" i="43"/>
  <c r="D13" i="43"/>
  <c r="D14" i="43"/>
  <c r="D15" i="43"/>
  <c r="D16" i="43"/>
  <c r="D4" i="43"/>
  <c r="B5" i="44"/>
  <c r="B6" i="44"/>
  <c r="B7" i="44"/>
  <c r="B8" i="44"/>
  <c r="B9" i="44"/>
  <c r="B10" i="44"/>
  <c r="B11" i="44"/>
  <c r="B12" i="44"/>
  <c r="B13" i="44"/>
  <c r="B14" i="44"/>
  <c r="B15" i="44"/>
  <c r="B16" i="44"/>
  <c r="B17" i="44"/>
  <c r="B18" i="44"/>
  <c r="B19" i="44"/>
  <c r="B20" i="44"/>
  <c r="B21" i="44"/>
  <c r="B22" i="44"/>
  <c r="B4" i="44"/>
  <c r="J80" i="23" l="1"/>
  <c r="I80" i="23"/>
  <c r="D6" i="27"/>
  <c r="AA32" i="37"/>
  <c r="AA33" i="37"/>
  <c r="AA34" i="37"/>
  <c r="AA35" i="37"/>
  <c r="AA36" i="37"/>
  <c r="AA37" i="37"/>
  <c r="AA38" i="37"/>
  <c r="AA39" i="37"/>
  <c r="AA40" i="37"/>
  <c r="AA41" i="37"/>
  <c r="AA42" i="37"/>
  <c r="AA43" i="37"/>
  <c r="AA44" i="37"/>
  <c r="AA45" i="37"/>
  <c r="AA46" i="37"/>
  <c r="AA47" i="37"/>
  <c r="AA48" i="37"/>
  <c r="AA49" i="37"/>
  <c r="AA50" i="37"/>
  <c r="AA51" i="37"/>
  <c r="AA52" i="37"/>
  <c r="AA53" i="37"/>
  <c r="AA54" i="37"/>
  <c r="AA55" i="37"/>
  <c r="AA56" i="37"/>
  <c r="AA57" i="37"/>
  <c r="AA58" i="37"/>
  <c r="AA59" i="37"/>
  <c r="AA60" i="37"/>
  <c r="AA61" i="37"/>
  <c r="AA62" i="37"/>
  <c r="AA63" i="37"/>
  <c r="AA64" i="37"/>
  <c r="AA65" i="37"/>
  <c r="AA66" i="37"/>
  <c r="AA67" i="37"/>
  <c r="AA68" i="37"/>
  <c r="AA69" i="37"/>
  <c r="AA70" i="37"/>
  <c r="AA71" i="37"/>
  <c r="AA72" i="37"/>
  <c r="AA73" i="37"/>
  <c r="AA74" i="37"/>
  <c r="AA75" i="37"/>
  <c r="AA76" i="37"/>
  <c r="AA77" i="37"/>
  <c r="AA78" i="37"/>
  <c r="AA79" i="37"/>
  <c r="AA80" i="37"/>
  <c r="AA81" i="37"/>
  <c r="AA82" i="37"/>
  <c r="AA83" i="37"/>
  <c r="AA84" i="37"/>
  <c r="AA85" i="37"/>
  <c r="AA86" i="37"/>
  <c r="AA87" i="37"/>
  <c r="AA88" i="37"/>
  <c r="AA89" i="37"/>
  <c r="AA90" i="37"/>
  <c r="AA91" i="37"/>
  <c r="AA92" i="37"/>
  <c r="AA93" i="37"/>
  <c r="AA94" i="37"/>
  <c r="AA95" i="37"/>
  <c r="AA96" i="37"/>
  <c r="AA97" i="37"/>
  <c r="AA98" i="37"/>
  <c r="AA99" i="37"/>
  <c r="AA100" i="37"/>
  <c r="AA101" i="37"/>
  <c r="AA102" i="37"/>
  <c r="AA103" i="37"/>
  <c r="AA104" i="37"/>
  <c r="AA105" i="37"/>
  <c r="AA106" i="37"/>
  <c r="AA31" i="37"/>
  <c r="F75" i="37"/>
  <c r="O669" i="25" l="1"/>
  <c r="H669" i="25"/>
  <c r="C669" i="25"/>
  <c r="T669" i="25"/>
  <c r="L8" i="38"/>
  <c r="F93" i="37" l="1"/>
  <c r="F81" i="37"/>
  <c r="F96" i="37"/>
  <c r="J19" i="25" l="1"/>
  <c r="J20" i="25"/>
  <c r="J21" i="25"/>
  <c r="J22" i="25"/>
  <c r="J23" i="25"/>
  <c r="J24" i="25"/>
  <c r="J25" i="25"/>
  <c r="J26" i="25"/>
  <c r="J27" i="25"/>
  <c r="J28" i="25"/>
  <c r="J29" i="25"/>
  <c r="J30" i="25"/>
  <c r="J31" i="25"/>
  <c r="J32" i="25"/>
  <c r="J33" i="25"/>
  <c r="J34" i="25"/>
  <c r="J35" i="25"/>
  <c r="J36" i="25"/>
  <c r="J37" i="25"/>
  <c r="J38" i="25"/>
  <c r="J39" i="25"/>
  <c r="J40" i="25"/>
  <c r="J41" i="25"/>
  <c r="J42" i="25"/>
  <c r="J43" i="25"/>
  <c r="J44" i="25"/>
  <c r="J45" i="25"/>
  <c r="J46" i="25"/>
  <c r="J47" i="25"/>
  <c r="J48" i="25"/>
  <c r="L48" i="25"/>
  <c r="D5" i="27" l="1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20" i="27"/>
  <c r="D21" i="27"/>
  <c r="D22" i="27"/>
  <c r="D23" i="27"/>
  <c r="D24" i="27"/>
  <c r="D25" i="27"/>
  <c r="D26" i="27"/>
  <c r="D27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4" i="27"/>
  <c r="D46" i="23"/>
  <c r="D48" i="23"/>
  <c r="D49" i="23"/>
  <c r="D50" i="23"/>
  <c r="D52" i="23"/>
  <c r="D53" i="23"/>
  <c r="D54" i="23"/>
  <c r="D55" i="23"/>
  <c r="D56" i="23"/>
  <c r="D57" i="23"/>
  <c r="D58" i="23"/>
  <c r="D59" i="23"/>
  <c r="D60" i="23"/>
  <c r="D61" i="23"/>
  <c r="D62" i="23"/>
  <c r="D63" i="23"/>
  <c r="D64" i="23"/>
  <c r="C64" i="23" s="1"/>
  <c r="D65" i="23"/>
  <c r="C65" i="23" s="1"/>
  <c r="D66" i="23"/>
  <c r="D67" i="23"/>
  <c r="D68" i="23"/>
  <c r="D69" i="23"/>
  <c r="D70" i="23"/>
  <c r="D71" i="23"/>
  <c r="D72" i="23"/>
  <c r="D73" i="23"/>
  <c r="C73" i="23" s="1"/>
  <c r="D74" i="23"/>
  <c r="D75" i="23"/>
  <c r="D76" i="23"/>
  <c r="D77" i="23"/>
  <c r="D78" i="23"/>
  <c r="D79" i="23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D33" i="23"/>
  <c r="D34" i="23"/>
  <c r="D35" i="23"/>
  <c r="D36" i="23"/>
  <c r="D37" i="23"/>
  <c r="D38" i="23"/>
  <c r="D39" i="23"/>
  <c r="D40" i="23"/>
  <c r="D41" i="23"/>
  <c r="D42" i="23"/>
  <c r="D43" i="23"/>
  <c r="D44" i="23"/>
  <c r="D45" i="23"/>
  <c r="I76" i="23"/>
  <c r="J76" i="23"/>
  <c r="K76" i="23"/>
  <c r="I77" i="23"/>
  <c r="J77" i="23"/>
  <c r="K77" i="23"/>
  <c r="I78" i="23"/>
  <c r="J78" i="23"/>
  <c r="K78" i="23"/>
  <c r="I79" i="23"/>
  <c r="J79" i="23"/>
  <c r="K79" i="23"/>
  <c r="B77" i="23"/>
  <c r="L77" i="23" s="1"/>
  <c r="B78" i="23"/>
  <c r="G32" i="24" s="1"/>
  <c r="B79" i="23"/>
  <c r="B5" i="23"/>
  <c r="B6" i="23"/>
  <c r="B7" i="23"/>
  <c r="B8" i="23"/>
  <c r="B9" i="23"/>
  <c r="B10" i="23"/>
  <c r="B11" i="23"/>
  <c r="B12" i="23"/>
  <c r="B13" i="23"/>
  <c r="B14" i="23"/>
  <c r="B15" i="23"/>
  <c r="G5" i="24" s="1"/>
  <c r="B16" i="23"/>
  <c r="G6" i="24" s="1"/>
  <c r="B17" i="23"/>
  <c r="G7" i="24" s="1"/>
  <c r="B18" i="23"/>
  <c r="B19" i="23"/>
  <c r="G8" i="24" s="1"/>
  <c r="B20" i="23"/>
  <c r="G9" i="24" s="1"/>
  <c r="B21" i="23"/>
  <c r="B22" i="23"/>
  <c r="B23" i="23"/>
  <c r="B24" i="23"/>
  <c r="B25" i="23"/>
  <c r="B26" i="23"/>
  <c r="B27" i="23"/>
  <c r="B28" i="23"/>
  <c r="B29" i="23"/>
  <c r="B30" i="23"/>
  <c r="B31" i="23"/>
  <c r="G10" i="24" s="1"/>
  <c r="B32" i="23"/>
  <c r="G11" i="24" s="1"/>
  <c r="B33" i="23"/>
  <c r="G12" i="24" s="1"/>
  <c r="B34" i="23"/>
  <c r="B35" i="23"/>
  <c r="G13" i="24" s="1"/>
  <c r="B36" i="23"/>
  <c r="B37" i="23"/>
  <c r="B38" i="23"/>
  <c r="B39" i="23"/>
  <c r="G15" i="24" s="1"/>
  <c r="B40" i="23"/>
  <c r="B41" i="23"/>
  <c r="B42" i="23"/>
  <c r="B43" i="23"/>
  <c r="B44" i="23"/>
  <c r="B45" i="23"/>
  <c r="B46" i="23"/>
  <c r="B47" i="23"/>
  <c r="B48" i="23"/>
  <c r="B49" i="23"/>
  <c r="B50" i="23"/>
  <c r="G16" i="24" s="1"/>
  <c r="B51" i="23"/>
  <c r="B52" i="23"/>
  <c r="G17" i="24" s="1"/>
  <c r="B53" i="23"/>
  <c r="B54" i="23"/>
  <c r="B55" i="23"/>
  <c r="B56" i="23"/>
  <c r="B57" i="23"/>
  <c r="G19" i="24" s="1"/>
  <c r="B58" i="23"/>
  <c r="B59" i="23"/>
  <c r="B60" i="23"/>
  <c r="B61" i="23"/>
  <c r="B62" i="23"/>
  <c r="B63" i="23"/>
  <c r="C63" i="23" s="1"/>
  <c r="B64" i="23"/>
  <c r="B65" i="23"/>
  <c r="B66" i="23"/>
  <c r="B67" i="23"/>
  <c r="B68" i="23"/>
  <c r="B69" i="23"/>
  <c r="B70" i="23"/>
  <c r="B71" i="23"/>
  <c r="L71" i="23" s="1"/>
  <c r="B72" i="23"/>
  <c r="L72" i="23" s="1"/>
  <c r="B73" i="23"/>
  <c r="B74" i="23"/>
  <c r="B75" i="23"/>
  <c r="C75" i="23" s="1"/>
  <c r="B76" i="23"/>
  <c r="B4" i="23"/>
  <c r="G4" i="24" s="1"/>
  <c r="U5" i="25"/>
  <c r="U6" i="25"/>
  <c r="U7" i="25"/>
  <c r="U8" i="25"/>
  <c r="U9" i="25"/>
  <c r="U10" i="25"/>
  <c r="U11" i="25"/>
  <c r="U12" i="25"/>
  <c r="U13" i="25"/>
  <c r="U14" i="25"/>
  <c r="U15" i="25"/>
  <c r="U16" i="25"/>
  <c r="U17" i="25"/>
  <c r="U18" i="25"/>
  <c r="U19" i="25"/>
  <c r="U20" i="25"/>
  <c r="U21" i="25"/>
  <c r="U22" i="25"/>
  <c r="U23" i="25"/>
  <c r="U24" i="25"/>
  <c r="U25" i="25"/>
  <c r="U26" i="25"/>
  <c r="U27" i="25"/>
  <c r="U28" i="25"/>
  <c r="U29" i="25"/>
  <c r="U30" i="25"/>
  <c r="U31" i="25"/>
  <c r="U32" i="25"/>
  <c r="U33" i="25"/>
  <c r="U34" i="25"/>
  <c r="U35" i="25"/>
  <c r="U36" i="25"/>
  <c r="U37" i="25"/>
  <c r="U38" i="25"/>
  <c r="U39" i="25"/>
  <c r="U40" i="25"/>
  <c r="U41" i="25"/>
  <c r="U42" i="25"/>
  <c r="U43" i="25"/>
  <c r="U44" i="25"/>
  <c r="U45" i="25"/>
  <c r="U46" i="25"/>
  <c r="U47" i="25"/>
  <c r="U48" i="25"/>
  <c r="U4" i="25"/>
  <c r="W58" i="25"/>
  <c r="W19" i="25"/>
  <c r="W20" i="25"/>
  <c r="W21" i="25"/>
  <c r="W22" i="25"/>
  <c r="W23" i="25"/>
  <c r="W24" i="25"/>
  <c r="W25" i="25"/>
  <c r="W26" i="25"/>
  <c r="W27" i="25"/>
  <c r="W28" i="25"/>
  <c r="W29" i="25"/>
  <c r="W30" i="25"/>
  <c r="W31" i="25"/>
  <c r="W32" i="25"/>
  <c r="W33" i="25"/>
  <c r="W34" i="25"/>
  <c r="W35" i="25"/>
  <c r="W36" i="25"/>
  <c r="W37" i="25"/>
  <c r="W38" i="25"/>
  <c r="W39" i="25"/>
  <c r="W40" i="25"/>
  <c r="W41" i="25"/>
  <c r="W42" i="25"/>
  <c r="W43" i="25"/>
  <c r="W44" i="25"/>
  <c r="W45" i="25"/>
  <c r="W46" i="25"/>
  <c r="W47" i="25"/>
  <c r="W48" i="25"/>
  <c r="W49" i="25"/>
  <c r="W50" i="25"/>
  <c r="W51" i="25"/>
  <c r="W52" i="25"/>
  <c r="W53" i="25"/>
  <c r="W54" i="25"/>
  <c r="W55" i="25"/>
  <c r="W56" i="25"/>
  <c r="W57" i="25"/>
  <c r="W5" i="25"/>
  <c r="W6" i="25"/>
  <c r="W7" i="25"/>
  <c r="W8" i="25"/>
  <c r="W9" i="25"/>
  <c r="W10" i="25"/>
  <c r="W11" i="25"/>
  <c r="W12" i="25"/>
  <c r="W13" i="25"/>
  <c r="W14" i="25"/>
  <c r="W15" i="25"/>
  <c r="W16" i="25"/>
  <c r="W17" i="25"/>
  <c r="W18" i="25"/>
  <c r="W4" i="25"/>
  <c r="L5" i="25"/>
  <c r="L6" i="25"/>
  <c r="L7" i="25"/>
  <c r="L8" i="25"/>
  <c r="L9" i="25"/>
  <c r="L10" i="25"/>
  <c r="L11" i="25"/>
  <c r="L12" i="25"/>
  <c r="L13" i="25"/>
  <c r="L14" i="25"/>
  <c r="L15" i="25"/>
  <c r="L16" i="25"/>
  <c r="L17" i="25"/>
  <c r="L18" i="25"/>
  <c r="L19" i="25"/>
  <c r="L20" i="25"/>
  <c r="L21" i="25"/>
  <c r="L22" i="25"/>
  <c r="L23" i="25"/>
  <c r="L24" i="25"/>
  <c r="L25" i="25"/>
  <c r="L26" i="25"/>
  <c r="L27" i="25"/>
  <c r="L28" i="25"/>
  <c r="L29" i="25"/>
  <c r="L30" i="25"/>
  <c r="L31" i="25"/>
  <c r="L32" i="25"/>
  <c r="L33" i="25"/>
  <c r="L34" i="25"/>
  <c r="L35" i="25"/>
  <c r="L36" i="25"/>
  <c r="L37" i="25"/>
  <c r="L38" i="25"/>
  <c r="L39" i="25"/>
  <c r="L40" i="25"/>
  <c r="L41" i="25"/>
  <c r="L42" i="25"/>
  <c r="L43" i="25"/>
  <c r="L44" i="25"/>
  <c r="L45" i="25"/>
  <c r="L46" i="25"/>
  <c r="L47" i="25"/>
  <c r="L4" i="25"/>
  <c r="J5" i="25"/>
  <c r="J6" i="25"/>
  <c r="J7" i="25"/>
  <c r="J8" i="25"/>
  <c r="J9" i="25"/>
  <c r="J10" i="25"/>
  <c r="J11" i="25"/>
  <c r="J12" i="25"/>
  <c r="J13" i="25"/>
  <c r="J14" i="25"/>
  <c r="J15" i="25"/>
  <c r="J16" i="25"/>
  <c r="J17" i="25"/>
  <c r="J18" i="25"/>
  <c r="J4" i="25"/>
  <c r="F106" i="37"/>
  <c r="L106" i="37"/>
  <c r="T106" i="37"/>
  <c r="I48" i="25" s="1"/>
  <c r="AB106" i="37"/>
  <c r="AB32" i="37"/>
  <c r="AB33" i="37"/>
  <c r="AB34" i="37"/>
  <c r="AB35" i="37"/>
  <c r="AB36" i="37"/>
  <c r="AB37" i="37"/>
  <c r="AB38" i="37"/>
  <c r="AB39" i="37"/>
  <c r="AB40" i="37"/>
  <c r="AB41" i="37"/>
  <c r="AB42" i="37"/>
  <c r="AB43" i="37"/>
  <c r="AB44" i="37"/>
  <c r="AB45" i="37"/>
  <c r="AB46" i="37"/>
  <c r="AB47" i="37"/>
  <c r="AB48" i="37"/>
  <c r="AB49" i="37"/>
  <c r="AB50" i="37"/>
  <c r="AB51" i="37"/>
  <c r="AB52" i="37"/>
  <c r="AB53" i="37"/>
  <c r="AB54" i="37"/>
  <c r="AB55" i="37"/>
  <c r="AB56" i="37"/>
  <c r="AB57" i="37"/>
  <c r="AB58" i="37"/>
  <c r="AB59" i="37"/>
  <c r="AB60" i="37"/>
  <c r="AB61" i="37"/>
  <c r="AB62" i="37"/>
  <c r="AB63" i="37"/>
  <c r="AB64" i="37"/>
  <c r="AB65" i="37"/>
  <c r="AB66" i="37"/>
  <c r="AB67" i="37"/>
  <c r="AB68" i="37"/>
  <c r="AB69" i="37"/>
  <c r="AB70" i="37"/>
  <c r="AB71" i="37"/>
  <c r="AB72" i="37"/>
  <c r="AB73" i="37"/>
  <c r="AB74" i="37"/>
  <c r="AB75" i="37"/>
  <c r="AB76" i="37"/>
  <c r="AB77" i="37"/>
  <c r="AB78" i="37"/>
  <c r="AB79" i="37"/>
  <c r="AB80" i="37"/>
  <c r="AB81" i="37"/>
  <c r="AB82" i="37"/>
  <c r="AB83" i="37"/>
  <c r="AB84" i="37"/>
  <c r="AB85" i="37"/>
  <c r="AB86" i="37"/>
  <c r="AB87" i="37"/>
  <c r="AB88" i="37"/>
  <c r="AB89" i="37"/>
  <c r="AB90" i="37"/>
  <c r="AB91" i="37"/>
  <c r="AB92" i="37"/>
  <c r="AB93" i="37"/>
  <c r="AB94" i="37"/>
  <c r="AB95" i="37"/>
  <c r="AB96" i="37"/>
  <c r="AB97" i="37"/>
  <c r="AB98" i="37"/>
  <c r="AB99" i="37"/>
  <c r="AB100" i="37"/>
  <c r="AB101" i="37"/>
  <c r="AB102" i="37"/>
  <c r="AB103" i="37"/>
  <c r="AB104" i="37"/>
  <c r="AB105" i="37"/>
  <c r="AB31" i="37"/>
  <c r="D6" i="40"/>
  <c r="D7" i="40"/>
  <c r="D8" i="40"/>
  <c r="D5" i="40"/>
  <c r="F32" i="37"/>
  <c r="F33" i="37"/>
  <c r="F34" i="37"/>
  <c r="F35" i="37"/>
  <c r="F36" i="37"/>
  <c r="F37" i="37"/>
  <c r="F38" i="37"/>
  <c r="F39" i="37"/>
  <c r="F40" i="37"/>
  <c r="F41" i="37"/>
  <c r="F42" i="37"/>
  <c r="F43" i="37"/>
  <c r="F44" i="37"/>
  <c r="F45" i="37"/>
  <c r="F46" i="37"/>
  <c r="F47" i="37"/>
  <c r="F48" i="37"/>
  <c r="F49" i="37"/>
  <c r="F50" i="37"/>
  <c r="F51" i="37"/>
  <c r="F52" i="37"/>
  <c r="F53" i="37"/>
  <c r="F54" i="37"/>
  <c r="F55" i="37"/>
  <c r="F56" i="37"/>
  <c r="F57" i="37"/>
  <c r="F58" i="37"/>
  <c r="F59" i="37"/>
  <c r="F60" i="37"/>
  <c r="F61" i="37"/>
  <c r="F62" i="37"/>
  <c r="F63" i="37"/>
  <c r="F64" i="37"/>
  <c r="F65" i="37"/>
  <c r="F66" i="37"/>
  <c r="F67" i="37"/>
  <c r="F68" i="37"/>
  <c r="F69" i="37"/>
  <c r="R69" i="37" s="1"/>
  <c r="F70" i="37"/>
  <c r="F71" i="37"/>
  <c r="F72" i="37"/>
  <c r="F73" i="37"/>
  <c r="F74" i="37"/>
  <c r="F76" i="37"/>
  <c r="F77" i="37"/>
  <c r="F78" i="37"/>
  <c r="F79" i="37"/>
  <c r="F80" i="37"/>
  <c r="G81" i="37"/>
  <c r="F82" i="37"/>
  <c r="F83" i="37"/>
  <c r="F84" i="37"/>
  <c r="F85" i="37"/>
  <c r="F86" i="37"/>
  <c r="F87" i="37"/>
  <c r="F88" i="37"/>
  <c r="F89" i="37"/>
  <c r="F90" i="37"/>
  <c r="F91" i="37"/>
  <c r="F92" i="37"/>
  <c r="G93" i="37"/>
  <c r="F94" i="37"/>
  <c r="F95" i="37"/>
  <c r="G96" i="37"/>
  <c r="F97" i="37"/>
  <c r="F98" i="37"/>
  <c r="F99" i="37"/>
  <c r="F100" i="37"/>
  <c r="F101" i="37"/>
  <c r="F102" i="37"/>
  <c r="F103" i="37"/>
  <c r="F104" i="37"/>
  <c r="F105" i="37"/>
  <c r="F31" i="37"/>
  <c r="O8" i="38"/>
  <c r="L102" i="37"/>
  <c r="T102" i="37"/>
  <c r="L103" i="37"/>
  <c r="T103" i="37"/>
  <c r="L104" i="37"/>
  <c r="T104" i="37"/>
  <c r="L105" i="37"/>
  <c r="T105" i="37"/>
  <c r="F5" i="40"/>
  <c r="G5" i="40" s="1"/>
  <c r="F6" i="40"/>
  <c r="G6" i="40" s="1"/>
  <c r="F7" i="40"/>
  <c r="G7" i="40" s="1"/>
  <c r="F8" i="40"/>
  <c r="G8" i="40" s="1"/>
  <c r="L65" i="37"/>
  <c r="T65" i="37"/>
  <c r="I38" i="25" s="1"/>
  <c r="L66" i="37"/>
  <c r="T66" i="37"/>
  <c r="I39" i="25" s="1"/>
  <c r="L67" i="37"/>
  <c r="T67" i="37"/>
  <c r="I40" i="25" s="1"/>
  <c r="L68" i="37"/>
  <c r="T68" i="37"/>
  <c r="I41" i="25" s="1"/>
  <c r="L69" i="37"/>
  <c r="T69" i="37"/>
  <c r="I42" i="25" s="1"/>
  <c r="L70" i="37"/>
  <c r="T70" i="37"/>
  <c r="I43" i="25" s="1"/>
  <c r="L71" i="37"/>
  <c r="T71" i="37"/>
  <c r="I44" i="25" s="1"/>
  <c r="L72" i="37"/>
  <c r="T72" i="37"/>
  <c r="I45" i="25" s="1"/>
  <c r="L73" i="37"/>
  <c r="T73" i="37"/>
  <c r="I46" i="25" s="1"/>
  <c r="L74" i="37"/>
  <c r="T74" i="37"/>
  <c r="I47" i="25" s="1"/>
  <c r="T64" i="37"/>
  <c r="I37" i="25" s="1"/>
  <c r="L64" i="37"/>
  <c r="R64" i="37" s="1"/>
  <c r="G37" i="25" s="1"/>
  <c r="T63" i="37"/>
  <c r="I36" i="25" s="1"/>
  <c r="L63" i="37"/>
  <c r="D5" i="25"/>
  <c r="D4" i="23"/>
  <c r="I5" i="23"/>
  <c r="O5" i="25" s="1"/>
  <c r="I6" i="23"/>
  <c r="O6" i="25" s="1"/>
  <c r="I7" i="23"/>
  <c r="O7" i="25" s="1"/>
  <c r="I8" i="23"/>
  <c r="O8" i="25" s="1"/>
  <c r="I9" i="23"/>
  <c r="O9" i="25" s="1"/>
  <c r="I10" i="23"/>
  <c r="O10" i="25" s="1"/>
  <c r="I11" i="23"/>
  <c r="O11" i="25" s="1"/>
  <c r="I12" i="23"/>
  <c r="O12" i="25" s="1"/>
  <c r="I13" i="23"/>
  <c r="O13" i="25" s="1"/>
  <c r="I14" i="23"/>
  <c r="O14" i="25" s="1"/>
  <c r="I15" i="23"/>
  <c r="O15" i="25" s="1"/>
  <c r="I16" i="23"/>
  <c r="O16" i="25" s="1"/>
  <c r="I17" i="23"/>
  <c r="O17" i="25" s="1"/>
  <c r="I18" i="23"/>
  <c r="O18" i="25" s="1"/>
  <c r="I19" i="23"/>
  <c r="O19" i="25" s="1"/>
  <c r="I20" i="23"/>
  <c r="O20" i="25" s="1"/>
  <c r="I21" i="23"/>
  <c r="O21" i="25" s="1"/>
  <c r="I22" i="23"/>
  <c r="O22" i="25" s="1"/>
  <c r="I23" i="23"/>
  <c r="O23" i="25" s="1"/>
  <c r="I24" i="23"/>
  <c r="O24" i="25" s="1"/>
  <c r="I25" i="23"/>
  <c r="O25" i="25" s="1"/>
  <c r="I26" i="23"/>
  <c r="O26" i="25" s="1"/>
  <c r="I27" i="23"/>
  <c r="O27" i="25" s="1"/>
  <c r="I28" i="23"/>
  <c r="O28" i="25" s="1"/>
  <c r="I29" i="23"/>
  <c r="O29" i="25" s="1"/>
  <c r="I30" i="23"/>
  <c r="O30" i="25" s="1"/>
  <c r="I31" i="23"/>
  <c r="O31" i="25" s="1"/>
  <c r="I32" i="23"/>
  <c r="O32" i="25" s="1"/>
  <c r="I33" i="23"/>
  <c r="O33" i="25" s="1"/>
  <c r="I34" i="23"/>
  <c r="O34" i="25" s="1"/>
  <c r="I35" i="23"/>
  <c r="O35" i="25" s="1"/>
  <c r="I36" i="23"/>
  <c r="O36" i="25" s="1"/>
  <c r="I37" i="23"/>
  <c r="O37" i="25" s="1"/>
  <c r="I38" i="23"/>
  <c r="O38" i="25" s="1"/>
  <c r="I39" i="23"/>
  <c r="O39" i="25" s="1"/>
  <c r="I40" i="23"/>
  <c r="O40" i="25" s="1"/>
  <c r="I41" i="23"/>
  <c r="O41" i="25" s="1"/>
  <c r="I42" i="23"/>
  <c r="O42" i="25" s="1"/>
  <c r="I43" i="23"/>
  <c r="O43" i="25" s="1"/>
  <c r="I44" i="23"/>
  <c r="O44" i="25" s="1"/>
  <c r="I45" i="23"/>
  <c r="O45" i="25" s="1"/>
  <c r="I46" i="23"/>
  <c r="O46" i="25" s="1"/>
  <c r="I47" i="23"/>
  <c r="O47" i="25" s="1"/>
  <c r="I48" i="23"/>
  <c r="O48" i="25" s="1"/>
  <c r="I49" i="23"/>
  <c r="I50" i="23"/>
  <c r="I51" i="23"/>
  <c r="I52" i="23"/>
  <c r="C38" i="28" s="1"/>
  <c r="I53" i="23"/>
  <c r="I54" i="23"/>
  <c r="I55" i="23"/>
  <c r="C72" i="28" s="1"/>
  <c r="I56" i="23"/>
  <c r="I57" i="23"/>
  <c r="I58" i="23"/>
  <c r="C13" i="28" s="1"/>
  <c r="I59" i="23"/>
  <c r="I60" i="23"/>
  <c r="C15" i="28" s="1"/>
  <c r="I61" i="23"/>
  <c r="I62" i="23"/>
  <c r="C48" i="28" s="1"/>
  <c r="I63" i="23"/>
  <c r="I64" i="23"/>
  <c r="C50" i="28" s="1"/>
  <c r="I65" i="23"/>
  <c r="I66" i="23"/>
  <c r="I67" i="23"/>
  <c r="I68" i="23"/>
  <c r="I69" i="23"/>
  <c r="I70" i="23"/>
  <c r="I71" i="23"/>
  <c r="I72" i="23"/>
  <c r="I73" i="23"/>
  <c r="I74" i="23"/>
  <c r="I75" i="23"/>
  <c r="I4" i="23"/>
  <c r="O4" i="25" s="1"/>
  <c r="T93" i="37"/>
  <c r="T94" i="37"/>
  <c r="T95" i="37"/>
  <c r="T96" i="37"/>
  <c r="T97" i="37"/>
  <c r="T98" i="37"/>
  <c r="T99" i="37"/>
  <c r="T100" i="37"/>
  <c r="T101" i="37"/>
  <c r="L93" i="37"/>
  <c r="L94" i="37"/>
  <c r="L95" i="37"/>
  <c r="L96" i="37"/>
  <c r="L97" i="37"/>
  <c r="L98" i="37"/>
  <c r="L99" i="37"/>
  <c r="L100" i="37"/>
  <c r="L101" i="37"/>
  <c r="L67" i="23"/>
  <c r="L70" i="23"/>
  <c r="L73" i="23"/>
  <c r="J65" i="23"/>
  <c r="K65" i="23"/>
  <c r="J66" i="23"/>
  <c r="K66" i="23"/>
  <c r="J67" i="23"/>
  <c r="K67" i="23"/>
  <c r="J68" i="23"/>
  <c r="K68" i="23"/>
  <c r="J69" i="23"/>
  <c r="K69" i="23"/>
  <c r="J70" i="23"/>
  <c r="K70" i="23"/>
  <c r="J71" i="23"/>
  <c r="K71" i="23"/>
  <c r="J72" i="23"/>
  <c r="K72" i="23"/>
  <c r="J73" i="23"/>
  <c r="K73" i="23"/>
  <c r="J74" i="23"/>
  <c r="K74" i="23"/>
  <c r="J75" i="23"/>
  <c r="K75" i="23"/>
  <c r="D6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21" i="25"/>
  <c r="D22" i="25"/>
  <c r="D23" i="25"/>
  <c r="D24" i="25"/>
  <c r="D25" i="25"/>
  <c r="D26" i="25"/>
  <c r="D27" i="25"/>
  <c r="D28" i="25"/>
  <c r="D29" i="25"/>
  <c r="D30" i="25"/>
  <c r="D31" i="25"/>
  <c r="D32" i="25"/>
  <c r="D33" i="25"/>
  <c r="D34" i="25"/>
  <c r="D35" i="25"/>
  <c r="D36" i="25"/>
  <c r="D37" i="25"/>
  <c r="D38" i="25"/>
  <c r="D39" i="25"/>
  <c r="D40" i="25"/>
  <c r="D41" i="25"/>
  <c r="D42" i="25"/>
  <c r="D43" i="25"/>
  <c r="D44" i="25"/>
  <c r="D45" i="25"/>
  <c r="D46" i="25"/>
  <c r="D47" i="25"/>
  <c r="D48" i="25"/>
  <c r="D4" i="25"/>
  <c r="R73" i="37" l="1"/>
  <c r="R67" i="37"/>
  <c r="R63" i="37"/>
  <c r="R72" i="37"/>
  <c r="R66" i="37"/>
  <c r="R71" i="37"/>
  <c r="R65" i="37"/>
  <c r="R70" i="37"/>
  <c r="R74" i="37"/>
  <c r="R68" i="37"/>
  <c r="C79" i="23"/>
  <c r="G14" i="24"/>
  <c r="F14" i="24"/>
  <c r="N27" i="25"/>
  <c r="M27" i="25"/>
  <c r="N43" i="25"/>
  <c r="M43" i="25"/>
  <c r="N19" i="25"/>
  <c r="M19" i="25"/>
  <c r="N48" i="25"/>
  <c r="M48" i="25"/>
  <c r="N24" i="25"/>
  <c r="M24" i="25"/>
  <c r="N45" i="25"/>
  <c r="M45" i="25"/>
  <c r="N21" i="25"/>
  <c r="M21" i="25"/>
  <c r="N4" i="25"/>
  <c r="M4" i="25"/>
  <c r="N37" i="25"/>
  <c r="M37" i="25"/>
  <c r="N25" i="25"/>
  <c r="M25" i="25"/>
  <c r="N13" i="25"/>
  <c r="M13" i="25"/>
  <c r="N42" i="25"/>
  <c r="M42" i="25"/>
  <c r="N36" i="25"/>
  <c r="M36" i="25"/>
  <c r="N30" i="25"/>
  <c r="M30" i="25"/>
  <c r="N18" i="25"/>
  <c r="M18" i="25"/>
  <c r="N12" i="25"/>
  <c r="M12" i="25"/>
  <c r="N6" i="25"/>
  <c r="M6" i="25"/>
  <c r="N47" i="25"/>
  <c r="M47" i="25"/>
  <c r="N41" i="25"/>
  <c r="M41" i="25"/>
  <c r="N35" i="25"/>
  <c r="M35" i="25"/>
  <c r="N29" i="25"/>
  <c r="M29" i="25"/>
  <c r="N23" i="25"/>
  <c r="M23" i="25"/>
  <c r="N17" i="25"/>
  <c r="M17" i="25"/>
  <c r="N11" i="25"/>
  <c r="M11" i="25"/>
  <c r="N33" i="25"/>
  <c r="M33" i="25"/>
  <c r="N31" i="25"/>
  <c r="M31" i="25"/>
  <c r="N7" i="25"/>
  <c r="M7" i="25"/>
  <c r="N9" i="25"/>
  <c r="M9" i="25"/>
  <c r="N39" i="25"/>
  <c r="M39" i="25"/>
  <c r="N15" i="25"/>
  <c r="M15" i="25"/>
  <c r="N44" i="25"/>
  <c r="M44" i="25"/>
  <c r="N38" i="25"/>
  <c r="M38" i="25"/>
  <c r="N32" i="25"/>
  <c r="M32" i="25"/>
  <c r="N26" i="25"/>
  <c r="M26" i="25"/>
  <c r="N20" i="25"/>
  <c r="M20" i="25"/>
  <c r="N14" i="25"/>
  <c r="M14" i="25"/>
  <c r="N8" i="25"/>
  <c r="M8" i="25"/>
  <c r="V93" i="37"/>
  <c r="R93" i="37"/>
  <c r="N46" i="25"/>
  <c r="M46" i="25"/>
  <c r="N40" i="25"/>
  <c r="M40" i="25"/>
  <c r="N34" i="25"/>
  <c r="M34" i="25"/>
  <c r="N28" i="25"/>
  <c r="M28" i="25"/>
  <c r="N22" i="25"/>
  <c r="M22" i="25"/>
  <c r="N16" i="25"/>
  <c r="M16" i="25"/>
  <c r="N10" i="25"/>
  <c r="M10" i="25"/>
  <c r="V96" i="37"/>
  <c r="R96" i="37"/>
  <c r="N5" i="25"/>
  <c r="M5" i="25"/>
  <c r="G60" i="37"/>
  <c r="E33" i="25" s="1"/>
  <c r="G70" i="37"/>
  <c r="E43" i="25" s="1"/>
  <c r="V70" i="37"/>
  <c r="G98" i="37"/>
  <c r="R98" i="37"/>
  <c r="V98" i="37"/>
  <c r="G73" i="37"/>
  <c r="E46" i="25" s="1"/>
  <c r="V73" i="37"/>
  <c r="F46" i="25" s="1"/>
  <c r="G61" i="37"/>
  <c r="E34" i="25" s="1"/>
  <c r="G49" i="37"/>
  <c r="E22" i="25" s="1"/>
  <c r="G37" i="37"/>
  <c r="E10" i="25" s="1"/>
  <c r="G36" i="37"/>
  <c r="E9" i="25" s="1"/>
  <c r="G84" i="37"/>
  <c r="G71" i="37"/>
  <c r="E44" i="25" s="1"/>
  <c r="V71" i="37"/>
  <c r="F44" i="25" s="1"/>
  <c r="G59" i="37"/>
  <c r="E32" i="25" s="1"/>
  <c r="G47" i="37"/>
  <c r="E20" i="25" s="1"/>
  <c r="G35" i="37"/>
  <c r="E8" i="25" s="1"/>
  <c r="G34" i="37"/>
  <c r="E7" i="25" s="1"/>
  <c r="G31" i="37"/>
  <c r="E4" i="25" s="1"/>
  <c r="G94" i="37"/>
  <c r="V94" i="37"/>
  <c r="R94" i="37"/>
  <c r="G82" i="37"/>
  <c r="G69" i="37"/>
  <c r="E42" i="25" s="1"/>
  <c r="V69" i="37"/>
  <c r="F42" i="25" s="1"/>
  <c r="G57" i="37"/>
  <c r="E30" i="25" s="1"/>
  <c r="G45" i="37"/>
  <c r="E18" i="25" s="1"/>
  <c r="G33" i="37"/>
  <c r="E6" i="25" s="1"/>
  <c r="G106" i="37"/>
  <c r="E48" i="25" s="1"/>
  <c r="V106" i="37"/>
  <c r="F48" i="25" s="1"/>
  <c r="R106" i="37"/>
  <c r="G97" i="37"/>
  <c r="V97" i="37"/>
  <c r="R97" i="37"/>
  <c r="G105" i="37"/>
  <c r="V105" i="37"/>
  <c r="R105" i="37"/>
  <c r="H105" i="37" s="1"/>
  <c r="G68" i="37"/>
  <c r="E41" i="25" s="1"/>
  <c r="V68" i="37"/>
  <c r="F41" i="25" s="1"/>
  <c r="G56" i="37"/>
  <c r="E29" i="25" s="1"/>
  <c r="G44" i="37"/>
  <c r="E17" i="25" s="1"/>
  <c r="G32" i="37"/>
  <c r="E5" i="25" s="1"/>
  <c r="G104" i="37"/>
  <c r="V104" i="37"/>
  <c r="R104" i="37"/>
  <c r="H104" i="37" s="1"/>
  <c r="G92" i="37"/>
  <c r="G80" i="37"/>
  <c r="V67" i="37"/>
  <c r="F40" i="25" s="1"/>
  <c r="H67" i="37"/>
  <c r="G72" i="37"/>
  <c r="E45" i="25" s="1"/>
  <c r="V72" i="37"/>
  <c r="F45" i="25" s="1"/>
  <c r="G83" i="37"/>
  <c r="V103" i="37"/>
  <c r="R103" i="37"/>
  <c r="H103" i="37" s="1"/>
  <c r="G66" i="37"/>
  <c r="E39" i="25" s="1"/>
  <c r="V66" i="37"/>
  <c r="F39" i="25" s="1"/>
  <c r="G54" i="37"/>
  <c r="E27" i="25" s="1"/>
  <c r="G42" i="37"/>
  <c r="E15" i="25" s="1"/>
  <c r="G48" i="37"/>
  <c r="E21" i="25" s="1"/>
  <c r="G58" i="37"/>
  <c r="E31" i="25" s="1"/>
  <c r="G102" i="37"/>
  <c r="V102" i="37"/>
  <c r="R102" i="37"/>
  <c r="H102" i="37" s="1"/>
  <c r="G90" i="37"/>
  <c r="G78" i="37"/>
  <c r="G65" i="37"/>
  <c r="E38" i="25" s="1"/>
  <c r="V65" i="37"/>
  <c r="F38" i="25" s="1"/>
  <c r="G101" i="37"/>
  <c r="R101" i="37"/>
  <c r="V101" i="37"/>
  <c r="G64" i="37"/>
  <c r="E37" i="25" s="1"/>
  <c r="V64" i="37"/>
  <c r="F37" i="25" s="1"/>
  <c r="G52" i="37"/>
  <c r="E25" i="25" s="1"/>
  <c r="G40" i="37"/>
  <c r="E13" i="25" s="1"/>
  <c r="G100" i="37"/>
  <c r="R100" i="37"/>
  <c r="V100" i="37"/>
  <c r="G88" i="37"/>
  <c r="G76" i="37"/>
  <c r="G63" i="37"/>
  <c r="E36" i="25" s="1"/>
  <c r="V63" i="37"/>
  <c r="F36" i="25" s="1"/>
  <c r="G51" i="37"/>
  <c r="E24" i="25" s="1"/>
  <c r="G39" i="37"/>
  <c r="E12" i="25" s="1"/>
  <c r="G85" i="37"/>
  <c r="G95" i="37"/>
  <c r="V95" i="37"/>
  <c r="R95" i="37"/>
  <c r="G46" i="37"/>
  <c r="E19" i="25" s="1"/>
  <c r="G99" i="37"/>
  <c r="V99" i="37"/>
  <c r="R99" i="37"/>
  <c r="G87" i="37"/>
  <c r="G74" i="37"/>
  <c r="E47" i="25" s="1"/>
  <c r="V74" i="37"/>
  <c r="F47" i="25" s="1"/>
  <c r="G62" i="37"/>
  <c r="E35" i="25" s="1"/>
  <c r="G50" i="37"/>
  <c r="E23" i="25" s="1"/>
  <c r="G38" i="37"/>
  <c r="E11" i="25" s="1"/>
  <c r="G75" i="37"/>
  <c r="F43" i="25"/>
  <c r="C62" i="28"/>
  <c r="C96" i="28"/>
  <c r="D38" i="28"/>
  <c r="D48" i="28"/>
  <c r="D15" i="28"/>
  <c r="D72" i="28"/>
  <c r="D50" i="28"/>
  <c r="C55" i="28"/>
  <c r="C24" i="28"/>
  <c r="C54" i="28"/>
  <c r="C23" i="28"/>
  <c r="C85" i="28"/>
  <c r="C30" i="28"/>
  <c r="C92" i="28"/>
  <c r="C61" i="28"/>
  <c r="C18" i="28"/>
  <c r="C80" i="28"/>
  <c r="C49" i="28"/>
  <c r="C6" i="28"/>
  <c r="C68" i="28"/>
  <c r="C37" i="28"/>
  <c r="C78" i="28"/>
  <c r="C47" i="28"/>
  <c r="C16" i="28"/>
  <c r="C58" i="28"/>
  <c r="C89" i="28"/>
  <c r="C46" i="28"/>
  <c r="C77" i="28"/>
  <c r="C29" i="28"/>
  <c r="C91" i="28"/>
  <c r="C5" i="28"/>
  <c r="C67" i="28"/>
  <c r="C90" i="28"/>
  <c r="C59" i="28"/>
  <c r="C28" i="28"/>
  <c r="C36" i="28"/>
  <c r="C57" i="28"/>
  <c r="C88" i="28"/>
  <c r="C26" i="28"/>
  <c r="C45" i="28"/>
  <c r="C76" i="28"/>
  <c r="C14" i="28"/>
  <c r="C17" i="28"/>
  <c r="C79" i="28"/>
  <c r="D13" i="28"/>
  <c r="C56" i="28"/>
  <c r="C87" i="28"/>
  <c r="C44" i="28"/>
  <c r="C75" i="28"/>
  <c r="C60" i="28"/>
  <c r="C66" i="28"/>
  <c r="C4" i="28"/>
  <c r="C35" i="28"/>
  <c r="C43" i="28"/>
  <c r="C12" i="28"/>
  <c r="C42" i="28"/>
  <c r="C11" i="28"/>
  <c r="C73" i="28"/>
  <c r="C53" i="28"/>
  <c r="C22" i="28"/>
  <c r="C41" i="28"/>
  <c r="C10" i="28"/>
  <c r="C21" i="28"/>
  <c r="C52" i="28"/>
  <c r="C83" i="28"/>
  <c r="C9" i="28"/>
  <c r="C40" i="28"/>
  <c r="C71" i="28"/>
  <c r="F26" i="24"/>
  <c r="G26" i="24"/>
  <c r="F20" i="24"/>
  <c r="G20" i="24"/>
  <c r="C74" i="28"/>
  <c r="C82" i="28"/>
  <c r="C20" i="28"/>
  <c r="C51" i="28"/>
  <c r="C70" i="28"/>
  <c r="C8" i="28"/>
  <c r="C39" i="28"/>
  <c r="C27" i="28"/>
  <c r="C84" i="28"/>
  <c r="C81" i="28"/>
  <c r="C19" i="28"/>
  <c r="C69" i="28"/>
  <c r="C7" i="28"/>
  <c r="C25" i="28"/>
  <c r="C86" i="28"/>
  <c r="F21" i="24"/>
  <c r="G21" i="24"/>
  <c r="C95" i="28"/>
  <c r="L69" i="23"/>
  <c r="G25" i="24"/>
  <c r="L78" i="23"/>
  <c r="F32" i="24"/>
  <c r="C63" i="28"/>
  <c r="G24" i="24"/>
  <c r="F24" i="24"/>
  <c r="C64" i="28"/>
  <c r="G18" i="24"/>
  <c r="F18" i="24"/>
  <c r="C34" i="28"/>
  <c r="C65" i="28"/>
  <c r="C76" i="23"/>
  <c r="G31" i="24"/>
  <c r="F33" i="24"/>
  <c r="G33" i="24"/>
  <c r="C33" i="28"/>
  <c r="F30" i="24"/>
  <c r="G30" i="24"/>
  <c r="F23" i="24"/>
  <c r="G23" i="24"/>
  <c r="C32" i="28"/>
  <c r="L74" i="23"/>
  <c r="G29" i="24"/>
  <c r="C31" i="28"/>
  <c r="F28" i="24"/>
  <c r="G28" i="24"/>
  <c r="C93" i="28"/>
  <c r="F27" i="24"/>
  <c r="G27" i="24"/>
  <c r="F22" i="24"/>
  <c r="G22" i="24"/>
  <c r="C94" i="28"/>
  <c r="C72" i="23"/>
  <c r="C70" i="23"/>
  <c r="F31" i="24"/>
  <c r="F29" i="24"/>
  <c r="F25" i="24"/>
  <c r="L79" i="23"/>
  <c r="C77" i="23"/>
  <c r="C68" i="23"/>
  <c r="C71" i="23"/>
  <c r="L76" i="23"/>
  <c r="C78" i="23"/>
  <c r="L68" i="23"/>
  <c r="C66" i="23"/>
  <c r="C67" i="23"/>
  <c r="C69" i="23"/>
  <c r="C74" i="23"/>
  <c r="G89" i="37"/>
  <c r="G77" i="37"/>
  <c r="G53" i="37"/>
  <c r="E26" i="25" s="1"/>
  <c r="G43" i="37"/>
  <c r="E16" i="25" s="1"/>
  <c r="G41" i="37"/>
  <c r="E14" i="25" s="1"/>
  <c r="G103" i="37"/>
  <c r="G91" i="37"/>
  <c r="G79" i="37"/>
  <c r="G67" i="37"/>
  <c r="E40" i="25" s="1"/>
  <c r="G55" i="37"/>
  <c r="E28" i="25" s="1"/>
  <c r="G86" i="37"/>
  <c r="N8" i="38"/>
  <c r="H93" i="37"/>
  <c r="L75" i="23"/>
  <c r="D5" i="38"/>
  <c r="D6" i="38" s="1"/>
  <c r="D7" i="38" s="1"/>
  <c r="D8" i="38" s="1"/>
  <c r="D9" i="38" s="1"/>
  <c r="D10" i="38" s="1"/>
  <c r="D11" i="38" s="1"/>
  <c r="D12" i="38" s="1"/>
  <c r="D13" i="38" s="1"/>
  <c r="D14" i="38" s="1"/>
  <c r="D15" i="38" s="1"/>
  <c r="D16" i="38" s="1"/>
  <c r="D17" i="38" s="1"/>
  <c r="D18" i="38" s="1"/>
  <c r="D19" i="38" s="1"/>
  <c r="D20" i="38" s="1"/>
  <c r="D21" i="38" s="1"/>
  <c r="D22" i="38" s="1"/>
  <c r="D23" i="38" s="1"/>
  <c r="D41" i="38"/>
  <c r="D42" i="38"/>
  <c r="D43" i="38"/>
  <c r="D44" i="38"/>
  <c r="D45" i="38"/>
  <c r="D46" i="38"/>
  <c r="D47" i="38"/>
  <c r="D48" i="38"/>
  <c r="D49" i="38"/>
  <c r="D50" i="38"/>
  <c r="D51" i="38"/>
  <c r="D52" i="38"/>
  <c r="D53" i="38"/>
  <c r="D54" i="38"/>
  <c r="D55" i="38"/>
  <c r="D56" i="38"/>
  <c r="D57" i="38"/>
  <c r="D58" i="38"/>
  <c r="D59" i="38"/>
  <c r="D60" i="38"/>
  <c r="D61" i="38"/>
  <c r="D62" i="38"/>
  <c r="D63" i="38"/>
  <c r="D64" i="38"/>
  <c r="D65" i="38"/>
  <c r="D66" i="38"/>
  <c r="D67" i="38"/>
  <c r="D68" i="38"/>
  <c r="D69" i="38"/>
  <c r="D70" i="38"/>
  <c r="D71" i="38"/>
  <c r="D72" i="38"/>
  <c r="D73" i="38"/>
  <c r="D74" i="38"/>
  <c r="D75" i="38"/>
  <c r="D76" i="38"/>
  <c r="D77" i="38"/>
  <c r="D78" i="38"/>
  <c r="D79" i="38"/>
  <c r="D80" i="38"/>
  <c r="D81" i="38"/>
  <c r="D82" i="38"/>
  <c r="D83" i="38"/>
  <c r="D84" i="38"/>
  <c r="D85" i="38"/>
  <c r="D86" i="38"/>
  <c r="D87" i="38"/>
  <c r="D88" i="38"/>
  <c r="D89" i="38"/>
  <c r="D90" i="38"/>
  <c r="D91" i="38"/>
  <c r="D92" i="38"/>
  <c r="D93" i="38"/>
  <c r="D94" i="38"/>
  <c r="D95" i="38"/>
  <c r="D96" i="38"/>
  <c r="D97" i="38"/>
  <c r="D98" i="38"/>
  <c r="D99" i="38"/>
  <c r="D100" i="38"/>
  <c r="D101" i="38"/>
  <c r="D102" i="38"/>
  <c r="D103" i="38"/>
  <c r="D104" i="38"/>
  <c r="D105" i="38"/>
  <c r="D106" i="38"/>
  <c r="D107" i="38"/>
  <c r="D108" i="38"/>
  <c r="D109" i="38"/>
  <c r="D110" i="38"/>
  <c r="D111" i="38"/>
  <c r="D112" i="38"/>
  <c r="D113" i="38"/>
  <c r="D114" i="38"/>
  <c r="D115" i="38"/>
  <c r="D116" i="38"/>
  <c r="D117" i="38"/>
  <c r="D118" i="38"/>
  <c r="D119" i="38"/>
  <c r="D120" i="38"/>
  <c r="D121" i="38"/>
  <c r="D122" i="38"/>
  <c r="D123" i="38"/>
  <c r="D124" i="38"/>
  <c r="D125" i="38"/>
  <c r="D126" i="38"/>
  <c r="D127" i="38"/>
  <c r="D128" i="38"/>
  <c r="D129" i="38"/>
  <c r="D130" i="38"/>
  <c r="D131" i="38"/>
  <c r="D132" i="38"/>
  <c r="D133" i="38"/>
  <c r="D134" i="38"/>
  <c r="D135" i="38"/>
  <c r="D136" i="38"/>
  <c r="D137" i="38"/>
  <c r="L31" i="37"/>
  <c r="R31" i="37" s="1"/>
  <c r="L75" i="37"/>
  <c r="R75" i="37" s="1"/>
  <c r="L76" i="37"/>
  <c r="R76" i="37" s="1"/>
  <c r="T32" i="37"/>
  <c r="I5" i="25" s="1"/>
  <c r="T33" i="37"/>
  <c r="I6" i="25" s="1"/>
  <c r="T34" i="37"/>
  <c r="I7" i="25" s="1"/>
  <c r="T35" i="37"/>
  <c r="I8" i="25" s="1"/>
  <c r="T36" i="37"/>
  <c r="I9" i="25" s="1"/>
  <c r="T37" i="37"/>
  <c r="I10" i="25" s="1"/>
  <c r="T38" i="37"/>
  <c r="I11" i="25" s="1"/>
  <c r="T39" i="37"/>
  <c r="I12" i="25" s="1"/>
  <c r="T40" i="37"/>
  <c r="I13" i="25" s="1"/>
  <c r="T41" i="37"/>
  <c r="I14" i="25" s="1"/>
  <c r="T42" i="37"/>
  <c r="I15" i="25" s="1"/>
  <c r="T43" i="37"/>
  <c r="I16" i="25" s="1"/>
  <c r="T44" i="37"/>
  <c r="I17" i="25" s="1"/>
  <c r="T45" i="37"/>
  <c r="I18" i="25" s="1"/>
  <c r="T46" i="37"/>
  <c r="I19" i="25" s="1"/>
  <c r="T47" i="37"/>
  <c r="I20" i="25" s="1"/>
  <c r="T48" i="37"/>
  <c r="I21" i="25" s="1"/>
  <c r="T49" i="37"/>
  <c r="I22" i="25" s="1"/>
  <c r="T50" i="37"/>
  <c r="I23" i="25" s="1"/>
  <c r="T51" i="37"/>
  <c r="I24" i="25" s="1"/>
  <c r="T52" i="37"/>
  <c r="I25" i="25" s="1"/>
  <c r="T53" i="37"/>
  <c r="I26" i="25" s="1"/>
  <c r="T54" i="37"/>
  <c r="I27" i="25" s="1"/>
  <c r="T55" i="37"/>
  <c r="I28" i="25" s="1"/>
  <c r="T56" i="37"/>
  <c r="I29" i="25" s="1"/>
  <c r="T57" i="37"/>
  <c r="I30" i="25" s="1"/>
  <c r="T58" i="37"/>
  <c r="I31" i="25" s="1"/>
  <c r="T59" i="37"/>
  <c r="I32" i="25" s="1"/>
  <c r="T60" i="37"/>
  <c r="I33" i="25" s="1"/>
  <c r="T61" i="37"/>
  <c r="I34" i="25" s="1"/>
  <c r="T62" i="37"/>
  <c r="I35" i="25" s="1"/>
  <c r="T75" i="37"/>
  <c r="T76" i="37"/>
  <c r="T77" i="37"/>
  <c r="T78" i="37"/>
  <c r="T79" i="37"/>
  <c r="T80" i="37"/>
  <c r="T81" i="37"/>
  <c r="T82" i="37"/>
  <c r="T83" i="37"/>
  <c r="T84" i="37"/>
  <c r="T85" i="37"/>
  <c r="T86" i="37"/>
  <c r="T87" i="37"/>
  <c r="T88" i="37"/>
  <c r="T89" i="37"/>
  <c r="T90" i="37"/>
  <c r="T91" i="37"/>
  <c r="T92" i="37"/>
  <c r="T31" i="37"/>
  <c r="I4" i="25" s="1"/>
  <c r="L32" i="37"/>
  <c r="R32" i="37" s="1"/>
  <c r="L33" i="37"/>
  <c r="R33" i="37" s="1"/>
  <c r="L34" i="37"/>
  <c r="V34" i="37" s="1"/>
  <c r="L35" i="37"/>
  <c r="R35" i="37" s="1"/>
  <c r="L36" i="37"/>
  <c r="R36" i="37" s="1"/>
  <c r="L37" i="37"/>
  <c r="R37" i="37" s="1"/>
  <c r="L38" i="37"/>
  <c r="R38" i="37" s="1"/>
  <c r="L39" i="37"/>
  <c r="R39" i="37" s="1"/>
  <c r="L40" i="37"/>
  <c r="R40" i="37" s="1"/>
  <c r="L41" i="37"/>
  <c r="R41" i="37" s="1"/>
  <c r="L42" i="37"/>
  <c r="R42" i="37" s="1"/>
  <c r="L43" i="37"/>
  <c r="R43" i="37" s="1"/>
  <c r="L44" i="37"/>
  <c r="R44" i="37" s="1"/>
  <c r="L45" i="37"/>
  <c r="R45" i="37" s="1"/>
  <c r="L46" i="37"/>
  <c r="R46" i="37" s="1"/>
  <c r="L47" i="37"/>
  <c r="R47" i="37" s="1"/>
  <c r="L48" i="37"/>
  <c r="R48" i="37" s="1"/>
  <c r="L49" i="37"/>
  <c r="V49" i="37" s="1"/>
  <c r="L50" i="37"/>
  <c r="R50" i="37" s="1"/>
  <c r="L51" i="37"/>
  <c r="R51" i="37" s="1"/>
  <c r="L52" i="37"/>
  <c r="R52" i="37" s="1"/>
  <c r="L53" i="37"/>
  <c r="R53" i="37" s="1"/>
  <c r="L54" i="37"/>
  <c r="R54" i="37" s="1"/>
  <c r="L55" i="37"/>
  <c r="R55" i="37" s="1"/>
  <c r="L56" i="37"/>
  <c r="V56" i="37" s="1"/>
  <c r="L57" i="37"/>
  <c r="R57" i="37" s="1"/>
  <c r="L58" i="37"/>
  <c r="V58" i="37" s="1"/>
  <c r="L59" i="37"/>
  <c r="R59" i="37" s="1"/>
  <c r="L60" i="37"/>
  <c r="R60" i="37" s="1"/>
  <c r="L61" i="37"/>
  <c r="R61" i="37" s="1"/>
  <c r="L62" i="37"/>
  <c r="R62" i="37" s="1"/>
  <c r="L77" i="37"/>
  <c r="R77" i="37" s="1"/>
  <c r="L78" i="37"/>
  <c r="R78" i="37" s="1"/>
  <c r="L79" i="37"/>
  <c r="R79" i="37" s="1"/>
  <c r="L80" i="37"/>
  <c r="R80" i="37" s="1"/>
  <c r="L81" i="37"/>
  <c r="R81" i="37" s="1"/>
  <c r="L82" i="37"/>
  <c r="R82" i="37" s="1"/>
  <c r="L83" i="37"/>
  <c r="R83" i="37" s="1"/>
  <c r="L84" i="37"/>
  <c r="R84" i="37" s="1"/>
  <c r="L85" i="37"/>
  <c r="R85" i="37" s="1"/>
  <c r="L86" i="37"/>
  <c r="R86" i="37" s="1"/>
  <c r="L87" i="37"/>
  <c r="R87" i="37" s="1"/>
  <c r="L88" i="37"/>
  <c r="R88" i="37" s="1"/>
  <c r="L89" i="37"/>
  <c r="R89" i="37" s="1"/>
  <c r="L90" i="37"/>
  <c r="R90" i="37" s="1"/>
  <c r="L91" i="37"/>
  <c r="V91" i="37" s="1"/>
  <c r="L92" i="37"/>
  <c r="V92" i="37" s="1"/>
  <c r="C8" i="40"/>
  <c r="C5" i="40"/>
  <c r="F20" i="38"/>
  <c r="F21" i="38"/>
  <c r="F22" i="38"/>
  <c r="F23" i="38"/>
  <c r="L5" i="37"/>
  <c r="F4" i="38"/>
  <c r="F5" i="38"/>
  <c r="F6" i="38"/>
  <c r="F7" i="38"/>
  <c r="F8" i="38"/>
  <c r="F9" i="38"/>
  <c r="F10" i="38"/>
  <c r="F11" i="38"/>
  <c r="F12" i="38"/>
  <c r="F13" i="38"/>
  <c r="F14" i="38"/>
  <c r="F15" i="38"/>
  <c r="F16" i="38"/>
  <c r="F17" i="38"/>
  <c r="F18" i="38"/>
  <c r="F19" i="38"/>
  <c r="D28" i="38" a="1"/>
  <c r="D28" i="38" s="1"/>
  <c r="D29" i="38" a="1"/>
  <c r="D29" i="38" s="1"/>
  <c r="D30" i="38" a="1"/>
  <c r="D30" i="38" s="1"/>
  <c r="D31" i="38" a="1"/>
  <c r="D31" i="38" s="1"/>
  <c r="D32" i="38" a="1"/>
  <c r="D32" i="38" s="1"/>
  <c r="D33" i="38" a="1"/>
  <c r="D33" i="38" s="1"/>
  <c r="D34" i="38" a="1"/>
  <c r="D34" i="38" s="1"/>
  <c r="D35" i="38" a="1"/>
  <c r="D35" i="38" s="1"/>
  <c r="D36" i="38" a="1"/>
  <c r="D36" i="38" s="1"/>
  <c r="D37" i="38" a="1"/>
  <c r="D37" i="38" s="1"/>
  <c r="D38" i="38" a="1"/>
  <c r="D38" i="38" s="1"/>
  <c r="D39" i="38" a="1"/>
  <c r="D39" i="38" s="1"/>
  <c r="D40" i="38"/>
  <c r="M5" i="37"/>
  <c r="N5" i="37"/>
  <c r="F15" i="24"/>
  <c r="R34" i="37" l="1"/>
  <c r="R56" i="37"/>
  <c r="R91" i="37"/>
  <c r="R58" i="37"/>
  <c r="R49" i="37"/>
  <c r="C28" i="38"/>
  <c r="E48" i="28"/>
  <c r="R8" i="38"/>
  <c r="E76" i="28"/>
  <c r="E92" i="28"/>
  <c r="V86" i="37"/>
  <c r="V80" i="37"/>
  <c r="G33" i="25"/>
  <c r="V54" i="37"/>
  <c r="F27" i="25" s="1"/>
  <c r="V48" i="37"/>
  <c r="F21" i="25" s="1"/>
  <c r="V36" i="37"/>
  <c r="F9" i="25" s="1"/>
  <c r="V79" i="37"/>
  <c r="V59" i="37"/>
  <c r="V47" i="37"/>
  <c r="F20" i="25" s="1"/>
  <c r="V41" i="37"/>
  <c r="F14" i="25" s="1"/>
  <c r="V35" i="37"/>
  <c r="F8" i="25" s="1"/>
  <c r="V76" i="37"/>
  <c r="V84" i="37"/>
  <c r="V78" i="37"/>
  <c r="V52" i="37"/>
  <c r="F25" i="25" s="1"/>
  <c r="V46" i="37"/>
  <c r="F19" i="25" s="1"/>
  <c r="V40" i="37"/>
  <c r="F13" i="25" s="1"/>
  <c r="V75" i="37"/>
  <c r="Q8" i="38" s="1"/>
  <c r="E40" i="28"/>
  <c r="D4" i="28"/>
  <c r="E4" i="28"/>
  <c r="E72" i="28"/>
  <c r="E38" i="28"/>
  <c r="E50" i="28"/>
  <c r="E15" i="28"/>
  <c r="E29" i="28"/>
  <c r="D96" i="28"/>
  <c r="E96" i="28"/>
  <c r="V90" i="37"/>
  <c r="V60" i="37"/>
  <c r="F33" i="25" s="1"/>
  <c r="V85" i="37"/>
  <c r="V53" i="37"/>
  <c r="F26" i="25" s="1"/>
  <c r="V89" i="37"/>
  <c r="V83" i="37"/>
  <c r="V77" i="37"/>
  <c r="V57" i="37"/>
  <c r="F30" i="25" s="1"/>
  <c r="V51" i="37"/>
  <c r="V45" i="37"/>
  <c r="F18" i="25" s="1"/>
  <c r="V39" i="37"/>
  <c r="F12" i="25" s="1"/>
  <c r="V33" i="37"/>
  <c r="F6" i="25" s="1"/>
  <c r="V31" i="37"/>
  <c r="G37" i="38" s="1"/>
  <c r="G4" i="25"/>
  <c r="R92" i="37"/>
  <c r="V88" i="37"/>
  <c r="V82" i="37"/>
  <c r="V62" i="37"/>
  <c r="F35" i="25" s="1"/>
  <c r="V50" i="37"/>
  <c r="F23" i="25" s="1"/>
  <c r="V44" i="37"/>
  <c r="F17" i="25" s="1"/>
  <c r="G17" i="25"/>
  <c r="V38" i="37"/>
  <c r="V32" i="37"/>
  <c r="F5" i="25" s="1"/>
  <c r="E64" i="28"/>
  <c r="E78" i="28"/>
  <c r="V42" i="37"/>
  <c r="F15" i="25" s="1"/>
  <c r="V87" i="37"/>
  <c r="H87" i="37"/>
  <c r="V81" i="37"/>
  <c r="V61" i="37"/>
  <c r="F34" i="25" s="1"/>
  <c r="V55" i="37"/>
  <c r="F28" i="25" s="1"/>
  <c r="V43" i="37"/>
  <c r="F16" i="25" s="1"/>
  <c r="V37" i="37"/>
  <c r="F10" i="25" s="1"/>
  <c r="E31" i="28"/>
  <c r="E51" i="28"/>
  <c r="E75" i="28"/>
  <c r="E67" i="28"/>
  <c r="E54" i="28"/>
  <c r="G9" i="25"/>
  <c r="E13" i="28"/>
  <c r="E94" i="28"/>
  <c r="E69" i="28"/>
  <c r="E27" i="28"/>
  <c r="E74" i="28"/>
  <c r="E71" i="28"/>
  <c r="E21" i="28"/>
  <c r="E53" i="28"/>
  <c r="E42" i="28"/>
  <c r="E35" i="28"/>
  <c r="E14" i="28"/>
  <c r="E57" i="28"/>
  <c r="E91" i="28"/>
  <c r="E46" i="28"/>
  <c r="E47" i="28"/>
  <c r="E6" i="28"/>
  <c r="E61" i="28"/>
  <c r="E93" i="28"/>
  <c r="E19" i="28"/>
  <c r="E39" i="28"/>
  <c r="E9" i="28"/>
  <c r="E10" i="28"/>
  <c r="E66" i="28"/>
  <c r="E44" i="28"/>
  <c r="E45" i="28"/>
  <c r="E36" i="28"/>
  <c r="E89" i="28"/>
  <c r="E49" i="28"/>
  <c r="E30" i="28"/>
  <c r="D62" i="28"/>
  <c r="E62" i="28"/>
  <c r="E65" i="28"/>
  <c r="E86" i="28"/>
  <c r="E81" i="28"/>
  <c r="E8" i="28"/>
  <c r="E20" i="28"/>
  <c r="E41" i="28"/>
  <c r="E12" i="28"/>
  <c r="E79" i="28"/>
  <c r="E28" i="28"/>
  <c r="E5" i="28"/>
  <c r="E58" i="28"/>
  <c r="E80" i="28"/>
  <c r="E24" i="28"/>
  <c r="E33" i="28"/>
  <c r="E34" i="28"/>
  <c r="E63" i="28"/>
  <c r="E25" i="28"/>
  <c r="E82" i="28"/>
  <c r="E83" i="28"/>
  <c r="E73" i="28"/>
  <c r="E43" i="28"/>
  <c r="E60" i="28"/>
  <c r="E87" i="28"/>
  <c r="E17" i="28"/>
  <c r="E26" i="28"/>
  <c r="E59" i="28"/>
  <c r="E37" i="28"/>
  <c r="E18" i="28"/>
  <c r="E85" i="28"/>
  <c r="E55" i="28"/>
  <c r="E32" i="28"/>
  <c r="E95" i="28"/>
  <c r="E7" i="28"/>
  <c r="E84" i="28"/>
  <c r="E70" i="28"/>
  <c r="E52" i="28"/>
  <c r="E22" i="28"/>
  <c r="E11" i="28"/>
  <c r="E56" i="28"/>
  <c r="E88" i="28"/>
  <c r="E90" i="28"/>
  <c r="E77" i="28"/>
  <c r="E16" i="28"/>
  <c r="E68" i="28"/>
  <c r="E23" i="28"/>
  <c r="F32" i="25"/>
  <c r="F11" i="25"/>
  <c r="F24" i="25"/>
  <c r="F22" i="25"/>
  <c r="F31" i="25"/>
  <c r="F7" i="25"/>
  <c r="F29" i="25"/>
  <c r="D32" i="28"/>
  <c r="D34" i="28"/>
  <c r="D95" i="28"/>
  <c r="D82" i="28"/>
  <c r="D42" i="28"/>
  <c r="D36" i="28"/>
  <c r="D78" i="28"/>
  <c r="D18" i="28"/>
  <c r="D55" i="28"/>
  <c r="H63" i="37"/>
  <c r="G36" i="25"/>
  <c r="D64" i="28"/>
  <c r="D10" i="28"/>
  <c r="D87" i="28"/>
  <c r="D67" i="28"/>
  <c r="D77" i="28"/>
  <c r="D74" i="28"/>
  <c r="D41" i="28"/>
  <c r="D56" i="28"/>
  <c r="D46" i="28"/>
  <c r="D61" i="28"/>
  <c r="H69" i="37"/>
  <c r="G42" i="25"/>
  <c r="D12" i="28"/>
  <c r="D5" i="28"/>
  <c r="D92" i="28"/>
  <c r="D7" i="28"/>
  <c r="D39" i="28"/>
  <c r="D22" i="28"/>
  <c r="D43" i="28"/>
  <c r="D14" i="28"/>
  <c r="D89" i="28"/>
  <c r="D30" i="28"/>
  <c r="F24" i="40"/>
  <c r="F27" i="40"/>
  <c r="F30" i="40"/>
  <c r="F33" i="40"/>
  <c r="F29" i="40"/>
  <c r="F22" i="40"/>
  <c r="F25" i="40"/>
  <c r="F28" i="40"/>
  <c r="F31" i="40"/>
  <c r="F34" i="40"/>
  <c r="F23" i="40"/>
  <c r="F32" i="40"/>
  <c r="F26" i="40"/>
  <c r="D86" i="28"/>
  <c r="D69" i="28"/>
  <c r="D8" i="28"/>
  <c r="D71" i="28"/>
  <c r="D53" i="28"/>
  <c r="D76" i="28"/>
  <c r="D58" i="28"/>
  <c r="C22" i="40"/>
  <c r="C25" i="40"/>
  <c r="C28" i="40"/>
  <c r="C31" i="40"/>
  <c r="C34" i="40"/>
  <c r="C23" i="40"/>
  <c r="C26" i="40"/>
  <c r="C29" i="40"/>
  <c r="C32" i="40"/>
  <c r="C27" i="40"/>
  <c r="C30" i="40"/>
  <c r="C33" i="40"/>
  <c r="C24" i="40"/>
  <c r="H71" i="37"/>
  <c r="G44" i="25"/>
  <c r="H66" i="37"/>
  <c r="G39" i="25"/>
  <c r="H68" i="37"/>
  <c r="G41" i="25"/>
  <c r="D93" i="28"/>
  <c r="D31" i="28"/>
  <c r="D25" i="28"/>
  <c r="D40" i="28"/>
  <c r="D35" i="28"/>
  <c r="D45" i="28"/>
  <c r="D91" i="28"/>
  <c r="D37" i="28"/>
  <c r="D85" i="28"/>
  <c r="H65" i="37"/>
  <c r="G38" i="25"/>
  <c r="H64" i="37"/>
  <c r="H70" i="37"/>
  <c r="G43" i="25"/>
  <c r="H73" i="37"/>
  <c r="G46" i="25"/>
  <c r="D19" i="28"/>
  <c r="D70" i="28"/>
  <c r="D9" i="28"/>
  <c r="D79" i="28"/>
  <c r="D29" i="28"/>
  <c r="D68" i="28"/>
  <c r="D23" i="28"/>
  <c r="H72" i="37"/>
  <c r="G45" i="25"/>
  <c r="D33" i="28"/>
  <c r="D81" i="28"/>
  <c r="D66" i="28"/>
  <c r="D17" i="28"/>
  <c r="D26" i="28"/>
  <c r="D6" i="28"/>
  <c r="H74" i="37"/>
  <c r="G47" i="25"/>
  <c r="D51" i="28"/>
  <c r="D83" i="28"/>
  <c r="D88" i="28"/>
  <c r="D28" i="28"/>
  <c r="D54" i="28"/>
  <c r="D84" i="28"/>
  <c r="D52" i="28"/>
  <c r="D73" i="28"/>
  <c r="D75" i="28"/>
  <c r="D57" i="28"/>
  <c r="D59" i="28"/>
  <c r="D16" i="28"/>
  <c r="D49" i="28"/>
  <c r="D94" i="28"/>
  <c r="D65" i="28"/>
  <c r="D63" i="28"/>
  <c r="D27" i="28"/>
  <c r="D20" i="28"/>
  <c r="G40" i="25"/>
  <c r="D21" i="28"/>
  <c r="D11" i="28"/>
  <c r="D60" i="28"/>
  <c r="D44" i="28"/>
  <c r="D90" i="28"/>
  <c r="D47" i="28"/>
  <c r="D80" i="28"/>
  <c r="D24" i="28"/>
  <c r="H106" i="37"/>
  <c r="G48" i="25"/>
  <c r="R14" i="38"/>
  <c r="C6" i="40"/>
  <c r="D17" i="40" s="1"/>
  <c r="C7" i="40"/>
  <c r="G95" i="38"/>
  <c r="H86" i="37"/>
  <c r="F15" i="40"/>
  <c r="G32" i="25"/>
  <c r="G21" i="25"/>
  <c r="G5" i="25"/>
  <c r="G25" i="25"/>
  <c r="G13" i="25"/>
  <c r="G18" i="25"/>
  <c r="G88" i="38"/>
  <c r="F21" i="40"/>
  <c r="F20" i="40"/>
  <c r="F19" i="40"/>
  <c r="F18" i="40"/>
  <c r="F17" i="40"/>
  <c r="F16" i="40"/>
  <c r="C16" i="40"/>
  <c r="C21" i="40"/>
  <c r="C18" i="40"/>
  <c r="C20" i="40"/>
  <c r="C17" i="40"/>
  <c r="C15" i="40"/>
  <c r="C19" i="40"/>
  <c r="N8" i="37"/>
  <c r="M8" i="37"/>
  <c r="T47" i="25"/>
  <c r="H47" i="25"/>
  <c r="L47" i="23"/>
  <c r="J47" i="23"/>
  <c r="C47" i="23"/>
  <c r="C47" i="25" s="1"/>
  <c r="G61" i="38" l="1"/>
  <c r="G90" i="38"/>
  <c r="G71" i="38"/>
  <c r="F4" i="25"/>
  <c r="G125" i="38"/>
  <c r="G126" i="38"/>
  <c r="D18" i="40"/>
  <c r="H66" i="38"/>
  <c r="G14" i="25"/>
  <c r="H53" i="38"/>
  <c r="G10" i="25"/>
  <c r="H94" i="37"/>
  <c r="D22" i="40"/>
  <c r="D25" i="40"/>
  <c r="D28" i="40"/>
  <c r="D31" i="40"/>
  <c r="D34" i="40"/>
  <c r="D23" i="40"/>
  <c r="D26" i="40"/>
  <c r="D29" i="40"/>
  <c r="D32" i="40"/>
  <c r="D24" i="40"/>
  <c r="D27" i="40"/>
  <c r="D30" i="40"/>
  <c r="D33" i="40"/>
  <c r="H88" i="37"/>
  <c r="D19" i="40"/>
  <c r="H114" i="38"/>
  <c r="G26" i="25"/>
  <c r="H94" i="38"/>
  <c r="G20" i="25"/>
  <c r="H49" i="37"/>
  <c r="G22" i="25"/>
  <c r="H55" i="37"/>
  <c r="G28" i="25"/>
  <c r="H48" i="38"/>
  <c r="G7" i="25"/>
  <c r="E24" i="40"/>
  <c r="E27" i="40"/>
  <c r="E30" i="40"/>
  <c r="E33" i="40"/>
  <c r="E22" i="40"/>
  <c r="E25" i="40"/>
  <c r="E28" i="40"/>
  <c r="E31" i="40"/>
  <c r="E34" i="40"/>
  <c r="E23" i="40"/>
  <c r="E26" i="40"/>
  <c r="E29" i="40"/>
  <c r="E32" i="40"/>
  <c r="D16" i="40"/>
  <c r="D21" i="40"/>
  <c r="H75" i="38"/>
  <c r="G6" i="25"/>
  <c r="H61" i="37"/>
  <c r="G34" i="25"/>
  <c r="H95" i="37"/>
  <c r="H50" i="37"/>
  <c r="G23" i="25"/>
  <c r="H105" i="38"/>
  <c r="G30" i="25"/>
  <c r="H78" i="38"/>
  <c r="G15" i="25"/>
  <c r="H93" i="38"/>
  <c r="G12" i="25"/>
  <c r="H43" i="37"/>
  <c r="G16" i="25"/>
  <c r="H56" i="37"/>
  <c r="G29" i="25"/>
  <c r="D15" i="40"/>
  <c r="H54" i="37"/>
  <c r="G27" i="25"/>
  <c r="H38" i="37"/>
  <c r="G11" i="25"/>
  <c r="H51" i="37"/>
  <c r="G24" i="25"/>
  <c r="H55" i="38"/>
  <c r="G8" i="25"/>
  <c r="H63" i="38"/>
  <c r="G19" i="25"/>
  <c r="D20" i="40"/>
  <c r="H128" i="38"/>
  <c r="G31" i="25"/>
  <c r="H96" i="37"/>
  <c r="H92" i="37"/>
  <c r="H120" i="38"/>
  <c r="G35" i="25"/>
  <c r="H91" i="37"/>
  <c r="E16" i="40"/>
  <c r="E15" i="40"/>
  <c r="H110" i="38"/>
  <c r="C96" i="38"/>
  <c r="C109" i="38"/>
  <c r="C136" i="38"/>
  <c r="C113" i="38"/>
  <c r="C129" i="38"/>
  <c r="C119" i="38"/>
  <c r="H57" i="37"/>
  <c r="H62" i="37"/>
  <c r="H130" i="38"/>
  <c r="C126" i="38"/>
  <c r="G36" i="38"/>
  <c r="G60" i="38"/>
  <c r="H95" i="38"/>
  <c r="H46" i="37"/>
  <c r="H137" i="38"/>
  <c r="H39" i="37"/>
  <c r="H73" i="38"/>
  <c r="H92" i="38"/>
  <c r="H135" i="38"/>
  <c r="H107" i="38"/>
  <c r="H35" i="37"/>
  <c r="H83" i="37"/>
  <c r="H47" i="37"/>
  <c r="G51" i="38"/>
  <c r="G29" i="38"/>
  <c r="G44" i="38"/>
  <c r="G77" i="38"/>
  <c r="H84" i="37"/>
  <c r="H34" i="38"/>
  <c r="H117" i="38"/>
  <c r="H58" i="37"/>
  <c r="H115" i="38"/>
  <c r="H106" i="38"/>
  <c r="G31" i="38"/>
  <c r="H123" i="38"/>
  <c r="M9" i="37" a="1"/>
  <c r="M9" i="37" s="1"/>
  <c r="H33" i="37"/>
  <c r="H53" i="37"/>
  <c r="H108" i="38"/>
  <c r="H84" i="38"/>
  <c r="H97" i="38"/>
  <c r="H81" i="38"/>
  <c r="H39" i="38"/>
  <c r="H8" i="38" s="1"/>
  <c r="H46" i="38"/>
  <c r="H42" i="37"/>
  <c r="H65" i="38"/>
  <c r="H125" i="38"/>
  <c r="H43" i="38"/>
  <c r="H57" i="38"/>
  <c r="H12" i="38" s="1"/>
  <c r="H99" i="38"/>
  <c r="H133" i="38"/>
  <c r="H70" i="38"/>
  <c r="H37" i="37"/>
  <c r="H85" i="37"/>
  <c r="H83" i="38"/>
  <c r="H104" i="38"/>
  <c r="H67" i="38"/>
  <c r="H87" i="38"/>
  <c r="H116" i="38"/>
  <c r="H127" i="38"/>
  <c r="H40" i="38"/>
  <c r="H47" i="38"/>
  <c r="H30" i="38"/>
  <c r="N7" i="37" a="1"/>
  <c r="N7" i="37" s="1"/>
  <c r="E17" i="40"/>
  <c r="C61" i="38"/>
  <c r="C38" i="38"/>
  <c r="E18" i="40"/>
  <c r="C91" i="38"/>
  <c r="C131" i="38"/>
  <c r="C125" i="38"/>
  <c r="C122" i="38"/>
  <c r="C127" i="38"/>
  <c r="C100" i="38"/>
  <c r="E20" i="40"/>
  <c r="C132" i="38"/>
  <c r="C53" i="38"/>
  <c r="C47" i="38"/>
  <c r="C85" i="38"/>
  <c r="E19" i="40"/>
  <c r="C95" i="38"/>
  <c r="C78" i="38"/>
  <c r="C103" i="38"/>
  <c r="C46" i="38"/>
  <c r="C130" i="38"/>
  <c r="C93" i="38"/>
  <c r="C123" i="38"/>
  <c r="C137" i="38"/>
  <c r="C92" i="38"/>
  <c r="H69" i="38"/>
  <c r="C34" i="38"/>
  <c r="C59" i="38"/>
  <c r="C44" i="38"/>
  <c r="C135" i="38"/>
  <c r="C45" i="38"/>
  <c r="C117" i="38"/>
  <c r="E21" i="40"/>
  <c r="C133" i="38"/>
  <c r="C64" i="38"/>
  <c r="H50" i="38"/>
  <c r="H111" i="38"/>
  <c r="H82" i="37"/>
  <c r="H78" i="37"/>
  <c r="H79" i="37"/>
  <c r="H80" i="37"/>
  <c r="H81" i="37"/>
  <c r="H122" i="38"/>
  <c r="H33" i="38"/>
  <c r="H56" i="38"/>
  <c r="H41" i="38"/>
  <c r="H98" i="38"/>
  <c r="H59" i="38"/>
  <c r="H74" i="38"/>
  <c r="H28" i="38"/>
  <c r="H34" i="37"/>
  <c r="H90" i="37"/>
  <c r="H103" i="38"/>
  <c r="H41" i="37"/>
  <c r="H79" i="38"/>
  <c r="H85" i="38"/>
  <c r="H124" i="38"/>
  <c r="C120" i="38"/>
  <c r="G120" i="38"/>
  <c r="G130" i="38"/>
  <c r="G129" i="38"/>
  <c r="G119" i="38"/>
  <c r="H60" i="37"/>
  <c r="H119" i="38"/>
  <c r="H129" i="38"/>
  <c r="G132" i="38"/>
  <c r="G118" i="38"/>
  <c r="H59" i="37"/>
  <c r="H118" i="38"/>
  <c r="H132" i="38"/>
  <c r="C118" i="38"/>
  <c r="G106" i="38"/>
  <c r="G115" i="38"/>
  <c r="G123" i="38"/>
  <c r="G128" i="38"/>
  <c r="C115" i="38"/>
  <c r="C128" i="38"/>
  <c r="C106" i="38"/>
  <c r="G105" i="38"/>
  <c r="G117" i="38"/>
  <c r="C105" i="38"/>
  <c r="G116" i="38"/>
  <c r="G127" i="38"/>
  <c r="G104" i="38"/>
  <c r="C104" i="38"/>
  <c r="C116" i="38"/>
  <c r="H121" i="38"/>
  <c r="H101" i="38"/>
  <c r="H102" i="38"/>
  <c r="H131" i="38"/>
  <c r="G101" i="38"/>
  <c r="G102" i="38"/>
  <c r="G131" i="38"/>
  <c r="G121" i="38"/>
  <c r="C121" i="38"/>
  <c r="C101" i="38"/>
  <c r="C102" i="38"/>
  <c r="G103" i="38"/>
  <c r="G111" i="38"/>
  <c r="C111" i="38"/>
  <c r="G114" i="38"/>
  <c r="G99" i="38"/>
  <c r="G133" i="38"/>
  <c r="C99" i="38"/>
  <c r="C114" i="38"/>
  <c r="H52" i="37"/>
  <c r="H112" i="38"/>
  <c r="H100" i="38"/>
  <c r="H134" i="38"/>
  <c r="G112" i="38"/>
  <c r="G100" i="38"/>
  <c r="G134" i="38"/>
  <c r="C134" i="38"/>
  <c r="C112" i="38"/>
  <c r="G122" i="38"/>
  <c r="G98" i="38"/>
  <c r="C98" i="38"/>
  <c r="C108" i="38"/>
  <c r="G97" i="38"/>
  <c r="G135" i="38"/>
  <c r="G108" i="38"/>
  <c r="C97" i="38"/>
  <c r="H96" i="38"/>
  <c r="H109" i="38"/>
  <c r="H136" i="38"/>
  <c r="H113" i="38"/>
  <c r="H48" i="37"/>
  <c r="G113" i="38"/>
  <c r="G96" i="38"/>
  <c r="G109" i="38"/>
  <c r="G136" i="38"/>
  <c r="G110" i="38"/>
  <c r="G137" i="38"/>
  <c r="G94" i="38"/>
  <c r="G107" i="38"/>
  <c r="C110" i="38"/>
  <c r="C73" i="38"/>
  <c r="C63" i="38"/>
  <c r="G63" i="38"/>
  <c r="G73" i="38"/>
  <c r="G92" i="38"/>
  <c r="H45" i="37"/>
  <c r="H126" i="38"/>
  <c r="G62" i="38"/>
  <c r="G72" i="38"/>
  <c r="G89" i="38"/>
  <c r="G91" i="38"/>
  <c r="C72" i="38"/>
  <c r="H44" i="37"/>
  <c r="H62" i="38"/>
  <c r="H72" i="38"/>
  <c r="H89" i="38"/>
  <c r="H91" i="38"/>
  <c r="C62" i="38"/>
  <c r="C89" i="38"/>
  <c r="C88" i="38"/>
  <c r="C90" i="38"/>
  <c r="H90" i="38"/>
  <c r="H61" i="38"/>
  <c r="H88" i="38"/>
  <c r="H71" i="38"/>
  <c r="C71" i="38"/>
  <c r="G65" i="38"/>
  <c r="G78" i="38"/>
  <c r="G84" i="38"/>
  <c r="C84" i="38"/>
  <c r="C65" i="38"/>
  <c r="C124" i="38"/>
  <c r="C66" i="38"/>
  <c r="C79" i="38"/>
  <c r="G79" i="38"/>
  <c r="G85" i="38"/>
  <c r="G124" i="38"/>
  <c r="G66" i="38"/>
  <c r="H40" i="37"/>
  <c r="H58" i="38"/>
  <c r="H80" i="38"/>
  <c r="H86" i="38"/>
  <c r="H64" i="38"/>
  <c r="C80" i="38"/>
  <c r="C58" i="38"/>
  <c r="G86" i="38"/>
  <c r="G64" i="38"/>
  <c r="G58" i="38"/>
  <c r="G80" i="38"/>
  <c r="C86" i="38"/>
  <c r="C83" i="38"/>
  <c r="C57" i="38"/>
  <c r="C12" i="38" s="1"/>
  <c r="G57" i="38"/>
  <c r="G12" i="38" s="1"/>
  <c r="G93" i="38"/>
  <c r="G83" i="38"/>
  <c r="G69" i="38"/>
  <c r="C69" i="38"/>
  <c r="C87" i="38"/>
  <c r="G67" i="38"/>
  <c r="G87" i="38"/>
  <c r="G40" i="38"/>
  <c r="G47" i="38"/>
  <c r="C67" i="38"/>
  <c r="C40" i="38"/>
  <c r="G81" i="38"/>
  <c r="G70" i="38"/>
  <c r="G53" i="38"/>
  <c r="C81" i="38"/>
  <c r="C70" i="38"/>
  <c r="G45" i="38"/>
  <c r="G82" i="38"/>
  <c r="G52" i="38"/>
  <c r="G68" i="38"/>
  <c r="G54" i="38"/>
  <c r="H45" i="38"/>
  <c r="H82" i="38"/>
  <c r="H52" i="38"/>
  <c r="H68" i="38"/>
  <c r="H54" i="38"/>
  <c r="C82" i="38"/>
  <c r="C68" i="38"/>
  <c r="H36" i="37"/>
  <c r="C52" i="38"/>
  <c r="C54" i="38"/>
  <c r="C39" i="38"/>
  <c r="C8" i="38" s="1"/>
  <c r="C55" i="38"/>
  <c r="G55" i="38"/>
  <c r="G39" i="38"/>
  <c r="G8" i="38" s="1"/>
  <c r="G46" i="38"/>
  <c r="C41" i="38"/>
  <c r="C56" i="38"/>
  <c r="C30" i="38"/>
  <c r="C48" i="38"/>
  <c r="C33" i="38"/>
  <c r="G30" i="38"/>
  <c r="G33" i="38"/>
  <c r="G56" i="38"/>
  <c r="G41" i="38"/>
  <c r="G59" i="38"/>
  <c r="G74" i="38"/>
  <c r="G28" i="38"/>
  <c r="G48" i="38"/>
  <c r="C74" i="38"/>
  <c r="C43" i="38"/>
  <c r="C50" i="38"/>
  <c r="C75" i="38"/>
  <c r="G75" i="38"/>
  <c r="G50" i="38"/>
  <c r="G43" i="38"/>
  <c r="G34" i="38"/>
  <c r="G49" i="38"/>
  <c r="G35" i="38"/>
  <c r="G76" i="38"/>
  <c r="G38" i="38"/>
  <c r="G7" i="38" s="1"/>
  <c r="G42" i="38"/>
  <c r="G32" i="38"/>
  <c r="C76" i="38"/>
  <c r="C42" i="38"/>
  <c r="C32" i="38"/>
  <c r="C35" i="38"/>
  <c r="C49" i="38"/>
  <c r="H32" i="37"/>
  <c r="H42" i="38"/>
  <c r="H32" i="38"/>
  <c r="H49" i="38"/>
  <c r="H35" i="38"/>
  <c r="H76" i="38"/>
  <c r="H38" i="38"/>
  <c r="H31" i="37"/>
  <c r="H37" i="38"/>
  <c r="H51" i="38"/>
  <c r="H29" i="38"/>
  <c r="H77" i="38"/>
  <c r="H31" i="38"/>
  <c r="H44" i="38"/>
  <c r="H36" i="38"/>
  <c r="H60" i="38"/>
  <c r="C94" i="38"/>
  <c r="C107" i="38"/>
  <c r="C31" i="38"/>
  <c r="C60" i="38"/>
  <c r="C51" i="38"/>
  <c r="C36" i="38"/>
  <c r="C37" i="38"/>
  <c r="C77" i="38"/>
  <c r="C29" i="38"/>
  <c r="M7" i="37" a="1"/>
  <c r="M7" i="37" s="1"/>
  <c r="H76" i="37"/>
  <c r="H75" i="37"/>
  <c r="N6" i="37" s="1" a="1"/>
  <c r="N6" i="37" s="1"/>
  <c r="T48" i="25"/>
  <c r="K48" i="23"/>
  <c r="J48" i="23"/>
  <c r="C48" i="23"/>
  <c r="C48" i="25" s="1"/>
  <c r="G4" i="38" l="1"/>
  <c r="H101" i="37"/>
  <c r="H97" i="37"/>
  <c r="P8" i="38"/>
  <c r="H77" i="37"/>
  <c r="H89" i="37"/>
  <c r="H100" i="37"/>
  <c r="N11" i="37"/>
  <c r="H98" i="37"/>
  <c r="H99" i="37"/>
  <c r="Q14" i="38"/>
  <c r="C7" i="38"/>
  <c r="H18" i="38"/>
  <c r="H11" i="38"/>
  <c r="H4" i="38"/>
  <c r="N9" i="37" a="1"/>
  <c r="N9" i="37" s="1"/>
  <c r="G18" i="38"/>
  <c r="H21" i="38"/>
  <c r="M6" i="37" a="1"/>
  <c r="M6" i="37" s="1"/>
  <c r="C13" i="38"/>
  <c r="H20" i="38"/>
  <c r="G14" i="38"/>
  <c r="H6" i="38"/>
  <c r="H15" i="38"/>
  <c r="G5" i="38"/>
  <c r="G13" i="38"/>
  <c r="H19" i="38"/>
  <c r="G22" i="38"/>
  <c r="H9" i="38"/>
  <c r="H14" i="38"/>
  <c r="G23" i="38"/>
  <c r="H10" i="38"/>
  <c r="H5" i="38"/>
  <c r="G20" i="38"/>
  <c r="G6" i="38"/>
  <c r="G9" i="38"/>
  <c r="H16" i="38"/>
  <c r="H7" i="38"/>
  <c r="G15" i="38"/>
  <c r="G19" i="38"/>
  <c r="G16" i="38"/>
  <c r="G21" i="38"/>
  <c r="H23" i="38"/>
  <c r="G11" i="38"/>
  <c r="G17" i="38"/>
  <c r="G10" i="38"/>
  <c r="H17" i="38"/>
  <c r="H13" i="38"/>
  <c r="H22" i="38"/>
  <c r="C5" i="38"/>
  <c r="C11" i="38"/>
  <c r="C4" i="38"/>
  <c r="C18" i="38"/>
  <c r="C6" i="38"/>
  <c r="C23" i="38"/>
  <c r="C9" i="38"/>
  <c r="C20" i="38"/>
  <c r="C19" i="38"/>
  <c r="C17" i="38"/>
  <c r="C22" i="38"/>
  <c r="C10" i="38"/>
  <c r="C21" i="38"/>
  <c r="P14" i="38" l="1"/>
  <c r="I12" i="38" s="1"/>
  <c r="M11" i="37"/>
  <c r="M16" i="37" s="1"/>
  <c r="M10" i="37"/>
  <c r="N12" i="37" s="1"/>
  <c r="N10" i="37"/>
  <c r="M12" i="37" s="1"/>
  <c r="T13" i="25"/>
  <c r="T14" i="25"/>
  <c r="T15" i="25"/>
  <c r="T16" i="25"/>
  <c r="T17" i="25"/>
  <c r="T18" i="25"/>
  <c r="T19" i="25"/>
  <c r="T20" i="25"/>
  <c r="T21" i="25"/>
  <c r="T22" i="25"/>
  <c r="T23" i="25"/>
  <c r="T24" i="25"/>
  <c r="T25" i="25"/>
  <c r="T26" i="25"/>
  <c r="T27" i="25"/>
  <c r="T28" i="25"/>
  <c r="T29" i="25"/>
  <c r="T30" i="25"/>
  <c r="T31" i="25"/>
  <c r="T32" i="25"/>
  <c r="T33" i="25"/>
  <c r="T34" i="25"/>
  <c r="T35" i="25"/>
  <c r="H36" i="25"/>
  <c r="H38" i="25"/>
  <c r="H39" i="25"/>
  <c r="H40" i="25"/>
  <c r="H41" i="25"/>
  <c r="H42" i="25"/>
  <c r="H43" i="25"/>
  <c r="H44" i="25"/>
  <c r="H45" i="25"/>
  <c r="H46" i="25"/>
  <c r="H20" i="25"/>
  <c r="H21" i="25"/>
  <c r="H22" i="25"/>
  <c r="H23" i="25"/>
  <c r="H24" i="25"/>
  <c r="H25" i="25"/>
  <c r="H26" i="25"/>
  <c r="H27" i="25"/>
  <c r="H28" i="25"/>
  <c r="H29" i="25"/>
  <c r="H30" i="25"/>
  <c r="H31" i="25"/>
  <c r="H32" i="25"/>
  <c r="H33" i="25"/>
  <c r="H34" i="25"/>
  <c r="H35" i="25"/>
  <c r="H5" i="25"/>
  <c r="H6" i="25"/>
  <c r="H7" i="25"/>
  <c r="H8" i="25"/>
  <c r="H9" i="25"/>
  <c r="H10" i="25"/>
  <c r="H11" i="25"/>
  <c r="H12" i="25"/>
  <c r="H13" i="25"/>
  <c r="H14" i="25"/>
  <c r="H15" i="25"/>
  <c r="H16" i="25"/>
  <c r="H17" i="25"/>
  <c r="H18" i="25"/>
  <c r="H19" i="25"/>
  <c r="H4" i="25"/>
  <c r="J20" i="23"/>
  <c r="K20" i="23"/>
  <c r="L20" i="23"/>
  <c r="J21" i="23"/>
  <c r="K21" i="23"/>
  <c r="L21" i="23"/>
  <c r="J22" i="23"/>
  <c r="K22" i="23"/>
  <c r="L22" i="23"/>
  <c r="J23" i="23"/>
  <c r="K23" i="23"/>
  <c r="L23" i="23"/>
  <c r="J24" i="23"/>
  <c r="K24" i="23"/>
  <c r="L24" i="23"/>
  <c r="J25" i="23"/>
  <c r="K25" i="23"/>
  <c r="L25" i="23"/>
  <c r="J26" i="23"/>
  <c r="K26" i="23"/>
  <c r="L26" i="23"/>
  <c r="J27" i="23"/>
  <c r="K27" i="23"/>
  <c r="L27" i="23"/>
  <c r="J28" i="23"/>
  <c r="K28" i="23"/>
  <c r="L28" i="23"/>
  <c r="J29" i="23"/>
  <c r="K29" i="23"/>
  <c r="L29" i="23"/>
  <c r="J30" i="23"/>
  <c r="K30" i="23"/>
  <c r="L30" i="23"/>
  <c r="J31" i="23"/>
  <c r="K31" i="23"/>
  <c r="L31" i="23"/>
  <c r="J32" i="23"/>
  <c r="K32" i="23"/>
  <c r="L32" i="23"/>
  <c r="J33" i="23"/>
  <c r="K33" i="23"/>
  <c r="L33" i="23"/>
  <c r="J34" i="23"/>
  <c r="K34" i="23"/>
  <c r="L34" i="23"/>
  <c r="J35" i="23"/>
  <c r="K35" i="23"/>
  <c r="L35" i="23"/>
  <c r="C20" i="23"/>
  <c r="C20" i="25" s="1"/>
  <c r="C21" i="23"/>
  <c r="C21" i="25" s="1"/>
  <c r="C22" i="23"/>
  <c r="C22" i="25" s="1"/>
  <c r="C23" i="23"/>
  <c r="C23" i="25" s="1"/>
  <c r="C24" i="23"/>
  <c r="C24" i="25" s="1"/>
  <c r="C25" i="23"/>
  <c r="C25" i="25" s="1"/>
  <c r="C26" i="23"/>
  <c r="C26" i="25" s="1"/>
  <c r="C27" i="23"/>
  <c r="C27" i="25" s="1"/>
  <c r="C28" i="23"/>
  <c r="C28" i="25" s="1"/>
  <c r="C29" i="23"/>
  <c r="C29" i="25" s="1"/>
  <c r="C30" i="23"/>
  <c r="C30" i="25" s="1"/>
  <c r="C31" i="23"/>
  <c r="C31" i="25" s="1"/>
  <c r="C32" i="23"/>
  <c r="C32" i="25" s="1"/>
  <c r="C33" i="23"/>
  <c r="C33" i="25" s="1"/>
  <c r="C34" i="23"/>
  <c r="C34" i="25" s="1"/>
  <c r="C35" i="23"/>
  <c r="C35" i="25" s="1"/>
  <c r="I5" i="38" l="1"/>
  <c r="I22" i="38"/>
  <c r="I14" i="38"/>
  <c r="I13" i="38"/>
  <c r="I23" i="38"/>
  <c r="I18" i="38"/>
  <c r="I9" i="38"/>
  <c r="I19" i="38"/>
  <c r="I11" i="38"/>
  <c r="I10" i="38"/>
  <c r="I15" i="38"/>
  <c r="I4" i="38"/>
  <c r="I6" i="38"/>
  <c r="I7" i="38"/>
  <c r="M17" i="37"/>
  <c r="I8" i="38"/>
  <c r="I16" i="38"/>
  <c r="I17" i="38"/>
  <c r="I21" i="38"/>
  <c r="I20" i="38"/>
  <c r="M18" i="37"/>
  <c r="L46" i="23"/>
  <c r="T44" i="25" l="1"/>
  <c r="T45" i="25"/>
  <c r="T46" i="25"/>
  <c r="C45" i="23"/>
  <c r="C45" i="25" s="1"/>
  <c r="J45" i="23"/>
  <c r="K45" i="23"/>
  <c r="L45" i="23"/>
  <c r="C46" i="23"/>
  <c r="C46" i="25" s="1"/>
  <c r="J46" i="23"/>
  <c r="K46" i="23"/>
  <c r="C44" i="23" l="1"/>
  <c r="C44" i="25" s="1"/>
  <c r="J44" i="23"/>
  <c r="K44" i="23"/>
  <c r="L44" i="23"/>
  <c r="T43" i="25" l="1"/>
  <c r="T42" i="25"/>
  <c r="T41" i="25"/>
  <c r="T40" i="25"/>
  <c r="T39" i="25"/>
  <c r="T38" i="25"/>
  <c r="T37" i="25"/>
  <c r="T36" i="25"/>
  <c r="L43" i="23"/>
  <c r="L42" i="23"/>
  <c r="L41" i="23"/>
  <c r="L40" i="23"/>
  <c r="L39" i="23"/>
  <c r="L38" i="23"/>
  <c r="L37" i="23"/>
  <c r="L36" i="23"/>
  <c r="L66" i="23"/>
  <c r="L65" i="23"/>
  <c r="L64" i="23"/>
  <c r="L63" i="23"/>
  <c r="L62" i="23"/>
  <c r="L61" i="23"/>
  <c r="L60" i="23"/>
  <c r="L59" i="23"/>
  <c r="L58" i="23"/>
  <c r="L57" i="23"/>
  <c r="L56" i="23"/>
  <c r="L55" i="23"/>
  <c r="L54" i="23"/>
  <c r="L53" i="23"/>
  <c r="L52" i="23"/>
  <c r="L51" i="23"/>
  <c r="L50" i="23"/>
  <c r="L49" i="23"/>
  <c r="L19" i="23"/>
  <c r="L18" i="23"/>
  <c r="L17" i="23"/>
  <c r="L16" i="23"/>
  <c r="L15" i="23"/>
  <c r="L14" i="23"/>
  <c r="L13" i="23"/>
  <c r="L12" i="23"/>
  <c r="L11" i="23"/>
  <c r="L10" i="23"/>
  <c r="L9" i="23"/>
  <c r="L8" i="23"/>
  <c r="L7" i="23"/>
  <c r="L6" i="23"/>
  <c r="L5" i="23"/>
  <c r="L4" i="23"/>
  <c r="K43" i="23"/>
  <c r="J43" i="23"/>
  <c r="C43" i="23"/>
  <c r="C43" i="25" s="1"/>
  <c r="K42" i="23"/>
  <c r="J42" i="23"/>
  <c r="C42" i="23"/>
  <c r="C42" i="25" s="1"/>
  <c r="K41" i="23"/>
  <c r="J41" i="23"/>
  <c r="C41" i="23"/>
  <c r="C41" i="25" s="1"/>
  <c r="K40" i="23"/>
  <c r="J40" i="23"/>
  <c r="C40" i="23"/>
  <c r="C40" i="25" s="1"/>
  <c r="K39" i="23"/>
  <c r="J39" i="23"/>
  <c r="C39" i="23"/>
  <c r="C39" i="25" s="1"/>
  <c r="K38" i="23"/>
  <c r="J38" i="23"/>
  <c r="C38" i="23"/>
  <c r="C38" i="25" s="1"/>
  <c r="K37" i="23"/>
  <c r="J37" i="23"/>
  <c r="C37" i="23"/>
  <c r="C37" i="25" s="1"/>
  <c r="K36" i="23"/>
  <c r="J36" i="23"/>
  <c r="C36" i="23"/>
  <c r="C36" i="25" s="1"/>
  <c r="F19" i="24"/>
  <c r="J60" i="23"/>
  <c r="K60" i="23"/>
  <c r="J61" i="23"/>
  <c r="K61" i="23"/>
  <c r="J62" i="23"/>
  <c r="K62" i="23"/>
  <c r="J63" i="23"/>
  <c r="K63" i="23"/>
  <c r="J64" i="23"/>
  <c r="K64" i="23"/>
  <c r="C59" i="23"/>
  <c r="C60" i="23"/>
  <c r="C61" i="23"/>
  <c r="C62" i="23"/>
  <c r="F5" i="24" l="1"/>
  <c r="F6" i="24"/>
  <c r="F7" i="24"/>
  <c r="F8" i="24"/>
  <c r="F16" i="24"/>
  <c r="F17" i="24"/>
  <c r="F4" i="24"/>
  <c r="T5" i="25" l="1"/>
  <c r="T6" i="25"/>
  <c r="T7" i="25"/>
  <c r="T8" i="25"/>
  <c r="T9" i="25"/>
  <c r="T10" i="25"/>
  <c r="T11" i="25"/>
  <c r="T12" i="25"/>
  <c r="T4" i="25"/>
  <c r="A5" i="25"/>
  <c r="A6" i="25" s="1"/>
  <c r="A7" i="25" s="1"/>
  <c r="A8" i="25" s="1"/>
  <c r="A9" i="25" s="1"/>
  <c r="A10" i="25" s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38" i="25" s="1"/>
  <c r="A39" i="25" s="1"/>
  <c r="A40" i="25" s="1"/>
  <c r="A41" i="25" s="1"/>
  <c r="A42" i="25" s="1"/>
  <c r="A43" i="25" s="1"/>
  <c r="A44" i="25" s="1"/>
  <c r="A45" i="25" s="1"/>
  <c r="A46" i="25" s="1"/>
  <c r="A47" i="25" s="1"/>
  <c r="A48" i="25" s="1"/>
  <c r="A49" i="25" s="1"/>
  <c r="J13" i="23"/>
  <c r="K13" i="23"/>
  <c r="J14" i="23"/>
  <c r="K14" i="23"/>
  <c r="J15" i="23"/>
  <c r="K15" i="23"/>
  <c r="J16" i="23"/>
  <c r="K16" i="23"/>
  <c r="J17" i="23"/>
  <c r="K17" i="23"/>
  <c r="J18" i="23"/>
  <c r="K18" i="23"/>
  <c r="J19" i="23"/>
  <c r="K19" i="23"/>
  <c r="C13" i="23"/>
  <c r="C13" i="25" s="1"/>
  <c r="C14" i="23"/>
  <c r="C14" i="25" s="1"/>
  <c r="C15" i="23"/>
  <c r="C15" i="25" s="1"/>
  <c r="C16" i="23"/>
  <c r="C16" i="25" s="1"/>
  <c r="C17" i="23"/>
  <c r="C17" i="25" s="1"/>
  <c r="C18" i="23"/>
  <c r="C18" i="25" s="1"/>
  <c r="C19" i="23"/>
  <c r="C19" i="25" s="1"/>
  <c r="C49" i="23"/>
  <c r="J49" i="23"/>
  <c r="K49" i="23"/>
  <c r="C50" i="23"/>
  <c r="J50" i="23"/>
  <c r="K50" i="23"/>
  <c r="C51" i="23"/>
  <c r="J51" i="23"/>
  <c r="K51" i="23"/>
  <c r="C52" i="23"/>
  <c r="J52" i="23"/>
  <c r="K52" i="23"/>
  <c r="C53" i="23"/>
  <c r="J53" i="23"/>
  <c r="K53" i="23"/>
  <c r="C54" i="23"/>
  <c r="J54" i="23"/>
  <c r="K54" i="23"/>
  <c r="C55" i="23"/>
  <c r="J55" i="23"/>
  <c r="K55" i="23"/>
  <c r="B49" i="25" l="1"/>
  <c r="A50" i="25"/>
  <c r="A51" i="25" l="1"/>
  <c r="B50" i="25"/>
  <c r="J49" i="25"/>
  <c r="U49" i="25"/>
  <c r="T49" i="25"/>
  <c r="O49" i="25"/>
  <c r="D49" i="25"/>
  <c r="F49" i="25" s="1"/>
  <c r="I49" i="25"/>
  <c r="H49" i="25"/>
  <c r="C49" i="25"/>
  <c r="C5" i="23"/>
  <c r="C5" i="25" s="1"/>
  <c r="C6" i="23"/>
  <c r="C6" i="25" s="1"/>
  <c r="C7" i="23"/>
  <c r="C7" i="25" s="1"/>
  <c r="C8" i="23"/>
  <c r="C8" i="25" s="1"/>
  <c r="C9" i="23"/>
  <c r="C9" i="25" s="1"/>
  <c r="C10" i="23"/>
  <c r="C10" i="25" s="1"/>
  <c r="C11" i="23"/>
  <c r="C11" i="25" s="1"/>
  <c r="C12" i="23"/>
  <c r="C12" i="25" s="1"/>
  <c r="C56" i="23"/>
  <c r="C57" i="23"/>
  <c r="C58" i="23"/>
  <c r="C4" i="23"/>
  <c r="C4" i="25" s="1"/>
  <c r="K58" i="23"/>
  <c r="K59" i="23"/>
  <c r="J58" i="23"/>
  <c r="J59" i="23"/>
  <c r="K8" i="23"/>
  <c r="K9" i="23"/>
  <c r="K10" i="23"/>
  <c r="K11" i="23"/>
  <c r="K12" i="23"/>
  <c r="J8" i="23"/>
  <c r="J9" i="23"/>
  <c r="J10" i="23"/>
  <c r="J11" i="23"/>
  <c r="J12" i="23"/>
  <c r="G49" i="25" l="1"/>
  <c r="N49" i="25"/>
  <c r="M49" i="25"/>
  <c r="J50" i="25"/>
  <c r="U50" i="25"/>
  <c r="T50" i="25"/>
  <c r="H50" i="25"/>
  <c r="O50" i="25"/>
  <c r="D50" i="25"/>
  <c r="I50" i="25"/>
  <c r="C50" i="25"/>
  <c r="E49" i="25"/>
  <c r="A52" i="25"/>
  <c r="B51" i="25"/>
  <c r="K57" i="23"/>
  <c r="J57" i="23"/>
  <c r="J51" i="25" l="1"/>
  <c r="U51" i="25"/>
  <c r="T51" i="25"/>
  <c r="H51" i="25"/>
  <c r="D51" i="25"/>
  <c r="O51" i="25"/>
  <c r="I51" i="25"/>
  <c r="C51" i="25"/>
  <c r="N50" i="25"/>
  <c r="M50" i="25"/>
  <c r="E50" i="25"/>
  <c r="G50" i="25"/>
  <c r="A53" i="25"/>
  <c r="B52" i="25"/>
  <c r="F50" i="25"/>
  <c r="K5" i="23"/>
  <c r="K6" i="23"/>
  <c r="K7" i="23"/>
  <c r="K56" i="23"/>
  <c r="K4" i="23"/>
  <c r="J52" i="25" l="1"/>
  <c r="U52" i="25"/>
  <c r="T52" i="25"/>
  <c r="H52" i="25"/>
  <c r="O52" i="25"/>
  <c r="D52" i="25"/>
  <c r="F52" i="25" s="1"/>
  <c r="I52" i="25"/>
  <c r="C52" i="25"/>
  <c r="N51" i="25"/>
  <c r="M51" i="25"/>
  <c r="A54" i="25"/>
  <c r="B53" i="25"/>
  <c r="G51" i="25"/>
  <c r="F51" i="25"/>
  <c r="E51" i="25"/>
  <c r="J56" i="23"/>
  <c r="E52" i="25" l="1"/>
  <c r="G52" i="25"/>
  <c r="J53" i="25"/>
  <c r="U53" i="25"/>
  <c r="H53" i="25"/>
  <c r="T53" i="25"/>
  <c r="O53" i="25"/>
  <c r="D53" i="25"/>
  <c r="F53" i="25" s="1"/>
  <c r="I53" i="25"/>
  <c r="C53" i="25"/>
  <c r="A55" i="25"/>
  <c r="B54" i="25"/>
  <c r="N52" i="25"/>
  <c r="M52" i="25"/>
  <c r="J5" i="23"/>
  <c r="J6" i="23"/>
  <c r="J7" i="23"/>
  <c r="J4" i="23"/>
  <c r="N53" i="25" l="1"/>
  <c r="M53" i="25"/>
  <c r="A56" i="25"/>
  <c r="B55" i="25"/>
  <c r="J54" i="25"/>
  <c r="U54" i="25"/>
  <c r="T54" i="25"/>
  <c r="H54" i="25"/>
  <c r="O54" i="25"/>
  <c r="D54" i="25"/>
  <c r="I54" i="25"/>
  <c r="C54" i="25"/>
  <c r="E53" i="25"/>
  <c r="G53" i="25"/>
  <c r="C14" i="38"/>
  <c r="N54" i="25" l="1"/>
  <c r="M54" i="25"/>
  <c r="E54" i="25"/>
  <c r="J55" i="25"/>
  <c r="U55" i="25"/>
  <c r="T55" i="25"/>
  <c r="H55" i="25"/>
  <c r="O55" i="25"/>
  <c r="D55" i="25"/>
  <c r="E55" i="25" s="1"/>
  <c r="I55" i="25"/>
  <c r="C55" i="25"/>
  <c r="B56" i="25"/>
  <c r="A57" i="25"/>
  <c r="F54" i="25"/>
  <c r="G54" i="25"/>
  <c r="C16" i="38"/>
  <c r="C15" i="38"/>
  <c r="J56" i="25" l="1"/>
  <c r="U56" i="25"/>
  <c r="T56" i="25"/>
  <c r="H56" i="25"/>
  <c r="D56" i="25"/>
  <c r="F56" i="25" s="1"/>
  <c r="O56" i="25"/>
  <c r="I56" i="25"/>
  <c r="C56" i="25"/>
  <c r="B57" i="25"/>
  <c r="A58" i="25"/>
  <c r="N55" i="25"/>
  <c r="M55" i="25"/>
  <c r="G55" i="25"/>
  <c r="F55" i="25"/>
  <c r="E56" i="25" l="1"/>
  <c r="G56" i="25"/>
  <c r="A59" i="25"/>
  <c r="B58" i="25"/>
  <c r="J57" i="25"/>
  <c r="U57" i="25"/>
  <c r="T57" i="25"/>
  <c r="H57" i="25"/>
  <c r="O57" i="25"/>
  <c r="D57" i="25"/>
  <c r="I57" i="25"/>
  <c r="C57" i="25"/>
  <c r="N56" i="25"/>
  <c r="M56" i="25"/>
  <c r="N57" i="25" l="1"/>
  <c r="M57" i="25"/>
  <c r="F57" i="25"/>
  <c r="E57" i="25"/>
  <c r="J58" i="25"/>
  <c r="U58" i="25"/>
  <c r="H58" i="25"/>
  <c r="O58" i="25"/>
  <c r="D58" i="25"/>
  <c r="E58" i="25" s="1"/>
  <c r="T58" i="25"/>
  <c r="I58" i="25"/>
  <c r="C58" i="25"/>
  <c r="G57" i="25"/>
  <c r="B59" i="25"/>
  <c r="A60" i="25"/>
  <c r="U59" i="25" l="1"/>
  <c r="J59" i="25"/>
  <c r="H59" i="25"/>
  <c r="O59" i="25"/>
  <c r="D59" i="25"/>
  <c r="F59" i="25" s="1"/>
  <c r="I59" i="25"/>
  <c r="T59" i="25"/>
  <c r="C59" i="25"/>
  <c r="N58" i="25"/>
  <c r="M58" i="25"/>
  <c r="G58" i="25"/>
  <c r="F58" i="25"/>
  <c r="B60" i="25"/>
  <c r="A61" i="25"/>
  <c r="G59" i="25" l="1"/>
  <c r="E59" i="25"/>
  <c r="B61" i="25"/>
  <c r="A62" i="25"/>
  <c r="T60" i="25"/>
  <c r="J60" i="25"/>
  <c r="H60" i="25"/>
  <c r="U60" i="25"/>
  <c r="O60" i="25"/>
  <c r="D60" i="25"/>
  <c r="F60" i="25" s="1"/>
  <c r="I60" i="25"/>
  <c r="C60" i="25"/>
  <c r="N59" i="25"/>
  <c r="M59" i="25"/>
  <c r="A63" i="25" l="1"/>
  <c r="B62" i="25"/>
  <c r="N60" i="25"/>
  <c r="M60" i="25"/>
  <c r="G60" i="25"/>
  <c r="E60" i="25"/>
  <c r="H61" i="25"/>
  <c r="J61" i="25"/>
  <c r="O61" i="25"/>
  <c r="T61" i="25"/>
  <c r="D61" i="25"/>
  <c r="E61" i="25" s="1"/>
  <c r="U61" i="25"/>
  <c r="I61" i="25"/>
  <c r="C61" i="25"/>
  <c r="G61" i="25" l="1"/>
  <c r="F61" i="25"/>
  <c r="J62" i="25"/>
  <c r="H62" i="25"/>
  <c r="U62" i="25"/>
  <c r="T62" i="25"/>
  <c r="O62" i="25"/>
  <c r="D62" i="25"/>
  <c r="F62" i="25" s="1"/>
  <c r="I62" i="25"/>
  <c r="C62" i="25"/>
  <c r="N61" i="25"/>
  <c r="M61" i="25"/>
  <c r="B63" i="25"/>
  <c r="A64" i="25"/>
  <c r="G62" i="25" l="1"/>
  <c r="B64" i="25"/>
  <c r="A65" i="25"/>
  <c r="E62" i="25"/>
  <c r="J63" i="25"/>
  <c r="T63" i="25"/>
  <c r="U63" i="25"/>
  <c r="H63" i="25"/>
  <c r="O63" i="25"/>
  <c r="D63" i="25"/>
  <c r="I63" i="25"/>
  <c r="C63" i="25"/>
  <c r="N62" i="25"/>
  <c r="M62" i="25"/>
  <c r="N63" i="25" l="1"/>
  <c r="M63" i="25"/>
  <c r="B65" i="25"/>
  <c r="A66" i="25"/>
  <c r="E63" i="25"/>
  <c r="G63" i="25"/>
  <c r="F63" i="25"/>
  <c r="J64" i="25"/>
  <c r="T64" i="25"/>
  <c r="U64" i="25"/>
  <c r="H64" i="25"/>
  <c r="O64" i="25"/>
  <c r="I64" i="25"/>
  <c r="D64" i="25"/>
  <c r="C64" i="25"/>
  <c r="F64" i="25" l="1"/>
  <c r="N64" i="25"/>
  <c r="M64" i="25"/>
  <c r="B66" i="25"/>
  <c r="A67" i="25"/>
  <c r="J65" i="25"/>
  <c r="U65" i="25"/>
  <c r="H65" i="25"/>
  <c r="T65" i="25"/>
  <c r="O65" i="25"/>
  <c r="I65" i="25"/>
  <c r="D65" i="25"/>
  <c r="G65" i="25" s="1"/>
  <c r="C65" i="25"/>
  <c r="G64" i="25"/>
  <c r="E64" i="25"/>
  <c r="E65" i="25" l="1"/>
  <c r="B67" i="25"/>
  <c r="A68" i="25"/>
  <c r="J66" i="25"/>
  <c r="T66" i="25"/>
  <c r="U66" i="25"/>
  <c r="H66" i="25"/>
  <c r="O66" i="25"/>
  <c r="I66" i="25"/>
  <c r="D66" i="25"/>
  <c r="C66" i="25"/>
  <c r="F65" i="25"/>
  <c r="N65" i="25"/>
  <c r="M65" i="25"/>
  <c r="N66" i="25" l="1"/>
  <c r="M66" i="25"/>
  <c r="E66" i="25"/>
  <c r="B68" i="25"/>
  <c r="A69" i="25"/>
  <c r="G66" i="25"/>
  <c r="J67" i="25"/>
  <c r="H67" i="25"/>
  <c r="T67" i="25"/>
  <c r="U67" i="25"/>
  <c r="O67" i="25"/>
  <c r="I67" i="25"/>
  <c r="D67" i="25"/>
  <c r="F67" i="25" s="1"/>
  <c r="C67" i="25"/>
  <c r="F66" i="25"/>
  <c r="G67" i="25" l="1"/>
  <c r="B69" i="25"/>
  <c r="A70" i="25"/>
  <c r="E67" i="25"/>
  <c r="J68" i="25"/>
  <c r="U68" i="25"/>
  <c r="D68" i="25"/>
  <c r="G68" i="25" s="1"/>
  <c r="T68" i="25"/>
  <c r="H68" i="25"/>
  <c r="O68" i="25"/>
  <c r="I68" i="25"/>
  <c r="C68" i="25"/>
  <c r="N67" i="25"/>
  <c r="M67" i="25"/>
  <c r="E68" i="25" l="1"/>
  <c r="B70" i="25"/>
  <c r="A71" i="25"/>
  <c r="N68" i="25"/>
  <c r="M68" i="25"/>
  <c r="J69" i="25"/>
  <c r="D69" i="25"/>
  <c r="F69" i="25" s="1"/>
  <c r="H69" i="25"/>
  <c r="T69" i="25"/>
  <c r="U69" i="25"/>
  <c r="O69" i="25"/>
  <c r="I69" i="25"/>
  <c r="C69" i="25"/>
  <c r="F68" i="25"/>
  <c r="E69" i="25" l="1"/>
  <c r="G69" i="25"/>
  <c r="B71" i="25"/>
  <c r="A72" i="25"/>
  <c r="N69" i="25"/>
  <c r="M69" i="25"/>
  <c r="J70" i="25"/>
  <c r="H70" i="25"/>
  <c r="T70" i="25"/>
  <c r="U70" i="25"/>
  <c r="D70" i="25"/>
  <c r="O70" i="25"/>
  <c r="I70" i="25"/>
  <c r="C70" i="25"/>
  <c r="N70" i="25" l="1"/>
  <c r="M70" i="25"/>
  <c r="G70" i="25"/>
  <c r="F70" i="25"/>
  <c r="B72" i="25"/>
  <c r="A73" i="25"/>
  <c r="E70" i="25"/>
  <c r="J71" i="25"/>
  <c r="U71" i="25"/>
  <c r="D71" i="25"/>
  <c r="G71" i="25" s="1"/>
  <c r="T71" i="25"/>
  <c r="H71" i="25"/>
  <c r="O71" i="25"/>
  <c r="I71" i="25"/>
  <c r="C71" i="25"/>
  <c r="B73" i="25" l="1"/>
  <c r="A74" i="25"/>
  <c r="N71" i="25"/>
  <c r="M71" i="25"/>
  <c r="J72" i="25"/>
  <c r="D72" i="25"/>
  <c r="F72" i="25" s="1"/>
  <c r="H72" i="25"/>
  <c r="T72" i="25"/>
  <c r="U72" i="25"/>
  <c r="O72" i="25"/>
  <c r="I72" i="25"/>
  <c r="C72" i="25"/>
  <c r="F71" i="25"/>
  <c r="E71" i="25"/>
  <c r="E72" i="25" l="1"/>
  <c r="G72" i="25"/>
  <c r="B74" i="25"/>
  <c r="A75" i="25"/>
  <c r="N72" i="25"/>
  <c r="M72" i="25"/>
  <c r="J73" i="25"/>
  <c r="H73" i="25"/>
  <c r="T73" i="25"/>
  <c r="U73" i="25"/>
  <c r="D73" i="25"/>
  <c r="O73" i="25"/>
  <c r="I73" i="25"/>
  <c r="C73" i="25"/>
  <c r="N73" i="25" l="1"/>
  <c r="M73" i="25"/>
  <c r="G73" i="25"/>
  <c r="B75" i="25"/>
  <c r="A76" i="25"/>
  <c r="F73" i="25"/>
  <c r="J74" i="25"/>
  <c r="U74" i="25"/>
  <c r="D74" i="25"/>
  <c r="G74" i="25" s="1"/>
  <c r="T74" i="25"/>
  <c r="H74" i="25"/>
  <c r="O74" i="25"/>
  <c r="I74" i="25"/>
  <c r="C74" i="25"/>
  <c r="E73" i="25"/>
  <c r="B76" i="25" l="1"/>
  <c r="A77" i="25"/>
  <c r="N74" i="25"/>
  <c r="M74" i="25"/>
  <c r="J75" i="25"/>
  <c r="D75" i="25"/>
  <c r="F75" i="25" s="1"/>
  <c r="H75" i="25"/>
  <c r="T75" i="25"/>
  <c r="U75" i="25"/>
  <c r="O75" i="25"/>
  <c r="I75" i="25"/>
  <c r="C75" i="25"/>
  <c r="F74" i="25"/>
  <c r="E74" i="25"/>
  <c r="E75" i="25" l="1"/>
  <c r="G75" i="25"/>
  <c r="B77" i="25"/>
  <c r="A78" i="25"/>
  <c r="N75" i="25"/>
  <c r="M75" i="25"/>
  <c r="J76" i="25"/>
  <c r="H76" i="25"/>
  <c r="T76" i="25"/>
  <c r="U76" i="25"/>
  <c r="D76" i="25"/>
  <c r="O76" i="25"/>
  <c r="I76" i="25"/>
  <c r="C76" i="25"/>
  <c r="N76" i="25" l="1"/>
  <c r="M76" i="25"/>
  <c r="G76" i="25"/>
  <c r="E76" i="25"/>
  <c r="B78" i="25"/>
  <c r="A79" i="25"/>
  <c r="J77" i="25"/>
  <c r="U77" i="25"/>
  <c r="D77" i="25"/>
  <c r="F77" i="25" s="1"/>
  <c r="T77" i="25"/>
  <c r="H77" i="25"/>
  <c r="O77" i="25"/>
  <c r="I77" i="25"/>
  <c r="C77" i="25"/>
  <c r="F76" i="25"/>
  <c r="B79" i="25" l="1"/>
  <c r="A80" i="25"/>
  <c r="G77" i="25"/>
  <c r="J78" i="25"/>
  <c r="D78" i="25"/>
  <c r="H78" i="25"/>
  <c r="T78" i="25"/>
  <c r="U78" i="25"/>
  <c r="O78" i="25"/>
  <c r="I78" i="25"/>
  <c r="C78" i="25"/>
  <c r="N77" i="25"/>
  <c r="M77" i="25"/>
  <c r="E77" i="25"/>
  <c r="N78" i="25" l="1"/>
  <c r="M78" i="25"/>
  <c r="E78" i="25"/>
  <c r="G78" i="25"/>
  <c r="B80" i="25"/>
  <c r="A81" i="25"/>
  <c r="F78" i="25"/>
  <c r="J79" i="25"/>
  <c r="H79" i="25"/>
  <c r="T79" i="25"/>
  <c r="U79" i="25"/>
  <c r="D79" i="25"/>
  <c r="F79" i="25" s="1"/>
  <c r="O79" i="25"/>
  <c r="I79" i="25"/>
  <c r="C79" i="25"/>
  <c r="E79" i="25" l="1"/>
  <c r="G79" i="25"/>
  <c r="B81" i="25"/>
  <c r="A82" i="25"/>
  <c r="J80" i="25"/>
  <c r="U80" i="25"/>
  <c r="D80" i="25"/>
  <c r="T80" i="25"/>
  <c r="H80" i="25"/>
  <c r="O80" i="25"/>
  <c r="I80" i="25"/>
  <c r="C80" i="25"/>
  <c r="N79" i="25"/>
  <c r="M79" i="25"/>
  <c r="N80" i="25" l="1"/>
  <c r="M80" i="25"/>
  <c r="E80" i="25"/>
  <c r="F80" i="25"/>
  <c r="B82" i="25"/>
  <c r="A83" i="25"/>
  <c r="G80" i="25"/>
  <c r="J81" i="25"/>
  <c r="D81" i="25"/>
  <c r="H81" i="25"/>
  <c r="T81" i="25"/>
  <c r="U81" i="25"/>
  <c r="O81" i="25"/>
  <c r="I81" i="25"/>
  <c r="C81" i="25"/>
  <c r="J82" i="25" l="1"/>
  <c r="H82" i="25"/>
  <c r="T82" i="25"/>
  <c r="U82" i="25"/>
  <c r="D82" i="25"/>
  <c r="O82" i="25"/>
  <c r="I82" i="25"/>
  <c r="C82" i="25"/>
  <c r="N81" i="25"/>
  <c r="M81" i="25"/>
  <c r="G81" i="25"/>
  <c r="E81" i="25"/>
  <c r="B83" i="25"/>
  <c r="A84" i="25"/>
  <c r="F81" i="25"/>
  <c r="N82" i="25" l="1"/>
  <c r="M82" i="25"/>
  <c r="J83" i="25"/>
  <c r="U83" i="25"/>
  <c r="D83" i="25"/>
  <c r="T83" i="25"/>
  <c r="H83" i="25"/>
  <c r="O83" i="25"/>
  <c r="I83" i="25"/>
  <c r="C83" i="25"/>
  <c r="G82" i="25"/>
  <c r="E82" i="25"/>
  <c r="F82" i="25"/>
  <c r="B84" i="25"/>
  <c r="A85" i="25"/>
  <c r="J84" i="25" l="1"/>
  <c r="D84" i="25"/>
  <c r="G84" i="25" s="1"/>
  <c r="H84" i="25"/>
  <c r="T84" i="25"/>
  <c r="U84" i="25"/>
  <c r="O84" i="25"/>
  <c r="I84" i="25"/>
  <c r="C84" i="25"/>
  <c r="N83" i="25"/>
  <c r="M83" i="25"/>
  <c r="E83" i="25"/>
  <c r="F83" i="25"/>
  <c r="B85" i="25"/>
  <c r="A86" i="25"/>
  <c r="G83" i="25"/>
  <c r="E84" i="25" l="1"/>
  <c r="J85" i="25"/>
  <c r="H85" i="25"/>
  <c r="T85" i="25"/>
  <c r="U85" i="25"/>
  <c r="D85" i="25"/>
  <c r="E85" i="25" s="1"/>
  <c r="O85" i="25"/>
  <c r="I85" i="25"/>
  <c r="C85" i="25"/>
  <c r="B86" i="25"/>
  <c r="A87" i="25"/>
  <c r="N84" i="25"/>
  <c r="M84" i="25"/>
  <c r="F84" i="25"/>
  <c r="G85" i="25" l="1"/>
  <c r="N85" i="25"/>
  <c r="M85" i="25"/>
  <c r="F85" i="25"/>
  <c r="B87" i="25"/>
  <c r="A88" i="25"/>
  <c r="J86" i="25"/>
  <c r="U86" i="25"/>
  <c r="D86" i="25"/>
  <c r="G86" i="25" s="1"/>
  <c r="T86" i="25"/>
  <c r="H86" i="25"/>
  <c r="O86" i="25"/>
  <c r="I86" i="25"/>
  <c r="C86" i="25"/>
  <c r="B88" i="25" l="1"/>
  <c r="A89" i="25"/>
  <c r="J87" i="25"/>
  <c r="D87" i="25"/>
  <c r="H87" i="25"/>
  <c r="T87" i="25"/>
  <c r="U87" i="25"/>
  <c r="O87" i="25"/>
  <c r="I87" i="25"/>
  <c r="C87" i="25"/>
  <c r="N86" i="25"/>
  <c r="M86" i="25"/>
  <c r="E86" i="25"/>
  <c r="F86" i="25"/>
  <c r="N87" i="25" l="1"/>
  <c r="M87" i="25"/>
  <c r="E87" i="25"/>
  <c r="F87" i="25"/>
  <c r="B89" i="25"/>
  <c r="A90" i="25"/>
  <c r="G87" i="25"/>
  <c r="J88" i="25"/>
  <c r="H88" i="25"/>
  <c r="T88" i="25"/>
  <c r="U88" i="25"/>
  <c r="D88" i="25"/>
  <c r="F88" i="25" s="1"/>
  <c r="O88" i="25"/>
  <c r="I88" i="25"/>
  <c r="C88" i="25"/>
  <c r="G88" i="25" l="1"/>
  <c r="B90" i="25"/>
  <c r="A91" i="25"/>
  <c r="E88" i="25"/>
  <c r="J89" i="25"/>
  <c r="L89" i="25"/>
  <c r="U89" i="25"/>
  <c r="D89" i="25"/>
  <c r="G89" i="25" s="1"/>
  <c r="T89" i="25"/>
  <c r="H89" i="25"/>
  <c r="O89" i="25"/>
  <c r="I89" i="25"/>
  <c r="C89" i="25"/>
  <c r="N88" i="25"/>
  <c r="M88" i="25"/>
  <c r="E89" i="25" l="1"/>
  <c r="A92" i="25"/>
  <c r="B91" i="25"/>
  <c r="N89" i="25"/>
  <c r="M89" i="25"/>
  <c r="J90" i="25"/>
  <c r="L90" i="25"/>
  <c r="D90" i="25"/>
  <c r="G90" i="25" s="1"/>
  <c r="H90" i="25"/>
  <c r="T90" i="25"/>
  <c r="U90" i="25"/>
  <c r="O90" i="25"/>
  <c r="I90" i="25"/>
  <c r="C90" i="25"/>
  <c r="F89" i="25"/>
  <c r="F90" i="25" l="1"/>
  <c r="E90" i="25"/>
  <c r="J91" i="25"/>
  <c r="L91" i="25"/>
  <c r="H91" i="25"/>
  <c r="T91" i="25"/>
  <c r="U91" i="25"/>
  <c r="D91" i="25"/>
  <c r="O91" i="25"/>
  <c r="I91" i="25"/>
  <c r="C91" i="25"/>
  <c r="N90" i="25"/>
  <c r="M90" i="25"/>
  <c r="B92" i="25"/>
  <c r="A93" i="25"/>
  <c r="N91" i="25" l="1"/>
  <c r="M91" i="25"/>
  <c r="G91" i="25"/>
  <c r="A94" i="25"/>
  <c r="B93" i="25"/>
  <c r="F91" i="25"/>
  <c r="J92" i="25"/>
  <c r="L92" i="25"/>
  <c r="O92" i="25"/>
  <c r="D92" i="25"/>
  <c r="G92" i="25" s="1"/>
  <c r="T92" i="25"/>
  <c r="H92" i="25"/>
  <c r="U92" i="25"/>
  <c r="I92" i="25"/>
  <c r="C92" i="25"/>
  <c r="E91" i="25"/>
  <c r="J93" i="25" l="1"/>
  <c r="L93" i="25"/>
  <c r="O93" i="25"/>
  <c r="I93" i="25"/>
  <c r="T93" i="25"/>
  <c r="U93" i="25"/>
  <c r="D93" i="25"/>
  <c r="E93" i="25" s="1"/>
  <c r="H93" i="25"/>
  <c r="C93" i="25"/>
  <c r="N92" i="25"/>
  <c r="M92" i="25"/>
  <c r="A95" i="25"/>
  <c r="B94" i="25"/>
  <c r="E92" i="25"/>
  <c r="F92" i="25"/>
  <c r="G93" i="25" l="1"/>
  <c r="J94" i="25"/>
  <c r="L94" i="25"/>
  <c r="O94" i="25"/>
  <c r="I94" i="25"/>
  <c r="U94" i="25"/>
  <c r="D94" i="25"/>
  <c r="G94" i="25" s="1"/>
  <c r="H94" i="25"/>
  <c r="T94" i="25"/>
  <c r="C94" i="25"/>
  <c r="A96" i="25"/>
  <c r="B95" i="25"/>
  <c r="F93" i="25"/>
  <c r="N93" i="25"/>
  <c r="M93" i="25"/>
  <c r="E94" i="25" l="1"/>
  <c r="F94" i="25"/>
  <c r="N94" i="25"/>
  <c r="M94" i="25"/>
  <c r="J95" i="25"/>
  <c r="L95" i="25"/>
  <c r="O95" i="25"/>
  <c r="I95" i="25"/>
  <c r="D95" i="25"/>
  <c r="H95" i="25"/>
  <c r="T95" i="25"/>
  <c r="U95" i="25"/>
  <c r="C95" i="25"/>
  <c r="A97" i="25"/>
  <c r="B96" i="25"/>
  <c r="A98" i="25" l="1"/>
  <c r="B97" i="25"/>
  <c r="N95" i="25"/>
  <c r="M95" i="25"/>
  <c r="J96" i="25"/>
  <c r="L96" i="25"/>
  <c r="O96" i="25"/>
  <c r="I96" i="25"/>
  <c r="H96" i="25"/>
  <c r="T96" i="25"/>
  <c r="U96" i="25"/>
  <c r="D96" i="25"/>
  <c r="E96" i="25" s="1"/>
  <c r="C96" i="25"/>
  <c r="F95" i="25"/>
  <c r="G95" i="25"/>
  <c r="E95" i="25"/>
  <c r="G96" i="25" l="1"/>
  <c r="J97" i="25"/>
  <c r="L97" i="25"/>
  <c r="O97" i="25"/>
  <c r="I97" i="25"/>
  <c r="U97" i="25"/>
  <c r="D97" i="25"/>
  <c r="G97" i="25" s="1"/>
  <c r="H97" i="25"/>
  <c r="T97" i="25"/>
  <c r="C97" i="25"/>
  <c r="F96" i="25"/>
  <c r="N96" i="25"/>
  <c r="M96" i="25"/>
  <c r="B98" i="25"/>
  <c r="A99" i="25"/>
  <c r="A100" i="25" l="1"/>
  <c r="B99" i="25"/>
  <c r="J98" i="25"/>
  <c r="L98" i="25"/>
  <c r="O98" i="25"/>
  <c r="I98" i="25"/>
  <c r="U98" i="25"/>
  <c r="D98" i="25"/>
  <c r="H98" i="25"/>
  <c r="T98" i="25"/>
  <c r="C98" i="25"/>
  <c r="E97" i="25"/>
  <c r="F97" i="25"/>
  <c r="N97" i="25"/>
  <c r="M97" i="25"/>
  <c r="F98" i="25" l="1"/>
  <c r="M98" i="25"/>
  <c r="N98" i="25"/>
  <c r="J99" i="25"/>
  <c r="L99" i="25"/>
  <c r="O99" i="25"/>
  <c r="I99" i="25"/>
  <c r="D99" i="25"/>
  <c r="H99" i="25"/>
  <c r="T99" i="25"/>
  <c r="U99" i="25"/>
  <c r="C99" i="25"/>
  <c r="G98" i="25"/>
  <c r="E98" i="25"/>
  <c r="B100" i="25"/>
  <c r="A101" i="25"/>
  <c r="L100" i="25" l="1"/>
  <c r="J100" i="25"/>
  <c r="O100" i="25"/>
  <c r="I100" i="25"/>
  <c r="D100" i="25"/>
  <c r="H100" i="25"/>
  <c r="T100" i="25"/>
  <c r="U100" i="25"/>
  <c r="C100" i="25"/>
  <c r="G99" i="25"/>
  <c r="N99" i="25"/>
  <c r="M99" i="25"/>
  <c r="A102" i="25"/>
  <c r="B101" i="25"/>
  <c r="F99" i="25"/>
  <c r="E99" i="25"/>
  <c r="G100" i="25" l="1"/>
  <c r="N100" i="25"/>
  <c r="M100" i="25"/>
  <c r="J101" i="25"/>
  <c r="L101" i="25"/>
  <c r="O101" i="25"/>
  <c r="I101" i="25"/>
  <c r="H101" i="25"/>
  <c r="T101" i="25"/>
  <c r="U101" i="25"/>
  <c r="D101" i="25"/>
  <c r="C101" i="25"/>
  <c r="F100" i="25"/>
  <c r="E100" i="25"/>
  <c r="B102" i="25"/>
  <c r="A103" i="25"/>
  <c r="J102" i="25" l="1"/>
  <c r="L102" i="25"/>
  <c r="O102" i="25"/>
  <c r="I102" i="25"/>
  <c r="H102" i="25"/>
  <c r="T102" i="25"/>
  <c r="U102" i="25"/>
  <c r="D102" i="25"/>
  <c r="F102" i="25" s="1"/>
  <c r="C102" i="25"/>
  <c r="G101" i="25"/>
  <c r="N101" i="25"/>
  <c r="M101" i="25"/>
  <c r="E101" i="25"/>
  <c r="A104" i="25"/>
  <c r="B103" i="25"/>
  <c r="F101" i="25"/>
  <c r="E102" i="25" l="1"/>
  <c r="B104" i="25"/>
  <c r="A105" i="25"/>
  <c r="G102" i="25"/>
  <c r="N102" i="25"/>
  <c r="M102" i="25"/>
  <c r="J103" i="25"/>
  <c r="L103" i="25"/>
  <c r="O103" i="25"/>
  <c r="I103" i="25"/>
  <c r="D103" i="25"/>
  <c r="H103" i="25"/>
  <c r="T103" i="25"/>
  <c r="U103" i="25"/>
  <c r="C103" i="25"/>
  <c r="F103" i="25" l="1"/>
  <c r="N103" i="25"/>
  <c r="M103" i="25"/>
  <c r="G103" i="25"/>
  <c r="E103" i="25"/>
  <c r="A106" i="25"/>
  <c r="B105" i="25"/>
  <c r="J104" i="25"/>
  <c r="L104" i="25"/>
  <c r="O104" i="25"/>
  <c r="I104" i="25"/>
  <c r="U104" i="25"/>
  <c r="D104" i="25"/>
  <c r="E104" i="25" s="1"/>
  <c r="C104" i="25"/>
  <c r="T104" i="25"/>
  <c r="H104" i="25"/>
  <c r="F104" i="25" l="1"/>
  <c r="B106" i="25"/>
  <c r="A107" i="25"/>
  <c r="G104" i="25"/>
  <c r="N104" i="25"/>
  <c r="M104" i="25"/>
  <c r="J105" i="25"/>
  <c r="L105" i="25"/>
  <c r="O105" i="25"/>
  <c r="I105" i="25"/>
  <c r="C105" i="25"/>
  <c r="D105" i="25"/>
  <c r="E105" i="25" s="1"/>
  <c r="H105" i="25"/>
  <c r="T105" i="25"/>
  <c r="U105" i="25"/>
  <c r="G105" i="25" l="1"/>
  <c r="A108" i="25"/>
  <c r="B107" i="25"/>
  <c r="J106" i="25"/>
  <c r="L106" i="25"/>
  <c r="O106" i="25"/>
  <c r="I106" i="25"/>
  <c r="U106" i="25"/>
  <c r="D106" i="25"/>
  <c r="C106" i="25"/>
  <c r="H106" i="25"/>
  <c r="T106" i="25"/>
  <c r="F105" i="25"/>
  <c r="N105" i="25"/>
  <c r="M105" i="25"/>
  <c r="F106" i="25" l="1"/>
  <c r="N106" i="25"/>
  <c r="M106" i="25"/>
  <c r="J107" i="25"/>
  <c r="L107" i="25"/>
  <c r="O107" i="25"/>
  <c r="I107" i="25"/>
  <c r="T107" i="25"/>
  <c r="U107" i="25"/>
  <c r="C107" i="25"/>
  <c r="D107" i="25"/>
  <c r="H107" i="25"/>
  <c r="B108" i="25"/>
  <c r="A109" i="25"/>
  <c r="G106" i="25"/>
  <c r="E106" i="25"/>
  <c r="G107" i="25" l="1"/>
  <c r="N107" i="25"/>
  <c r="M107" i="25"/>
  <c r="B109" i="25"/>
  <c r="A110" i="25"/>
  <c r="J108" i="25"/>
  <c r="L108" i="25"/>
  <c r="O108" i="25"/>
  <c r="I108" i="25"/>
  <c r="U108" i="25"/>
  <c r="T108" i="25"/>
  <c r="C108" i="25"/>
  <c r="D108" i="25"/>
  <c r="E108" i="25" s="1"/>
  <c r="H108" i="25"/>
  <c r="F107" i="25"/>
  <c r="E107" i="25"/>
  <c r="B110" i="25" l="1"/>
  <c r="A111" i="25"/>
  <c r="J109" i="25"/>
  <c r="L109" i="25"/>
  <c r="O109" i="25"/>
  <c r="I109" i="25"/>
  <c r="C109" i="25"/>
  <c r="D109" i="25"/>
  <c r="E109" i="25" s="1"/>
  <c r="T109" i="25"/>
  <c r="H109" i="25"/>
  <c r="U109" i="25"/>
  <c r="G108" i="25"/>
  <c r="F108" i="25"/>
  <c r="N108" i="25"/>
  <c r="M108" i="25"/>
  <c r="G109" i="25" l="1"/>
  <c r="N109" i="25"/>
  <c r="M109" i="25"/>
  <c r="B111" i="25"/>
  <c r="A112" i="25"/>
  <c r="F109" i="25"/>
  <c r="J110" i="25"/>
  <c r="L110" i="25"/>
  <c r="O110" i="25"/>
  <c r="I110" i="25"/>
  <c r="D110" i="25"/>
  <c r="F110" i="25" s="1"/>
  <c r="H110" i="25"/>
  <c r="C110" i="25"/>
  <c r="T110" i="25"/>
  <c r="U110" i="25"/>
  <c r="B112" i="25" l="1"/>
  <c r="A113" i="25"/>
  <c r="J111" i="25"/>
  <c r="L111" i="25"/>
  <c r="O111" i="25"/>
  <c r="I111" i="25"/>
  <c r="C111" i="25"/>
  <c r="T111" i="25"/>
  <c r="D111" i="25"/>
  <c r="E111" i="25" s="1"/>
  <c r="H111" i="25"/>
  <c r="U111" i="25"/>
  <c r="G110" i="25"/>
  <c r="N110" i="25"/>
  <c r="M110" i="25"/>
  <c r="E110" i="25"/>
  <c r="G111" i="25" l="1"/>
  <c r="N111" i="25"/>
  <c r="M111" i="25"/>
  <c r="B113" i="25"/>
  <c r="A114" i="25"/>
  <c r="F111" i="25"/>
  <c r="J112" i="25"/>
  <c r="L112" i="25"/>
  <c r="O112" i="25"/>
  <c r="I112" i="25"/>
  <c r="T112" i="25"/>
  <c r="H112" i="25"/>
  <c r="C112" i="25"/>
  <c r="D112" i="25"/>
  <c r="G112" i="25" s="1"/>
  <c r="U112" i="25"/>
  <c r="A115" i="25" l="1"/>
  <c r="B114" i="25"/>
  <c r="J113" i="25"/>
  <c r="L113" i="25"/>
  <c r="O113" i="25"/>
  <c r="I113" i="25"/>
  <c r="C113" i="25"/>
  <c r="D113" i="25"/>
  <c r="F113" i="25" s="1"/>
  <c r="H113" i="25"/>
  <c r="T113" i="25"/>
  <c r="U113" i="25"/>
  <c r="F112" i="25"/>
  <c r="N112" i="25"/>
  <c r="M112" i="25"/>
  <c r="E112" i="25"/>
  <c r="E113" i="25" l="1"/>
  <c r="J114" i="25"/>
  <c r="L114" i="25"/>
  <c r="O114" i="25"/>
  <c r="I114" i="25"/>
  <c r="U114" i="25"/>
  <c r="C114" i="25"/>
  <c r="H114" i="25"/>
  <c r="D114" i="25"/>
  <c r="G114" i="25" s="1"/>
  <c r="T114" i="25"/>
  <c r="G113" i="25"/>
  <c r="N113" i="25"/>
  <c r="M113" i="25"/>
  <c r="B115" i="25"/>
  <c r="A116" i="25"/>
  <c r="F114" i="25" l="1"/>
  <c r="N114" i="25"/>
  <c r="M114" i="25"/>
  <c r="E114" i="25"/>
  <c r="B116" i="25"/>
  <c r="A117" i="25"/>
  <c r="J115" i="25"/>
  <c r="L115" i="25"/>
  <c r="O115" i="25"/>
  <c r="I115" i="25"/>
  <c r="H115" i="25"/>
  <c r="T115" i="25"/>
  <c r="C115" i="25"/>
  <c r="U115" i="25"/>
  <c r="D115" i="25"/>
  <c r="G115" i="25" s="1"/>
  <c r="J116" i="25" l="1"/>
  <c r="L116" i="25"/>
  <c r="O116" i="25"/>
  <c r="I116" i="25"/>
  <c r="D116" i="25"/>
  <c r="E116" i="25" s="1"/>
  <c r="H116" i="25"/>
  <c r="C116" i="25"/>
  <c r="T116" i="25"/>
  <c r="U116" i="25"/>
  <c r="A118" i="25"/>
  <c r="B117" i="25"/>
  <c r="F115" i="25"/>
  <c r="N115" i="25"/>
  <c r="M115" i="25"/>
  <c r="E115" i="25"/>
  <c r="A119" i="25" l="1"/>
  <c r="B118" i="25"/>
  <c r="F116" i="25"/>
  <c r="G116" i="25"/>
  <c r="N116" i="25"/>
  <c r="M116" i="25"/>
  <c r="J117" i="25"/>
  <c r="L117" i="25"/>
  <c r="O117" i="25"/>
  <c r="I117" i="25"/>
  <c r="D117" i="25"/>
  <c r="F117" i="25" s="1"/>
  <c r="T117" i="25"/>
  <c r="H117" i="25"/>
  <c r="C117" i="25"/>
  <c r="U117" i="25"/>
  <c r="G117" i="25" l="1"/>
  <c r="N117" i="25"/>
  <c r="M117" i="25"/>
  <c r="E117" i="25"/>
  <c r="L118" i="25"/>
  <c r="J118" i="25"/>
  <c r="O118" i="25"/>
  <c r="I118" i="25"/>
  <c r="D118" i="25"/>
  <c r="G118" i="25" s="1"/>
  <c r="H118" i="25"/>
  <c r="T118" i="25"/>
  <c r="U118" i="25"/>
  <c r="C118" i="25"/>
  <c r="A120" i="25"/>
  <c r="B119" i="25"/>
  <c r="A121" i="25" l="1"/>
  <c r="B120" i="25"/>
  <c r="J119" i="25"/>
  <c r="L119" i="25"/>
  <c r="O119" i="25"/>
  <c r="I119" i="25"/>
  <c r="U119" i="25"/>
  <c r="C119" i="25"/>
  <c r="D119" i="25"/>
  <c r="H119" i="25"/>
  <c r="T119" i="25"/>
  <c r="F118" i="25"/>
  <c r="N118" i="25"/>
  <c r="M118" i="25"/>
  <c r="E118" i="25"/>
  <c r="G119" i="25" l="1"/>
  <c r="N119" i="25"/>
  <c r="M119" i="25"/>
  <c r="E119" i="25"/>
  <c r="J120" i="25"/>
  <c r="L120" i="25"/>
  <c r="O120" i="25"/>
  <c r="I120" i="25"/>
  <c r="C120" i="25"/>
  <c r="D120" i="25"/>
  <c r="U120" i="25"/>
  <c r="H120" i="25"/>
  <c r="T120" i="25"/>
  <c r="F119" i="25"/>
  <c r="A122" i="25"/>
  <c r="B121" i="25"/>
  <c r="G120" i="25" l="1"/>
  <c r="N120" i="25"/>
  <c r="M120" i="25"/>
  <c r="J121" i="25"/>
  <c r="L121" i="25"/>
  <c r="O121" i="25"/>
  <c r="I121" i="25"/>
  <c r="T121" i="25"/>
  <c r="U121" i="25"/>
  <c r="C121" i="25"/>
  <c r="D121" i="25"/>
  <c r="H121" i="25"/>
  <c r="B122" i="25"/>
  <c r="A123" i="25"/>
  <c r="F120" i="25"/>
  <c r="E120" i="25"/>
  <c r="F121" i="25" l="1"/>
  <c r="N121" i="25"/>
  <c r="M121" i="25"/>
  <c r="A124" i="25"/>
  <c r="B123" i="25"/>
  <c r="J122" i="25"/>
  <c r="L122" i="25"/>
  <c r="O122" i="25"/>
  <c r="I122" i="25"/>
  <c r="C122" i="25"/>
  <c r="D122" i="25"/>
  <c r="E122" i="25" s="1"/>
  <c r="H122" i="25"/>
  <c r="T122" i="25"/>
  <c r="U122" i="25"/>
  <c r="G121" i="25"/>
  <c r="E121" i="25"/>
  <c r="J123" i="25" l="1"/>
  <c r="L123" i="25"/>
  <c r="O123" i="25"/>
  <c r="I123" i="25"/>
  <c r="C123" i="25"/>
  <c r="H123" i="25"/>
  <c r="D123" i="25"/>
  <c r="E123" i="25" s="1"/>
  <c r="T123" i="25"/>
  <c r="U123" i="25"/>
  <c r="B124" i="25"/>
  <c r="A125" i="25"/>
  <c r="F122" i="25"/>
  <c r="N122" i="25"/>
  <c r="M122" i="25"/>
  <c r="G122" i="25"/>
  <c r="J124" i="25" l="1"/>
  <c r="L124" i="25"/>
  <c r="O124" i="25"/>
  <c r="I124" i="25"/>
  <c r="U124" i="25"/>
  <c r="C124" i="25"/>
  <c r="D124" i="25"/>
  <c r="E124" i="25" s="1"/>
  <c r="H124" i="25"/>
  <c r="T124" i="25"/>
  <c r="G123" i="25"/>
  <c r="F123" i="25"/>
  <c r="N123" i="25"/>
  <c r="M123" i="25"/>
  <c r="A126" i="25"/>
  <c r="B125" i="25"/>
  <c r="J125" i="25" l="1"/>
  <c r="L125" i="25"/>
  <c r="O125" i="25"/>
  <c r="I125" i="25"/>
  <c r="D125" i="25"/>
  <c r="T125" i="25"/>
  <c r="U125" i="25"/>
  <c r="C125" i="25"/>
  <c r="H125" i="25"/>
  <c r="A127" i="25"/>
  <c r="B126" i="25"/>
  <c r="G124" i="25"/>
  <c r="F124" i="25"/>
  <c r="N124" i="25"/>
  <c r="M124" i="25"/>
  <c r="B127" i="25" l="1"/>
  <c r="A128" i="25"/>
  <c r="G125" i="25"/>
  <c r="N125" i="25"/>
  <c r="M125" i="25"/>
  <c r="F125" i="25"/>
  <c r="E125" i="25"/>
  <c r="J126" i="25"/>
  <c r="L126" i="25"/>
  <c r="O126" i="25"/>
  <c r="I126" i="25"/>
  <c r="T126" i="25"/>
  <c r="U126" i="25"/>
  <c r="C126" i="25"/>
  <c r="D126" i="25"/>
  <c r="G126" i="25" s="1"/>
  <c r="H126" i="25"/>
  <c r="F126" i="25" l="1"/>
  <c r="N126" i="25"/>
  <c r="M126" i="25"/>
  <c r="E126" i="25"/>
  <c r="A129" i="25"/>
  <c r="B128" i="25"/>
  <c r="J127" i="25"/>
  <c r="L127" i="25"/>
  <c r="O127" i="25"/>
  <c r="I127" i="25"/>
  <c r="C127" i="25"/>
  <c r="H127" i="25"/>
  <c r="T127" i="25"/>
  <c r="D127" i="25"/>
  <c r="U127" i="25"/>
  <c r="A130" i="25" l="1"/>
  <c r="B129" i="25"/>
  <c r="F127" i="25"/>
  <c r="N127" i="25"/>
  <c r="M127" i="25"/>
  <c r="E127" i="25"/>
  <c r="J128" i="25"/>
  <c r="L128" i="25"/>
  <c r="O128" i="25"/>
  <c r="I128" i="25"/>
  <c r="C128" i="25"/>
  <c r="T128" i="25"/>
  <c r="D128" i="25"/>
  <c r="F128" i="25" s="1"/>
  <c r="H128" i="25"/>
  <c r="U128" i="25"/>
  <c r="G127" i="25"/>
  <c r="G128" i="25" l="1"/>
  <c r="N128" i="25"/>
  <c r="M128" i="25"/>
  <c r="J129" i="25"/>
  <c r="L129" i="25"/>
  <c r="O129" i="25"/>
  <c r="I129" i="25"/>
  <c r="H129" i="25"/>
  <c r="U129" i="25"/>
  <c r="T129" i="25"/>
  <c r="D129" i="25"/>
  <c r="C129" i="25"/>
  <c r="E128" i="25"/>
  <c r="B130" i="25"/>
  <c r="A131" i="25"/>
  <c r="G129" i="25" l="1"/>
  <c r="N129" i="25"/>
  <c r="M129" i="25"/>
  <c r="A132" i="25"/>
  <c r="B131" i="25"/>
  <c r="J130" i="25"/>
  <c r="L130" i="25"/>
  <c r="O130" i="25"/>
  <c r="I130" i="25"/>
  <c r="T130" i="25"/>
  <c r="U130" i="25"/>
  <c r="C130" i="25"/>
  <c r="D130" i="25"/>
  <c r="E130" i="25" s="1"/>
  <c r="H130" i="25"/>
  <c r="F129" i="25"/>
  <c r="E129" i="25"/>
  <c r="J131" i="25" l="1"/>
  <c r="L131" i="25"/>
  <c r="O131" i="25"/>
  <c r="I131" i="25"/>
  <c r="U131" i="25"/>
  <c r="C131" i="25"/>
  <c r="D131" i="25"/>
  <c r="E131" i="25" s="1"/>
  <c r="T131" i="25"/>
  <c r="H131" i="25"/>
  <c r="G130" i="25"/>
  <c r="A133" i="25"/>
  <c r="B132" i="25"/>
  <c r="F130" i="25"/>
  <c r="N130" i="25"/>
  <c r="M130" i="25"/>
  <c r="F131" i="25" l="1"/>
  <c r="G131" i="25"/>
  <c r="N131" i="25"/>
  <c r="M131" i="25"/>
  <c r="J132" i="25"/>
  <c r="L132" i="25"/>
  <c r="O132" i="25"/>
  <c r="I132" i="25"/>
  <c r="C132" i="25"/>
  <c r="D132" i="25"/>
  <c r="U132" i="25"/>
  <c r="H132" i="25"/>
  <c r="T132" i="25"/>
  <c r="A134" i="25"/>
  <c r="B133" i="25"/>
  <c r="J133" i="25" l="1"/>
  <c r="L133" i="25"/>
  <c r="O133" i="25"/>
  <c r="I133" i="25"/>
  <c r="H133" i="25"/>
  <c r="C133" i="25"/>
  <c r="D133" i="25"/>
  <c r="E133" i="25" s="1"/>
  <c r="U133" i="25"/>
  <c r="T133" i="25"/>
  <c r="F132" i="25"/>
  <c r="N132" i="25"/>
  <c r="M132" i="25"/>
  <c r="A135" i="25"/>
  <c r="B134" i="25"/>
  <c r="G132" i="25"/>
  <c r="E132" i="25"/>
  <c r="F133" i="25" l="1"/>
  <c r="J134" i="25"/>
  <c r="L134" i="25"/>
  <c r="O134" i="25"/>
  <c r="I134" i="25"/>
  <c r="T134" i="25"/>
  <c r="U134" i="25"/>
  <c r="C134" i="25"/>
  <c r="D134" i="25"/>
  <c r="H134" i="25"/>
  <c r="B135" i="25"/>
  <c r="A136" i="25"/>
  <c r="G133" i="25"/>
  <c r="N133" i="25"/>
  <c r="M133" i="25"/>
  <c r="G134" i="25" l="1"/>
  <c r="M134" i="25"/>
  <c r="N134" i="25"/>
  <c r="E134" i="25"/>
  <c r="F134" i="25"/>
  <c r="A137" i="25"/>
  <c r="B136" i="25"/>
  <c r="J135" i="25"/>
  <c r="L135" i="25"/>
  <c r="O135" i="25"/>
  <c r="I135" i="25"/>
  <c r="D135" i="25"/>
  <c r="F135" i="25" s="1"/>
  <c r="T135" i="25"/>
  <c r="H135" i="25"/>
  <c r="C135" i="25"/>
  <c r="U135" i="25"/>
  <c r="B137" i="25" l="1"/>
  <c r="A138" i="25"/>
  <c r="E135" i="25"/>
  <c r="G135" i="25"/>
  <c r="N135" i="25"/>
  <c r="M135" i="25"/>
  <c r="L136" i="25"/>
  <c r="J136" i="25"/>
  <c r="O136" i="25"/>
  <c r="I136" i="25"/>
  <c r="U136" i="25"/>
  <c r="C136" i="25"/>
  <c r="D136" i="25"/>
  <c r="G136" i="25" s="1"/>
  <c r="H136" i="25"/>
  <c r="T136" i="25"/>
  <c r="E136" i="25" l="1"/>
  <c r="B138" i="25"/>
  <c r="A139" i="25"/>
  <c r="F136" i="25"/>
  <c r="N136" i="25"/>
  <c r="M136" i="25"/>
  <c r="J137" i="25"/>
  <c r="L137" i="25"/>
  <c r="O137" i="25"/>
  <c r="I137" i="25"/>
  <c r="H137" i="25"/>
  <c r="C137" i="25"/>
  <c r="T137" i="25"/>
  <c r="U137" i="25"/>
  <c r="D137" i="25"/>
  <c r="G137" i="25" l="1"/>
  <c r="N137" i="25"/>
  <c r="M137" i="25"/>
  <c r="E137" i="25"/>
  <c r="B139" i="25"/>
  <c r="A140" i="25"/>
  <c r="F137" i="25"/>
  <c r="J138" i="25"/>
  <c r="L138" i="25"/>
  <c r="O138" i="25"/>
  <c r="I138" i="25"/>
  <c r="H138" i="25"/>
  <c r="T138" i="25"/>
  <c r="U138" i="25"/>
  <c r="C138" i="25"/>
  <c r="D138" i="25"/>
  <c r="F138" i="25" l="1"/>
  <c r="N138" i="25"/>
  <c r="M138" i="25"/>
  <c r="E138" i="25"/>
  <c r="J139" i="25"/>
  <c r="L139" i="25"/>
  <c r="O139" i="25"/>
  <c r="I139" i="25"/>
  <c r="C139" i="25"/>
  <c r="D139" i="25"/>
  <c r="U139" i="25"/>
  <c r="H139" i="25"/>
  <c r="T139" i="25"/>
  <c r="A141" i="25"/>
  <c r="B140" i="25"/>
  <c r="G138" i="25"/>
  <c r="G139" i="25" l="1"/>
  <c r="N139" i="25"/>
  <c r="M139" i="25"/>
  <c r="A142" i="25"/>
  <c r="B141" i="25"/>
  <c r="F139" i="25"/>
  <c r="E139" i="25"/>
  <c r="J140" i="25"/>
  <c r="L140" i="25"/>
  <c r="O140" i="25"/>
  <c r="I140" i="25"/>
  <c r="D140" i="25"/>
  <c r="G140" i="25" s="1"/>
  <c r="T140" i="25"/>
  <c r="H140" i="25"/>
  <c r="U140" i="25"/>
  <c r="C140" i="25"/>
  <c r="E140" i="25" l="1"/>
  <c r="J141" i="25"/>
  <c r="L141" i="25"/>
  <c r="O141" i="25"/>
  <c r="I141" i="25"/>
  <c r="D141" i="25"/>
  <c r="F141" i="25" s="1"/>
  <c r="H141" i="25"/>
  <c r="C141" i="25"/>
  <c r="T141" i="25"/>
  <c r="U141" i="25"/>
  <c r="B142" i="25"/>
  <c r="A143" i="25"/>
  <c r="F140" i="25"/>
  <c r="N140" i="25"/>
  <c r="M140" i="25"/>
  <c r="E141" i="25" l="1"/>
  <c r="J142" i="25"/>
  <c r="L142" i="25"/>
  <c r="O142" i="25"/>
  <c r="I142" i="25"/>
  <c r="T142" i="25"/>
  <c r="H142" i="25"/>
  <c r="U142" i="25"/>
  <c r="C142" i="25"/>
  <c r="D142" i="25"/>
  <c r="B143" i="25"/>
  <c r="A144" i="25"/>
  <c r="G141" i="25"/>
  <c r="N141" i="25"/>
  <c r="M141" i="25"/>
  <c r="F142" i="25" l="1"/>
  <c r="N142" i="25"/>
  <c r="M142" i="25"/>
  <c r="G142" i="25"/>
  <c r="E142" i="25"/>
  <c r="A145" i="25"/>
  <c r="B144" i="25"/>
  <c r="J143" i="25"/>
  <c r="L143" i="25"/>
  <c r="O143" i="25"/>
  <c r="I143" i="25"/>
  <c r="H143" i="25"/>
  <c r="T143" i="25"/>
  <c r="U143" i="25"/>
  <c r="C143" i="25"/>
  <c r="D143" i="25"/>
  <c r="G143" i="25" l="1"/>
  <c r="N143" i="25"/>
  <c r="M143" i="25"/>
  <c r="E143" i="25"/>
  <c r="F143" i="25"/>
  <c r="B145" i="25"/>
  <c r="A146" i="25"/>
  <c r="J144" i="25"/>
  <c r="L144" i="25"/>
  <c r="O144" i="25"/>
  <c r="I144" i="25"/>
  <c r="T144" i="25"/>
  <c r="U144" i="25"/>
  <c r="C144" i="25"/>
  <c r="D144" i="25"/>
  <c r="F144" i="25" s="1"/>
  <c r="H144" i="25"/>
  <c r="J145" i="25" l="1"/>
  <c r="L145" i="25"/>
  <c r="O145" i="25"/>
  <c r="I145" i="25"/>
  <c r="H145" i="25"/>
  <c r="T145" i="25"/>
  <c r="C145" i="25"/>
  <c r="U145" i="25"/>
  <c r="D145" i="25"/>
  <c r="G144" i="25"/>
  <c r="N144" i="25"/>
  <c r="M144" i="25"/>
  <c r="E144" i="25"/>
  <c r="B146" i="25"/>
  <c r="A147" i="25"/>
  <c r="F145" i="25" l="1"/>
  <c r="N145" i="25"/>
  <c r="M145" i="25"/>
  <c r="E145" i="25"/>
  <c r="B147" i="25"/>
  <c r="A148" i="25"/>
  <c r="G145" i="25"/>
  <c r="J146" i="25"/>
  <c r="L146" i="25"/>
  <c r="O146" i="25"/>
  <c r="I146" i="25"/>
  <c r="T146" i="25"/>
  <c r="U146" i="25"/>
  <c r="C146" i="25"/>
  <c r="D146" i="25"/>
  <c r="E146" i="25" s="1"/>
  <c r="H146" i="25"/>
  <c r="G146" i="25" l="1"/>
  <c r="A149" i="25"/>
  <c r="B148" i="25"/>
  <c r="J147" i="25"/>
  <c r="L147" i="25"/>
  <c r="O147" i="25"/>
  <c r="I147" i="25"/>
  <c r="D147" i="25"/>
  <c r="H147" i="25"/>
  <c r="T147" i="25"/>
  <c r="C147" i="25"/>
  <c r="U147" i="25"/>
  <c r="F146" i="25"/>
  <c r="N146" i="25"/>
  <c r="M146" i="25"/>
  <c r="F147" i="25" l="1"/>
  <c r="N147" i="25"/>
  <c r="M147" i="25"/>
  <c r="J148" i="25"/>
  <c r="L148" i="25"/>
  <c r="O148" i="25"/>
  <c r="I148" i="25"/>
  <c r="H148" i="25"/>
  <c r="U148" i="25"/>
  <c r="C148" i="25"/>
  <c r="T148" i="25"/>
  <c r="D148" i="25"/>
  <c r="G148" i="25" s="1"/>
  <c r="B149" i="25"/>
  <c r="A150" i="25"/>
  <c r="G147" i="25"/>
  <c r="E147" i="25"/>
  <c r="A151" i="25" l="1"/>
  <c r="B150" i="25"/>
  <c r="J149" i="25"/>
  <c r="L149" i="25"/>
  <c r="O149" i="25"/>
  <c r="I149" i="25"/>
  <c r="H149" i="25"/>
  <c r="T149" i="25"/>
  <c r="U149" i="25"/>
  <c r="C149" i="25"/>
  <c r="D149" i="25"/>
  <c r="E149" i="25" s="1"/>
  <c r="F148" i="25"/>
  <c r="N148" i="25"/>
  <c r="M148" i="25"/>
  <c r="E148" i="25"/>
  <c r="J150" i="25" l="1"/>
  <c r="L150" i="25"/>
  <c r="O150" i="25"/>
  <c r="I150" i="25"/>
  <c r="D150" i="25"/>
  <c r="H150" i="25"/>
  <c r="T150" i="25"/>
  <c r="U150" i="25"/>
  <c r="C150" i="25"/>
  <c r="G149" i="25"/>
  <c r="N149" i="25"/>
  <c r="M149" i="25"/>
  <c r="F149" i="25"/>
  <c r="A152" i="25"/>
  <c r="B151" i="25"/>
  <c r="G150" i="25" l="1"/>
  <c r="N150" i="25"/>
  <c r="M150" i="25"/>
  <c r="J151" i="25"/>
  <c r="L151" i="25"/>
  <c r="O151" i="25"/>
  <c r="I151" i="25"/>
  <c r="H151" i="25"/>
  <c r="C151" i="25"/>
  <c r="D151" i="25"/>
  <c r="T151" i="25"/>
  <c r="U151" i="25"/>
  <c r="F150" i="25"/>
  <c r="E150" i="25"/>
  <c r="B152" i="25"/>
  <c r="A153" i="25"/>
  <c r="F151" i="25" l="1"/>
  <c r="N151" i="25"/>
  <c r="M151" i="25"/>
  <c r="A154" i="25"/>
  <c r="B153" i="25"/>
  <c r="J152" i="25"/>
  <c r="L152" i="25"/>
  <c r="O152" i="25"/>
  <c r="I152" i="25"/>
  <c r="H152" i="25"/>
  <c r="T152" i="25"/>
  <c r="C152" i="25"/>
  <c r="U152" i="25"/>
  <c r="D152" i="25"/>
  <c r="E152" i="25" s="1"/>
  <c r="G151" i="25"/>
  <c r="E151" i="25"/>
  <c r="J153" i="25" l="1"/>
  <c r="L153" i="25"/>
  <c r="O153" i="25"/>
  <c r="I153" i="25"/>
  <c r="H153" i="25"/>
  <c r="T153" i="25"/>
  <c r="U153" i="25"/>
  <c r="C153" i="25"/>
  <c r="D153" i="25"/>
  <c r="E153" i="25" s="1"/>
  <c r="G152" i="25"/>
  <c r="A155" i="25"/>
  <c r="B154" i="25"/>
  <c r="F152" i="25"/>
  <c r="N152" i="25"/>
  <c r="M152" i="25"/>
  <c r="G153" i="25" l="1"/>
  <c r="F153" i="25"/>
  <c r="N153" i="25"/>
  <c r="M153" i="25"/>
  <c r="L154" i="25"/>
  <c r="J154" i="25"/>
  <c r="O154" i="25"/>
  <c r="I154" i="25"/>
  <c r="D154" i="25"/>
  <c r="H154" i="25"/>
  <c r="T154" i="25"/>
  <c r="C154" i="25"/>
  <c r="U154" i="25"/>
  <c r="B155" i="25"/>
  <c r="A156" i="25"/>
  <c r="A157" i="25" l="1"/>
  <c r="B156" i="25"/>
  <c r="J155" i="25"/>
  <c r="L155" i="25"/>
  <c r="O155" i="25"/>
  <c r="I155" i="25"/>
  <c r="T155" i="25"/>
  <c r="C155" i="25"/>
  <c r="D155" i="25"/>
  <c r="H155" i="25"/>
  <c r="U155" i="25"/>
  <c r="F154" i="25"/>
  <c r="N154" i="25"/>
  <c r="M154" i="25"/>
  <c r="G154" i="25"/>
  <c r="E154" i="25"/>
  <c r="G155" i="25" l="1"/>
  <c r="N155" i="25"/>
  <c r="M155" i="25"/>
  <c r="J156" i="25"/>
  <c r="L156" i="25"/>
  <c r="O156" i="25"/>
  <c r="I156" i="25"/>
  <c r="D156" i="25"/>
  <c r="H156" i="25"/>
  <c r="C156" i="25"/>
  <c r="U156" i="25"/>
  <c r="T156" i="25"/>
  <c r="F155" i="25"/>
  <c r="E155" i="25"/>
  <c r="A158" i="25"/>
  <c r="B157" i="25"/>
  <c r="A159" i="25" l="1"/>
  <c r="B158" i="25"/>
  <c r="J157" i="25"/>
  <c r="L157" i="25"/>
  <c r="O157" i="25"/>
  <c r="I157" i="25"/>
  <c r="U157" i="25"/>
  <c r="C157" i="25"/>
  <c r="D157" i="25"/>
  <c r="E157" i="25" s="1"/>
  <c r="T157" i="25"/>
  <c r="H157" i="25"/>
  <c r="F156" i="25"/>
  <c r="N156" i="25"/>
  <c r="M156" i="25"/>
  <c r="G156" i="25"/>
  <c r="E156" i="25"/>
  <c r="J158" i="25" l="1"/>
  <c r="L158" i="25"/>
  <c r="O158" i="25"/>
  <c r="I158" i="25"/>
  <c r="D158" i="25"/>
  <c r="H158" i="25"/>
  <c r="C158" i="25"/>
  <c r="U158" i="25"/>
  <c r="T158" i="25"/>
  <c r="G157" i="25"/>
  <c r="N157" i="25"/>
  <c r="M157" i="25"/>
  <c r="F157" i="25"/>
  <c r="B159" i="25"/>
  <c r="A160" i="25"/>
  <c r="G158" i="25" l="1"/>
  <c r="N158" i="25"/>
  <c r="M158" i="25"/>
  <c r="B160" i="25"/>
  <c r="A161" i="25"/>
  <c r="F158" i="25"/>
  <c r="E158" i="25"/>
  <c r="J159" i="25"/>
  <c r="L159" i="25"/>
  <c r="O159" i="25"/>
  <c r="I159" i="25"/>
  <c r="H159" i="25"/>
  <c r="D159" i="25"/>
  <c r="E159" i="25" s="1"/>
  <c r="U159" i="25"/>
  <c r="T159" i="25"/>
  <c r="C159" i="25"/>
  <c r="A162" i="25" l="1"/>
  <c r="B161" i="25"/>
  <c r="G159" i="25"/>
  <c r="J160" i="25"/>
  <c r="L160" i="25"/>
  <c r="O160" i="25"/>
  <c r="I160" i="25"/>
  <c r="T160" i="25"/>
  <c r="U160" i="25"/>
  <c r="C160" i="25"/>
  <c r="D160" i="25"/>
  <c r="H160" i="25"/>
  <c r="F159" i="25"/>
  <c r="N159" i="25"/>
  <c r="M159" i="25"/>
  <c r="F160" i="25" l="1"/>
  <c r="N160" i="25"/>
  <c r="M160" i="25"/>
  <c r="G160" i="25"/>
  <c r="E160" i="25"/>
  <c r="J161" i="25"/>
  <c r="L161" i="25"/>
  <c r="O161" i="25"/>
  <c r="I161" i="25"/>
  <c r="H161" i="25"/>
  <c r="D161" i="25"/>
  <c r="E161" i="25" s="1"/>
  <c r="T161" i="25"/>
  <c r="C161" i="25"/>
  <c r="U161" i="25"/>
  <c r="A163" i="25"/>
  <c r="B162" i="25"/>
  <c r="A164" i="25" l="1"/>
  <c r="B163" i="25"/>
  <c r="J162" i="25"/>
  <c r="L162" i="25"/>
  <c r="O162" i="25"/>
  <c r="I162" i="25"/>
  <c r="C162" i="25"/>
  <c r="D162" i="25"/>
  <c r="H162" i="25"/>
  <c r="T162" i="25"/>
  <c r="U162" i="25"/>
  <c r="F161" i="25"/>
  <c r="G161" i="25"/>
  <c r="N161" i="25"/>
  <c r="M161" i="25"/>
  <c r="G162" i="25" l="1"/>
  <c r="N162" i="25"/>
  <c r="M162" i="25"/>
  <c r="E162" i="25"/>
  <c r="J163" i="25"/>
  <c r="L163" i="25"/>
  <c r="O163" i="25"/>
  <c r="I163" i="25"/>
  <c r="H163" i="25"/>
  <c r="D163" i="25"/>
  <c r="C163" i="25"/>
  <c r="T163" i="25"/>
  <c r="U163" i="25"/>
  <c r="F162" i="25"/>
  <c r="B164" i="25"/>
  <c r="A165" i="25"/>
  <c r="F163" i="25" l="1"/>
  <c r="N163" i="25"/>
  <c r="M163" i="25"/>
  <c r="J164" i="25"/>
  <c r="L164" i="25"/>
  <c r="O164" i="25"/>
  <c r="I164" i="25"/>
  <c r="T164" i="25"/>
  <c r="U164" i="25"/>
  <c r="C164" i="25"/>
  <c r="D164" i="25"/>
  <c r="H164" i="25"/>
  <c r="G163" i="25"/>
  <c r="E163" i="25"/>
  <c r="B165" i="25"/>
  <c r="A166" i="25"/>
  <c r="A167" i="25" l="1"/>
  <c r="B166" i="25"/>
  <c r="F164" i="25"/>
  <c r="N164" i="25"/>
  <c r="M164" i="25"/>
  <c r="J165" i="25"/>
  <c r="L165" i="25"/>
  <c r="O165" i="25"/>
  <c r="I165" i="25"/>
  <c r="H165" i="25"/>
  <c r="C165" i="25"/>
  <c r="U165" i="25"/>
  <c r="D165" i="25"/>
  <c r="E165" i="25" s="1"/>
  <c r="T165" i="25"/>
  <c r="G164" i="25"/>
  <c r="E164" i="25"/>
  <c r="G165" i="25" l="1"/>
  <c r="F165" i="25"/>
  <c r="N165" i="25"/>
  <c r="M165" i="25"/>
  <c r="J166" i="25"/>
  <c r="L166" i="25"/>
  <c r="O166" i="25"/>
  <c r="I166" i="25"/>
  <c r="C166" i="25"/>
  <c r="U166" i="25"/>
  <c r="H166" i="25"/>
  <c r="D166" i="25"/>
  <c r="F166" i="25" s="1"/>
  <c r="T166" i="25"/>
  <c r="A168" i="25"/>
  <c r="B167" i="25"/>
  <c r="J167" i="25" l="1"/>
  <c r="L167" i="25"/>
  <c r="O167" i="25"/>
  <c r="I167" i="25"/>
  <c r="D167" i="25"/>
  <c r="H167" i="25"/>
  <c r="T167" i="25"/>
  <c r="U167" i="25"/>
  <c r="C167" i="25"/>
  <c r="E166" i="25"/>
  <c r="B168" i="25"/>
  <c r="A169" i="25"/>
  <c r="G166" i="25"/>
  <c r="N166" i="25"/>
  <c r="M166" i="25"/>
  <c r="G167" i="25" l="1"/>
  <c r="N167" i="25"/>
  <c r="M167" i="25"/>
  <c r="F167" i="25"/>
  <c r="E167" i="25"/>
  <c r="A170" i="25"/>
  <c r="B169" i="25"/>
  <c r="J168" i="25"/>
  <c r="L168" i="25"/>
  <c r="O168" i="25"/>
  <c r="I168" i="25"/>
  <c r="U168" i="25"/>
  <c r="D168" i="25"/>
  <c r="E168" i="25" s="1"/>
  <c r="H168" i="25"/>
  <c r="C168" i="25"/>
  <c r="T168" i="25"/>
  <c r="G168" i="25" l="1"/>
  <c r="A171" i="25"/>
  <c r="B170" i="25"/>
  <c r="F168" i="25"/>
  <c r="N168" i="25"/>
  <c r="M168" i="25"/>
  <c r="J169" i="25"/>
  <c r="L169" i="25"/>
  <c r="O169" i="25"/>
  <c r="I169" i="25"/>
  <c r="U169" i="25"/>
  <c r="T169" i="25"/>
  <c r="C169" i="25"/>
  <c r="D169" i="25"/>
  <c r="F169" i="25" s="1"/>
  <c r="H169" i="25"/>
  <c r="G169" i="25" l="1"/>
  <c r="N169" i="25"/>
  <c r="M169" i="25"/>
  <c r="J170" i="25"/>
  <c r="L170" i="25"/>
  <c r="O170" i="25"/>
  <c r="I170" i="25"/>
  <c r="T170" i="25"/>
  <c r="U170" i="25"/>
  <c r="C170" i="25"/>
  <c r="D170" i="25"/>
  <c r="H170" i="25"/>
  <c r="B171" i="25"/>
  <c r="A172" i="25"/>
  <c r="E169" i="25"/>
  <c r="F170" i="25" l="1"/>
  <c r="M170" i="25"/>
  <c r="N170" i="25"/>
  <c r="A173" i="25"/>
  <c r="B172" i="25"/>
  <c r="J171" i="25"/>
  <c r="L171" i="25"/>
  <c r="O171" i="25"/>
  <c r="I171" i="25"/>
  <c r="H171" i="25"/>
  <c r="U171" i="25"/>
  <c r="C171" i="25"/>
  <c r="D171" i="25"/>
  <c r="F171" i="25" s="1"/>
  <c r="T171" i="25"/>
  <c r="G170" i="25"/>
  <c r="E170" i="25"/>
  <c r="A174" i="25" l="1"/>
  <c r="B173" i="25"/>
  <c r="L172" i="25"/>
  <c r="J172" i="25"/>
  <c r="O172" i="25"/>
  <c r="I172" i="25"/>
  <c r="U172" i="25"/>
  <c r="H172" i="25"/>
  <c r="C172" i="25"/>
  <c r="T172" i="25"/>
  <c r="D172" i="25"/>
  <c r="E172" i="25" s="1"/>
  <c r="G171" i="25"/>
  <c r="N171" i="25"/>
  <c r="M171" i="25"/>
  <c r="E171" i="25"/>
  <c r="G172" i="25" l="1"/>
  <c r="N172" i="25"/>
  <c r="M172" i="25"/>
  <c r="J173" i="25"/>
  <c r="L173" i="25"/>
  <c r="O173" i="25"/>
  <c r="I173" i="25"/>
  <c r="U173" i="25"/>
  <c r="C173" i="25"/>
  <c r="H173" i="25"/>
  <c r="T173" i="25"/>
  <c r="D173" i="25"/>
  <c r="F173" i="25" s="1"/>
  <c r="F172" i="25"/>
  <c r="A175" i="25"/>
  <c r="B174" i="25"/>
  <c r="J174" i="25" l="1"/>
  <c r="L174" i="25"/>
  <c r="O174" i="25"/>
  <c r="I174" i="25"/>
  <c r="D174" i="25"/>
  <c r="T174" i="25"/>
  <c r="U174" i="25"/>
  <c r="H174" i="25"/>
  <c r="C174" i="25"/>
  <c r="E173" i="25"/>
  <c r="A176" i="25"/>
  <c r="B175" i="25"/>
  <c r="G173" i="25"/>
  <c r="N173" i="25"/>
  <c r="M173" i="25"/>
  <c r="F174" i="25" l="1"/>
  <c r="N174" i="25"/>
  <c r="M174" i="25"/>
  <c r="G174" i="25"/>
  <c r="E174" i="25"/>
  <c r="J175" i="25"/>
  <c r="L175" i="25"/>
  <c r="O175" i="25"/>
  <c r="I175" i="25"/>
  <c r="H175" i="25"/>
  <c r="U175" i="25"/>
  <c r="C175" i="25"/>
  <c r="D175" i="25"/>
  <c r="G175" i="25" s="1"/>
  <c r="T175" i="25"/>
  <c r="A177" i="25"/>
  <c r="B176" i="25"/>
  <c r="A178" i="25" l="1"/>
  <c r="B177" i="25"/>
  <c r="J176" i="25"/>
  <c r="L176" i="25"/>
  <c r="O176" i="25"/>
  <c r="I176" i="25"/>
  <c r="H176" i="25"/>
  <c r="T176" i="25"/>
  <c r="U176" i="25"/>
  <c r="C176" i="25"/>
  <c r="D176" i="25"/>
  <c r="E176" i="25" s="1"/>
  <c r="F175" i="25"/>
  <c r="N175" i="25"/>
  <c r="M175" i="25"/>
  <c r="E175" i="25"/>
  <c r="G176" i="25" l="1"/>
  <c r="N176" i="25"/>
  <c r="M176" i="25"/>
  <c r="J177" i="25"/>
  <c r="L177" i="25"/>
  <c r="O177" i="25"/>
  <c r="I177" i="25"/>
  <c r="D177" i="25"/>
  <c r="E177" i="25" s="1"/>
  <c r="H177" i="25"/>
  <c r="T177" i="25"/>
  <c r="U177" i="25"/>
  <c r="C177" i="25"/>
  <c r="F176" i="25"/>
  <c r="B178" i="25"/>
  <c r="A179" i="25"/>
  <c r="A180" i="25" l="1"/>
  <c r="B179" i="25"/>
  <c r="J178" i="25"/>
  <c r="L178" i="25"/>
  <c r="O178" i="25"/>
  <c r="I178" i="25"/>
  <c r="D178" i="25"/>
  <c r="E178" i="25" s="1"/>
  <c r="U178" i="25"/>
  <c r="H178" i="25"/>
  <c r="T178" i="25"/>
  <c r="C178" i="25"/>
  <c r="G177" i="25"/>
  <c r="N177" i="25"/>
  <c r="M177" i="25"/>
  <c r="F177" i="25"/>
  <c r="F178" i="25" l="1"/>
  <c r="N178" i="25"/>
  <c r="M178" i="25"/>
  <c r="J179" i="25"/>
  <c r="L179" i="25"/>
  <c r="O179" i="25"/>
  <c r="I179" i="25"/>
  <c r="T179" i="25"/>
  <c r="H179" i="25"/>
  <c r="U179" i="25"/>
  <c r="D179" i="25"/>
  <c r="E179" i="25" s="1"/>
  <c r="C179" i="25"/>
  <c r="G178" i="25"/>
  <c r="B180" i="25"/>
  <c r="A181" i="25"/>
  <c r="B181" i="25" l="1"/>
  <c r="A182" i="25"/>
  <c r="J180" i="25"/>
  <c r="L180" i="25"/>
  <c r="O180" i="25"/>
  <c r="I180" i="25"/>
  <c r="T180" i="25"/>
  <c r="U180" i="25"/>
  <c r="C180" i="25"/>
  <c r="D180" i="25"/>
  <c r="H180" i="25"/>
  <c r="G179" i="25"/>
  <c r="N179" i="25"/>
  <c r="M179" i="25"/>
  <c r="F179" i="25"/>
  <c r="F180" i="25" l="1"/>
  <c r="N180" i="25"/>
  <c r="M180" i="25"/>
  <c r="B182" i="25"/>
  <c r="A183" i="25"/>
  <c r="E180" i="25"/>
  <c r="G180" i="25"/>
  <c r="J181" i="25"/>
  <c r="L181" i="25"/>
  <c r="O181" i="25"/>
  <c r="I181" i="25"/>
  <c r="H181" i="25"/>
  <c r="D181" i="25"/>
  <c r="E181" i="25" s="1"/>
  <c r="C181" i="25"/>
  <c r="T181" i="25"/>
  <c r="U181" i="25"/>
  <c r="A184" i="25" l="1"/>
  <c r="B183" i="25"/>
  <c r="G181" i="25"/>
  <c r="J182" i="25"/>
  <c r="L182" i="25"/>
  <c r="O182" i="25"/>
  <c r="I182" i="25"/>
  <c r="C182" i="25"/>
  <c r="H182" i="25"/>
  <c r="U182" i="25"/>
  <c r="D182" i="25"/>
  <c r="T182" i="25"/>
  <c r="F181" i="25"/>
  <c r="N181" i="25"/>
  <c r="M181" i="25"/>
  <c r="F182" i="25" l="1"/>
  <c r="N182" i="25"/>
  <c r="M182" i="25"/>
  <c r="E182" i="25"/>
  <c r="G182" i="25"/>
  <c r="J183" i="25"/>
  <c r="L183" i="25"/>
  <c r="O183" i="25"/>
  <c r="I183" i="25"/>
  <c r="U183" i="25"/>
  <c r="D183" i="25"/>
  <c r="H183" i="25"/>
  <c r="C183" i="25"/>
  <c r="T183" i="25"/>
  <c r="A185" i="25"/>
  <c r="B184" i="25"/>
  <c r="A186" i="25" l="1"/>
  <c r="B185" i="25"/>
  <c r="J184" i="25"/>
  <c r="L184" i="25"/>
  <c r="O184" i="25"/>
  <c r="I184" i="25"/>
  <c r="T184" i="25"/>
  <c r="C184" i="25"/>
  <c r="H184" i="25"/>
  <c r="D184" i="25"/>
  <c r="U184" i="25"/>
  <c r="F183" i="25"/>
  <c r="N183" i="25"/>
  <c r="M183" i="25"/>
  <c r="G183" i="25"/>
  <c r="E183" i="25"/>
  <c r="G184" i="25" l="1"/>
  <c r="N184" i="25"/>
  <c r="M184" i="25"/>
  <c r="E184" i="25"/>
  <c r="J185" i="25"/>
  <c r="L185" i="25"/>
  <c r="O185" i="25"/>
  <c r="I185" i="25"/>
  <c r="H185" i="25"/>
  <c r="T185" i="25"/>
  <c r="U185" i="25"/>
  <c r="C185" i="25"/>
  <c r="D185" i="25"/>
  <c r="F185" i="25" s="1"/>
  <c r="F184" i="25"/>
  <c r="A187" i="25"/>
  <c r="B186" i="25"/>
  <c r="J186" i="25" l="1"/>
  <c r="L186" i="25"/>
  <c r="O186" i="25"/>
  <c r="I186" i="25"/>
  <c r="H186" i="25"/>
  <c r="C186" i="25"/>
  <c r="T186" i="25"/>
  <c r="U186" i="25"/>
  <c r="D186" i="25"/>
  <c r="G186" i="25" s="1"/>
  <c r="A188" i="25"/>
  <c r="B187" i="25"/>
  <c r="G185" i="25"/>
  <c r="N185" i="25"/>
  <c r="M185" i="25"/>
  <c r="E185" i="25"/>
  <c r="F186" i="25" l="1"/>
  <c r="N186" i="25"/>
  <c r="M186" i="25"/>
  <c r="E186" i="25"/>
  <c r="B188" i="25"/>
  <c r="A189" i="25"/>
  <c r="J187" i="25"/>
  <c r="L187" i="25"/>
  <c r="O187" i="25"/>
  <c r="I187" i="25"/>
  <c r="U187" i="25"/>
  <c r="C187" i="25"/>
  <c r="D187" i="25"/>
  <c r="E187" i="25" s="1"/>
  <c r="T187" i="25"/>
  <c r="H187" i="25"/>
  <c r="A190" i="25" l="1"/>
  <c r="B189" i="25"/>
  <c r="J188" i="25"/>
  <c r="L188" i="25"/>
  <c r="O188" i="25"/>
  <c r="I188" i="25"/>
  <c r="H188" i="25"/>
  <c r="T188" i="25"/>
  <c r="C188" i="25"/>
  <c r="U188" i="25"/>
  <c r="D188" i="25"/>
  <c r="E188" i="25" s="1"/>
  <c r="F187" i="25"/>
  <c r="N187" i="25"/>
  <c r="M187" i="25"/>
  <c r="G187" i="25"/>
  <c r="G188" i="25" l="1"/>
  <c r="N188" i="25"/>
  <c r="M188" i="25"/>
  <c r="J189" i="25"/>
  <c r="L189" i="25"/>
  <c r="O189" i="25"/>
  <c r="I189" i="25"/>
  <c r="D189" i="25"/>
  <c r="H189" i="25"/>
  <c r="C189" i="25"/>
  <c r="T189" i="25"/>
  <c r="U189" i="25"/>
  <c r="F188" i="25"/>
  <c r="A191" i="25"/>
  <c r="B190" i="25"/>
  <c r="L190" i="25" l="1"/>
  <c r="J190" i="25"/>
  <c r="O190" i="25"/>
  <c r="I190" i="25"/>
  <c r="C190" i="25"/>
  <c r="H190" i="25"/>
  <c r="D190" i="25"/>
  <c r="E190" i="25" s="1"/>
  <c r="U190" i="25"/>
  <c r="T190" i="25"/>
  <c r="A192" i="25"/>
  <c r="B191" i="25"/>
  <c r="F189" i="25"/>
  <c r="N189" i="25"/>
  <c r="M189" i="25"/>
  <c r="G189" i="25"/>
  <c r="E189" i="25"/>
  <c r="A193" i="25" l="1"/>
  <c r="B192" i="25"/>
  <c r="G190" i="25"/>
  <c r="F190" i="25"/>
  <c r="N190" i="25"/>
  <c r="M190" i="25"/>
  <c r="J191" i="25"/>
  <c r="L191" i="25"/>
  <c r="O191" i="25"/>
  <c r="I191" i="25"/>
  <c r="C191" i="25"/>
  <c r="T191" i="25"/>
  <c r="U191" i="25"/>
  <c r="H191" i="25"/>
  <c r="D191" i="25"/>
  <c r="G191" i="25" l="1"/>
  <c r="N191" i="25"/>
  <c r="M191" i="25"/>
  <c r="J192" i="25"/>
  <c r="L192" i="25"/>
  <c r="O192" i="25"/>
  <c r="I192" i="25"/>
  <c r="T192" i="25"/>
  <c r="U192" i="25"/>
  <c r="C192" i="25"/>
  <c r="D192" i="25"/>
  <c r="E192" i="25" s="1"/>
  <c r="H192" i="25"/>
  <c r="F191" i="25"/>
  <c r="E191" i="25"/>
  <c r="A194" i="25"/>
  <c r="B193" i="25"/>
  <c r="A195" i="25" l="1"/>
  <c r="B194" i="25"/>
  <c r="J193" i="25"/>
  <c r="L193" i="25"/>
  <c r="O193" i="25"/>
  <c r="I193" i="25"/>
  <c r="U193" i="25"/>
  <c r="D193" i="25"/>
  <c r="E193" i="25" s="1"/>
  <c r="T193" i="25"/>
  <c r="C193" i="25"/>
  <c r="H193" i="25"/>
  <c r="G192" i="25"/>
  <c r="N192" i="25"/>
  <c r="M192" i="25"/>
  <c r="F192" i="25"/>
  <c r="J194" i="25" l="1"/>
  <c r="L194" i="25"/>
  <c r="O194" i="25"/>
  <c r="I194" i="25"/>
  <c r="C194" i="25"/>
  <c r="T194" i="25"/>
  <c r="D194" i="25"/>
  <c r="E194" i="25" s="1"/>
  <c r="H194" i="25"/>
  <c r="U194" i="25"/>
  <c r="F193" i="25"/>
  <c r="N193" i="25"/>
  <c r="M193" i="25"/>
  <c r="G193" i="25"/>
  <c r="A196" i="25"/>
  <c r="B195" i="25"/>
  <c r="J195" i="25" l="1"/>
  <c r="L195" i="25"/>
  <c r="O195" i="25"/>
  <c r="I195" i="25"/>
  <c r="U195" i="25"/>
  <c r="C195" i="25"/>
  <c r="H195" i="25"/>
  <c r="D195" i="25"/>
  <c r="F195" i="25" s="1"/>
  <c r="T195" i="25"/>
  <c r="F194" i="25"/>
  <c r="A197" i="25"/>
  <c r="B196" i="25"/>
  <c r="G194" i="25"/>
  <c r="N194" i="25"/>
  <c r="M194" i="25"/>
  <c r="G195" i="25" l="1"/>
  <c r="N195" i="25"/>
  <c r="M195" i="25"/>
  <c r="E195" i="25"/>
  <c r="J196" i="25"/>
  <c r="L196" i="25"/>
  <c r="O196" i="25"/>
  <c r="I196" i="25"/>
  <c r="H196" i="25"/>
  <c r="T196" i="25"/>
  <c r="U196" i="25"/>
  <c r="C196" i="25"/>
  <c r="D196" i="25"/>
  <c r="F196" i="25" s="1"/>
  <c r="A198" i="25"/>
  <c r="B197" i="25"/>
  <c r="B198" i="25" l="1"/>
  <c r="A199" i="25"/>
  <c r="J197" i="25"/>
  <c r="L197" i="25"/>
  <c r="O197" i="25"/>
  <c r="I197" i="25"/>
  <c r="T197" i="25"/>
  <c r="U197" i="25"/>
  <c r="H197" i="25"/>
  <c r="D197" i="25"/>
  <c r="C197" i="25"/>
  <c r="G196" i="25"/>
  <c r="N196" i="25"/>
  <c r="M196" i="25"/>
  <c r="E196" i="25"/>
  <c r="F197" i="25" l="1"/>
  <c r="N197" i="25"/>
  <c r="M197" i="25"/>
  <c r="E197" i="25"/>
  <c r="A200" i="25"/>
  <c r="B199" i="25"/>
  <c r="G197" i="25"/>
  <c r="J198" i="25"/>
  <c r="L198" i="25"/>
  <c r="O198" i="25"/>
  <c r="I198" i="25"/>
  <c r="H198" i="25"/>
  <c r="T198" i="25"/>
  <c r="U198" i="25"/>
  <c r="C198" i="25"/>
  <c r="D198" i="25"/>
  <c r="F198" i="25" l="1"/>
  <c r="N198" i="25"/>
  <c r="M198" i="25"/>
  <c r="A201" i="25"/>
  <c r="B200" i="25"/>
  <c r="E198" i="25"/>
  <c r="G198" i="25"/>
  <c r="J199" i="25"/>
  <c r="L199" i="25"/>
  <c r="O199" i="25"/>
  <c r="I199" i="25"/>
  <c r="T199" i="25"/>
  <c r="U199" i="25"/>
  <c r="H199" i="25"/>
  <c r="D199" i="25"/>
  <c r="G199" i="25" s="1"/>
  <c r="C199" i="25"/>
  <c r="J200" i="25" l="1"/>
  <c r="L200" i="25"/>
  <c r="O200" i="25"/>
  <c r="I200" i="25"/>
  <c r="T200" i="25"/>
  <c r="U200" i="25"/>
  <c r="C200" i="25"/>
  <c r="D200" i="25"/>
  <c r="F200" i="25" s="1"/>
  <c r="H200" i="25"/>
  <c r="F199" i="25"/>
  <c r="N199" i="25"/>
  <c r="M199" i="25"/>
  <c r="E199" i="25"/>
  <c r="A202" i="25"/>
  <c r="B201" i="25"/>
  <c r="A203" i="25" l="1"/>
  <c r="B202" i="25"/>
  <c r="G200" i="25"/>
  <c r="N200" i="25"/>
  <c r="M200" i="25"/>
  <c r="E200" i="25"/>
  <c r="J201" i="25"/>
  <c r="L201" i="25"/>
  <c r="O201" i="25"/>
  <c r="I201" i="25"/>
  <c r="D201" i="25"/>
  <c r="C201" i="25"/>
  <c r="H201" i="25"/>
  <c r="T201" i="25"/>
  <c r="U201" i="25"/>
  <c r="G201" i="25" l="1"/>
  <c r="N201" i="25"/>
  <c r="M201" i="25"/>
  <c r="F201" i="25"/>
  <c r="E201" i="25"/>
  <c r="J202" i="25"/>
  <c r="L202" i="25"/>
  <c r="O202" i="25"/>
  <c r="I202" i="25"/>
  <c r="H202" i="25"/>
  <c r="T202" i="25"/>
  <c r="U202" i="25"/>
  <c r="D202" i="25"/>
  <c r="G202" i="25" s="1"/>
  <c r="C202" i="25"/>
  <c r="A204" i="25"/>
  <c r="B203" i="25"/>
  <c r="B204" i="25" l="1"/>
  <c r="A205" i="25"/>
  <c r="J203" i="25"/>
  <c r="L203" i="25"/>
  <c r="O203" i="25"/>
  <c r="I203" i="25"/>
  <c r="C203" i="25"/>
  <c r="T203" i="25"/>
  <c r="D203" i="25"/>
  <c r="E203" i="25" s="1"/>
  <c r="H203" i="25"/>
  <c r="U203" i="25"/>
  <c r="F202" i="25"/>
  <c r="N202" i="25"/>
  <c r="M202" i="25"/>
  <c r="E202" i="25"/>
  <c r="F203" i="25" l="1"/>
  <c r="N203" i="25"/>
  <c r="M203" i="25"/>
  <c r="A206" i="25"/>
  <c r="B205" i="25"/>
  <c r="G203" i="25"/>
  <c r="J204" i="25"/>
  <c r="L204" i="25"/>
  <c r="O204" i="25"/>
  <c r="I204" i="25"/>
  <c r="H204" i="25"/>
  <c r="D204" i="25"/>
  <c r="E204" i="25" s="1"/>
  <c r="T204" i="25"/>
  <c r="U204" i="25"/>
  <c r="C204" i="25"/>
  <c r="G204" i="25" l="1"/>
  <c r="J205" i="25"/>
  <c r="L205" i="25"/>
  <c r="O205" i="25"/>
  <c r="I205" i="25"/>
  <c r="U205" i="25"/>
  <c r="H205" i="25"/>
  <c r="C205" i="25"/>
  <c r="D205" i="25"/>
  <c r="T205" i="25"/>
  <c r="A207" i="25"/>
  <c r="B206" i="25"/>
  <c r="F204" i="25"/>
  <c r="N204" i="25"/>
  <c r="M204" i="25"/>
  <c r="F205" i="25" l="1"/>
  <c r="N205" i="25"/>
  <c r="M205" i="25"/>
  <c r="E205" i="25"/>
  <c r="G205" i="25"/>
  <c r="J206" i="25"/>
  <c r="L206" i="25"/>
  <c r="O206" i="25"/>
  <c r="I206" i="25"/>
  <c r="U206" i="25"/>
  <c r="C206" i="25"/>
  <c r="D206" i="25"/>
  <c r="E206" i="25" s="1"/>
  <c r="T206" i="25"/>
  <c r="H206" i="25"/>
  <c r="A208" i="25"/>
  <c r="B207" i="25"/>
  <c r="B208" i="25" l="1"/>
  <c r="A209" i="25"/>
  <c r="F206" i="25"/>
  <c r="J207" i="25"/>
  <c r="L207" i="25"/>
  <c r="O207" i="25"/>
  <c r="I207" i="25"/>
  <c r="D207" i="25"/>
  <c r="E207" i="25" s="1"/>
  <c r="H207" i="25"/>
  <c r="T207" i="25"/>
  <c r="U207" i="25"/>
  <c r="C207" i="25"/>
  <c r="G206" i="25"/>
  <c r="N206" i="25"/>
  <c r="M206" i="25"/>
  <c r="G207" i="25" l="1"/>
  <c r="N207" i="25"/>
  <c r="M207" i="25"/>
  <c r="F207" i="25"/>
  <c r="A210" i="25"/>
  <c r="B209" i="25"/>
  <c r="L208" i="25"/>
  <c r="J208" i="25"/>
  <c r="O208" i="25"/>
  <c r="I208" i="25"/>
  <c r="H208" i="25"/>
  <c r="C208" i="25"/>
  <c r="D208" i="25"/>
  <c r="E208" i="25" s="1"/>
  <c r="T208" i="25"/>
  <c r="U208" i="25"/>
  <c r="J209" i="25" l="1"/>
  <c r="L209" i="25"/>
  <c r="O209" i="25"/>
  <c r="I209" i="25"/>
  <c r="H209" i="25"/>
  <c r="T209" i="25"/>
  <c r="U209" i="25"/>
  <c r="D209" i="25"/>
  <c r="E209" i="25" s="1"/>
  <c r="C209" i="25"/>
  <c r="F208" i="25"/>
  <c r="B210" i="25"/>
  <c r="A211" i="25"/>
  <c r="G208" i="25"/>
  <c r="N208" i="25"/>
  <c r="M208" i="25"/>
  <c r="F209" i="25" l="1"/>
  <c r="G209" i="25"/>
  <c r="N209" i="25"/>
  <c r="M209" i="25"/>
  <c r="A212" i="25"/>
  <c r="B211" i="25"/>
  <c r="J210" i="25"/>
  <c r="L210" i="25"/>
  <c r="O210" i="25"/>
  <c r="I210" i="25"/>
  <c r="H210" i="25"/>
  <c r="D210" i="25"/>
  <c r="E210" i="25" s="1"/>
  <c r="T210" i="25"/>
  <c r="U210" i="25"/>
  <c r="C210" i="25"/>
  <c r="J211" i="25" l="1"/>
  <c r="L211" i="25"/>
  <c r="O211" i="25"/>
  <c r="I211" i="25"/>
  <c r="U211" i="25"/>
  <c r="D211" i="25"/>
  <c r="G211" i="25" s="1"/>
  <c r="T211" i="25"/>
  <c r="C211" i="25"/>
  <c r="H211" i="25"/>
  <c r="G210" i="25"/>
  <c r="B212" i="25"/>
  <c r="A213" i="25"/>
  <c r="F210" i="25"/>
  <c r="N210" i="25"/>
  <c r="M210" i="25"/>
  <c r="J212" i="25" l="1"/>
  <c r="L212" i="25"/>
  <c r="O212" i="25"/>
  <c r="I212" i="25"/>
  <c r="D212" i="25"/>
  <c r="H212" i="25"/>
  <c r="C212" i="25"/>
  <c r="T212" i="25"/>
  <c r="U212" i="25"/>
  <c r="E211" i="25"/>
  <c r="B213" i="25"/>
  <c r="A214" i="25"/>
  <c r="F211" i="25"/>
  <c r="N211" i="25"/>
  <c r="M211" i="25"/>
  <c r="F212" i="25" l="1"/>
  <c r="N212" i="25"/>
  <c r="M212" i="25"/>
  <c r="G212" i="25"/>
  <c r="E212" i="25"/>
  <c r="A215" i="25"/>
  <c r="B214" i="25"/>
  <c r="J213" i="25"/>
  <c r="L213" i="25"/>
  <c r="O213" i="25"/>
  <c r="I213" i="25"/>
  <c r="D213" i="25"/>
  <c r="E213" i="25" s="1"/>
  <c r="H213" i="25"/>
  <c r="T213" i="25"/>
  <c r="C213" i="25"/>
  <c r="U213" i="25"/>
  <c r="B215" i="25" l="1"/>
  <c r="A216" i="25"/>
  <c r="F213" i="25"/>
  <c r="G213" i="25"/>
  <c r="N213" i="25"/>
  <c r="M213" i="25"/>
  <c r="J214" i="25"/>
  <c r="L214" i="25"/>
  <c r="O214" i="25"/>
  <c r="I214" i="25"/>
  <c r="T214" i="25"/>
  <c r="U214" i="25"/>
  <c r="C214" i="25"/>
  <c r="H214" i="25"/>
  <c r="D214" i="25"/>
  <c r="E214" i="25" s="1"/>
  <c r="G214" i="25" l="1"/>
  <c r="B216" i="25"/>
  <c r="A217" i="25"/>
  <c r="F214" i="25"/>
  <c r="N214" i="25"/>
  <c r="M214" i="25"/>
  <c r="J215" i="25"/>
  <c r="L215" i="25"/>
  <c r="O215" i="25"/>
  <c r="I215" i="25"/>
  <c r="T215" i="25"/>
  <c r="C215" i="25"/>
  <c r="U215" i="25"/>
  <c r="H215" i="25"/>
  <c r="D215" i="25"/>
  <c r="E215" i="25" s="1"/>
  <c r="G215" i="25" l="1"/>
  <c r="B217" i="25"/>
  <c r="A218" i="25"/>
  <c r="J216" i="25"/>
  <c r="L216" i="25"/>
  <c r="O216" i="25"/>
  <c r="I216" i="25"/>
  <c r="H216" i="25"/>
  <c r="T216" i="25"/>
  <c r="U216" i="25"/>
  <c r="D216" i="25"/>
  <c r="C216" i="25"/>
  <c r="F215" i="25"/>
  <c r="N215" i="25"/>
  <c r="M215" i="25"/>
  <c r="F216" i="25" l="1"/>
  <c r="N216" i="25"/>
  <c r="M216" i="25"/>
  <c r="A219" i="25"/>
  <c r="B218" i="25"/>
  <c r="G216" i="25"/>
  <c r="E216" i="25"/>
  <c r="J217" i="25"/>
  <c r="L217" i="25"/>
  <c r="O217" i="25"/>
  <c r="I217" i="25"/>
  <c r="D217" i="25"/>
  <c r="E217" i="25" s="1"/>
  <c r="H217" i="25"/>
  <c r="T217" i="25"/>
  <c r="U217" i="25"/>
  <c r="C217" i="25"/>
  <c r="G217" i="25" l="1"/>
  <c r="J218" i="25"/>
  <c r="L218" i="25"/>
  <c r="O218" i="25"/>
  <c r="I218" i="25"/>
  <c r="D218" i="25"/>
  <c r="E218" i="25" s="1"/>
  <c r="C218" i="25"/>
  <c r="H218" i="25"/>
  <c r="T218" i="25"/>
  <c r="U218" i="25"/>
  <c r="A220" i="25"/>
  <c r="B219" i="25"/>
  <c r="F217" i="25"/>
  <c r="N217" i="25"/>
  <c r="M217" i="25"/>
  <c r="A221" i="25" l="1"/>
  <c r="B220" i="25"/>
  <c r="G218" i="25"/>
  <c r="J219" i="25"/>
  <c r="L219" i="25"/>
  <c r="O219" i="25"/>
  <c r="I219" i="25"/>
  <c r="T219" i="25"/>
  <c r="U219" i="25"/>
  <c r="C219" i="25"/>
  <c r="D219" i="25"/>
  <c r="H219" i="25"/>
  <c r="F218" i="25"/>
  <c r="N218" i="25"/>
  <c r="M218" i="25"/>
  <c r="F219" i="25" l="1"/>
  <c r="N219" i="25"/>
  <c r="M219" i="25"/>
  <c r="G219" i="25"/>
  <c r="E219" i="25"/>
  <c r="J220" i="25"/>
  <c r="L220" i="25"/>
  <c r="O220" i="25"/>
  <c r="I220" i="25"/>
  <c r="H220" i="25"/>
  <c r="U220" i="25"/>
  <c r="T220" i="25"/>
  <c r="C220" i="25"/>
  <c r="D220" i="25"/>
  <c r="E220" i="25" s="1"/>
  <c r="A222" i="25"/>
  <c r="B221" i="25"/>
  <c r="F220" i="25" l="1"/>
  <c r="J221" i="25"/>
  <c r="L221" i="25"/>
  <c r="O221" i="25"/>
  <c r="I221" i="25"/>
  <c r="D221" i="25"/>
  <c r="E221" i="25" s="1"/>
  <c r="H221" i="25"/>
  <c r="T221" i="25"/>
  <c r="U221" i="25"/>
  <c r="C221" i="25"/>
  <c r="B222" i="25"/>
  <c r="A223" i="25"/>
  <c r="G220" i="25"/>
  <c r="N220" i="25"/>
  <c r="M220" i="25"/>
  <c r="G221" i="25" l="1"/>
  <c r="A224" i="25"/>
  <c r="B223" i="25"/>
  <c r="J222" i="25"/>
  <c r="L222" i="25"/>
  <c r="O222" i="25"/>
  <c r="I222" i="25"/>
  <c r="U222" i="25"/>
  <c r="C222" i="25"/>
  <c r="D222" i="25"/>
  <c r="H222" i="25"/>
  <c r="T222" i="25"/>
  <c r="F221" i="25"/>
  <c r="N221" i="25"/>
  <c r="M221" i="25"/>
  <c r="G222" i="25" l="1"/>
  <c r="N222" i="25"/>
  <c r="M222" i="25"/>
  <c r="J223" i="25"/>
  <c r="L223" i="25"/>
  <c r="O223" i="25"/>
  <c r="I223" i="25"/>
  <c r="U223" i="25"/>
  <c r="T223" i="25"/>
  <c r="C223" i="25"/>
  <c r="D223" i="25"/>
  <c r="H223" i="25"/>
  <c r="F222" i="25"/>
  <c r="E222" i="25"/>
  <c r="B224" i="25"/>
  <c r="A225" i="25"/>
  <c r="F223" i="25" l="1"/>
  <c r="N223" i="25"/>
  <c r="M223" i="25"/>
  <c r="J224" i="25"/>
  <c r="L224" i="25"/>
  <c r="O224" i="25"/>
  <c r="I224" i="25"/>
  <c r="C224" i="25"/>
  <c r="D224" i="25"/>
  <c r="H224" i="25"/>
  <c r="T224" i="25"/>
  <c r="U224" i="25"/>
  <c r="G223" i="25"/>
  <c r="A226" i="25"/>
  <c r="B225" i="25"/>
  <c r="E223" i="25"/>
  <c r="F224" i="25" l="1"/>
  <c r="N224" i="25"/>
  <c r="M224" i="25"/>
  <c r="J225" i="25"/>
  <c r="L225" i="25"/>
  <c r="O225" i="25"/>
  <c r="I225" i="25"/>
  <c r="D225" i="25"/>
  <c r="H225" i="25"/>
  <c r="T225" i="25"/>
  <c r="U225" i="25"/>
  <c r="C225" i="25"/>
  <c r="A227" i="25"/>
  <c r="B226" i="25"/>
  <c r="G224" i="25"/>
  <c r="E224" i="25"/>
  <c r="G225" i="25" l="1"/>
  <c r="N225" i="25"/>
  <c r="M225" i="25"/>
  <c r="L226" i="25"/>
  <c r="J226" i="25"/>
  <c r="O226" i="25"/>
  <c r="I226" i="25"/>
  <c r="T226" i="25"/>
  <c r="U226" i="25"/>
  <c r="C226" i="25"/>
  <c r="D226" i="25"/>
  <c r="H226" i="25"/>
  <c r="A228" i="25"/>
  <c r="B227" i="25"/>
  <c r="F225" i="25"/>
  <c r="E225" i="25"/>
  <c r="F226" i="25" l="1"/>
  <c r="N226" i="25"/>
  <c r="M226" i="25"/>
  <c r="J227" i="25"/>
  <c r="L227" i="25"/>
  <c r="O227" i="25"/>
  <c r="I227" i="25"/>
  <c r="D227" i="25"/>
  <c r="F227" i="25" s="1"/>
  <c r="U227" i="25"/>
  <c r="H227" i="25"/>
  <c r="T227" i="25"/>
  <c r="C227" i="25"/>
  <c r="B228" i="25"/>
  <c r="A229" i="25"/>
  <c r="G226" i="25"/>
  <c r="E226" i="25"/>
  <c r="A230" i="25" l="1"/>
  <c r="B229" i="25"/>
  <c r="J228" i="25"/>
  <c r="L228" i="25"/>
  <c r="O228" i="25"/>
  <c r="I228" i="25"/>
  <c r="H228" i="25"/>
  <c r="T228" i="25"/>
  <c r="U228" i="25"/>
  <c r="D228" i="25"/>
  <c r="C228" i="25"/>
  <c r="G227" i="25"/>
  <c r="N227" i="25"/>
  <c r="M227" i="25"/>
  <c r="E227" i="25"/>
  <c r="F228" i="25" l="1"/>
  <c r="N228" i="25"/>
  <c r="M228" i="25"/>
  <c r="J229" i="25"/>
  <c r="L229" i="25"/>
  <c r="O229" i="25"/>
  <c r="I229" i="25"/>
  <c r="T229" i="25"/>
  <c r="C229" i="25"/>
  <c r="H229" i="25"/>
  <c r="U229" i="25"/>
  <c r="D229" i="25"/>
  <c r="E228" i="25"/>
  <c r="G228" i="25"/>
  <c r="B230" i="25"/>
  <c r="A231" i="25"/>
  <c r="G229" i="25" l="1"/>
  <c r="N229" i="25"/>
  <c r="M229" i="25"/>
  <c r="A232" i="25"/>
  <c r="B231" i="25"/>
  <c r="E229" i="25"/>
  <c r="J230" i="25"/>
  <c r="L230" i="25"/>
  <c r="O230" i="25"/>
  <c r="I230" i="25"/>
  <c r="C230" i="25"/>
  <c r="D230" i="25"/>
  <c r="E230" i="25" s="1"/>
  <c r="U230" i="25"/>
  <c r="H230" i="25"/>
  <c r="T230" i="25"/>
  <c r="F229" i="25"/>
  <c r="F230" i="25" l="1"/>
  <c r="J231" i="25"/>
  <c r="L231" i="25"/>
  <c r="O231" i="25"/>
  <c r="I231" i="25"/>
  <c r="T231" i="25"/>
  <c r="U231" i="25"/>
  <c r="H231" i="25"/>
  <c r="C231" i="25"/>
  <c r="D231" i="25"/>
  <c r="B232" i="25"/>
  <c r="A233" i="25"/>
  <c r="G230" i="25"/>
  <c r="N230" i="25"/>
  <c r="M230" i="25"/>
  <c r="G231" i="25" l="1"/>
  <c r="N231" i="25"/>
  <c r="M231" i="25"/>
  <c r="F231" i="25"/>
  <c r="E231" i="25"/>
  <c r="A234" i="25"/>
  <c r="B233" i="25"/>
  <c r="J232" i="25"/>
  <c r="L232" i="25"/>
  <c r="O232" i="25"/>
  <c r="I232" i="25"/>
  <c r="U232" i="25"/>
  <c r="C232" i="25"/>
  <c r="D232" i="25"/>
  <c r="E232" i="25" s="1"/>
  <c r="H232" i="25"/>
  <c r="T232" i="25"/>
  <c r="G232" i="25" l="1"/>
  <c r="A235" i="25"/>
  <c r="B234" i="25"/>
  <c r="F232" i="25"/>
  <c r="N232" i="25"/>
  <c r="M232" i="25"/>
  <c r="J233" i="25"/>
  <c r="L233" i="25"/>
  <c r="O233" i="25"/>
  <c r="I233" i="25"/>
  <c r="D233" i="25"/>
  <c r="E233" i="25" s="1"/>
  <c r="U233" i="25"/>
  <c r="C233" i="25"/>
  <c r="H233" i="25"/>
  <c r="T233" i="25"/>
  <c r="J234" i="25" l="1"/>
  <c r="L234" i="25"/>
  <c r="O234" i="25"/>
  <c r="I234" i="25"/>
  <c r="T234" i="25"/>
  <c r="C234" i="25"/>
  <c r="H234" i="25"/>
  <c r="U234" i="25"/>
  <c r="D234" i="25"/>
  <c r="A236" i="25"/>
  <c r="B235" i="25"/>
  <c r="F233" i="25"/>
  <c r="N233" i="25"/>
  <c r="M233" i="25"/>
  <c r="G233" i="25"/>
  <c r="G234" i="25" l="1"/>
  <c r="N234" i="25"/>
  <c r="M234" i="25"/>
  <c r="E234" i="25"/>
  <c r="F234" i="25"/>
  <c r="B236" i="25"/>
  <c r="A237" i="25"/>
  <c r="J235" i="25"/>
  <c r="L235" i="25"/>
  <c r="O235" i="25"/>
  <c r="I235" i="25"/>
  <c r="U235" i="25"/>
  <c r="C235" i="25"/>
  <c r="H235" i="25"/>
  <c r="D235" i="25"/>
  <c r="T235" i="25"/>
  <c r="G235" i="25" l="1"/>
  <c r="N235" i="25"/>
  <c r="M235" i="25"/>
  <c r="E235" i="25"/>
  <c r="J236" i="25"/>
  <c r="L236" i="25"/>
  <c r="O236" i="25"/>
  <c r="I236" i="25"/>
  <c r="C236" i="25"/>
  <c r="T236" i="25"/>
  <c r="U236" i="25"/>
  <c r="D236" i="25"/>
  <c r="F236" i="25" s="1"/>
  <c r="H236" i="25"/>
  <c r="F235" i="25"/>
  <c r="A238" i="25"/>
  <c r="B237" i="25"/>
  <c r="J237" i="25" l="1"/>
  <c r="L237" i="25"/>
  <c r="O237" i="25"/>
  <c r="I237" i="25"/>
  <c r="H237" i="25"/>
  <c r="T237" i="25"/>
  <c r="U237" i="25"/>
  <c r="C237" i="25"/>
  <c r="D237" i="25"/>
  <c r="B238" i="25"/>
  <c r="A239" i="25"/>
  <c r="G236" i="25"/>
  <c r="N236" i="25"/>
  <c r="M236" i="25"/>
  <c r="E236" i="25"/>
  <c r="G237" i="25" l="1"/>
  <c r="N237" i="25"/>
  <c r="M237" i="25"/>
  <c r="E237" i="25"/>
  <c r="J238" i="25"/>
  <c r="L238" i="25"/>
  <c r="O238" i="25"/>
  <c r="I238" i="25"/>
  <c r="C238" i="25"/>
  <c r="U238" i="25"/>
  <c r="T238" i="25"/>
  <c r="D238" i="25"/>
  <c r="G238" i="25" s="1"/>
  <c r="H238" i="25"/>
  <c r="F237" i="25"/>
  <c r="B239" i="25"/>
  <c r="A240" i="25"/>
  <c r="B240" i="25" l="1"/>
  <c r="A241" i="25"/>
  <c r="J239" i="25"/>
  <c r="L239" i="25"/>
  <c r="O239" i="25"/>
  <c r="I239" i="25"/>
  <c r="C239" i="25"/>
  <c r="D239" i="25"/>
  <c r="E239" i="25" s="1"/>
  <c r="U239" i="25"/>
  <c r="H239" i="25"/>
  <c r="T239" i="25"/>
  <c r="F238" i="25"/>
  <c r="N238" i="25"/>
  <c r="M238" i="25"/>
  <c r="E238" i="25"/>
  <c r="F239" i="25" l="1"/>
  <c r="N239" i="25"/>
  <c r="M239" i="25"/>
  <c r="B241" i="25"/>
  <c r="A242" i="25"/>
  <c r="G239" i="25"/>
  <c r="J240" i="25"/>
  <c r="L240" i="25"/>
  <c r="O240" i="25"/>
  <c r="I240" i="25"/>
  <c r="H240" i="25"/>
  <c r="T240" i="25"/>
  <c r="U240" i="25"/>
  <c r="C240" i="25"/>
  <c r="D240" i="25"/>
  <c r="G240" i="25" l="1"/>
  <c r="N240" i="25"/>
  <c r="M240" i="25"/>
  <c r="E240" i="25"/>
  <c r="J241" i="25"/>
  <c r="L241" i="25"/>
  <c r="O241" i="25"/>
  <c r="I241" i="25"/>
  <c r="U241" i="25"/>
  <c r="C241" i="25"/>
  <c r="H241" i="25"/>
  <c r="D241" i="25"/>
  <c r="G241" i="25" s="1"/>
  <c r="T241" i="25"/>
  <c r="F240" i="25"/>
  <c r="A243" i="25"/>
  <c r="B242" i="25"/>
  <c r="J242" i="25" l="1"/>
  <c r="L242" i="25"/>
  <c r="O242" i="25"/>
  <c r="I242" i="25"/>
  <c r="C242" i="25"/>
  <c r="D242" i="25"/>
  <c r="E242" i="25" s="1"/>
  <c r="H242" i="25"/>
  <c r="T242" i="25"/>
  <c r="U242" i="25"/>
  <c r="A244" i="25"/>
  <c r="B243" i="25"/>
  <c r="F241" i="25"/>
  <c r="N241" i="25"/>
  <c r="M241" i="25"/>
  <c r="E241" i="25"/>
  <c r="G242" i="25" l="1"/>
  <c r="J243" i="25"/>
  <c r="L243" i="25"/>
  <c r="O243" i="25"/>
  <c r="I243" i="25"/>
  <c r="H243" i="25"/>
  <c r="T243" i="25"/>
  <c r="U243" i="25"/>
  <c r="C243" i="25"/>
  <c r="D243" i="25"/>
  <c r="A245" i="25"/>
  <c r="B244" i="25"/>
  <c r="F242" i="25"/>
  <c r="N242" i="25"/>
  <c r="M242" i="25"/>
  <c r="G243" i="25" l="1"/>
  <c r="N243" i="25"/>
  <c r="M243" i="25"/>
  <c r="E243" i="25"/>
  <c r="L244" i="25"/>
  <c r="J244" i="25"/>
  <c r="O244" i="25"/>
  <c r="I244" i="25"/>
  <c r="D244" i="25"/>
  <c r="H244" i="25"/>
  <c r="C244" i="25"/>
  <c r="U244" i="25"/>
  <c r="T244" i="25"/>
  <c r="F243" i="25"/>
  <c r="A246" i="25"/>
  <c r="B245" i="25"/>
  <c r="A247" i="25" l="1"/>
  <c r="B246" i="25"/>
  <c r="F244" i="25"/>
  <c r="N244" i="25"/>
  <c r="M244" i="25"/>
  <c r="G244" i="25"/>
  <c r="J245" i="25"/>
  <c r="L245" i="25"/>
  <c r="O245" i="25"/>
  <c r="I245" i="25"/>
  <c r="D245" i="25"/>
  <c r="G245" i="25" s="1"/>
  <c r="C245" i="25"/>
  <c r="H245" i="25"/>
  <c r="T245" i="25"/>
  <c r="U245" i="25"/>
  <c r="E244" i="25"/>
  <c r="E245" i="25" l="1"/>
  <c r="J246" i="25"/>
  <c r="L246" i="25"/>
  <c r="O246" i="25"/>
  <c r="I246" i="25"/>
  <c r="T246" i="25"/>
  <c r="U246" i="25"/>
  <c r="D246" i="25"/>
  <c r="E246" i="25" s="1"/>
  <c r="H246" i="25"/>
  <c r="C246" i="25"/>
  <c r="F245" i="25"/>
  <c r="N245" i="25"/>
  <c r="M245" i="25"/>
  <c r="A248" i="25"/>
  <c r="B247" i="25"/>
  <c r="J247" i="25" l="1"/>
  <c r="L247" i="25"/>
  <c r="O247" i="25"/>
  <c r="I247" i="25"/>
  <c r="H247" i="25"/>
  <c r="U247" i="25"/>
  <c r="C247" i="25"/>
  <c r="D247" i="25"/>
  <c r="T247" i="25"/>
  <c r="F246" i="25"/>
  <c r="N246" i="25"/>
  <c r="M246" i="25"/>
  <c r="G246" i="25"/>
  <c r="B248" i="25"/>
  <c r="A249" i="25"/>
  <c r="G247" i="25" l="1"/>
  <c r="N247" i="25"/>
  <c r="M247" i="25"/>
  <c r="E247" i="25"/>
  <c r="A250" i="25"/>
  <c r="B249" i="25"/>
  <c r="F247" i="25"/>
  <c r="J248" i="25"/>
  <c r="L248" i="25"/>
  <c r="O248" i="25"/>
  <c r="I248" i="25"/>
  <c r="U248" i="25"/>
  <c r="C248" i="25"/>
  <c r="T248" i="25"/>
  <c r="H248" i="25"/>
  <c r="D248" i="25"/>
  <c r="F248" i="25" l="1"/>
  <c r="N248" i="25"/>
  <c r="M248" i="25"/>
  <c r="B250" i="25"/>
  <c r="A251" i="25"/>
  <c r="G248" i="25"/>
  <c r="J249" i="25"/>
  <c r="L249" i="25"/>
  <c r="O249" i="25"/>
  <c r="I249" i="25"/>
  <c r="T249" i="25"/>
  <c r="D249" i="25"/>
  <c r="F249" i="25" s="1"/>
  <c r="U249" i="25"/>
  <c r="C249" i="25"/>
  <c r="H249" i="25"/>
  <c r="E248" i="25"/>
  <c r="E249" i="25" l="1"/>
  <c r="J250" i="25"/>
  <c r="L250" i="25"/>
  <c r="O250" i="25"/>
  <c r="I250" i="25"/>
  <c r="T250" i="25"/>
  <c r="C250" i="25"/>
  <c r="U250" i="25"/>
  <c r="D250" i="25"/>
  <c r="H250" i="25"/>
  <c r="A252" i="25"/>
  <c r="B251" i="25"/>
  <c r="G249" i="25"/>
  <c r="N249" i="25"/>
  <c r="M249" i="25"/>
  <c r="F250" i="25" l="1"/>
  <c r="N250" i="25"/>
  <c r="M250" i="25"/>
  <c r="G250" i="25"/>
  <c r="E250" i="25"/>
  <c r="J251" i="25"/>
  <c r="L251" i="25"/>
  <c r="O251" i="25"/>
  <c r="I251" i="25"/>
  <c r="U251" i="25"/>
  <c r="C251" i="25"/>
  <c r="T251" i="25"/>
  <c r="D251" i="25"/>
  <c r="E251" i="25" s="1"/>
  <c r="H251" i="25"/>
  <c r="A253" i="25"/>
  <c r="B252" i="25"/>
  <c r="J252" i="25" l="1"/>
  <c r="L252" i="25"/>
  <c r="O252" i="25"/>
  <c r="I252" i="25"/>
  <c r="U252" i="25"/>
  <c r="C252" i="25"/>
  <c r="D252" i="25"/>
  <c r="F252" i="25" s="1"/>
  <c r="T252" i="25"/>
  <c r="H252" i="25"/>
  <c r="B253" i="25"/>
  <c r="A254" i="25"/>
  <c r="F251" i="25"/>
  <c r="N251" i="25"/>
  <c r="M251" i="25"/>
  <c r="G251" i="25"/>
  <c r="E252" i="25" l="1"/>
  <c r="J253" i="25"/>
  <c r="L253" i="25"/>
  <c r="O253" i="25"/>
  <c r="I253" i="25"/>
  <c r="H253" i="25"/>
  <c r="T253" i="25"/>
  <c r="U253" i="25"/>
  <c r="C253" i="25"/>
  <c r="D253" i="25"/>
  <c r="E253" i="25" s="1"/>
  <c r="G252" i="25"/>
  <c r="N252" i="25"/>
  <c r="M252" i="25"/>
  <c r="B254" i="25"/>
  <c r="A255" i="25"/>
  <c r="A256" i="25" l="1"/>
  <c r="B255" i="25"/>
  <c r="G253" i="25"/>
  <c r="N253" i="25"/>
  <c r="M253" i="25"/>
  <c r="F253" i="25"/>
  <c r="J254" i="25"/>
  <c r="L254" i="25"/>
  <c r="O254" i="25"/>
  <c r="I254" i="25"/>
  <c r="C254" i="25"/>
  <c r="D254" i="25"/>
  <c r="G254" i="25" s="1"/>
  <c r="H254" i="25"/>
  <c r="U254" i="25"/>
  <c r="T254" i="25"/>
  <c r="E254" i="25" l="1"/>
  <c r="J255" i="25"/>
  <c r="L255" i="25"/>
  <c r="O255" i="25"/>
  <c r="I255" i="25"/>
  <c r="C255" i="25"/>
  <c r="D255" i="25"/>
  <c r="E255" i="25" s="1"/>
  <c r="H255" i="25"/>
  <c r="T255" i="25"/>
  <c r="U255" i="25"/>
  <c r="F254" i="25"/>
  <c r="N254" i="25"/>
  <c r="M254" i="25"/>
  <c r="A257" i="25"/>
  <c r="B256" i="25"/>
  <c r="B257" i="25" l="1"/>
  <c r="A258" i="25"/>
  <c r="F255" i="25"/>
  <c r="J256" i="25"/>
  <c r="L256" i="25"/>
  <c r="O256" i="25"/>
  <c r="I256" i="25"/>
  <c r="H256" i="25"/>
  <c r="D256" i="25"/>
  <c r="U256" i="25"/>
  <c r="T256" i="25"/>
  <c r="C256" i="25"/>
  <c r="G255" i="25"/>
  <c r="N255" i="25"/>
  <c r="M255" i="25"/>
  <c r="F256" i="25" l="1"/>
  <c r="N256" i="25"/>
  <c r="M256" i="25"/>
  <c r="G256" i="25"/>
  <c r="E256" i="25"/>
  <c r="A259" i="25"/>
  <c r="B258" i="25"/>
  <c r="J257" i="25"/>
  <c r="L257" i="25"/>
  <c r="O257" i="25"/>
  <c r="I257" i="25"/>
  <c r="U257" i="25"/>
  <c r="T257" i="25"/>
  <c r="C257" i="25"/>
  <c r="D257" i="25"/>
  <c r="E257" i="25" s="1"/>
  <c r="H257" i="25"/>
  <c r="A260" i="25" l="1"/>
  <c r="B259" i="25"/>
  <c r="G257" i="25"/>
  <c r="N257" i="25"/>
  <c r="M257" i="25"/>
  <c r="F257" i="25"/>
  <c r="J258" i="25"/>
  <c r="L258" i="25"/>
  <c r="O258" i="25"/>
  <c r="I258" i="25"/>
  <c r="D258" i="25"/>
  <c r="G258" i="25" s="1"/>
  <c r="T258" i="25"/>
  <c r="C258" i="25"/>
  <c r="H258" i="25"/>
  <c r="U258" i="25"/>
  <c r="E258" i="25" l="1"/>
  <c r="F258" i="25"/>
  <c r="N258" i="25"/>
  <c r="M258" i="25"/>
  <c r="J259" i="25"/>
  <c r="L259" i="25"/>
  <c r="O259" i="25"/>
  <c r="I259" i="25"/>
  <c r="T259" i="25"/>
  <c r="U259" i="25"/>
  <c r="C259" i="25"/>
  <c r="D259" i="25"/>
  <c r="E259" i="25" s="1"/>
  <c r="H259" i="25"/>
  <c r="B260" i="25"/>
  <c r="A261" i="25"/>
  <c r="A262" i="25" l="1"/>
  <c r="B261" i="25"/>
  <c r="J260" i="25"/>
  <c r="L260" i="25"/>
  <c r="O260" i="25"/>
  <c r="I260" i="25"/>
  <c r="C260" i="25"/>
  <c r="D260" i="25"/>
  <c r="E260" i="25" s="1"/>
  <c r="H260" i="25"/>
  <c r="U260" i="25"/>
  <c r="T260" i="25"/>
  <c r="G259" i="25"/>
  <c r="F259" i="25"/>
  <c r="N259" i="25"/>
  <c r="M259" i="25"/>
  <c r="F260" i="25" l="1"/>
  <c r="N260" i="25"/>
  <c r="M260" i="25"/>
  <c r="J261" i="25"/>
  <c r="L261" i="25"/>
  <c r="O261" i="25"/>
  <c r="I261" i="25"/>
  <c r="H261" i="25"/>
  <c r="T261" i="25"/>
  <c r="U261" i="25"/>
  <c r="D261" i="25"/>
  <c r="C261" i="25"/>
  <c r="G260" i="25"/>
  <c r="A263" i="25"/>
  <c r="B262" i="25"/>
  <c r="G261" i="25" l="1"/>
  <c r="N261" i="25"/>
  <c r="M261" i="25"/>
  <c r="A264" i="25"/>
  <c r="B263" i="25"/>
  <c r="L262" i="25"/>
  <c r="J262" i="25"/>
  <c r="O262" i="25"/>
  <c r="I262" i="25"/>
  <c r="U262" i="25"/>
  <c r="C262" i="25"/>
  <c r="D262" i="25"/>
  <c r="E262" i="25" s="1"/>
  <c r="H262" i="25"/>
  <c r="T262" i="25"/>
  <c r="F261" i="25"/>
  <c r="E261" i="25"/>
  <c r="B264" i="25" l="1"/>
  <c r="A265" i="25"/>
  <c r="J263" i="25"/>
  <c r="L263" i="25"/>
  <c r="O263" i="25"/>
  <c r="I263" i="25"/>
  <c r="H263" i="25"/>
  <c r="U263" i="25"/>
  <c r="D263" i="25"/>
  <c r="T263" i="25"/>
  <c r="C263" i="25"/>
  <c r="F262" i="25"/>
  <c r="G262" i="25"/>
  <c r="N262" i="25"/>
  <c r="M262" i="25"/>
  <c r="F263" i="25" l="1"/>
  <c r="N263" i="25"/>
  <c r="M263" i="25"/>
  <c r="E263" i="25"/>
  <c r="B265" i="25"/>
  <c r="A266" i="25"/>
  <c r="G263" i="25"/>
  <c r="J264" i="25"/>
  <c r="L264" i="25"/>
  <c r="O264" i="25"/>
  <c r="I264" i="25"/>
  <c r="D264" i="25"/>
  <c r="E264" i="25" s="1"/>
  <c r="H264" i="25"/>
  <c r="T264" i="25"/>
  <c r="U264" i="25"/>
  <c r="C264" i="25"/>
  <c r="F264" i="25" l="1"/>
  <c r="A267" i="25"/>
  <c r="B266" i="25"/>
  <c r="J265" i="25"/>
  <c r="L265" i="25"/>
  <c r="O265" i="25"/>
  <c r="I265" i="25"/>
  <c r="H265" i="25"/>
  <c r="D265" i="25"/>
  <c r="T265" i="25"/>
  <c r="U265" i="25"/>
  <c r="C265" i="25"/>
  <c r="G264" i="25"/>
  <c r="N264" i="25"/>
  <c r="M264" i="25"/>
  <c r="F265" i="25" l="1"/>
  <c r="N265" i="25"/>
  <c r="M265" i="25"/>
  <c r="J266" i="25"/>
  <c r="L266" i="25"/>
  <c r="O266" i="25"/>
  <c r="I266" i="25"/>
  <c r="U266" i="25"/>
  <c r="D266" i="25"/>
  <c r="H266" i="25"/>
  <c r="T266" i="25"/>
  <c r="C266" i="25"/>
  <c r="G265" i="25"/>
  <c r="E265" i="25"/>
  <c r="A268" i="25"/>
  <c r="B267" i="25"/>
  <c r="H267" i="25" l="1"/>
  <c r="J267" i="25"/>
  <c r="L267" i="25"/>
  <c r="O267" i="25"/>
  <c r="I267" i="25"/>
  <c r="U267" i="25"/>
  <c r="D267" i="25"/>
  <c r="G267" i="25" s="1"/>
  <c r="C267" i="25"/>
  <c r="T267" i="25"/>
  <c r="F266" i="25"/>
  <c r="N266" i="25"/>
  <c r="M266" i="25"/>
  <c r="A269" i="25"/>
  <c r="B268" i="25"/>
  <c r="G266" i="25"/>
  <c r="E266" i="25"/>
  <c r="E267" i="25" l="1"/>
  <c r="J268" i="25"/>
  <c r="L268" i="25"/>
  <c r="O268" i="25"/>
  <c r="I268" i="25"/>
  <c r="U268" i="25"/>
  <c r="C268" i="25"/>
  <c r="D268" i="25"/>
  <c r="E268" i="25" s="1"/>
  <c r="T268" i="25"/>
  <c r="H268" i="25"/>
  <c r="A270" i="25"/>
  <c r="B269" i="25"/>
  <c r="F267" i="25"/>
  <c r="N267" i="25"/>
  <c r="M267" i="25"/>
  <c r="F268" i="25" l="1"/>
  <c r="N268" i="25"/>
  <c r="M268" i="25"/>
  <c r="J269" i="25"/>
  <c r="L269" i="25"/>
  <c r="O269" i="25"/>
  <c r="I269" i="25"/>
  <c r="H269" i="25"/>
  <c r="C269" i="25"/>
  <c r="T269" i="25"/>
  <c r="U269" i="25"/>
  <c r="D269" i="25"/>
  <c r="G269" i="25" s="1"/>
  <c r="G268" i="25"/>
  <c r="A271" i="25"/>
  <c r="B270" i="25"/>
  <c r="B271" i="25" l="1"/>
  <c r="A272" i="25"/>
  <c r="J270" i="25"/>
  <c r="L270" i="25"/>
  <c r="O270" i="25"/>
  <c r="I270" i="25"/>
  <c r="U270" i="25"/>
  <c r="D270" i="25"/>
  <c r="E270" i="25" s="1"/>
  <c r="H270" i="25"/>
  <c r="T270" i="25"/>
  <c r="C270" i="25"/>
  <c r="F269" i="25"/>
  <c r="N269" i="25"/>
  <c r="M269" i="25"/>
  <c r="E269" i="25"/>
  <c r="B272" i="25" l="1"/>
  <c r="A273" i="25"/>
  <c r="G270" i="25"/>
  <c r="N270" i="25"/>
  <c r="M270" i="25"/>
  <c r="F270" i="25"/>
  <c r="J271" i="25"/>
  <c r="L271" i="25"/>
  <c r="O271" i="25"/>
  <c r="I271" i="25"/>
  <c r="H271" i="25"/>
  <c r="T271" i="25"/>
  <c r="U271" i="25"/>
  <c r="C271" i="25"/>
  <c r="D271" i="25"/>
  <c r="F271" i="25" l="1"/>
  <c r="N271" i="25"/>
  <c r="M271" i="25"/>
  <c r="E271" i="25"/>
  <c r="G271" i="25"/>
  <c r="B273" i="25"/>
  <c r="A274" i="25"/>
  <c r="J272" i="25"/>
  <c r="L272" i="25"/>
  <c r="O272" i="25"/>
  <c r="I272" i="25"/>
  <c r="U272" i="25"/>
  <c r="C272" i="25"/>
  <c r="T272" i="25"/>
  <c r="D272" i="25"/>
  <c r="E272" i="25" s="1"/>
  <c r="H272" i="25"/>
  <c r="G272" i="25" l="1"/>
  <c r="F272" i="25"/>
  <c r="N272" i="25"/>
  <c r="M272" i="25"/>
  <c r="I273" i="25"/>
  <c r="J273" i="25"/>
  <c r="L273" i="25"/>
  <c r="O273" i="25"/>
  <c r="T273" i="25"/>
  <c r="C273" i="25"/>
  <c r="U273" i="25"/>
  <c r="D273" i="25"/>
  <c r="E273" i="25" s="1"/>
  <c r="H273" i="25"/>
  <c r="A275" i="25"/>
  <c r="B274" i="25"/>
  <c r="A276" i="25" l="1"/>
  <c r="B275" i="25"/>
  <c r="J274" i="25"/>
  <c r="L274" i="25"/>
  <c r="O274" i="25"/>
  <c r="I274" i="25"/>
  <c r="C274" i="25"/>
  <c r="D274" i="25"/>
  <c r="H274" i="25"/>
  <c r="T274" i="25"/>
  <c r="U274" i="25"/>
  <c r="F273" i="25"/>
  <c r="G273" i="25"/>
  <c r="N273" i="25"/>
  <c r="M273" i="25"/>
  <c r="G274" i="25" l="1"/>
  <c r="N274" i="25"/>
  <c r="M274" i="25"/>
  <c r="J275" i="25"/>
  <c r="L275" i="25"/>
  <c r="O275" i="25"/>
  <c r="I275" i="25"/>
  <c r="D275" i="25"/>
  <c r="H275" i="25"/>
  <c r="T275" i="25"/>
  <c r="U275" i="25"/>
  <c r="C275" i="25"/>
  <c r="E274" i="25"/>
  <c r="F274" i="25"/>
  <c r="A277" i="25"/>
  <c r="B276" i="25"/>
  <c r="J276" i="25" l="1"/>
  <c r="L276" i="25"/>
  <c r="O276" i="25"/>
  <c r="I276" i="25"/>
  <c r="D276" i="25"/>
  <c r="E276" i="25" s="1"/>
  <c r="U276" i="25"/>
  <c r="C276" i="25"/>
  <c r="H276" i="25"/>
  <c r="T276" i="25"/>
  <c r="G275" i="25"/>
  <c r="N275" i="25"/>
  <c r="M275" i="25"/>
  <c r="F275" i="25"/>
  <c r="A278" i="25"/>
  <c r="B277" i="25"/>
  <c r="E275" i="25"/>
  <c r="A279" i="25" l="1"/>
  <c r="B278" i="25"/>
  <c r="G276" i="25"/>
  <c r="N276" i="25"/>
  <c r="M276" i="25"/>
  <c r="F276" i="25"/>
  <c r="J277" i="25"/>
  <c r="L277" i="25"/>
  <c r="O277" i="25"/>
  <c r="I277" i="25"/>
  <c r="H277" i="25"/>
  <c r="T277" i="25"/>
  <c r="U277" i="25"/>
  <c r="C277" i="25"/>
  <c r="D277" i="25"/>
  <c r="F277" i="25" l="1"/>
  <c r="N277" i="25"/>
  <c r="M277" i="25"/>
  <c r="E277" i="25"/>
  <c r="G277" i="25"/>
  <c r="J278" i="25"/>
  <c r="L278" i="25"/>
  <c r="O278" i="25"/>
  <c r="I278" i="25"/>
  <c r="C278" i="25"/>
  <c r="D278" i="25"/>
  <c r="T278" i="25"/>
  <c r="U278" i="25"/>
  <c r="H278" i="25"/>
  <c r="A280" i="25"/>
  <c r="B279" i="25"/>
  <c r="J279" i="25" l="1"/>
  <c r="L279" i="25"/>
  <c r="O279" i="25"/>
  <c r="I279" i="25"/>
  <c r="D279" i="25"/>
  <c r="E279" i="25" s="1"/>
  <c r="H279" i="25"/>
  <c r="T279" i="25"/>
  <c r="C279" i="25"/>
  <c r="U279" i="25"/>
  <c r="A281" i="25"/>
  <c r="B280" i="25"/>
  <c r="G278" i="25"/>
  <c r="N278" i="25"/>
  <c r="M278" i="25"/>
  <c r="F278" i="25"/>
  <c r="E278" i="25"/>
  <c r="B281" i="25" l="1"/>
  <c r="A282" i="25"/>
  <c r="G279" i="25"/>
  <c r="F279" i="25"/>
  <c r="N279" i="25"/>
  <c r="M279" i="25"/>
  <c r="L280" i="25"/>
  <c r="J280" i="25"/>
  <c r="O280" i="25"/>
  <c r="I280" i="25"/>
  <c r="D280" i="25"/>
  <c r="F280" i="25" s="1"/>
  <c r="H280" i="25"/>
  <c r="U280" i="25"/>
  <c r="T280" i="25"/>
  <c r="C280" i="25"/>
  <c r="A283" i="25" l="1"/>
  <c r="B282" i="25"/>
  <c r="G280" i="25"/>
  <c r="N280" i="25"/>
  <c r="M280" i="25"/>
  <c r="E280" i="25"/>
  <c r="J281" i="25"/>
  <c r="L281" i="25"/>
  <c r="O281" i="25"/>
  <c r="I281" i="25"/>
  <c r="T281" i="25"/>
  <c r="U281" i="25"/>
  <c r="C281" i="25"/>
  <c r="D281" i="25"/>
  <c r="H281" i="25"/>
  <c r="G281" i="25" l="1"/>
  <c r="N281" i="25"/>
  <c r="M281" i="25"/>
  <c r="F281" i="25"/>
  <c r="J282" i="25"/>
  <c r="L282" i="25"/>
  <c r="O282" i="25"/>
  <c r="I282" i="25"/>
  <c r="C282" i="25"/>
  <c r="D282" i="25"/>
  <c r="U282" i="25"/>
  <c r="T282" i="25"/>
  <c r="H282" i="25"/>
  <c r="E281" i="25"/>
  <c r="A284" i="25"/>
  <c r="B283" i="25"/>
  <c r="J283" i="25" l="1"/>
  <c r="L283" i="25"/>
  <c r="O283" i="25"/>
  <c r="I283" i="25"/>
  <c r="C283" i="25"/>
  <c r="H283" i="25"/>
  <c r="T283" i="25"/>
  <c r="U283" i="25"/>
  <c r="D283" i="25"/>
  <c r="F282" i="25"/>
  <c r="N282" i="25"/>
  <c r="M282" i="25"/>
  <c r="A285" i="25"/>
  <c r="B284" i="25"/>
  <c r="E282" i="25"/>
  <c r="G282" i="25"/>
  <c r="F283" i="25" l="1"/>
  <c r="N283" i="25"/>
  <c r="M283" i="25"/>
  <c r="E283" i="25"/>
  <c r="G283" i="25"/>
  <c r="J284" i="25"/>
  <c r="L284" i="25"/>
  <c r="O284" i="25"/>
  <c r="I284" i="25"/>
  <c r="T284" i="25"/>
  <c r="U284" i="25"/>
  <c r="C284" i="25"/>
  <c r="D284" i="25"/>
  <c r="E284" i="25" s="1"/>
  <c r="H284" i="25"/>
  <c r="B285" i="25"/>
  <c r="A286" i="25"/>
  <c r="B286" i="25" l="1"/>
  <c r="A287" i="25"/>
  <c r="J285" i="25"/>
  <c r="L285" i="25"/>
  <c r="O285" i="25"/>
  <c r="I285" i="25"/>
  <c r="H285" i="25"/>
  <c r="D285" i="25"/>
  <c r="T285" i="25"/>
  <c r="U285" i="25"/>
  <c r="C285" i="25"/>
  <c r="G284" i="25"/>
  <c r="F284" i="25"/>
  <c r="N284" i="25"/>
  <c r="M284" i="25"/>
  <c r="G285" i="25" l="1"/>
  <c r="N285" i="25"/>
  <c r="M285" i="25"/>
  <c r="A288" i="25"/>
  <c r="B287" i="25"/>
  <c r="E285" i="25"/>
  <c r="F285" i="25"/>
  <c r="J286" i="25"/>
  <c r="L286" i="25"/>
  <c r="O286" i="25"/>
  <c r="I286" i="25"/>
  <c r="T286" i="25"/>
  <c r="U286" i="25"/>
  <c r="C286" i="25"/>
  <c r="D286" i="25"/>
  <c r="E286" i="25" s="1"/>
  <c r="H286" i="25"/>
  <c r="J287" i="25" l="1"/>
  <c r="L287" i="25"/>
  <c r="O287" i="25"/>
  <c r="I287" i="25"/>
  <c r="C287" i="25"/>
  <c r="H287" i="25"/>
  <c r="T287" i="25"/>
  <c r="U287" i="25"/>
  <c r="D287" i="25"/>
  <c r="E287" i="25" s="1"/>
  <c r="A289" i="25"/>
  <c r="B288" i="25"/>
  <c r="F286" i="25"/>
  <c r="N286" i="25"/>
  <c r="M286" i="25"/>
  <c r="G286" i="25"/>
  <c r="F287" i="25" l="1"/>
  <c r="N287" i="25"/>
  <c r="M287" i="25"/>
  <c r="A290" i="25"/>
  <c r="B289" i="25"/>
  <c r="G287" i="25"/>
  <c r="J288" i="25"/>
  <c r="L288" i="25"/>
  <c r="O288" i="25"/>
  <c r="I288" i="25"/>
  <c r="D288" i="25"/>
  <c r="H288" i="25"/>
  <c r="U288" i="25"/>
  <c r="T288" i="25"/>
  <c r="C288" i="25"/>
  <c r="A291" i="25" l="1"/>
  <c r="B290" i="25"/>
  <c r="J289" i="25"/>
  <c r="L289" i="25"/>
  <c r="O289" i="25"/>
  <c r="I289" i="25"/>
  <c r="H289" i="25"/>
  <c r="D289" i="25"/>
  <c r="E289" i="25" s="1"/>
  <c r="U289" i="25"/>
  <c r="C289" i="25"/>
  <c r="T289" i="25"/>
  <c r="G288" i="25"/>
  <c r="N288" i="25"/>
  <c r="M288" i="25"/>
  <c r="F288" i="25"/>
  <c r="E288" i="25"/>
  <c r="F289" i="25" l="1"/>
  <c r="N289" i="25"/>
  <c r="M289" i="25"/>
  <c r="J290" i="25"/>
  <c r="L290" i="25"/>
  <c r="O290" i="25"/>
  <c r="I290" i="25"/>
  <c r="U290" i="25"/>
  <c r="H290" i="25"/>
  <c r="T290" i="25"/>
  <c r="C290" i="25"/>
  <c r="D290" i="25"/>
  <c r="G290" i="25" s="1"/>
  <c r="G289" i="25"/>
  <c r="B291" i="25"/>
  <c r="A292" i="25"/>
  <c r="J291" i="25" l="1"/>
  <c r="L291" i="25"/>
  <c r="O291" i="25"/>
  <c r="I291" i="25"/>
  <c r="D291" i="25"/>
  <c r="E291" i="25" s="1"/>
  <c r="H291" i="25"/>
  <c r="U291" i="25"/>
  <c r="C291" i="25"/>
  <c r="T291" i="25"/>
  <c r="A293" i="25"/>
  <c r="B292" i="25"/>
  <c r="F290" i="25"/>
  <c r="N290" i="25"/>
  <c r="M290" i="25"/>
  <c r="E290" i="25"/>
  <c r="G291" i="25" l="1"/>
  <c r="N291" i="25"/>
  <c r="M291" i="25"/>
  <c r="B293" i="25"/>
  <c r="A294" i="25"/>
  <c r="F291" i="25"/>
  <c r="J292" i="25"/>
  <c r="L292" i="25"/>
  <c r="O292" i="25"/>
  <c r="I292" i="25"/>
  <c r="H292" i="25"/>
  <c r="C292" i="25"/>
  <c r="T292" i="25"/>
  <c r="D292" i="25"/>
  <c r="E292" i="25" s="1"/>
  <c r="U292" i="25"/>
  <c r="B294" i="25" l="1"/>
  <c r="A295" i="25"/>
  <c r="J293" i="25"/>
  <c r="L293" i="25"/>
  <c r="O293" i="25"/>
  <c r="I293" i="25"/>
  <c r="C293" i="25"/>
  <c r="H293" i="25"/>
  <c r="D293" i="25"/>
  <c r="T293" i="25"/>
  <c r="U293" i="25"/>
  <c r="F292" i="25"/>
  <c r="N292" i="25"/>
  <c r="M292" i="25"/>
  <c r="G292" i="25"/>
  <c r="G293" i="25" l="1"/>
  <c r="N293" i="25"/>
  <c r="M293" i="25"/>
  <c r="A296" i="25"/>
  <c r="B295" i="25"/>
  <c r="F293" i="25"/>
  <c r="E293" i="25"/>
  <c r="J294" i="25"/>
  <c r="L294" i="25"/>
  <c r="O294" i="25"/>
  <c r="I294" i="25"/>
  <c r="U294" i="25"/>
  <c r="H294" i="25"/>
  <c r="D294" i="25"/>
  <c r="E294" i="25" s="1"/>
  <c r="T294" i="25"/>
  <c r="C294" i="25"/>
  <c r="J295" i="25" l="1"/>
  <c r="L295" i="25"/>
  <c r="O295" i="25"/>
  <c r="I295" i="25"/>
  <c r="C295" i="25"/>
  <c r="H295" i="25"/>
  <c r="D295" i="25"/>
  <c r="G295" i="25" s="1"/>
  <c r="T295" i="25"/>
  <c r="U295" i="25"/>
  <c r="A297" i="25"/>
  <c r="B296" i="25"/>
  <c r="G294" i="25"/>
  <c r="N294" i="25"/>
  <c r="M294" i="25"/>
  <c r="F294" i="25"/>
  <c r="E295" i="25" l="1"/>
  <c r="F295" i="25"/>
  <c r="N295" i="25"/>
  <c r="M295" i="25"/>
  <c r="B297" i="25"/>
  <c r="A298" i="25"/>
  <c r="J296" i="25"/>
  <c r="L296" i="25"/>
  <c r="O296" i="25"/>
  <c r="I296" i="25"/>
  <c r="U296" i="25"/>
  <c r="C296" i="25"/>
  <c r="D296" i="25"/>
  <c r="E296" i="25" s="1"/>
  <c r="H296" i="25"/>
  <c r="T296" i="25"/>
  <c r="B298" i="25" l="1"/>
  <c r="A299" i="25"/>
  <c r="G296" i="25"/>
  <c r="J297" i="25"/>
  <c r="L297" i="25"/>
  <c r="O297" i="25"/>
  <c r="I297" i="25"/>
  <c r="H297" i="25"/>
  <c r="T297" i="25"/>
  <c r="U297" i="25"/>
  <c r="D297" i="25"/>
  <c r="E297" i="25" s="1"/>
  <c r="C297" i="25"/>
  <c r="F296" i="25"/>
  <c r="N296" i="25"/>
  <c r="M296" i="25"/>
  <c r="A300" i="25" l="1"/>
  <c r="B299" i="25"/>
  <c r="F297" i="25"/>
  <c r="N297" i="25"/>
  <c r="M297" i="25"/>
  <c r="G297" i="25"/>
  <c r="L298" i="25"/>
  <c r="J298" i="25"/>
  <c r="O298" i="25"/>
  <c r="I298" i="25"/>
  <c r="U298" i="25"/>
  <c r="D298" i="25"/>
  <c r="E298" i="25" s="1"/>
  <c r="T298" i="25"/>
  <c r="C298" i="25"/>
  <c r="H298" i="25"/>
  <c r="F298" i="25" l="1"/>
  <c r="J299" i="25"/>
  <c r="L299" i="25"/>
  <c r="O299" i="25"/>
  <c r="I299" i="25"/>
  <c r="C299" i="25"/>
  <c r="D299" i="25"/>
  <c r="F299" i="25" s="1"/>
  <c r="H299" i="25"/>
  <c r="T299" i="25"/>
  <c r="U299" i="25"/>
  <c r="G298" i="25"/>
  <c r="N298" i="25"/>
  <c r="M298" i="25"/>
  <c r="A301" i="25"/>
  <c r="B300" i="25"/>
  <c r="E299" i="25" l="1"/>
  <c r="A302" i="25"/>
  <c r="B301" i="25"/>
  <c r="J300" i="25"/>
  <c r="L300" i="25"/>
  <c r="O300" i="25"/>
  <c r="I300" i="25"/>
  <c r="T300" i="25"/>
  <c r="C300" i="25"/>
  <c r="H300" i="25"/>
  <c r="D300" i="25"/>
  <c r="U300" i="25"/>
  <c r="G299" i="25"/>
  <c r="N299" i="25"/>
  <c r="M299" i="25"/>
  <c r="G300" i="25" l="1"/>
  <c r="N300" i="25"/>
  <c r="M300" i="25"/>
  <c r="J301" i="25"/>
  <c r="L301" i="25"/>
  <c r="O301" i="25"/>
  <c r="I301" i="25"/>
  <c r="C301" i="25"/>
  <c r="D301" i="25"/>
  <c r="H301" i="25"/>
  <c r="U301" i="25"/>
  <c r="T301" i="25"/>
  <c r="F300" i="25"/>
  <c r="E300" i="25"/>
  <c r="A303" i="25"/>
  <c r="B302" i="25"/>
  <c r="A304" i="25" l="1"/>
  <c r="B303" i="25"/>
  <c r="J302" i="25"/>
  <c r="L302" i="25"/>
  <c r="O302" i="25"/>
  <c r="I302" i="25"/>
  <c r="U302" i="25"/>
  <c r="C302" i="25"/>
  <c r="D302" i="25"/>
  <c r="E302" i="25" s="1"/>
  <c r="T302" i="25"/>
  <c r="H302" i="25"/>
  <c r="F301" i="25"/>
  <c r="N301" i="25"/>
  <c r="M301" i="25"/>
  <c r="G301" i="25"/>
  <c r="E301" i="25"/>
  <c r="G302" i="25" l="1"/>
  <c r="N302" i="25"/>
  <c r="M302" i="25"/>
  <c r="J303" i="25"/>
  <c r="L303" i="25"/>
  <c r="O303" i="25"/>
  <c r="I303" i="25"/>
  <c r="U303" i="25"/>
  <c r="C303" i="25"/>
  <c r="T303" i="25"/>
  <c r="D303" i="25"/>
  <c r="H303" i="25"/>
  <c r="F302" i="25"/>
  <c r="A305" i="25"/>
  <c r="B304" i="25"/>
  <c r="J304" i="25" l="1"/>
  <c r="L304" i="25"/>
  <c r="O304" i="25"/>
  <c r="I304" i="25"/>
  <c r="U304" i="25"/>
  <c r="D304" i="25"/>
  <c r="F304" i="25" s="1"/>
  <c r="T304" i="25"/>
  <c r="C304" i="25"/>
  <c r="H304" i="25"/>
  <c r="G303" i="25"/>
  <c r="N303" i="25"/>
  <c r="M303" i="25"/>
  <c r="F303" i="25"/>
  <c r="E303" i="25"/>
  <c r="A306" i="25"/>
  <c r="B305" i="25"/>
  <c r="J305" i="25" l="1"/>
  <c r="L305" i="25"/>
  <c r="O305" i="25"/>
  <c r="I305" i="25"/>
  <c r="H305" i="25"/>
  <c r="C305" i="25"/>
  <c r="D305" i="25"/>
  <c r="F305" i="25" s="1"/>
  <c r="T305" i="25"/>
  <c r="U305" i="25"/>
  <c r="E304" i="25"/>
  <c r="A307" i="25"/>
  <c r="B306" i="25"/>
  <c r="G304" i="25"/>
  <c r="N304" i="25"/>
  <c r="M304" i="25"/>
  <c r="E305" i="25" l="1"/>
  <c r="G305" i="25"/>
  <c r="N305" i="25"/>
  <c r="M305" i="25"/>
  <c r="J306" i="25"/>
  <c r="L306" i="25"/>
  <c r="O306" i="25"/>
  <c r="I306" i="25"/>
  <c r="U306" i="25"/>
  <c r="T306" i="25"/>
  <c r="H306" i="25"/>
  <c r="C306" i="25"/>
  <c r="D306" i="25"/>
  <c r="F306" i="25" s="1"/>
  <c r="B307" i="25"/>
  <c r="A308" i="25"/>
  <c r="A309" i="25" l="1"/>
  <c r="B308" i="25"/>
  <c r="J307" i="25"/>
  <c r="L307" i="25"/>
  <c r="O307" i="25"/>
  <c r="I307" i="25"/>
  <c r="H307" i="25"/>
  <c r="U307" i="25"/>
  <c r="D307" i="25"/>
  <c r="C307" i="25"/>
  <c r="T307" i="25"/>
  <c r="G306" i="25"/>
  <c r="N306" i="25"/>
  <c r="M306" i="25"/>
  <c r="E306" i="25"/>
  <c r="F307" i="25" l="1"/>
  <c r="N307" i="25"/>
  <c r="M307" i="25"/>
  <c r="J308" i="25"/>
  <c r="L308" i="25"/>
  <c r="O308" i="25"/>
  <c r="I308" i="25"/>
  <c r="H308" i="25"/>
  <c r="C308" i="25"/>
  <c r="D308" i="25"/>
  <c r="U308" i="25"/>
  <c r="T308" i="25"/>
  <c r="G307" i="25"/>
  <c r="E307" i="25"/>
  <c r="B309" i="25"/>
  <c r="A310" i="25"/>
  <c r="F308" i="25" l="1"/>
  <c r="N308" i="25"/>
  <c r="M308" i="25"/>
  <c r="A311" i="25"/>
  <c r="B310" i="25"/>
  <c r="J309" i="25"/>
  <c r="L309" i="25"/>
  <c r="O309" i="25"/>
  <c r="I309" i="25"/>
  <c r="U309" i="25"/>
  <c r="C309" i="25"/>
  <c r="H309" i="25"/>
  <c r="T309" i="25"/>
  <c r="D309" i="25"/>
  <c r="G308" i="25"/>
  <c r="E308" i="25"/>
  <c r="A312" i="25" l="1"/>
  <c r="B311" i="25"/>
  <c r="F309" i="25"/>
  <c r="N309" i="25"/>
  <c r="M309" i="25"/>
  <c r="J310" i="25"/>
  <c r="L310" i="25"/>
  <c r="O310" i="25"/>
  <c r="I310" i="25"/>
  <c r="T310" i="25"/>
  <c r="C310" i="25"/>
  <c r="U310" i="25"/>
  <c r="D310" i="25"/>
  <c r="E310" i="25" s="1"/>
  <c r="H310" i="25"/>
  <c r="G309" i="25"/>
  <c r="E309" i="25"/>
  <c r="F310" i="25" l="1"/>
  <c r="G310" i="25"/>
  <c r="N310" i="25"/>
  <c r="M310" i="25"/>
  <c r="J311" i="25"/>
  <c r="L311" i="25"/>
  <c r="O311" i="25"/>
  <c r="I311" i="25"/>
  <c r="T311" i="25"/>
  <c r="U311" i="25"/>
  <c r="H311" i="25"/>
  <c r="C311" i="25"/>
  <c r="D311" i="25"/>
  <c r="G311" i="25" s="1"/>
  <c r="B312" i="25"/>
  <c r="A313" i="25"/>
  <c r="A314" i="25" l="1"/>
  <c r="B313" i="25"/>
  <c r="J312" i="25"/>
  <c r="L312" i="25"/>
  <c r="O312" i="25"/>
  <c r="I312" i="25"/>
  <c r="H312" i="25"/>
  <c r="T312" i="25"/>
  <c r="U312" i="25"/>
  <c r="C312" i="25"/>
  <c r="D312" i="25"/>
  <c r="E312" i="25" s="1"/>
  <c r="F311" i="25"/>
  <c r="N311" i="25"/>
  <c r="M311" i="25"/>
  <c r="E311" i="25"/>
  <c r="J313" i="25" l="1"/>
  <c r="L313" i="25"/>
  <c r="O313" i="25"/>
  <c r="I313" i="25"/>
  <c r="D313" i="25"/>
  <c r="E313" i="25" s="1"/>
  <c r="C313" i="25"/>
  <c r="U313" i="25"/>
  <c r="T313" i="25"/>
  <c r="H313" i="25"/>
  <c r="G312" i="25"/>
  <c r="N312" i="25"/>
  <c r="M312" i="25"/>
  <c r="F312" i="25"/>
  <c r="A315" i="25"/>
  <c r="B314" i="25"/>
  <c r="J314" i="25" l="1"/>
  <c r="L314" i="25"/>
  <c r="O314" i="25"/>
  <c r="I314" i="25"/>
  <c r="C314" i="25"/>
  <c r="T314" i="25"/>
  <c r="U314" i="25"/>
  <c r="D314" i="25"/>
  <c r="E314" i="25" s="1"/>
  <c r="H314" i="25"/>
  <c r="F313" i="25"/>
  <c r="N313" i="25"/>
  <c r="M313" i="25"/>
  <c r="G313" i="25"/>
  <c r="B315" i="25"/>
  <c r="A316" i="25"/>
  <c r="B316" i="25" l="1"/>
  <c r="A317" i="25"/>
  <c r="G314" i="25"/>
  <c r="M314" i="25"/>
  <c r="N314" i="25"/>
  <c r="F314" i="25"/>
  <c r="J315" i="25"/>
  <c r="L315" i="25"/>
  <c r="O315" i="25"/>
  <c r="I315" i="25"/>
  <c r="D315" i="25"/>
  <c r="U315" i="25"/>
  <c r="C315" i="25"/>
  <c r="H315" i="25"/>
  <c r="T315" i="25"/>
  <c r="F315" i="25" l="1"/>
  <c r="N315" i="25"/>
  <c r="M315" i="25"/>
  <c r="G315" i="25"/>
  <c r="E315" i="25"/>
  <c r="A318" i="25"/>
  <c r="B317" i="25"/>
  <c r="L316" i="25"/>
  <c r="J316" i="25"/>
  <c r="O316" i="25"/>
  <c r="I316" i="25"/>
  <c r="T316" i="25"/>
  <c r="U316" i="25"/>
  <c r="D316" i="25"/>
  <c r="F316" i="25" s="1"/>
  <c r="H316" i="25"/>
  <c r="C316" i="25"/>
  <c r="A319" i="25" l="1"/>
  <c r="B318" i="25"/>
  <c r="G316" i="25"/>
  <c r="N316" i="25"/>
  <c r="M316" i="25"/>
  <c r="E316" i="25"/>
  <c r="J317" i="25"/>
  <c r="L317" i="25"/>
  <c r="O317" i="25"/>
  <c r="I317" i="25"/>
  <c r="D317" i="25"/>
  <c r="C317" i="25"/>
  <c r="T317" i="25"/>
  <c r="H317" i="25"/>
  <c r="U317" i="25"/>
  <c r="G317" i="25" l="1"/>
  <c r="N317" i="25"/>
  <c r="M317" i="25"/>
  <c r="E317" i="25"/>
  <c r="F317" i="25"/>
  <c r="J318" i="25"/>
  <c r="L318" i="25"/>
  <c r="O318" i="25"/>
  <c r="I318" i="25"/>
  <c r="U318" i="25"/>
  <c r="C318" i="25"/>
  <c r="H318" i="25"/>
  <c r="T318" i="25"/>
  <c r="D318" i="25"/>
  <c r="E318" i="25" s="1"/>
  <c r="A320" i="25"/>
  <c r="B319" i="25"/>
  <c r="A321" i="25" l="1"/>
  <c r="B320" i="25"/>
  <c r="J319" i="25"/>
  <c r="L319" i="25"/>
  <c r="O319" i="25"/>
  <c r="I319" i="25"/>
  <c r="U319" i="25"/>
  <c r="T319" i="25"/>
  <c r="C319" i="25"/>
  <c r="H319" i="25"/>
  <c r="D319" i="25"/>
  <c r="F318" i="25"/>
  <c r="G318" i="25"/>
  <c r="N318" i="25"/>
  <c r="M318" i="25"/>
  <c r="G319" i="25" l="1"/>
  <c r="N319" i="25"/>
  <c r="M319" i="25"/>
  <c r="E319" i="25"/>
  <c r="J320" i="25"/>
  <c r="L320" i="25"/>
  <c r="U320" i="25"/>
  <c r="D320" i="25"/>
  <c r="G320" i="25" s="1"/>
  <c r="H320" i="25"/>
  <c r="T320" i="25"/>
  <c r="O320" i="25"/>
  <c r="I320" i="25"/>
  <c r="C320" i="25"/>
  <c r="F319" i="25"/>
  <c r="A322" i="25"/>
  <c r="B321" i="25"/>
  <c r="J321" i="25" l="1"/>
  <c r="L321" i="25"/>
  <c r="D321" i="25"/>
  <c r="G321" i="25" s="1"/>
  <c r="H321" i="25"/>
  <c r="T321" i="25"/>
  <c r="U321" i="25"/>
  <c r="O321" i="25"/>
  <c r="I321" i="25"/>
  <c r="C321" i="25"/>
  <c r="B322" i="25"/>
  <c r="A323" i="25"/>
  <c r="N320" i="25"/>
  <c r="M320" i="25"/>
  <c r="E320" i="25"/>
  <c r="F320" i="25"/>
  <c r="N321" i="25" l="1"/>
  <c r="M321" i="25"/>
  <c r="B323" i="25"/>
  <c r="A324" i="25"/>
  <c r="F321" i="25"/>
  <c r="J322" i="25"/>
  <c r="L322" i="25"/>
  <c r="H322" i="25"/>
  <c r="T322" i="25"/>
  <c r="U322" i="25"/>
  <c r="D322" i="25"/>
  <c r="F322" i="25" s="1"/>
  <c r="O322" i="25"/>
  <c r="I322" i="25"/>
  <c r="C322" i="25"/>
  <c r="E321" i="25"/>
  <c r="G322" i="25" l="1"/>
  <c r="A325" i="25"/>
  <c r="B324" i="25"/>
  <c r="J323" i="25"/>
  <c r="L323" i="25"/>
  <c r="U323" i="25"/>
  <c r="D323" i="25"/>
  <c r="G323" i="25" s="1"/>
  <c r="T323" i="25"/>
  <c r="H323" i="25"/>
  <c r="O323" i="25"/>
  <c r="I323" i="25"/>
  <c r="C323" i="25"/>
  <c r="N322" i="25"/>
  <c r="M322" i="25"/>
  <c r="E322" i="25"/>
  <c r="F323" i="25" l="1"/>
  <c r="E323" i="25"/>
  <c r="J324" i="25"/>
  <c r="L324" i="25"/>
  <c r="D324" i="25"/>
  <c r="E324" i="25" s="1"/>
  <c r="H324" i="25"/>
  <c r="T324" i="25"/>
  <c r="U324" i="25"/>
  <c r="O324" i="25"/>
  <c r="I324" i="25"/>
  <c r="C324" i="25"/>
  <c r="B325" i="25"/>
  <c r="A326" i="25"/>
  <c r="N323" i="25"/>
  <c r="M323" i="25"/>
  <c r="F324" i="25" l="1"/>
  <c r="A327" i="25"/>
  <c r="B326" i="25"/>
  <c r="N324" i="25"/>
  <c r="M324" i="25"/>
  <c r="J325" i="25"/>
  <c r="L325" i="25"/>
  <c r="H325" i="25"/>
  <c r="T325" i="25"/>
  <c r="U325" i="25"/>
  <c r="D325" i="25"/>
  <c r="O325" i="25"/>
  <c r="I325" i="25"/>
  <c r="C325" i="25"/>
  <c r="G324" i="25"/>
  <c r="N325" i="25" l="1"/>
  <c r="M325" i="25"/>
  <c r="G325" i="25"/>
  <c r="E325" i="25"/>
  <c r="F325" i="25"/>
  <c r="J326" i="25"/>
  <c r="L326" i="25"/>
  <c r="U326" i="25"/>
  <c r="D326" i="25"/>
  <c r="G326" i="25" s="1"/>
  <c r="T326" i="25"/>
  <c r="H326" i="25"/>
  <c r="O326" i="25"/>
  <c r="I326" i="25"/>
  <c r="C326" i="25"/>
  <c r="A328" i="25"/>
  <c r="B327" i="25"/>
  <c r="A329" i="25" l="1"/>
  <c r="B328" i="25"/>
  <c r="E326" i="25"/>
  <c r="N326" i="25"/>
  <c r="M326" i="25"/>
  <c r="F326" i="25"/>
  <c r="J327" i="25"/>
  <c r="L327" i="25"/>
  <c r="D327" i="25"/>
  <c r="G327" i="25" s="1"/>
  <c r="H327" i="25"/>
  <c r="T327" i="25"/>
  <c r="U327" i="25"/>
  <c r="O327" i="25"/>
  <c r="I327" i="25"/>
  <c r="C327" i="25"/>
  <c r="N327" i="25" l="1"/>
  <c r="M327" i="25"/>
  <c r="E327" i="25"/>
  <c r="J328" i="25"/>
  <c r="L328" i="25"/>
  <c r="H328" i="25"/>
  <c r="T328" i="25"/>
  <c r="U328" i="25"/>
  <c r="D328" i="25"/>
  <c r="G328" i="25" s="1"/>
  <c r="O328" i="25"/>
  <c r="I328" i="25"/>
  <c r="C328" i="25"/>
  <c r="F327" i="25"/>
  <c r="B329" i="25"/>
  <c r="A330" i="25"/>
  <c r="J329" i="25" l="1"/>
  <c r="L329" i="25"/>
  <c r="U329" i="25"/>
  <c r="D329" i="25"/>
  <c r="F329" i="25" s="1"/>
  <c r="T329" i="25"/>
  <c r="H329" i="25"/>
  <c r="C329" i="25"/>
  <c r="O329" i="25"/>
  <c r="I329" i="25"/>
  <c r="E328" i="25"/>
  <c r="B330" i="25"/>
  <c r="A331" i="25"/>
  <c r="N328" i="25"/>
  <c r="M328" i="25"/>
  <c r="F328" i="25"/>
  <c r="J330" i="25" l="1"/>
  <c r="L330" i="25"/>
  <c r="U330" i="25"/>
  <c r="O330" i="25"/>
  <c r="C330" i="25"/>
  <c r="H330" i="25"/>
  <c r="D330" i="25"/>
  <c r="E330" i="25" s="1"/>
  <c r="T330" i="25"/>
  <c r="I330" i="25"/>
  <c r="G329" i="25"/>
  <c r="N329" i="25"/>
  <c r="M329" i="25"/>
  <c r="A332" i="25"/>
  <c r="B331" i="25"/>
  <c r="E329" i="25"/>
  <c r="G330" i="25" l="1"/>
  <c r="F330" i="25"/>
  <c r="J331" i="25"/>
  <c r="L331" i="25"/>
  <c r="O331" i="25"/>
  <c r="U331" i="25"/>
  <c r="C331" i="25"/>
  <c r="T331" i="25"/>
  <c r="H331" i="25"/>
  <c r="D331" i="25"/>
  <c r="E331" i="25" s="1"/>
  <c r="I331" i="25"/>
  <c r="A333" i="25"/>
  <c r="B332" i="25"/>
  <c r="N330" i="25"/>
  <c r="M330" i="25"/>
  <c r="F331" i="25" l="1"/>
  <c r="J332" i="25"/>
  <c r="L332" i="25"/>
  <c r="O332" i="25"/>
  <c r="I332" i="25"/>
  <c r="D332" i="25"/>
  <c r="E332" i="25" s="1"/>
  <c r="C332" i="25"/>
  <c r="T332" i="25"/>
  <c r="H332" i="25"/>
  <c r="U332" i="25"/>
  <c r="A334" i="25"/>
  <c r="B333" i="25"/>
  <c r="N331" i="25"/>
  <c r="M331" i="25"/>
  <c r="G331" i="25"/>
  <c r="J333" i="25" l="1"/>
  <c r="L333" i="25"/>
  <c r="O333" i="25"/>
  <c r="I333" i="25"/>
  <c r="D333" i="25"/>
  <c r="H333" i="25"/>
  <c r="T333" i="25"/>
  <c r="U333" i="25"/>
  <c r="C333" i="25"/>
  <c r="A335" i="25"/>
  <c r="B334" i="25"/>
  <c r="G332" i="25"/>
  <c r="F332" i="25"/>
  <c r="N332" i="25"/>
  <c r="M332" i="25"/>
  <c r="N333" i="25" l="1"/>
  <c r="M333" i="25"/>
  <c r="E333" i="25"/>
  <c r="F333" i="25"/>
  <c r="G333" i="25"/>
  <c r="L334" i="25"/>
  <c r="J334" i="25"/>
  <c r="O334" i="25"/>
  <c r="I334" i="25"/>
  <c r="T334" i="25"/>
  <c r="U334" i="25"/>
  <c r="C334" i="25"/>
  <c r="D334" i="25"/>
  <c r="G334" i="25" s="1"/>
  <c r="H334" i="25"/>
  <c r="A336" i="25"/>
  <c r="B335" i="25"/>
  <c r="B336" i="25" l="1"/>
  <c r="A337" i="25"/>
  <c r="F334" i="25"/>
  <c r="N334" i="25"/>
  <c r="M334" i="25"/>
  <c r="J335" i="25"/>
  <c r="L335" i="25"/>
  <c r="O335" i="25"/>
  <c r="I335" i="25"/>
  <c r="C335" i="25"/>
  <c r="D335" i="25"/>
  <c r="U335" i="25"/>
  <c r="H335" i="25"/>
  <c r="T335" i="25"/>
  <c r="E334" i="25"/>
  <c r="G335" i="25" l="1"/>
  <c r="N335" i="25"/>
  <c r="M335" i="25"/>
  <c r="F335" i="25"/>
  <c r="E335" i="25"/>
  <c r="A338" i="25"/>
  <c r="B337" i="25"/>
  <c r="J336" i="25"/>
  <c r="L336" i="25"/>
  <c r="O336" i="25"/>
  <c r="I336" i="25"/>
  <c r="C336" i="25"/>
  <c r="D336" i="25"/>
  <c r="E336" i="25" s="1"/>
  <c r="H336" i="25"/>
  <c r="T336" i="25"/>
  <c r="U336" i="25"/>
  <c r="F336" i="25" l="1"/>
  <c r="B338" i="25"/>
  <c r="A339" i="25"/>
  <c r="G336" i="25"/>
  <c r="N336" i="25"/>
  <c r="M336" i="25"/>
  <c r="J337" i="25"/>
  <c r="L337" i="25"/>
  <c r="O337" i="25"/>
  <c r="I337" i="25"/>
  <c r="C337" i="25"/>
  <c r="D337" i="25"/>
  <c r="F337" i="25" s="1"/>
  <c r="H337" i="25"/>
  <c r="T337" i="25"/>
  <c r="U337" i="25"/>
  <c r="G337" i="25" l="1"/>
  <c r="N337" i="25"/>
  <c r="M337" i="25"/>
  <c r="A340" i="25"/>
  <c r="B339" i="25"/>
  <c r="E337" i="25"/>
  <c r="J338" i="25"/>
  <c r="L338" i="25"/>
  <c r="O338" i="25"/>
  <c r="I338" i="25"/>
  <c r="D338" i="25"/>
  <c r="T338" i="25"/>
  <c r="U338" i="25"/>
  <c r="C338" i="25"/>
  <c r="H338" i="25"/>
  <c r="F338" i="25" l="1"/>
  <c r="N338" i="25"/>
  <c r="M338" i="25"/>
  <c r="G338" i="25"/>
  <c r="E338" i="25"/>
  <c r="J339" i="25"/>
  <c r="L339" i="25"/>
  <c r="O339" i="25"/>
  <c r="I339" i="25"/>
  <c r="U339" i="25"/>
  <c r="C339" i="25"/>
  <c r="D339" i="25"/>
  <c r="E339" i="25" s="1"/>
  <c r="H339" i="25"/>
  <c r="T339" i="25"/>
  <c r="A341" i="25"/>
  <c r="B340" i="25"/>
  <c r="J340" i="25" l="1"/>
  <c r="L340" i="25"/>
  <c r="O340" i="25"/>
  <c r="I340" i="25"/>
  <c r="H340" i="25"/>
  <c r="D340" i="25"/>
  <c r="E340" i="25" s="1"/>
  <c r="T340" i="25"/>
  <c r="U340" i="25"/>
  <c r="C340" i="25"/>
  <c r="A342" i="25"/>
  <c r="B341" i="25"/>
  <c r="F339" i="25"/>
  <c r="G339" i="25"/>
  <c r="N339" i="25"/>
  <c r="M339" i="25"/>
  <c r="J341" i="25" l="1"/>
  <c r="L341" i="25"/>
  <c r="O341" i="25"/>
  <c r="I341" i="25"/>
  <c r="C341" i="25"/>
  <c r="D341" i="25"/>
  <c r="E341" i="25" s="1"/>
  <c r="H341" i="25"/>
  <c r="T341" i="25"/>
  <c r="U341" i="25"/>
  <c r="B342" i="25"/>
  <c r="A343" i="25"/>
  <c r="G340" i="25"/>
  <c r="F340" i="25"/>
  <c r="N340" i="25"/>
  <c r="M340" i="25"/>
  <c r="B343" i="25" l="1"/>
  <c r="A344" i="25"/>
  <c r="J342" i="25"/>
  <c r="L342" i="25"/>
  <c r="O342" i="25"/>
  <c r="I342" i="25"/>
  <c r="C342" i="25"/>
  <c r="D342" i="25"/>
  <c r="E342" i="25" s="1"/>
  <c r="T342" i="25"/>
  <c r="H342" i="25"/>
  <c r="U342" i="25"/>
  <c r="F341" i="25"/>
  <c r="G341" i="25"/>
  <c r="N341" i="25"/>
  <c r="M341" i="25"/>
  <c r="F342" i="25" l="1"/>
  <c r="N342" i="25"/>
  <c r="M342" i="25"/>
  <c r="A345" i="25"/>
  <c r="B344" i="25"/>
  <c r="G342" i="25"/>
  <c r="J343" i="25"/>
  <c r="L343" i="25"/>
  <c r="O343" i="25"/>
  <c r="I343" i="25"/>
  <c r="C343" i="25"/>
  <c r="D343" i="25"/>
  <c r="E343" i="25" s="1"/>
  <c r="H343" i="25"/>
  <c r="T343" i="25"/>
  <c r="U343" i="25"/>
  <c r="F343" i="25" l="1"/>
  <c r="J344" i="25"/>
  <c r="L344" i="25"/>
  <c r="O344" i="25"/>
  <c r="I344" i="25"/>
  <c r="T344" i="25"/>
  <c r="D344" i="25"/>
  <c r="G344" i="25" s="1"/>
  <c r="U344" i="25"/>
  <c r="C344" i="25"/>
  <c r="H344" i="25"/>
  <c r="B345" i="25"/>
  <c r="A346" i="25"/>
  <c r="G343" i="25"/>
  <c r="N343" i="25"/>
  <c r="M343" i="25"/>
  <c r="E344" i="25" l="1"/>
  <c r="F344" i="25"/>
  <c r="N344" i="25"/>
  <c r="M344" i="25"/>
  <c r="B346" i="25"/>
  <c r="A347" i="25"/>
  <c r="J345" i="25"/>
  <c r="L345" i="25"/>
  <c r="O345" i="25"/>
  <c r="I345" i="25"/>
  <c r="H345" i="25"/>
  <c r="T345" i="25"/>
  <c r="U345" i="25"/>
  <c r="C345" i="25"/>
  <c r="D345" i="25"/>
  <c r="A348" i="25" l="1"/>
  <c r="B347" i="25"/>
  <c r="J346" i="25"/>
  <c r="L346" i="25"/>
  <c r="O346" i="25"/>
  <c r="I346" i="25"/>
  <c r="T346" i="25"/>
  <c r="U346" i="25"/>
  <c r="H346" i="25"/>
  <c r="C346" i="25"/>
  <c r="D346" i="25"/>
  <c r="G345" i="25"/>
  <c r="N345" i="25"/>
  <c r="M345" i="25"/>
  <c r="E345" i="25"/>
  <c r="F345" i="25"/>
  <c r="G346" i="25" l="1"/>
  <c r="N346" i="25"/>
  <c r="M346" i="25"/>
  <c r="E346" i="25"/>
  <c r="J347" i="25"/>
  <c r="L347" i="25"/>
  <c r="O347" i="25"/>
  <c r="I347" i="25"/>
  <c r="D347" i="25"/>
  <c r="H347" i="25"/>
  <c r="U347" i="25"/>
  <c r="C347" i="25"/>
  <c r="T347" i="25"/>
  <c r="F346" i="25"/>
  <c r="A349" i="25"/>
  <c r="B348" i="25"/>
  <c r="J348" i="25" l="1"/>
  <c r="L348" i="25"/>
  <c r="O348" i="25"/>
  <c r="I348" i="25"/>
  <c r="D348" i="25"/>
  <c r="T348" i="25"/>
  <c r="U348" i="25"/>
  <c r="H348" i="25"/>
  <c r="C348" i="25"/>
  <c r="B349" i="25"/>
  <c r="A350" i="25"/>
  <c r="G347" i="25"/>
  <c r="N347" i="25"/>
  <c r="M347" i="25"/>
  <c r="F347" i="25"/>
  <c r="E347" i="25"/>
  <c r="F348" i="25" l="1"/>
  <c r="N348" i="25"/>
  <c r="M348" i="25"/>
  <c r="G348" i="25"/>
  <c r="E348" i="25"/>
  <c r="J349" i="25"/>
  <c r="L349" i="25"/>
  <c r="O349" i="25"/>
  <c r="I349" i="25"/>
  <c r="C349" i="25"/>
  <c r="D349" i="25"/>
  <c r="T349" i="25"/>
  <c r="H349" i="25"/>
  <c r="U349" i="25"/>
  <c r="B350" i="25"/>
  <c r="A351" i="25"/>
  <c r="F349" i="25" l="1"/>
  <c r="N349" i="25"/>
  <c r="M349" i="25"/>
  <c r="J350" i="25"/>
  <c r="L350" i="25"/>
  <c r="O350" i="25"/>
  <c r="I350" i="25"/>
  <c r="T350" i="25"/>
  <c r="U350" i="25"/>
  <c r="D350" i="25"/>
  <c r="H350" i="25"/>
  <c r="C350" i="25"/>
  <c r="E349" i="25"/>
  <c r="G349" i="25"/>
  <c r="A352" i="25"/>
  <c r="B351" i="25"/>
  <c r="F350" i="25" l="1"/>
  <c r="M350" i="25"/>
  <c r="N350" i="25"/>
  <c r="G350" i="25"/>
  <c r="J351" i="25"/>
  <c r="L351" i="25"/>
  <c r="O351" i="25"/>
  <c r="I351" i="25"/>
  <c r="D351" i="25"/>
  <c r="H351" i="25"/>
  <c r="T351" i="25"/>
  <c r="U351" i="25"/>
  <c r="C351" i="25"/>
  <c r="B352" i="25"/>
  <c r="A353" i="25"/>
  <c r="E350" i="25"/>
  <c r="L352" i="25" l="1"/>
  <c r="J352" i="25"/>
  <c r="O352" i="25"/>
  <c r="I352" i="25"/>
  <c r="H352" i="25"/>
  <c r="D352" i="25"/>
  <c r="F352" i="25" s="1"/>
  <c r="U352" i="25"/>
  <c r="C352" i="25"/>
  <c r="T352" i="25"/>
  <c r="G351" i="25"/>
  <c r="N351" i="25"/>
  <c r="M351" i="25"/>
  <c r="F351" i="25"/>
  <c r="E351" i="25"/>
  <c r="A354" i="25"/>
  <c r="B353" i="25"/>
  <c r="J353" i="25" l="1"/>
  <c r="L353" i="25"/>
  <c r="O353" i="25"/>
  <c r="I353" i="25"/>
  <c r="U353" i="25"/>
  <c r="D353" i="25"/>
  <c r="E353" i="25" s="1"/>
  <c r="H353" i="25"/>
  <c r="T353" i="25"/>
  <c r="C353" i="25"/>
  <c r="E352" i="25"/>
  <c r="B354" i="25"/>
  <c r="A355" i="25"/>
  <c r="G352" i="25"/>
  <c r="N352" i="25"/>
  <c r="M352" i="25"/>
  <c r="J354" i="25" l="1"/>
  <c r="L354" i="25"/>
  <c r="O354" i="25"/>
  <c r="I354" i="25"/>
  <c r="T354" i="25"/>
  <c r="U354" i="25"/>
  <c r="D354" i="25"/>
  <c r="E354" i="25" s="1"/>
  <c r="C354" i="25"/>
  <c r="H354" i="25"/>
  <c r="F353" i="25"/>
  <c r="B355" i="25"/>
  <c r="A356" i="25"/>
  <c r="G353" i="25"/>
  <c r="N353" i="25"/>
  <c r="M353" i="25"/>
  <c r="G354" i="25" l="1"/>
  <c r="F354" i="25"/>
  <c r="N354" i="25"/>
  <c r="M354" i="25"/>
  <c r="B356" i="25"/>
  <c r="A357" i="25"/>
  <c r="J355" i="25"/>
  <c r="L355" i="25"/>
  <c r="O355" i="25"/>
  <c r="I355" i="25"/>
  <c r="D355" i="25"/>
  <c r="T355" i="25"/>
  <c r="H355" i="25"/>
  <c r="C355" i="25"/>
  <c r="U355" i="25"/>
  <c r="G355" i="25" l="1"/>
  <c r="N355" i="25"/>
  <c r="M355" i="25"/>
  <c r="A358" i="25"/>
  <c r="B357" i="25"/>
  <c r="J356" i="25"/>
  <c r="L356" i="25"/>
  <c r="O356" i="25"/>
  <c r="I356" i="25"/>
  <c r="D356" i="25"/>
  <c r="H356" i="25"/>
  <c r="T356" i="25"/>
  <c r="U356" i="25"/>
  <c r="C356" i="25"/>
  <c r="F355" i="25"/>
  <c r="E355" i="25"/>
  <c r="G356" i="25" l="1"/>
  <c r="N356" i="25"/>
  <c r="M356" i="25"/>
  <c r="J357" i="25"/>
  <c r="L357" i="25"/>
  <c r="O357" i="25"/>
  <c r="I357" i="25"/>
  <c r="T357" i="25"/>
  <c r="U357" i="25"/>
  <c r="C357" i="25"/>
  <c r="D357" i="25"/>
  <c r="H357" i="25"/>
  <c r="B358" i="25"/>
  <c r="A359" i="25"/>
  <c r="E356" i="25"/>
  <c r="F356" i="25"/>
  <c r="G357" i="25" l="1"/>
  <c r="N357" i="25"/>
  <c r="M357" i="25"/>
  <c r="A360" i="25"/>
  <c r="B359" i="25"/>
  <c r="J358" i="25"/>
  <c r="L358" i="25"/>
  <c r="O358" i="25"/>
  <c r="I358" i="25"/>
  <c r="U358" i="25"/>
  <c r="H358" i="25"/>
  <c r="C358" i="25"/>
  <c r="D358" i="25"/>
  <c r="E358" i="25" s="1"/>
  <c r="T358" i="25"/>
  <c r="F357" i="25"/>
  <c r="E357" i="25"/>
  <c r="J359" i="25" l="1"/>
  <c r="L359" i="25"/>
  <c r="O359" i="25"/>
  <c r="I359" i="25"/>
  <c r="D359" i="25"/>
  <c r="U359" i="25"/>
  <c r="T359" i="25"/>
  <c r="C359" i="25"/>
  <c r="H359" i="25"/>
  <c r="G358" i="25"/>
  <c r="B360" i="25"/>
  <c r="A361" i="25"/>
  <c r="F358" i="25"/>
  <c r="N358" i="25"/>
  <c r="M358" i="25"/>
  <c r="G359" i="25" l="1"/>
  <c r="N359" i="25"/>
  <c r="M359" i="25"/>
  <c r="F359" i="25"/>
  <c r="E359" i="25"/>
  <c r="A362" i="25"/>
  <c r="B361" i="25"/>
  <c r="J360" i="25"/>
  <c r="L360" i="25"/>
  <c r="O360" i="25"/>
  <c r="I360" i="25"/>
  <c r="D360" i="25"/>
  <c r="G360" i="25" s="1"/>
  <c r="T360" i="25"/>
  <c r="H360" i="25"/>
  <c r="U360" i="25"/>
  <c r="C360" i="25"/>
  <c r="B362" i="25" l="1"/>
  <c r="A363" i="25"/>
  <c r="E360" i="25"/>
  <c r="F360" i="25"/>
  <c r="N360" i="25"/>
  <c r="M360" i="25"/>
  <c r="J361" i="25"/>
  <c r="L361" i="25"/>
  <c r="O361" i="25"/>
  <c r="I361" i="25"/>
  <c r="C361" i="25"/>
  <c r="D361" i="25"/>
  <c r="E361" i="25" s="1"/>
  <c r="T361" i="25"/>
  <c r="U361" i="25"/>
  <c r="H361" i="25"/>
  <c r="F361" i="25" l="1"/>
  <c r="B363" i="25"/>
  <c r="A364" i="25"/>
  <c r="G361" i="25"/>
  <c r="N361" i="25"/>
  <c r="M361" i="25"/>
  <c r="J362" i="25"/>
  <c r="L362" i="25"/>
  <c r="O362" i="25"/>
  <c r="I362" i="25"/>
  <c r="D362" i="25"/>
  <c r="T362" i="25"/>
  <c r="U362" i="25"/>
  <c r="H362" i="25"/>
  <c r="C362" i="25"/>
  <c r="F362" i="25" l="1"/>
  <c r="N362" i="25"/>
  <c r="M362" i="25"/>
  <c r="G362" i="25"/>
  <c r="E362" i="25"/>
  <c r="B364" i="25"/>
  <c r="A365" i="25"/>
  <c r="J363" i="25"/>
  <c r="L363" i="25"/>
  <c r="O363" i="25"/>
  <c r="I363" i="25"/>
  <c r="T363" i="25"/>
  <c r="C363" i="25"/>
  <c r="H363" i="25"/>
  <c r="D363" i="25"/>
  <c r="E363" i="25" s="1"/>
  <c r="U363" i="25"/>
  <c r="F363" i="25" l="1"/>
  <c r="J364" i="25"/>
  <c r="L364" i="25"/>
  <c r="O364" i="25"/>
  <c r="I364" i="25"/>
  <c r="H364" i="25"/>
  <c r="C364" i="25"/>
  <c r="D364" i="25"/>
  <c r="E364" i="25" s="1"/>
  <c r="T364" i="25"/>
  <c r="U364" i="25"/>
  <c r="G363" i="25"/>
  <c r="N363" i="25"/>
  <c r="M363" i="25"/>
  <c r="A366" i="25"/>
  <c r="B365" i="25"/>
  <c r="G364" i="25" l="1"/>
  <c r="J365" i="25"/>
  <c r="L365" i="25"/>
  <c r="O365" i="25"/>
  <c r="I365" i="25"/>
  <c r="C365" i="25"/>
  <c r="T365" i="25"/>
  <c r="U365" i="25"/>
  <c r="D365" i="25"/>
  <c r="E365" i="25" s="1"/>
  <c r="H365" i="25"/>
  <c r="B366" i="25"/>
  <c r="A367" i="25"/>
  <c r="F364" i="25"/>
  <c r="N364" i="25"/>
  <c r="M364" i="25"/>
  <c r="G365" i="25" l="1"/>
  <c r="F365" i="25"/>
  <c r="N365" i="25"/>
  <c r="M365" i="25"/>
  <c r="B367" i="25"/>
  <c r="A368" i="25"/>
  <c r="J366" i="25"/>
  <c r="L366" i="25"/>
  <c r="O366" i="25"/>
  <c r="I366" i="25"/>
  <c r="H366" i="25"/>
  <c r="U366" i="25"/>
  <c r="T366" i="25"/>
  <c r="C366" i="25"/>
  <c r="D366" i="25"/>
  <c r="B368" i="25" l="1"/>
  <c r="A369" i="25"/>
  <c r="J367" i="25"/>
  <c r="L367" i="25"/>
  <c r="O367" i="25"/>
  <c r="I367" i="25"/>
  <c r="H367" i="25"/>
  <c r="T367" i="25"/>
  <c r="U367" i="25"/>
  <c r="C367" i="25"/>
  <c r="D367" i="25"/>
  <c r="G366" i="25"/>
  <c r="N366" i="25"/>
  <c r="M366" i="25"/>
  <c r="E366" i="25"/>
  <c r="F366" i="25"/>
  <c r="F367" i="25" l="1"/>
  <c r="N367" i="25"/>
  <c r="M367" i="25"/>
  <c r="B369" i="25"/>
  <c r="A370" i="25"/>
  <c r="G367" i="25"/>
  <c r="E367" i="25"/>
  <c r="J368" i="25"/>
  <c r="L368" i="25"/>
  <c r="O368" i="25"/>
  <c r="I368" i="25"/>
  <c r="D368" i="25"/>
  <c r="G368" i="25" s="1"/>
  <c r="H368" i="25"/>
  <c r="T368" i="25"/>
  <c r="U368" i="25"/>
  <c r="C368" i="25"/>
  <c r="E368" i="25" l="1"/>
  <c r="B370" i="25"/>
  <c r="A371" i="25"/>
  <c r="I369" i="25"/>
  <c r="J369" i="25"/>
  <c r="L369" i="25"/>
  <c r="D369" i="25"/>
  <c r="G369" i="25" s="1"/>
  <c r="T369" i="25"/>
  <c r="U369" i="25"/>
  <c r="O369" i="25"/>
  <c r="C369" i="25"/>
  <c r="F368" i="25"/>
  <c r="N368" i="25"/>
  <c r="M368" i="25"/>
  <c r="A372" i="25" l="1"/>
  <c r="B371" i="25"/>
  <c r="E369" i="25"/>
  <c r="F369" i="25"/>
  <c r="I370" i="25"/>
  <c r="L370" i="25"/>
  <c r="J370" i="25"/>
  <c r="D370" i="25"/>
  <c r="T370" i="25"/>
  <c r="U370" i="25"/>
  <c r="O370" i="25"/>
  <c r="C370" i="25"/>
  <c r="N369" i="25"/>
  <c r="M369" i="25"/>
  <c r="N370" i="25" l="1"/>
  <c r="M370" i="25"/>
  <c r="I371" i="25"/>
  <c r="J371" i="25"/>
  <c r="L371" i="25"/>
  <c r="D371" i="25"/>
  <c r="U371" i="25"/>
  <c r="T371" i="25"/>
  <c r="O371" i="25"/>
  <c r="C371" i="25"/>
  <c r="G370" i="25"/>
  <c r="E370" i="25"/>
  <c r="F370" i="25"/>
  <c r="B372" i="25"/>
  <c r="A373" i="25"/>
  <c r="N371" i="25" l="1"/>
  <c r="M371" i="25"/>
  <c r="B373" i="25"/>
  <c r="A374" i="25"/>
  <c r="E371" i="25"/>
  <c r="I372" i="25"/>
  <c r="J372" i="25"/>
  <c r="L372" i="25"/>
  <c r="D372" i="25"/>
  <c r="G372" i="25" s="1"/>
  <c r="T372" i="25"/>
  <c r="U372" i="25"/>
  <c r="C372" i="25"/>
  <c r="O372" i="25"/>
  <c r="F371" i="25"/>
  <c r="G371" i="25"/>
  <c r="B374" i="25" l="1"/>
  <c r="A375" i="25"/>
  <c r="N372" i="25"/>
  <c r="M372" i="25"/>
  <c r="I373" i="25"/>
  <c r="J373" i="25"/>
  <c r="L373" i="25"/>
  <c r="D373" i="25"/>
  <c r="G373" i="25" s="1"/>
  <c r="T373" i="25"/>
  <c r="U373" i="25"/>
  <c r="O373" i="25"/>
  <c r="C373" i="25"/>
  <c r="E372" i="25"/>
  <c r="F372" i="25"/>
  <c r="F373" i="25" l="1"/>
  <c r="N373" i="25"/>
  <c r="M373" i="25"/>
  <c r="B375" i="25"/>
  <c r="A376" i="25"/>
  <c r="E373" i="25"/>
  <c r="I374" i="25"/>
  <c r="J374" i="25"/>
  <c r="L374" i="25"/>
  <c r="D374" i="25"/>
  <c r="G374" i="25" s="1"/>
  <c r="T374" i="25"/>
  <c r="U374" i="25"/>
  <c r="O374" i="25"/>
  <c r="C374" i="25"/>
  <c r="F374" i="25" l="1"/>
  <c r="E374" i="25"/>
  <c r="B376" i="25"/>
  <c r="A377" i="25"/>
  <c r="N374" i="25"/>
  <c r="M374" i="25"/>
  <c r="I375" i="25"/>
  <c r="J375" i="25"/>
  <c r="L375" i="25"/>
  <c r="D375" i="25"/>
  <c r="E375" i="25" s="1"/>
  <c r="T375" i="25"/>
  <c r="U375" i="25"/>
  <c r="O375" i="25"/>
  <c r="C375" i="25"/>
  <c r="G375" i="25" l="1"/>
  <c r="A378" i="25"/>
  <c r="B377" i="25"/>
  <c r="N375" i="25"/>
  <c r="M375" i="25"/>
  <c r="F375" i="25"/>
  <c r="I376" i="25"/>
  <c r="J376" i="25"/>
  <c r="L376" i="25"/>
  <c r="D376" i="25"/>
  <c r="G376" i="25" s="1"/>
  <c r="T376" i="25"/>
  <c r="U376" i="25"/>
  <c r="O376" i="25"/>
  <c r="C376" i="25"/>
  <c r="N376" i="25" l="1"/>
  <c r="M376" i="25"/>
  <c r="I377" i="25"/>
  <c r="J377" i="25"/>
  <c r="L377" i="25"/>
  <c r="D377" i="25"/>
  <c r="U377" i="25"/>
  <c r="T377" i="25"/>
  <c r="O377" i="25"/>
  <c r="C377" i="25"/>
  <c r="E376" i="25"/>
  <c r="F376" i="25"/>
  <c r="B378" i="25"/>
  <c r="A379" i="25"/>
  <c r="N377" i="25" l="1"/>
  <c r="M377" i="25"/>
  <c r="E377" i="25"/>
  <c r="I378" i="25"/>
  <c r="J378" i="25"/>
  <c r="L378" i="25"/>
  <c r="D378" i="25"/>
  <c r="G378" i="25" s="1"/>
  <c r="T378" i="25"/>
  <c r="U378" i="25"/>
  <c r="C378" i="25"/>
  <c r="O378" i="25"/>
  <c r="F377" i="25"/>
  <c r="B379" i="25"/>
  <c r="A380" i="25"/>
  <c r="G377" i="25"/>
  <c r="F378" i="25" l="1"/>
  <c r="E378" i="25"/>
  <c r="B380" i="25"/>
  <c r="A381" i="25"/>
  <c r="I379" i="25"/>
  <c r="J379" i="25"/>
  <c r="L379" i="25"/>
  <c r="D379" i="25"/>
  <c r="G379" i="25" s="1"/>
  <c r="T379" i="25"/>
  <c r="U379" i="25"/>
  <c r="C379" i="25"/>
  <c r="O379" i="25"/>
  <c r="N378" i="25"/>
  <c r="M378" i="25"/>
  <c r="F379" i="25" l="1"/>
  <c r="B381" i="25"/>
  <c r="A382" i="25"/>
  <c r="I380" i="25"/>
  <c r="J380" i="25"/>
  <c r="L380" i="25"/>
  <c r="D380" i="25"/>
  <c r="G380" i="25" s="1"/>
  <c r="T380" i="25"/>
  <c r="U380" i="25"/>
  <c r="O380" i="25"/>
  <c r="C380" i="25"/>
  <c r="N379" i="25"/>
  <c r="M379" i="25"/>
  <c r="E379" i="25"/>
  <c r="E380" i="25" l="1"/>
  <c r="F380" i="25"/>
  <c r="A383" i="25"/>
  <c r="B382" i="25"/>
  <c r="I381" i="25"/>
  <c r="J381" i="25"/>
  <c r="L381" i="25"/>
  <c r="D381" i="25"/>
  <c r="G381" i="25" s="1"/>
  <c r="T381" i="25"/>
  <c r="U381" i="25"/>
  <c r="O381" i="25"/>
  <c r="C381" i="25"/>
  <c r="N380" i="25"/>
  <c r="M380" i="25"/>
  <c r="E381" i="25" l="1"/>
  <c r="I382" i="25"/>
  <c r="J382" i="25"/>
  <c r="L382" i="25"/>
  <c r="D382" i="25"/>
  <c r="G382" i="25" s="1"/>
  <c r="T382" i="25"/>
  <c r="U382" i="25"/>
  <c r="C382" i="25"/>
  <c r="O382" i="25"/>
  <c r="A384" i="25"/>
  <c r="B383" i="25"/>
  <c r="N381" i="25"/>
  <c r="M381" i="25"/>
  <c r="F381" i="25"/>
  <c r="N382" i="25" l="1"/>
  <c r="M382" i="25"/>
  <c r="F382" i="25"/>
  <c r="E382" i="25"/>
  <c r="I383" i="25"/>
  <c r="J383" i="25"/>
  <c r="L383" i="25"/>
  <c r="D383" i="25"/>
  <c r="U383" i="25"/>
  <c r="T383" i="25"/>
  <c r="O383" i="25"/>
  <c r="C383" i="25"/>
  <c r="A385" i="25"/>
  <c r="B384" i="25"/>
  <c r="N383" i="25" l="1"/>
  <c r="M383" i="25"/>
  <c r="I384" i="25"/>
  <c r="J384" i="25"/>
  <c r="L384" i="25"/>
  <c r="D384" i="25"/>
  <c r="T384" i="25"/>
  <c r="U384" i="25"/>
  <c r="C384" i="25"/>
  <c r="O384" i="25"/>
  <c r="B385" i="25"/>
  <c r="A386" i="25"/>
  <c r="G383" i="25"/>
  <c r="F383" i="25"/>
  <c r="E383" i="25"/>
  <c r="N384" i="25" l="1"/>
  <c r="M384" i="25"/>
  <c r="E384" i="25"/>
  <c r="B386" i="25"/>
  <c r="A387" i="25"/>
  <c r="F384" i="25"/>
  <c r="I385" i="25"/>
  <c r="J385" i="25"/>
  <c r="L385" i="25"/>
  <c r="D385" i="25"/>
  <c r="G385" i="25" s="1"/>
  <c r="T385" i="25"/>
  <c r="U385" i="25"/>
  <c r="O385" i="25"/>
  <c r="C385" i="25"/>
  <c r="G384" i="25"/>
  <c r="E385" i="25" l="1"/>
  <c r="B387" i="25"/>
  <c r="A388" i="25"/>
  <c r="N385" i="25"/>
  <c r="M385" i="25"/>
  <c r="I386" i="25"/>
  <c r="J386" i="25"/>
  <c r="L386" i="25"/>
  <c r="D386" i="25"/>
  <c r="G386" i="25" s="1"/>
  <c r="T386" i="25"/>
  <c r="U386" i="25"/>
  <c r="O386" i="25"/>
  <c r="C386" i="25"/>
  <c r="F385" i="25"/>
  <c r="E386" i="25" l="1"/>
  <c r="F386" i="25"/>
  <c r="M386" i="25"/>
  <c r="N386" i="25"/>
  <c r="B388" i="25"/>
  <c r="A389" i="25"/>
  <c r="I387" i="25"/>
  <c r="J387" i="25"/>
  <c r="L387" i="25"/>
  <c r="D387" i="25"/>
  <c r="T387" i="25"/>
  <c r="U387" i="25"/>
  <c r="O387" i="25"/>
  <c r="C387" i="25"/>
  <c r="B389" i="25" l="1"/>
  <c r="A390" i="25"/>
  <c r="N387" i="25"/>
  <c r="M387" i="25"/>
  <c r="G387" i="25"/>
  <c r="I388" i="25"/>
  <c r="L388" i="25"/>
  <c r="J388" i="25"/>
  <c r="D388" i="25"/>
  <c r="G388" i="25" s="1"/>
  <c r="T388" i="25"/>
  <c r="U388" i="25"/>
  <c r="O388" i="25"/>
  <c r="C388" i="25"/>
  <c r="F387" i="25"/>
  <c r="E387" i="25"/>
  <c r="N388" i="25" l="1"/>
  <c r="M388" i="25"/>
  <c r="F388" i="25"/>
  <c r="E388" i="25"/>
  <c r="B390" i="25"/>
  <c r="A391" i="25"/>
  <c r="J389" i="25"/>
  <c r="L389" i="25"/>
  <c r="D389" i="25"/>
  <c r="U389" i="25"/>
  <c r="T389" i="25"/>
  <c r="O389" i="25"/>
  <c r="H389" i="25"/>
  <c r="I389" i="25"/>
  <c r="C389" i="25"/>
  <c r="N389" i="25" l="1"/>
  <c r="M389" i="25"/>
  <c r="G389" i="25"/>
  <c r="E389" i="25"/>
  <c r="B391" i="25"/>
  <c r="A392" i="25"/>
  <c r="J390" i="25"/>
  <c r="L390" i="25"/>
  <c r="D390" i="25"/>
  <c r="F390" i="25" s="1"/>
  <c r="T390" i="25"/>
  <c r="U390" i="25"/>
  <c r="H390" i="25"/>
  <c r="O390" i="25"/>
  <c r="C390" i="25"/>
  <c r="I390" i="25"/>
  <c r="F389" i="25"/>
  <c r="E390" i="25" l="1"/>
  <c r="A393" i="25"/>
  <c r="B392" i="25"/>
  <c r="G390" i="25"/>
  <c r="J391" i="25"/>
  <c r="L391" i="25"/>
  <c r="D391" i="25"/>
  <c r="E391" i="25" s="1"/>
  <c r="T391" i="25"/>
  <c r="U391" i="25"/>
  <c r="O391" i="25"/>
  <c r="H391" i="25"/>
  <c r="C391" i="25"/>
  <c r="I391" i="25"/>
  <c r="N390" i="25"/>
  <c r="M390" i="25"/>
  <c r="G391" i="25" l="1"/>
  <c r="J392" i="25"/>
  <c r="L392" i="25"/>
  <c r="D392" i="25"/>
  <c r="H392" i="25"/>
  <c r="T392" i="25"/>
  <c r="U392" i="25"/>
  <c r="O392" i="25"/>
  <c r="C392" i="25"/>
  <c r="I392" i="25"/>
  <c r="F391" i="25"/>
  <c r="B393" i="25"/>
  <c r="A394" i="25"/>
  <c r="N391" i="25"/>
  <c r="M391" i="25"/>
  <c r="N392" i="25" l="1"/>
  <c r="M392" i="25"/>
  <c r="A395" i="25"/>
  <c r="B394" i="25"/>
  <c r="F392" i="25"/>
  <c r="J393" i="25"/>
  <c r="L393" i="25"/>
  <c r="U393" i="25"/>
  <c r="D393" i="25"/>
  <c r="F393" i="25" s="1"/>
  <c r="T393" i="25"/>
  <c r="H393" i="25"/>
  <c r="C393" i="25"/>
  <c r="O393" i="25"/>
  <c r="I393" i="25"/>
  <c r="E392" i="25"/>
  <c r="G392" i="25"/>
  <c r="G393" i="25" l="1"/>
  <c r="E393" i="25"/>
  <c r="J394" i="25"/>
  <c r="L394" i="25"/>
  <c r="D394" i="25"/>
  <c r="F394" i="25" s="1"/>
  <c r="T394" i="25"/>
  <c r="U394" i="25"/>
  <c r="O394" i="25"/>
  <c r="H394" i="25"/>
  <c r="I394" i="25"/>
  <c r="C394" i="25"/>
  <c r="N393" i="25"/>
  <c r="M393" i="25"/>
  <c r="A396" i="25"/>
  <c r="B395" i="25"/>
  <c r="J395" i="25" l="1"/>
  <c r="L395" i="25"/>
  <c r="T395" i="25"/>
  <c r="U395" i="25"/>
  <c r="H395" i="25"/>
  <c r="D395" i="25"/>
  <c r="O395" i="25"/>
  <c r="I395" i="25"/>
  <c r="C395" i="25"/>
  <c r="N394" i="25"/>
  <c r="M394" i="25"/>
  <c r="B396" i="25"/>
  <c r="A397" i="25"/>
  <c r="G394" i="25"/>
  <c r="E394" i="25"/>
  <c r="N395" i="25" l="1"/>
  <c r="M395" i="25"/>
  <c r="G395" i="25"/>
  <c r="A398" i="25"/>
  <c r="B397" i="25"/>
  <c r="J396" i="25"/>
  <c r="L396" i="25"/>
  <c r="D396" i="25"/>
  <c r="F396" i="25" s="1"/>
  <c r="T396" i="25"/>
  <c r="U396" i="25"/>
  <c r="O396" i="25"/>
  <c r="C396" i="25"/>
  <c r="H396" i="25"/>
  <c r="I396" i="25"/>
  <c r="F395" i="25"/>
  <c r="E395" i="25"/>
  <c r="E396" i="25" l="1"/>
  <c r="G396" i="25"/>
  <c r="J397" i="25"/>
  <c r="L397" i="25"/>
  <c r="H397" i="25"/>
  <c r="T397" i="25"/>
  <c r="U397" i="25"/>
  <c r="D397" i="25"/>
  <c r="E397" i="25" s="1"/>
  <c r="O397" i="25"/>
  <c r="C397" i="25"/>
  <c r="I397" i="25"/>
  <c r="B398" i="25"/>
  <c r="A399" i="25"/>
  <c r="N396" i="25"/>
  <c r="M396" i="25"/>
  <c r="B399" i="25" l="1"/>
  <c r="A400" i="25"/>
  <c r="J398" i="25"/>
  <c r="L398" i="25"/>
  <c r="D398" i="25"/>
  <c r="T398" i="25"/>
  <c r="U398" i="25"/>
  <c r="H398" i="25"/>
  <c r="C398" i="25"/>
  <c r="O398" i="25"/>
  <c r="I398" i="25"/>
  <c r="N397" i="25"/>
  <c r="M397" i="25"/>
  <c r="G397" i="25"/>
  <c r="F397" i="25"/>
  <c r="N398" i="25" l="1"/>
  <c r="M398" i="25"/>
  <c r="E398" i="25"/>
  <c r="A401" i="25"/>
  <c r="B400" i="25"/>
  <c r="G398" i="25"/>
  <c r="F398" i="25"/>
  <c r="J399" i="25"/>
  <c r="L399" i="25"/>
  <c r="D399" i="25"/>
  <c r="T399" i="25"/>
  <c r="U399" i="25"/>
  <c r="H399" i="25"/>
  <c r="O399" i="25"/>
  <c r="C399" i="25"/>
  <c r="I399" i="25"/>
  <c r="N399" i="25" l="1"/>
  <c r="M399" i="25"/>
  <c r="A402" i="25"/>
  <c r="B401" i="25"/>
  <c r="F399" i="25"/>
  <c r="J400" i="25"/>
  <c r="L400" i="25"/>
  <c r="D400" i="25"/>
  <c r="G400" i="25" s="1"/>
  <c r="U400" i="25"/>
  <c r="T400" i="25"/>
  <c r="H400" i="25"/>
  <c r="C400" i="25"/>
  <c r="O400" i="25"/>
  <c r="I400" i="25"/>
  <c r="E399" i="25"/>
  <c r="G399" i="25"/>
  <c r="E400" i="25" l="1"/>
  <c r="F400" i="25"/>
  <c r="J401" i="25"/>
  <c r="L401" i="25"/>
  <c r="D401" i="25"/>
  <c r="T401" i="25"/>
  <c r="U401" i="25"/>
  <c r="O401" i="25"/>
  <c r="H401" i="25"/>
  <c r="C401" i="25"/>
  <c r="I401" i="25"/>
  <c r="B402" i="25"/>
  <c r="A403" i="25"/>
  <c r="N400" i="25"/>
  <c r="M400" i="25"/>
  <c r="N401" i="25" l="1"/>
  <c r="M401" i="25"/>
  <c r="B403" i="25"/>
  <c r="A404" i="25"/>
  <c r="J402" i="25"/>
  <c r="L402" i="25"/>
  <c r="D402" i="25"/>
  <c r="F402" i="25" s="1"/>
  <c r="T402" i="25"/>
  <c r="U402" i="25"/>
  <c r="H402" i="25"/>
  <c r="C402" i="25"/>
  <c r="O402" i="25"/>
  <c r="I402" i="25"/>
  <c r="G401" i="25"/>
  <c r="E401" i="25"/>
  <c r="F401" i="25"/>
  <c r="B404" i="25" l="1"/>
  <c r="A405" i="25"/>
  <c r="E402" i="25"/>
  <c r="G402" i="25"/>
  <c r="J403" i="25"/>
  <c r="L403" i="25"/>
  <c r="D403" i="25"/>
  <c r="F403" i="25" s="1"/>
  <c r="T403" i="25"/>
  <c r="U403" i="25"/>
  <c r="C403" i="25"/>
  <c r="O403" i="25"/>
  <c r="H403" i="25"/>
  <c r="I403" i="25"/>
  <c r="N402" i="25"/>
  <c r="M402" i="25"/>
  <c r="G403" i="25" l="1"/>
  <c r="E403" i="25"/>
  <c r="B405" i="25"/>
  <c r="A406" i="25"/>
  <c r="N403" i="25"/>
  <c r="M403" i="25"/>
  <c r="J404" i="25"/>
  <c r="L404" i="25"/>
  <c r="U404" i="25"/>
  <c r="D404" i="25"/>
  <c r="G404" i="25" s="1"/>
  <c r="H404" i="25"/>
  <c r="T404" i="25"/>
  <c r="O404" i="25"/>
  <c r="C404" i="25"/>
  <c r="I404" i="25"/>
  <c r="N404" i="25" l="1"/>
  <c r="M404" i="25"/>
  <c r="B406" i="25"/>
  <c r="A407" i="25"/>
  <c r="F404" i="25"/>
  <c r="J405" i="25"/>
  <c r="L405" i="25"/>
  <c r="D405" i="25"/>
  <c r="F405" i="25" s="1"/>
  <c r="T405" i="25"/>
  <c r="U405" i="25"/>
  <c r="H405" i="25"/>
  <c r="O405" i="25"/>
  <c r="C405" i="25"/>
  <c r="I405" i="25"/>
  <c r="E404" i="25"/>
  <c r="A408" i="25" l="1"/>
  <c r="B407" i="25"/>
  <c r="L406" i="25"/>
  <c r="J406" i="25"/>
  <c r="U406" i="25"/>
  <c r="T406" i="25"/>
  <c r="D406" i="25"/>
  <c r="E406" i="25" s="1"/>
  <c r="H406" i="25"/>
  <c r="O406" i="25"/>
  <c r="I406" i="25"/>
  <c r="C406" i="25"/>
  <c r="N405" i="25"/>
  <c r="M405" i="25"/>
  <c r="G405" i="25"/>
  <c r="E405" i="25"/>
  <c r="F406" i="25" l="1"/>
  <c r="G406" i="25"/>
  <c r="J407" i="25"/>
  <c r="L407" i="25"/>
  <c r="D407" i="25"/>
  <c r="H407" i="25"/>
  <c r="T407" i="25"/>
  <c r="U407" i="25"/>
  <c r="O407" i="25"/>
  <c r="C407" i="25"/>
  <c r="I407" i="25"/>
  <c r="N406" i="25"/>
  <c r="M406" i="25"/>
  <c r="A409" i="25"/>
  <c r="B408" i="25"/>
  <c r="N407" i="25" l="1"/>
  <c r="M407" i="25"/>
  <c r="E407" i="25"/>
  <c r="A410" i="25"/>
  <c r="B409" i="25"/>
  <c r="J408" i="25"/>
  <c r="L408" i="25"/>
  <c r="T408" i="25"/>
  <c r="U408" i="25"/>
  <c r="D408" i="25"/>
  <c r="O408" i="25"/>
  <c r="H408" i="25"/>
  <c r="C408" i="25"/>
  <c r="I408" i="25"/>
  <c r="G407" i="25"/>
  <c r="F407" i="25"/>
  <c r="N408" i="25" l="1"/>
  <c r="M408" i="25"/>
  <c r="B410" i="25"/>
  <c r="A411" i="25"/>
  <c r="J409" i="25"/>
  <c r="L409" i="25"/>
  <c r="D409" i="25"/>
  <c r="G409" i="25" s="1"/>
  <c r="H409" i="25"/>
  <c r="T409" i="25"/>
  <c r="U409" i="25"/>
  <c r="I409" i="25"/>
  <c r="O409" i="25"/>
  <c r="C409" i="25"/>
  <c r="F408" i="25"/>
  <c r="G408" i="25"/>
  <c r="E408" i="25"/>
  <c r="E409" i="25" l="1"/>
  <c r="F409" i="25"/>
  <c r="B411" i="25"/>
  <c r="A412" i="25"/>
  <c r="J410" i="25"/>
  <c r="L410" i="25"/>
  <c r="D410" i="25"/>
  <c r="F410" i="25" s="1"/>
  <c r="T410" i="25"/>
  <c r="U410" i="25"/>
  <c r="I410" i="25"/>
  <c r="H410" i="25"/>
  <c r="O410" i="25"/>
  <c r="C410" i="25"/>
  <c r="N409" i="25"/>
  <c r="M409" i="25"/>
  <c r="B412" i="25" l="1"/>
  <c r="A413" i="25"/>
  <c r="G410" i="25"/>
  <c r="E410" i="25"/>
  <c r="J411" i="25"/>
  <c r="L411" i="25"/>
  <c r="D411" i="25"/>
  <c r="G411" i="25" s="1"/>
  <c r="U411" i="25"/>
  <c r="T411" i="25"/>
  <c r="I411" i="25"/>
  <c r="H411" i="25"/>
  <c r="O411" i="25"/>
  <c r="C411" i="25"/>
  <c r="N410" i="25"/>
  <c r="M410" i="25"/>
  <c r="E411" i="25" l="1"/>
  <c r="F411" i="25"/>
  <c r="A414" i="25"/>
  <c r="B413" i="25"/>
  <c r="N411" i="25"/>
  <c r="M411" i="25"/>
  <c r="J412" i="25"/>
  <c r="L412" i="25"/>
  <c r="D412" i="25"/>
  <c r="G412" i="25" s="1"/>
  <c r="T412" i="25"/>
  <c r="U412" i="25"/>
  <c r="I412" i="25"/>
  <c r="H412" i="25"/>
  <c r="O412" i="25"/>
  <c r="C412" i="25"/>
  <c r="E412" i="25" l="1"/>
  <c r="F412" i="25"/>
  <c r="J413" i="25"/>
  <c r="L413" i="25"/>
  <c r="D413" i="25"/>
  <c r="G413" i="25" s="1"/>
  <c r="T413" i="25"/>
  <c r="U413" i="25"/>
  <c r="I413" i="25"/>
  <c r="O413" i="25"/>
  <c r="H413" i="25"/>
  <c r="C413" i="25"/>
  <c r="N412" i="25"/>
  <c r="M412" i="25"/>
  <c r="A415" i="25"/>
  <c r="B414" i="25"/>
  <c r="J414" i="25" l="1"/>
  <c r="L414" i="25"/>
  <c r="D414" i="25"/>
  <c r="E414" i="25" s="1"/>
  <c r="T414" i="25"/>
  <c r="U414" i="25"/>
  <c r="O414" i="25"/>
  <c r="I414" i="25"/>
  <c r="H414" i="25"/>
  <c r="C414" i="25"/>
  <c r="N413" i="25"/>
  <c r="M413" i="25"/>
  <c r="B415" i="25"/>
  <c r="A416" i="25"/>
  <c r="F413" i="25"/>
  <c r="E413" i="25"/>
  <c r="F414" i="25" l="1"/>
  <c r="N414" i="25"/>
  <c r="M414" i="25"/>
  <c r="G414" i="25"/>
  <c r="A417" i="25"/>
  <c r="B416" i="25"/>
  <c r="J415" i="25"/>
  <c r="L415" i="25"/>
  <c r="D415" i="25"/>
  <c r="E415" i="25" s="1"/>
  <c r="T415" i="25"/>
  <c r="U415" i="25"/>
  <c r="I415" i="25"/>
  <c r="O415" i="25"/>
  <c r="H415" i="25"/>
  <c r="C415" i="25"/>
  <c r="G415" i="25" l="1"/>
  <c r="F415" i="25"/>
  <c r="J416" i="25"/>
  <c r="L416" i="25"/>
  <c r="D416" i="25"/>
  <c r="G416" i="25" s="1"/>
  <c r="T416" i="25"/>
  <c r="U416" i="25"/>
  <c r="I416" i="25"/>
  <c r="H416" i="25"/>
  <c r="O416" i="25"/>
  <c r="C416" i="25"/>
  <c r="A418" i="25"/>
  <c r="B417" i="25"/>
  <c r="N415" i="25"/>
  <c r="M415" i="25"/>
  <c r="N416" i="25" l="1"/>
  <c r="M416" i="25"/>
  <c r="J417" i="25"/>
  <c r="L417" i="25"/>
  <c r="D417" i="25"/>
  <c r="U417" i="25"/>
  <c r="T417" i="25"/>
  <c r="O417" i="25"/>
  <c r="H417" i="25"/>
  <c r="I417" i="25"/>
  <c r="C417" i="25"/>
  <c r="A419" i="25"/>
  <c r="B418" i="25"/>
  <c r="E416" i="25"/>
  <c r="F416" i="25"/>
  <c r="N417" i="25" l="1"/>
  <c r="M417" i="25"/>
  <c r="J418" i="25"/>
  <c r="L418" i="25"/>
  <c r="D418" i="25"/>
  <c r="T418" i="25"/>
  <c r="U418" i="25"/>
  <c r="I418" i="25"/>
  <c r="H418" i="25"/>
  <c r="O418" i="25"/>
  <c r="C418" i="25"/>
  <c r="A420" i="25"/>
  <c r="B419" i="25"/>
  <c r="E417" i="25"/>
  <c r="G417" i="25"/>
  <c r="F417" i="25"/>
  <c r="N418" i="25" l="1"/>
  <c r="M418" i="25"/>
  <c r="J419" i="25"/>
  <c r="L419" i="25"/>
  <c r="U419" i="25"/>
  <c r="D419" i="25"/>
  <c r="H419" i="25"/>
  <c r="T419" i="25"/>
  <c r="I419" i="25"/>
  <c r="O419" i="25"/>
  <c r="C419" i="25"/>
  <c r="A421" i="25"/>
  <c r="B420" i="25"/>
  <c r="E418" i="25"/>
  <c r="G418" i="25"/>
  <c r="F418" i="25"/>
  <c r="N419" i="25" l="1"/>
  <c r="M419" i="25"/>
  <c r="F419" i="25"/>
  <c r="B421" i="25"/>
  <c r="A422" i="25"/>
  <c r="J420" i="25"/>
  <c r="L420" i="25"/>
  <c r="D420" i="25"/>
  <c r="F420" i="25" s="1"/>
  <c r="T420" i="25"/>
  <c r="U420" i="25"/>
  <c r="I420" i="25"/>
  <c r="O420" i="25"/>
  <c r="H420" i="25"/>
  <c r="C420" i="25"/>
  <c r="E419" i="25"/>
  <c r="G419" i="25"/>
  <c r="E420" i="25" l="1"/>
  <c r="A423" i="25"/>
  <c r="B422" i="25"/>
  <c r="G420" i="25"/>
  <c r="J421" i="25"/>
  <c r="L421" i="25"/>
  <c r="T421" i="25"/>
  <c r="U421" i="25"/>
  <c r="D421" i="25"/>
  <c r="H421" i="25"/>
  <c r="O421" i="25"/>
  <c r="I421" i="25"/>
  <c r="C421" i="25"/>
  <c r="N420" i="25"/>
  <c r="M420" i="25"/>
  <c r="N421" i="25" l="1"/>
  <c r="M421" i="25"/>
  <c r="J422" i="25"/>
  <c r="L422" i="25"/>
  <c r="T422" i="25"/>
  <c r="U422" i="25"/>
  <c r="D422" i="25"/>
  <c r="F422" i="25" s="1"/>
  <c r="I422" i="25"/>
  <c r="H422" i="25"/>
  <c r="O422" i="25"/>
  <c r="C422" i="25"/>
  <c r="E421" i="25"/>
  <c r="F421" i="25"/>
  <c r="G421" i="25"/>
  <c r="A424" i="25"/>
  <c r="B423" i="25"/>
  <c r="G422" i="25" l="1"/>
  <c r="B424" i="25"/>
  <c r="A425" i="25"/>
  <c r="J423" i="25"/>
  <c r="L423" i="25"/>
  <c r="T423" i="25"/>
  <c r="U423" i="25"/>
  <c r="D423" i="25"/>
  <c r="I423" i="25"/>
  <c r="H423" i="25"/>
  <c r="C423" i="25"/>
  <c r="O423" i="25"/>
  <c r="E422" i="25"/>
  <c r="N422" i="25"/>
  <c r="M422" i="25"/>
  <c r="B425" i="25" l="1"/>
  <c r="A426" i="25"/>
  <c r="N423" i="25"/>
  <c r="M423" i="25"/>
  <c r="L424" i="25"/>
  <c r="J424" i="25"/>
  <c r="D424" i="25"/>
  <c r="F424" i="25" s="1"/>
  <c r="T424" i="25"/>
  <c r="U424" i="25"/>
  <c r="I424" i="25"/>
  <c r="C424" i="25"/>
  <c r="O424" i="25"/>
  <c r="H424" i="25"/>
  <c r="E423" i="25"/>
  <c r="F423" i="25"/>
  <c r="G423" i="25"/>
  <c r="G424" i="25" l="1"/>
  <c r="E424" i="25"/>
  <c r="A427" i="25"/>
  <c r="B426" i="25"/>
  <c r="N424" i="25"/>
  <c r="M424" i="25"/>
  <c r="J425" i="25"/>
  <c r="L425" i="25"/>
  <c r="T425" i="25"/>
  <c r="U425" i="25"/>
  <c r="D425" i="25"/>
  <c r="I425" i="25"/>
  <c r="H425" i="25"/>
  <c r="O425" i="25"/>
  <c r="C425" i="25"/>
  <c r="N425" i="25" l="1"/>
  <c r="M425" i="25"/>
  <c r="A428" i="25"/>
  <c r="B427" i="25"/>
  <c r="G425" i="25"/>
  <c r="F425" i="25"/>
  <c r="J426" i="25"/>
  <c r="L426" i="25"/>
  <c r="D426" i="25"/>
  <c r="G426" i="25" s="1"/>
  <c r="T426" i="25"/>
  <c r="U426" i="25"/>
  <c r="H426" i="25"/>
  <c r="I426" i="25"/>
  <c r="O426" i="25"/>
  <c r="C426" i="25"/>
  <c r="E425" i="25"/>
  <c r="J427" i="25" l="1"/>
  <c r="L427" i="25"/>
  <c r="T427" i="25"/>
  <c r="U427" i="25"/>
  <c r="D427" i="25"/>
  <c r="G427" i="25" s="1"/>
  <c r="I427" i="25"/>
  <c r="H427" i="25"/>
  <c r="O427" i="25"/>
  <c r="C427" i="25"/>
  <c r="N426" i="25"/>
  <c r="M426" i="25"/>
  <c r="A429" i="25"/>
  <c r="B428" i="25"/>
  <c r="F426" i="25"/>
  <c r="E426" i="25"/>
  <c r="N427" i="25" l="1"/>
  <c r="M427" i="25"/>
  <c r="F427" i="25"/>
  <c r="J428" i="25"/>
  <c r="L428" i="25"/>
  <c r="T428" i="25"/>
  <c r="U428" i="25"/>
  <c r="D428" i="25"/>
  <c r="G428" i="25" s="1"/>
  <c r="I428" i="25"/>
  <c r="H428" i="25"/>
  <c r="O428" i="25"/>
  <c r="C428" i="25"/>
  <c r="A430" i="25"/>
  <c r="B429" i="25"/>
  <c r="E427" i="25"/>
  <c r="J429" i="25" l="1"/>
  <c r="L429" i="25"/>
  <c r="H429" i="25"/>
  <c r="T429" i="25"/>
  <c r="D429" i="25"/>
  <c r="G429" i="25" s="1"/>
  <c r="U429" i="25"/>
  <c r="I429" i="25"/>
  <c r="O429" i="25"/>
  <c r="C429" i="25"/>
  <c r="A431" i="25"/>
  <c r="B430" i="25"/>
  <c r="E428" i="25"/>
  <c r="N428" i="25"/>
  <c r="M428" i="25"/>
  <c r="F428" i="25"/>
  <c r="N429" i="25" l="1"/>
  <c r="M429" i="25"/>
  <c r="E429" i="25"/>
  <c r="J430" i="25"/>
  <c r="L430" i="25"/>
  <c r="U430" i="25"/>
  <c r="D430" i="25"/>
  <c r="E430" i="25" s="1"/>
  <c r="T430" i="25"/>
  <c r="O430" i="25"/>
  <c r="I430" i="25"/>
  <c r="C430" i="25"/>
  <c r="H430" i="25"/>
  <c r="F429" i="25"/>
  <c r="A432" i="25"/>
  <c r="B431" i="25"/>
  <c r="G430" i="25" l="1"/>
  <c r="J431" i="25"/>
  <c r="L431" i="25"/>
  <c r="D431" i="25"/>
  <c r="E431" i="25" s="1"/>
  <c r="T431" i="25"/>
  <c r="U431" i="25"/>
  <c r="I431" i="25"/>
  <c r="H431" i="25"/>
  <c r="O431" i="25"/>
  <c r="C431" i="25"/>
  <c r="F430" i="25"/>
  <c r="B432" i="25"/>
  <c r="A433" i="25"/>
  <c r="N430" i="25"/>
  <c r="M430" i="25"/>
  <c r="N431" i="25" l="1"/>
  <c r="M431" i="25"/>
  <c r="F431" i="25"/>
  <c r="A434" i="25"/>
  <c r="B433" i="25"/>
  <c r="J432" i="25"/>
  <c r="L432" i="25"/>
  <c r="D432" i="25"/>
  <c r="E432" i="25" s="1"/>
  <c r="T432" i="25"/>
  <c r="U432" i="25"/>
  <c r="O432" i="25"/>
  <c r="I432" i="25"/>
  <c r="C432" i="25"/>
  <c r="H432" i="25"/>
  <c r="G431" i="25"/>
  <c r="G432" i="25" l="1"/>
  <c r="F432" i="25"/>
  <c r="J433" i="25"/>
  <c r="L433" i="25"/>
  <c r="D433" i="25"/>
  <c r="T433" i="25"/>
  <c r="U433" i="25"/>
  <c r="I433" i="25"/>
  <c r="O433" i="25"/>
  <c r="H433" i="25"/>
  <c r="C433" i="25"/>
  <c r="A435" i="25"/>
  <c r="B434" i="25"/>
  <c r="N432" i="25"/>
  <c r="M432" i="25"/>
  <c r="N433" i="25" l="1"/>
  <c r="M433" i="25"/>
  <c r="F433" i="25"/>
  <c r="J434" i="25"/>
  <c r="L434" i="25"/>
  <c r="D434" i="25"/>
  <c r="T434" i="25"/>
  <c r="U434" i="25"/>
  <c r="H434" i="25"/>
  <c r="I434" i="25"/>
  <c r="O434" i="25"/>
  <c r="C434" i="25"/>
  <c r="B435" i="25"/>
  <c r="A436" i="25"/>
  <c r="G433" i="25"/>
  <c r="E433" i="25"/>
  <c r="N434" i="25" l="1"/>
  <c r="M434" i="25"/>
  <c r="A437" i="25"/>
  <c r="B436" i="25"/>
  <c r="J435" i="25"/>
  <c r="L435" i="25"/>
  <c r="D435" i="25"/>
  <c r="E435" i="25" s="1"/>
  <c r="T435" i="25"/>
  <c r="U435" i="25"/>
  <c r="H435" i="25"/>
  <c r="I435" i="25"/>
  <c r="C435" i="25"/>
  <c r="O435" i="25"/>
  <c r="G434" i="25"/>
  <c r="F434" i="25"/>
  <c r="E434" i="25"/>
  <c r="F435" i="25" l="1"/>
  <c r="G435" i="25"/>
  <c r="J436" i="25"/>
  <c r="L436" i="25"/>
  <c r="U436" i="25"/>
  <c r="D436" i="25"/>
  <c r="T436" i="25"/>
  <c r="I436" i="25"/>
  <c r="H436" i="25"/>
  <c r="O436" i="25"/>
  <c r="C436" i="25"/>
  <c r="A438" i="25"/>
  <c r="B437" i="25"/>
  <c r="N435" i="25"/>
  <c r="M435" i="25"/>
  <c r="N436" i="25" l="1"/>
  <c r="M436" i="25"/>
  <c r="E436" i="25"/>
  <c r="F436" i="25"/>
  <c r="A439" i="25"/>
  <c r="B438" i="25"/>
  <c r="J437" i="25"/>
  <c r="L437" i="25"/>
  <c r="D437" i="25"/>
  <c r="T437" i="25"/>
  <c r="U437" i="25"/>
  <c r="I437" i="25"/>
  <c r="H437" i="25"/>
  <c r="C437" i="25"/>
  <c r="O437" i="25"/>
  <c r="G436" i="25"/>
  <c r="J438" i="25" l="1"/>
  <c r="L438" i="25"/>
  <c r="D438" i="25"/>
  <c r="T438" i="25"/>
  <c r="U438" i="25"/>
  <c r="I438" i="25"/>
  <c r="H438" i="25"/>
  <c r="O438" i="25"/>
  <c r="C438" i="25"/>
  <c r="N437" i="25"/>
  <c r="M437" i="25"/>
  <c r="G437" i="25"/>
  <c r="F437" i="25"/>
  <c r="E437" i="25"/>
  <c r="B439" i="25"/>
  <c r="A440" i="25"/>
  <c r="J439" i="25" l="1"/>
  <c r="L439" i="25"/>
  <c r="D439" i="25"/>
  <c r="E439" i="25" s="1"/>
  <c r="T439" i="25"/>
  <c r="U439" i="25"/>
  <c r="I439" i="25"/>
  <c r="H439" i="25"/>
  <c r="C439" i="25"/>
  <c r="O439" i="25"/>
  <c r="N438" i="25"/>
  <c r="M438" i="25"/>
  <c r="G438" i="25"/>
  <c r="E438" i="25"/>
  <c r="B440" i="25"/>
  <c r="A441" i="25"/>
  <c r="F438" i="25"/>
  <c r="G439" i="25" l="1"/>
  <c r="J440" i="25"/>
  <c r="L440" i="25"/>
  <c r="D440" i="25"/>
  <c r="E440" i="25" s="1"/>
  <c r="T440" i="25"/>
  <c r="U440" i="25"/>
  <c r="H440" i="25"/>
  <c r="I440" i="25"/>
  <c r="O440" i="25"/>
  <c r="C440" i="25"/>
  <c r="N439" i="25"/>
  <c r="M439" i="25"/>
  <c r="F439" i="25"/>
  <c r="B441" i="25"/>
  <c r="A442" i="25"/>
  <c r="F440" i="25" l="1"/>
  <c r="A443" i="25"/>
  <c r="B442" i="25"/>
  <c r="N440" i="25"/>
  <c r="M440" i="25"/>
  <c r="J441" i="25"/>
  <c r="L441" i="25"/>
  <c r="D441" i="25"/>
  <c r="E441" i="25" s="1"/>
  <c r="T441" i="25"/>
  <c r="U441" i="25"/>
  <c r="I441" i="25"/>
  <c r="H441" i="25"/>
  <c r="O441" i="25"/>
  <c r="C441" i="25"/>
  <c r="G440" i="25"/>
  <c r="G441" i="25" l="1"/>
  <c r="F441" i="25"/>
  <c r="L442" i="25"/>
  <c r="J442" i="25"/>
  <c r="U442" i="25"/>
  <c r="D442" i="25"/>
  <c r="T442" i="25"/>
  <c r="O442" i="25"/>
  <c r="H442" i="25"/>
  <c r="I442" i="25"/>
  <c r="C442" i="25"/>
  <c r="N441" i="25"/>
  <c r="M441" i="25"/>
  <c r="B443" i="25"/>
  <c r="A444" i="25"/>
  <c r="N442" i="25" l="1"/>
  <c r="M442" i="25"/>
  <c r="J443" i="25"/>
  <c r="L443" i="25"/>
  <c r="D443" i="25"/>
  <c r="T443" i="25"/>
  <c r="U443" i="25"/>
  <c r="I443" i="25"/>
  <c r="O443" i="25"/>
  <c r="H443" i="25"/>
  <c r="C443" i="25"/>
  <c r="F442" i="25"/>
  <c r="B444" i="25"/>
  <c r="A445" i="25"/>
  <c r="G442" i="25"/>
  <c r="E442" i="25"/>
  <c r="N443" i="25" l="1"/>
  <c r="M443" i="25"/>
  <c r="J444" i="25"/>
  <c r="L444" i="25"/>
  <c r="D444" i="25"/>
  <c r="T444" i="25"/>
  <c r="U444" i="25"/>
  <c r="I444" i="25"/>
  <c r="H444" i="25"/>
  <c r="O444" i="25"/>
  <c r="C444" i="25"/>
  <c r="A446" i="25"/>
  <c r="B445" i="25"/>
  <c r="G443" i="25"/>
  <c r="F443" i="25"/>
  <c r="E443" i="25"/>
  <c r="N444" i="25" l="1"/>
  <c r="M444" i="25"/>
  <c r="A447" i="25"/>
  <c r="B446" i="25"/>
  <c r="F444" i="25"/>
  <c r="J445" i="25"/>
  <c r="L445" i="25"/>
  <c r="D445" i="25"/>
  <c r="E445" i="25" s="1"/>
  <c r="T445" i="25"/>
  <c r="U445" i="25"/>
  <c r="I445" i="25"/>
  <c r="O445" i="25"/>
  <c r="H445" i="25"/>
  <c r="C445" i="25"/>
  <c r="G444" i="25"/>
  <c r="E444" i="25"/>
  <c r="J446" i="25" l="1"/>
  <c r="L446" i="25"/>
  <c r="D446" i="25"/>
  <c r="E446" i="25" s="1"/>
  <c r="T446" i="25"/>
  <c r="U446" i="25"/>
  <c r="H446" i="25"/>
  <c r="O446" i="25"/>
  <c r="I446" i="25"/>
  <c r="C446" i="25"/>
  <c r="A448" i="25"/>
  <c r="B447" i="25"/>
  <c r="N445" i="25"/>
  <c r="M445" i="25"/>
  <c r="G445" i="25"/>
  <c r="F445" i="25"/>
  <c r="G446" i="25" l="1"/>
  <c r="N446" i="25"/>
  <c r="M446" i="25"/>
  <c r="J447" i="25"/>
  <c r="L447" i="25"/>
  <c r="D447" i="25"/>
  <c r="U447" i="25"/>
  <c r="T447" i="25"/>
  <c r="I447" i="25"/>
  <c r="O447" i="25"/>
  <c r="C447" i="25"/>
  <c r="H447" i="25"/>
  <c r="A449" i="25"/>
  <c r="B448" i="25"/>
  <c r="F446" i="25"/>
  <c r="N447" i="25" l="1"/>
  <c r="M447" i="25"/>
  <c r="F447" i="25"/>
  <c r="J448" i="25"/>
  <c r="L448" i="25"/>
  <c r="D448" i="25"/>
  <c r="T448" i="25"/>
  <c r="U448" i="25"/>
  <c r="I448" i="25"/>
  <c r="O448" i="25"/>
  <c r="H448" i="25"/>
  <c r="C448" i="25"/>
  <c r="G447" i="25"/>
  <c r="E447" i="25"/>
  <c r="A450" i="25"/>
  <c r="B449" i="25"/>
  <c r="N448" i="25" l="1"/>
  <c r="M448" i="25"/>
  <c r="A451" i="25"/>
  <c r="B450" i="25"/>
  <c r="G448" i="25"/>
  <c r="F448" i="25"/>
  <c r="J449" i="25"/>
  <c r="L449" i="25"/>
  <c r="D449" i="25"/>
  <c r="E449" i="25" s="1"/>
  <c r="T449" i="25"/>
  <c r="U449" i="25"/>
  <c r="I449" i="25"/>
  <c r="C449" i="25"/>
  <c r="H449" i="25"/>
  <c r="O449" i="25"/>
  <c r="E448" i="25"/>
  <c r="G449" i="25" l="1"/>
  <c r="J450" i="25"/>
  <c r="L450" i="25"/>
  <c r="D450" i="25"/>
  <c r="F450" i="25" s="1"/>
  <c r="T450" i="25"/>
  <c r="U450" i="25"/>
  <c r="I450" i="25"/>
  <c r="H450" i="25"/>
  <c r="O450" i="25"/>
  <c r="C450" i="25"/>
  <c r="N449" i="25"/>
  <c r="M449" i="25"/>
  <c r="A452" i="25"/>
  <c r="B451" i="25"/>
  <c r="F449" i="25"/>
  <c r="N450" i="25" l="1"/>
  <c r="M450" i="25"/>
  <c r="J451" i="25"/>
  <c r="L451" i="25"/>
  <c r="D451" i="25"/>
  <c r="T451" i="25"/>
  <c r="U451" i="25"/>
  <c r="H451" i="25"/>
  <c r="I451" i="25"/>
  <c r="O451" i="25"/>
  <c r="C451" i="25"/>
  <c r="B452" i="25"/>
  <c r="A453" i="25"/>
  <c r="G450" i="25"/>
  <c r="E450" i="25"/>
  <c r="N451" i="25" l="1"/>
  <c r="M451" i="25"/>
  <c r="J452" i="25"/>
  <c r="L452" i="25"/>
  <c r="T452" i="25"/>
  <c r="U452" i="25"/>
  <c r="D452" i="25"/>
  <c r="E452" i="25" s="1"/>
  <c r="I452" i="25"/>
  <c r="O452" i="25"/>
  <c r="H452" i="25"/>
  <c r="C452" i="25"/>
  <c r="E451" i="25"/>
  <c r="A454" i="25"/>
  <c r="B453" i="25"/>
  <c r="G451" i="25"/>
  <c r="F451" i="25"/>
  <c r="B454" i="25" l="1"/>
  <c r="A455" i="25"/>
  <c r="F452" i="25"/>
  <c r="J453" i="25"/>
  <c r="L453" i="25"/>
  <c r="D453" i="25"/>
  <c r="T453" i="25"/>
  <c r="U453" i="25"/>
  <c r="I453" i="25"/>
  <c r="H453" i="25"/>
  <c r="C453" i="25"/>
  <c r="O453" i="25"/>
  <c r="G452" i="25"/>
  <c r="N452" i="25"/>
  <c r="M452" i="25"/>
  <c r="N453" i="25" l="1"/>
  <c r="M453" i="25"/>
  <c r="E453" i="25"/>
  <c r="F453" i="25"/>
  <c r="A456" i="25"/>
  <c r="B455" i="25"/>
  <c r="G453" i="25"/>
  <c r="J454" i="25"/>
  <c r="L454" i="25"/>
  <c r="U454" i="25"/>
  <c r="D454" i="25"/>
  <c r="T454" i="25"/>
  <c r="I454" i="25"/>
  <c r="H454" i="25"/>
  <c r="O454" i="25"/>
  <c r="C454" i="25"/>
  <c r="J455" i="25" l="1"/>
  <c r="L455" i="25"/>
  <c r="D455" i="25"/>
  <c r="F455" i="25" s="1"/>
  <c r="T455" i="25"/>
  <c r="U455" i="25"/>
  <c r="I455" i="25"/>
  <c r="O455" i="25"/>
  <c r="C455" i="25"/>
  <c r="H455" i="25"/>
  <c r="N454" i="25"/>
  <c r="M454" i="25"/>
  <c r="A457" i="25"/>
  <c r="B456" i="25"/>
  <c r="E454" i="25"/>
  <c r="F454" i="25"/>
  <c r="G454" i="25"/>
  <c r="G455" i="25" l="1"/>
  <c r="E455" i="25"/>
  <c r="J456" i="25"/>
  <c r="L456" i="25"/>
  <c r="D456" i="25"/>
  <c r="F456" i="25" s="1"/>
  <c r="T456" i="25"/>
  <c r="U456" i="25"/>
  <c r="O456" i="25"/>
  <c r="I456" i="25"/>
  <c r="H456" i="25"/>
  <c r="C456" i="25"/>
  <c r="N455" i="25"/>
  <c r="M455" i="25"/>
  <c r="B457" i="25"/>
  <c r="A458" i="25"/>
  <c r="A459" i="25" l="1"/>
  <c r="B458" i="25"/>
  <c r="N456" i="25"/>
  <c r="M456" i="25"/>
  <c r="J457" i="25"/>
  <c r="L457" i="25"/>
  <c r="D457" i="25"/>
  <c r="F457" i="25" s="1"/>
  <c r="T457" i="25"/>
  <c r="U457" i="25"/>
  <c r="I457" i="25"/>
  <c r="O457" i="25"/>
  <c r="H457" i="25"/>
  <c r="C457" i="25"/>
  <c r="G456" i="25"/>
  <c r="E456" i="25"/>
  <c r="E457" i="25" l="1"/>
  <c r="G457" i="25"/>
  <c r="J458" i="25"/>
  <c r="L458" i="25"/>
  <c r="D458" i="25"/>
  <c r="T458" i="25"/>
  <c r="U458" i="25"/>
  <c r="O458" i="25"/>
  <c r="I458" i="25"/>
  <c r="H458" i="25"/>
  <c r="C458" i="25"/>
  <c r="N457" i="25"/>
  <c r="M457" i="25"/>
  <c r="A460" i="25"/>
  <c r="B459" i="25"/>
  <c r="J459" i="25" l="1"/>
  <c r="L459" i="25"/>
  <c r="D459" i="25"/>
  <c r="F459" i="25" s="1"/>
  <c r="U459" i="25"/>
  <c r="T459" i="25"/>
  <c r="I459" i="25"/>
  <c r="O459" i="25"/>
  <c r="C459" i="25"/>
  <c r="H459" i="25"/>
  <c r="N458" i="25"/>
  <c r="M458" i="25"/>
  <c r="E458" i="25"/>
  <c r="G458" i="25"/>
  <c r="A461" i="25"/>
  <c r="B460" i="25"/>
  <c r="F458" i="25"/>
  <c r="L460" i="25" l="1"/>
  <c r="J460" i="25"/>
  <c r="D460" i="25"/>
  <c r="F460" i="25" s="1"/>
  <c r="T460" i="25"/>
  <c r="U460" i="25"/>
  <c r="H460" i="25"/>
  <c r="I460" i="25"/>
  <c r="O460" i="25"/>
  <c r="C460" i="25"/>
  <c r="G459" i="25"/>
  <c r="E459" i="25"/>
  <c r="B461" i="25"/>
  <c r="A462" i="25"/>
  <c r="N459" i="25"/>
  <c r="M459" i="25"/>
  <c r="J461" i="25" l="1"/>
  <c r="L461" i="25"/>
  <c r="D461" i="25"/>
  <c r="F461" i="25" s="1"/>
  <c r="T461" i="25"/>
  <c r="U461" i="25"/>
  <c r="I461" i="25"/>
  <c r="H461" i="25"/>
  <c r="O461" i="25"/>
  <c r="C461" i="25"/>
  <c r="G460" i="25"/>
  <c r="A463" i="25"/>
  <c r="B462" i="25"/>
  <c r="N460" i="25"/>
  <c r="M460" i="25"/>
  <c r="E460" i="25"/>
  <c r="G461" i="25" l="1"/>
  <c r="E461" i="25"/>
  <c r="N461" i="25"/>
  <c r="M461" i="25"/>
  <c r="J462" i="25"/>
  <c r="L462" i="25"/>
  <c r="D462" i="25"/>
  <c r="F462" i="25" s="1"/>
  <c r="T462" i="25"/>
  <c r="U462" i="25"/>
  <c r="I462" i="25"/>
  <c r="O462" i="25"/>
  <c r="C462" i="25"/>
  <c r="H462" i="25"/>
  <c r="A464" i="25"/>
  <c r="B463" i="25"/>
  <c r="J463" i="25" l="1"/>
  <c r="L463" i="25"/>
  <c r="D463" i="25"/>
  <c r="E463" i="25" s="1"/>
  <c r="T463" i="25"/>
  <c r="U463" i="25"/>
  <c r="I463" i="25"/>
  <c r="H463" i="25"/>
  <c r="C463" i="25"/>
  <c r="O463" i="25"/>
  <c r="A465" i="25"/>
  <c r="B464" i="25"/>
  <c r="G462" i="25"/>
  <c r="E462" i="25"/>
  <c r="N462" i="25"/>
  <c r="M462" i="25"/>
  <c r="G463" i="25" l="1"/>
  <c r="F463" i="25"/>
  <c r="N463" i="25"/>
  <c r="M463" i="25"/>
  <c r="J464" i="25"/>
  <c r="L464" i="25"/>
  <c r="T464" i="25"/>
  <c r="U464" i="25"/>
  <c r="D464" i="25"/>
  <c r="I464" i="25"/>
  <c r="O464" i="25"/>
  <c r="C464" i="25"/>
  <c r="H464" i="25"/>
  <c r="A466" i="25"/>
  <c r="B465" i="25"/>
  <c r="N464" i="25" l="1"/>
  <c r="M464" i="25"/>
  <c r="B466" i="25"/>
  <c r="A467" i="25"/>
  <c r="G464" i="25"/>
  <c r="F464" i="25"/>
  <c r="J465" i="25"/>
  <c r="L465" i="25"/>
  <c r="D465" i="25"/>
  <c r="E465" i="25" s="1"/>
  <c r="T465" i="25"/>
  <c r="U465" i="25"/>
  <c r="I465" i="25"/>
  <c r="O465" i="25"/>
  <c r="H465" i="25"/>
  <c r="C465" i="25"/>
  <c r="E464" i="25"/>
  <c r="G465" i="25" l="1"/>
  <c r="F465" i="25"/>
  <c r="A468" i="25"/>
  <c r="B467" i="25"/>
  <c r="J466" i="25"/>
  <c r="L466" i="25"/>
  <c r="U466" i="25"/>
  <c r="D466" i="25"/>
  <c r="F466" i="25" s="1"/>
  <c r="T466" i="25"/>
  <c r="I466" i="25"/>
  <c r="O466" i="25"/>
  <c r="C466" i="25"/>
  <c r="H466" i="25"/>
  <c r="N465" i="25"/>
  <c r="M465" i="25"/>
  <c r="E466" i="25" l="1"/>
  <c r="G466" i="25"/>
  <c r="J467" i="25"/>
  <c r="L467" i="25"/>
  <c r="D467" i="25"/>
  <c r="T467" i="25"/>
  <c r="U467" i="25"/>
  <c r="I467" i="25"/>
  <c r="O467" i="25"/>
  <c r="H467" i="25"/>
  <c r="C467" i="25"/>
  <c r="B468" i="25"/>
  <c r="A469" i="25"/>
  <c r="N466" i="25"/>
  <c r="M466" i="25"/>
  <c r="N467" i="25" l="1"/>
  <c r="M467" i="25"/>
  <c r="A470" i="25"/>
  <c r="B469" i="25"/>
  <c r="J468" i="25"/>
  <c r="L468" i="25"/>
  <c r="D468" i="25"/>
  <c r="F468" i="25" s="1"/>
  <c r="T468" i="25"/>
  <c r="U468" i="25"/>
  <c r="O468" i="25"/>
  <c r="I468" i="25"/>
  <c r="C468" i="25"/>
  <c r="H468" i="25"/>
  <c r="G467" i="25"/>
  <c r="E467" i="25"/>
  <c r="F467" i="25"/>
  <c r="G468" i="25" l="1"/>
  <c r="J469" i="25"/>
  <c r="L469" i="25"/>
  <c r="D469" i="25"/>
  <c r="F469" i="25" s="1"/>
  <c r="T469" i="25"/>
  <c r="U469" i="25"/>
  <c r="I469" i="25"/>
  <c r="H469" i="25"/>
  <c r="O469" i="25"/>
  <c r="C469" i="25"/>
  <c r="E468" i="25"/>
  <c r="B470" i="25"/>
  <c r="A471" i="25"/>
  <c r="N468" i="25"/>
  <c r="M468" i="25"/>
  <c r="N469" i="25" l="1"/>
  <c r="M469" i="25"/>
  <c r="J470" i="25"/>
  <c r="L470" i="25"/>
  <c r="D470" i="25"/>
  <c r="T470" i="25"/>
  <c r="U470" i="25"/>
  <c r="I470" i="25"/>
  <c r="H470" i="25"/>
  <c r="O470" i="25"/>
  <c r="C470" i="25"/>
  <c r="A472" i="25"/>
  <c r="B471" i="25"/>
  <c r="E469" i="25"/>
  <c r="G469" i="25"/>
  <c r="N470" i="25" l="1"/>
  <c r="M470" i="25"/>
  <c r="G470" i="25"/>
  <c r="E470" i="25"/>
  <c r="J471" i="25"/>
  <c r="L471" i="25"/>
  <c r="D471" i="25"/>
  <c r="G471" i="25" s="1"/>
  <c r="U471" i="25"/>
  <c r="T471" i="25"/>
  <c r="I471" i="25"/>
  <c r="H471" i="25"/>
  <c r="O471" i="25"/>
  <c r="C471" i="25"/>
  <c r="B472" i="25"/>
  <c r="A473" i="25"/>
  <c r="F470" i="25"/>
  <c r="B473" i="25" l="1"/>
  <c r="A474" i="25"/>
  <c r="J472" i="25"/>
  <c r="L472" i="25"/>
  <c r="D472" i="25"/>
  <c r="T472" i="25"/>
  <c r="U472" i="25"/>
  <c r="H472" i="25"/>
  <c r="C472" i="25"/>
  <c r="I472" i="25"/>
  <c r="O472" i="25"/>
  <c r="E471" i="25"/>
  <c r="F471" i="25"/>
  <c r="N471" i="25"/>
  <c r="M471" i="25"/>
  <c r="N472" i="25" l="1"/>
  <c r="M472" i="25"/>
  <c r="E472" i="25"/>
  <c r="B474" i="25"/>
  <c r="A475" i="25"/>
  <c r="G472" i="25"/>
  <c r="F472" i="25"/>
  <c r="J473" i="25"/>
  <c r="L473" i="25"/>
  <c r="D473" i="25"/>
  <c r="F473" i="25" s="1"/>
  <c r="T473" i="25"/>
  <c r="U473" i="25"/>
  <c r="I473" i="25"/>
  <c r="C473" i="25"/>
  <c r="O473" i="25"/>
  <c r="H473" i="25"/>
  <c r="N473" i="25" l="1"/>
  <c r="M473" i="25"/>
  <c r="J474" i="25"/>
  <c r="L474" i="25"/>
  <c r="D474" i="25"/>
  <c r="T474" i="25"/>
  <c r="U474" i="25"/>
  <c r="H474" i="25"/>
  <c r="I474" i="25"/>
  <c r="C474" i="25"/>
  <c r="O474" i="25"/>
  <c r="E473" i="25"/>
  <c r="A476" i="25"/>
  <c r="B475" i="25"/>
  <c r="G473" i="25"/>
  <c r="J475" i="25" l="1"/>
  <c r="L475" i="25"/>
  <c r="D475" i="25"/>
  <c r="F475" i="25" s="1"/>
  <c r="T475" i="25"/>
  <c r="U475" i="25"/>
  <c r="H475" i="25"/>
  <c r="I475" i="25"/>
  <c r="O475" i="25"/>
  <c r="C475" i="25"/>
  <c r="N474" i="25"/>
  <c r="M474" i="25"/>
  <c r="B476" i="25"/>
  <c r="A477" i="25"/>
  <c r="G474" i="25"/>
  <c r="E474" i="25"/>
  <c r="F474" i="25"/>
  <c r="G475" i="25" l="1"/>
  <c r="E475" i="25"/>
  <c r="B477" i="25"/>
  <c r="A478" i="25"/>
  <c r="N475" i="25"/>
  <c r="M475" i="25"/>
  <c r="J476" i="25"/>
  <c r="L476" i="25"/>
  <c r="T476" i="25"/>
  <c r="U476" i="25"/>
  <c r="D476" i="25"/>
  <c r="I476" i="25"/>
  <c r="H476" i="25"/>
  <c r="O476" i="25"/>
  <c r="C476" i="25"/>
  <c r="N476" i="25" l="1"/>
  <c r="M476" i="25"/>
  <c r="A479" i="25"/>
  <c r="B478" i="25"/>
  <c r="G476" i="25"/>
  <c r="F476" i="25"/>
  <c r="E476" i="25"/>
  <c r="J477" i="25"/>
  <c r="L477" i="25"/>
  <c r="D477" i="25"/>
  <c r="T477" i="25"/>
  <c r="U477" i="25"/>
  <c r="H477" i="25"/>
  <c r="I477" i="25"/>
  <c r="O477" i="25"/>
  <c r="C477" i="25"/>
  <c r="N477" i="25" l="1"/>
  <c r="M477" i="25"/>
  <c r="L478" i="25"/>
  <c r="J478" i="25"/>
  <c r="U478" i="25"/>
  <c r="D478" i="25"/>
  <c r="T478" i="25"/>
  <c r="H478" i="25"/>
  <c r="O478" i="25"/>
  <c r="I478" i="25"/>
  <c r="C478" i="25"/>
  <c r="F477" i="25"/>
  <c r="A480" i="25"/>
  <c r="B479" i="25"/>
  <c r="G477" i="25"/>
  <c r="E477" i="25"/>
  <c r="N478" i="25" l="1"/>
  <c r="M478" i="25"/>
  <c r="A481" i="25"/>
  <c r="B480" i="25"/>
  <c r="G478" i="25"/>
  <c r="E478" i="25"/>
  <c r="J479" i="25"/>
  <c r="L479" i="25"/>
  <c r="D479" i="25"/>
  <c r="T479" i="25"/>
  <c r="U479" i="25"/>
  <c r="I479" i="25"/>
  <c r="O479" i="25"/>
  <c r="H479" i="25"/>
  <c r="C479" i="25"/>
  <c r="F478" i="25"/>
  <c r="J480" i="25" l="1"/>
  <c r="L480" i="25"/>
  <c r="D480" i="25"/>
  <c r="F480" i="25" s="1"/>
  <c r="T480" i="25"/>
  <c r="U480" i="25"/>
  <c r="I480" i="25"/>
  <c r="H480" i="25"/>
  <c r="O480" i="25"/>
  <c r="C480" i="25"/>
  <c r="N479" i="25"/>
  <c r="M479" i="25"/>
  <c r="A482" i="25"/>
  <c r="B481" i="25"/>
  <c r="G479" i="25"/>
  <c r="F479" i="25"/>
  <c r="E479" i="25"/>
  <c r="G480" i="25" l="1"/>
  <c r="J481" i="25"/>
  <c r="L481" i="25"/>
  <c r="D481" i="25"/>
  <c r="F481" i="25" s="1"/>
  <c r="T481" i="25"/>
  <c r="U481" i="25"/>
  <c r="I481" i="25"/>
  <c r="H481" i="25"/>
  <c r="C481" i="25"/>
  <c r="O481" i="25"/>
  <c r="N480" i="25"/>
  <c r="M480" i="25"/>
  <c r="B482" i="25"/>
  <c r="A483" i="25"/>
  <c r="E480" i="25"/>
  <c r="N481" i="25" l="1"/>
  <c r="M481" i="25"/>
  <c r="E481" i="25"/>
  <c r="A484" i="25"/>
  <c r="B483" i="25"/>
  <c r="J482" i="25"/>
  <c r="L482" i="25"/>
  <c r="D482" i="25"/>
  <c r="F482" i="25" s="1"/>
  <c r="T482" i="25"/>
  <c r="U482" i="25"/>
  <c r="I482" i="25"/>
  <c r="H482" i="25"/>
  <c r="C482" i="25"/>
  <c r="O482" i="25"/>
  <c r="G481" i="25"/>
  <c r="J483" i="25" l="1"/>
  <c r="L483" i="25"/>
  <c r="D483" i="25"/>
  <c r="G483" i="25" s="1"/>
  <c r="U483" i="25"/>
  <c r="T483" i="25"/>
  <c r="H483" i="25"/>
  <c r="I483" i="25"/>
  <c r="C483" i="25"/>
  <c r="O483" i="25"/>
  <c r="B484" i="25"/>
  <c r="A485" i="25"/>
  <c r="N482" i="25"/>
  <c r="M482" i="25"/>
  <c r="G482" i="25"/>
  <c r="E482" i="25"/>
  <c r="F483" i="25" l="1"/>
  <c r="N483" i="25"/>
  <c r="M483" i="25"/>
  <c r="B485" i="25"/>
  <c r="A486" i="25"/>
  <c r="J484" i="25"/>
  <c r="L484" i="25"/>
  <c r="D484" i="25"/>
  <c r="F484" i="25" s="1"/>
  <c r="T484" i="25"/>
  <c r="U484" i="25"/>
  <c r="H484" i="25"/>
  <c r="I484" i="25"/>
  <c r="C484" i="25"/>
  <c r="O484" i="25"/>
  <c r="E483" i="25"/>
  <c r="E484" i="25" l="1"/>
  <c r="G484" i="25"/>
  <c r="J485" i="25"/>
  <c r="L485" i="25"/>
  <c r="D485" i="25"/>
  <c r="T485" i="25"/>
  <c r="U485" i="25"/>
  <c r="H485" i="25"/>
  <c r="I485" i="25"/>
  <c r="O485" i="25"/>
  <c r="C485" i="25"/>
  <c r="B486" i="25"/>
  <c r="A487" i="25"/>
  <c r="N484" i="25"/>
  <c r="M484" i="25"/>
  <c r="N485" i="25" l="1"/>
  <c r="M485" i="25"/>
  <c r="J486" i="25"/>
  <c r="L486" i="25"/>
  <c r="D486" i="25"/>
  <c r="T486" i="25"/>
  <c r="U486" i="25"/>
  <c r="I486" i="25"/>
  <c r="H486" i="25"/>
  <c r="C486" i="25"/>
  <c r="O486" i="25"/>
  <c r="E485" i="25"/>
  <c r="A488" i="25"/>
  <c r="B487" i="25"/>
  <c r="G485" i="25"/>
  <c r="F485" i="25"/>
  <c r="N486" i="25" l="1"/>
  <c r="M486" i="25"/>
  <c r="B488" i="25"/>
  <c r="A489" i="25"/>
  <c r="J487" i="25"/>
  <c r="L487" i="25"/>
  <c r="D487" i="25"/>
  <c r="F487" i="25" s="1"/>
  <c r="T487" i="25"/>
  <c r="U487" i="25"/>
  <c r="I487" i="25"/>
  <c r="H487" i="25"/>
  <c r="O487" i="25"/>
  <c r="C487" i="25"/>
  <c r="G486" i="25"/>
  <c r="E486" i="25"/>
  <c r="F486" i="25"/>
  <c r="E487" i="25" l="1"/>
  <c r="A490" i="25"/>
  <c r="B489" i="25"/>
  <c r="G487" i="25"/>
  <c r="J488" i="25"/>
  <c r="L488" i="25"/>
  <c r="T488" i="25"/>
  <c r="U488" i="25"/>
  <c r="D488" i="25"/>
  <c r="E488" i="25" s="1"/>
  <c r="I488" i="25"/>
  <c r="H488" i="25"/>
  <c r="O488" i="25"/>
  <c r="C488" i="25"/>
  <c r="N487" i="25"/>
  <c r="M487" i="25"/>
  <c r="G488" i="25" l="1"/>
  <c r="F488" i="25"/>
  <c r="N488" i="25"/>
  <c r="M488" i="25"/>
  <c r="J489" i="25"/>
  <c r="L489" i="25"/>
  <c r="D489" i="25"/>
  <c r="E489" i="25" s="1"/>
  <c r="H489" i="25"/>
  <c r="T489" i="25"/>
  <c r="U489" i="25"/>
  <c r="I489" i="25"/>
  <c r="O489" i="25"/>
  <c r="C489" i="25"/>
  <c r="A491" i="25"/>
  <c r="B490" i="25"/>
  <c r="F489" i="25" l="1"/>
  <c r="B491" i="25"/>
  <c r="A492" i="25"/>
  <c r="G489" i="25"/>
  <c r="J490" i="25"/>
  <c r="L490" i="25"/>
  <c r="D490" i="25"/>
  <c r="G490" i="25" s="1"/>
  <c r="T490" i="25"/>
  <c r="U490" i="25"/>
  <c r="H490" i="25"/>
  <c r="I490" i="25"/>
  <c r="O490" i="25"/>
  <c r="C490" i="25"/>
  <c r="N489" i="25"/>
  <c r="M489" i="25"/>
  <c r="F490" i="25" l="1"/>
  <c r="E490" i="25"/>
  <c r="B492" i="25"/>
  <c r="A493" i="25"/>
  <c r="J491" i="25"/>
  <c r="L491" i="25"/>
  <c r="D491" i="25"/>
  <c r="G491" i="25" s="1"/>
  <c r="T491" i="25"/>
  <c r="U491" i="25"/>
  <c r="I491" i="25"/>
  <c r="H491" i="25"/>
  <c r="O491" i="25"/>
  <c r="C491" i="25"/>
  <c r="N490" i="25"/>
  <c r="M490" i="25"/>
  <c r="E491" i="25" l="1"/>
  <c r="F491" i="25"/>
  <c r="A494" i="25"/>
  <c r="B493" i="25"/>
  <c r="J492" i="25"/>
  <c r="L492" i="25"/>
  <c r="D492" i="25"/>
  <c r="F492" i="25" s="1"/>
  <c r="H492" i="25"/>
  <c r="T492" i="25"/>
  <c r="U492" i="25"/>
  <c r="I492" i="25"/>
  <c r="O492" i="25"/>
  <c r="C492" i="25"/>
  <c r="N491" i="25"/>
  <c r="M491" i="25"/>
  <c r="E492" i="25" l="1"/>
  <c r="G492" i="25"/>
  <c r="J493" i="25"/>
  <c r="L493" i="25"/>
  <c r="U493" i="25"/>
  <c r="D493" i="25"/>
  <c r="T493" i="25"/>
  <c r="O493" i="25"/>
  <c r="I493" i="25"/>
  <c r="H493" i="25"/>
  <c r="C493" i="25"/>
  <c r="B494" i="25"/>
  <c r="A495" i="25"/>
  <c r="N492" i="25"/>
  <c r="M492" i="25"/>
  <c r="N493" i="25" l="1"/>
  <c r="M493" i="25"/>
  <c r="G493" i="25"/>
  <c r="E493" i="25"/>
  <c r="F493" i="25"/>
  <c r="B495" i="25"/>
  <c r="A496" i="25"/>
  <c r="J494" i="25"/>
  <c r="L494" i="25"/>
  <c r="D494" i="25"/>
  <c r="E494" i="25" s="1"/>
  <c r="T494" i="25"/>
  <c r="U494" i="25"/>
  <c r="H494" i="25"/>
  <c r="I494" i="25"/>
  <c r="O494" i="25"/>
  <c r="C494" i="25"/>
  <c r="F494" i="25" l="1"/>
  <c r="J495" i="25"/>
  <c r="L495" i="25"/>
  <c r="T495" i="25"/>
  <c r="U495" i="25"/>
  <c r="D495" i="25"/>
  <c r="H495" i="25"/>
  <c r="I495" i="25"/>
  <c r="O495" i="25"/>
  <c r="C495" i="25"/>
  <c r="N494" i="25"/>
  <c r="M494" i="25"/>
  <c r="G494" i="25"/>
  <c r="B496" i="25"/>
  <c r="A497" i="25"/>
  <c r="N495" i="25" l="1"/>
  <c r="M495" i="25"/>
  <c r="L496" i="25"/>
  <c r="J496" i="25"/>
  <c r="D496" i="25"/>
  <c r="T496" i="25"/>
  <c r="U496" i="25"/>
  <c r="I496" i="25"/>
  <c r="H496" i="25"/>
  <c r="O496" i="25"/>
  <c r="C496" i="25"/>
  <c r="F495" i="25"/>
  <c r="E495" i="25"/>
  <c r="B497" i="25"/>
  <c r="A498" i="25"/>
  <c r="G495" i="25"/>
  <c r="B498" i="25" l="1"/>
  <c r="A499" i="25"/>
  <c r="N496" i="25"/>
  <c r="M496" i="25"/>
  <c r="J497" i="25"/>
  <c r="L497" i="25"/>
  <c r="T497" i="25"/>
  <c r="U497" i="25"/>
  <c r="D497" i="25"/>
  <c r="G497" i="25" s="1"/>
  <c r="H497" i="25"/>
  <c r="I497" i="25"/>
  <c r="O497" i="25"/>
  <c r="C497" i="25"/>
  <c r="E496" i="25"/>
  <c r="G496" i="25"/>
  <c r="F496" i="25"/>
  <c r="N497" i="25" l="1"/>
  <c r="M497" i="25"/>
  <c r="F497" i="25"/>
  <c r="A500" i="25"/>
  <c r="B499" i="25"/>
  <c r="E497" i="25"/>
  <c r="J498" i="25"/>
  <c r="L498" i="25"/>
  <c r="D498" i="25"/>
  <c r="H498" i="25"/>
  <c r="T498" i="25"/>
  <c r="U498" i="25"/>
  <c r="I498" i="25"/>
  <c r="O498" i="25"/>
  <c r="C498" i="25"/>
  <c r="J499" i="25" l="1"/>
  <c r="L499" i="25"/>
  <c r="D499" i="25"/>
  <c r="F499" i="25" s="1"/>
  <c r="T499" i="25"/>
  <c r="U499" i="25"/>
  <c r="H499" i="25"/>
  <c r="I499" i="25"/>
  <c r="O499" i="25"/>
  <c r="C499" i="25"/>
  <c r="N498" i="25"/>
  <c r="M498" i="25"/>
  <c r="G498" i="25"/>
  <c r="E498" i="25"/>
  <c r="A501" i="25"/>
  <c r="B500" i="25"/>
  <c r="F498" i="25"/>
  <c r="G499" i="25" l="1"/>
  <c r="E499" i="25"/>
  <c r="J500" i="25"/>
  <c r="L500" i="25"/>
  <c r="D500" i="25"/>
  <c r="F500" i="25" s="1"/>
  <c r="T500" i="25"/>
  <c r="U500" i="25"/>
  <c r="I500" i="25"/>
  <c r="H500" i="25"/>
  <c r="O500" i="25"/>
  <c r="C500" i="25"/>
  <c r="B501" i="25"/>
  <c r="A502" i="25"/>
  <c r="N499" i="25"/>
  <c r="M499" i="25"/>
  <c r="N500" i="25" l="1"/>
  <c r="M500" i="25"/>
  <c r="E500" i="25"/>
  <c r="A503" i="25"/>
  <c r="B502" i="25"/>
  <c r="J501" i="25"/>
  <c r="L501" i="25"/>
  <c r="D501" i="25"/>
  <c r="F501" i="25" s="1"/>
  <c r="T501" i="25"/>
  <c r="U501" i="25"/>
  <c r="H501" i="25"/>
  <c r="I501" i="25"/>
  <c r="O501" i="25"/>
  <c r="C501" i="25"/>
  <c r="G500" i="25"/>
  <c r="G501" i="25" l="1"/>
  <c r="J502" i="25"/>
  <c r="L502" i="25"/>
  <c r="D502" i="25"/>
  <c r="F502" i="25" s="1"/>
  <c r="T502" i="25"/>
  <c r="U502" i="25"/>
  <c r="O502" i="25"/>
  <c r="H502" i="25"/>
  <c r="I502" i="25"/>
  <c r="C502" i="25"/>
  <c r="A504" i="25"/>
  <c r="B503" i="25"/>
  <c r="N501" i="25"/>
  <c r="M501" i="25"/>
  <c r="E501" i="25"/>
  <c r="N502" i="25" l="1"/>
  <c r="M502" i="25"/>
  <c r="E502" i="25"/>
  <c r="A505" i="25"/>
  <c r="B504" i="25"/>
  <c r="J503" i="25"/>
  <c r="L503" i="25"/>
  <c r="D503" i="25"/>
  <c r="F503" i="25" s="1"/>
  <c r="T503" i="25"/>
  <c r="U503" i="25"/>
  <c r="I503" i="25"/>
  <c r="O503" i="25"/>
  <c r="H503" i="25"/>
  <c r="C503" i="25"/>
  <c r="G502" i="25"/>
  <c r="G503" i="25" l="1"/>
  <c r="J504" i="25"/>
  <c r="L504" i="25"/>
  <c r="D504" i="25"/>
  <c r="F504" i="25" s="1"/>
  <c r="T504" i="25"/>
  <c r="U504" i="25"/>
  <c r="I504" i="25"/>
  <c r="O504" i="25"/>
  <c r="H504" i="25"/>
  <c r="C504" i="25"/>
  <c r="A506" i="25"/>
  <c r="B505" i="25"/>
  <c r="N503" i="25"/>
  <c r="M503" i="25"/>
  <c r="E503" i="25"/>
  <c r="N504" i="25" l="1"/>
  <c r="M504" i="25"/>
  <c r="J505" i="25"/>
  <c r="L505" i="25"/>
  <c r="D505" i="25"/>
  <c r="F505" i="25" s="1"/>
  <c r="T505" i="25"/>
  <c r="U505" i="25"/>
  <c r="H505" i="25"/>
  <c r="O505" i="25"/>
  <c r="I505" i="25"/>
  <c r="C505" i="25"/>
  <c r="E504" i="25"/>
  <c r="A507" i="25"/>
  <c r="B506" i="25"/>
  <c r="G504" i="25"/>
  <c r="N505" i="25" l="1"/>
  <c r="M505" i="25"/>
  <c r="J506" i="25"/>
  <c r="L506" i="25"/>
  <c r="D506" i="25"/>
  <c r="E506" i="25" s="1"/>
  <c r="T506" i="25"/>
  <c r="U506" i="25"/>
  <c r="I506" i="25"/>
  <c r="H506" i="25"/>
  <c r="O506" i="25"/>
  <c r="C506" i="25"/>
  <c r="E505" i="25"/>
  <c r="A508" i="25"/>
  <c r="B507" i="25"/>
  <c r="G505" i="25"/>
  <c r="N506" i="25" l="1"/>
  <c r="M506" i="25"/>
  <c r="J507" i="25"/>
  <c r="L507" i="25"/>
  <c r="D507" i="25"/>
  <c r="F507" i="25" s="1"/>
  <c r="T507" i="25"/>
  <c r="U507" i="25"/>
  <c r="I507" i="25"/>
  <c r="H507" i="25"/>
  <c r="O507" i="25"/>
  <c r="C507" i="25"/>
  <c r="A509" i="25"/>
  <c r="B508" i="25"/>
  <c r="F506" i="25"/>
  <c r="G506" i="25"/>
  <c r="E507" i="25" l="1"/>
  <c r="J508" i="25"/>
  <c r="L508" i="25"/>
  <c r="D508" i="25"/>
  <c r="F508" i="25" s="1"/>
  <c r="T508" i="25"/>
  <c r="U508" i="25"/>
  <c r="I508" i="25"/>
  <c r="H508" i="25"/>
  <c r="O508" i="25"/>
  <c r="C508" i="25"/>
  <c r="N507" i="25"/>
  <c r="M507" i="25"/>
  <c r="A510" i="25"/>
  <c r="B509" i="25"/>
  <c r="G507" i="25"/>
  <c r="L509" i="25" l="1"/>
  <c r="J509" i="25"/>
  <c r="D509" i="25"/>
  <c r="E509" i="25" s="1"/>
  <c r="T509" i="25"/>
  <c r="U509" i="25"/>
  <c r="H509" i="25"/>
  <c r="I509" i="25"/>
  <c r="O509" i="25"/>
  <c r="C509" i="25"/>
  <c r="N508" i="25"/>
  <c r="M508" i="25"/>
  <c r="B510" i="25"/>
  <c r="A511" i="25"/>
  <c r="E508" i="25"/>
  <c r="G508" i="25"/>
  <c r="A512" i="25" l="1"/>
  <c r="B511" i="25"/>
  <c r="N509" i="25"/>
  <c r="M509" i="25"/>
  <c r="G509" i="25"/>
  <c r="J510" i="25"/>
  <c r="L510" i="25"/>
  <c r="D510" i="25"/>
  <c r="E510" i="25" s="1"/>
  <c r="T510" i="25"/>
  <c r="U510" i="25"/>
  <c r="I510" i="25"/>
  <c r="H510" i="25"/>
  <c r="O510" i="25"/>
  <c r="C510" i="25"/>
  <c r="F509" i="25"/>
  <c r="F510" i="25" l="1"/>
  <c r="G510" i="25"/>
  <c r="N510" i="25"/>
  <c r="M510" i="25"/>
  <c r="J511" i="25"/>
  <c r="L511" i="25"/>
  <c r="D511" i="25"/>
  <c r="E511" i="25" s="1"/>
  <c r="T511" i="25"/>
  <c r="U511" i="25"/>
  <c r="H511" i="25"/>
  <c r="I511" i="25"/>
  <c r="O511" i="25"/>
  <c r="C511" i="25"/>
  <c r="A513" i="25"/>
  <c r="B512" i="25"/>
  <c r="F511" i="25" l="1"/>
  <c r="J512" i="25"/>
  <c r="L512" i="25"/>
  <c r="D512" i="25"/>
  <c r="F512" i="25" s="1"/>
  <c r="T512" i="25"/>
  <c r="U512" i="25"/>
  <c r="I512" i="25"/>
  <c r="H512" i="25"/>
  <c r="O512" i="25"/>
  <c r="C512" i="25"/>
  <c r="B513" i="25"/>
  <c r="A514" i="25"/>
  <c r="G511" i="25"/>
  <c r="N511" i="25"/>
  <c r="M511" i="25"/>
  <c r="N512" i="25" l="1"/>
  <c r="M512" i="25"/>
  <c r="E512" i="25"/>
  <c r="A515" i="25"/>
  <c r="B514" i="25"/>
  <c r="J513" i="25"/>
  <c r="L513" i="25"/>
  <c r="D513" i="25"/>
  <c r="T513" i="25"/>
  <c r="U513" i="25"/>
  <c r="H513" i="25"/>
  <c r="I513" i="25"/>
  <c r="O513" i="25"/>
  <c r="C513" i="25"/>
  <c r="G512" i="25"/>
  <c r="L514" i="25" l="1"/>
  <c r="J514" i="25"/>
  <c r="D514" i="25"/>
  <c r="F514" i="25" s="1"/>
  <c r="T514" i="25"/>
  <c r="U514" i="25"/>
  <c r="O514" i="25"/>
  <c r="I514" i="25"/>
  <c r="H514" i="25"/>
  <c r="C514" i="25"/>
  <c r="A516" i="25"/>
  <c r="B515" i="25"/>
  <c r="N513" i="25"/>
  <c r="M513" i="25"/>
  <c r="G513" i="25"/>
  <c r="E513" i="25"/>
  <c r="F513" i="25"/>
  <c r="G514" i="25" l="1"/>
  <c r="E514" i="25"/>
  <c r="N514" i="25"/>
  <c r="M514" i="25"/>
  <c r="J515" i="25"/>
  <c r="L515" i="25"/>
  <c r="D515" i="25"/>
  <c r="E515" i="25" s="1"/>
  <c r="T515" i="25"/>
  <c r="U515" i="25"/>
  <c r="I515" i="25"/>
  <c r="O515" i="25"/>
  <c r="H515" i="25"/>
  <c r="C515" i="25"/>
  <c r="A517" i="25"/>
  <c r="B516" i="25"/>
  <c r="J516" i="25" l="1"/>
  <c r="L516" i="25"/>
  <c r="D516" i="25"/>
  <c r="E516" i="25" s="1"/>
  <c r="T516" i="25"/>
  <c r="U516" i="25"/>
  <c r="O516" i="25"/>
  <c r="I516" i="25"/>
  <c r="H516" i="25"/>
  <c r="C516" i="25"/>
  <c r="G515" i="25"/>
  <c r="F515" i="25"/>
  <c r="A518" i="25"/>
  <c r="B517" i="25"/>
  <c r="M515" i="25"/>
  <c r="N515" i="25"/>
  <c r="A519" i="25" l="1"/>
  <c r="B518" i="25"/>
  <c r="F516" i="25"/>
  <c r="G516" i="25"/>
  <c r="J517" i="25"/>
  <c r="L517" i="25"/>
  <c r="D517" i="25"/>
  <c r="F517" i="25" s="1"/>
  <c r="T517" i="25"/>
  <c r="U517" i="25"/>
  <c r="H517" i="25"/>
  <c r="O517" i="25"/>
  <c r="I517" i="25"/>
  <c r="C517" i="25"/>
  <c r="N516" i="25"/>
  <c r="M516" i="25"/>
  <c r="E517" i="25" l="1"/>
  <c r="G517" i="25"/>
  <c r="J518" i="25"/>
  <c r="L518" i="25"/>
  <c r="D518" i="25"/>
  <c r="T518" i="25"/>
  <c r="U518" i="25"/>
  <c r="I518" i="25"/>
  <c r="O518" i="25"/>
  <c r="H518" i="25"/>
  <c r="C518" i="25"/>
  <c r="M517" i="25"/>
  <c r="N517" i="25"/>
  <c r="B519" i="25"/>
  <c r="A520" i="25"/>
  <c r="A521" i="25" l="1"/>
  <c r="B520" i="25"/>
  <c r="N518" i="25"/>
  <c r="M518" i="25"/>
  <c r="E518" i="25"/>
  <c r="J519" i="25"/>
  <c r="L519" i="25"/>
  <c r="D519" i="25"/>
  <c r="F519" i="25" s="1"/>
  <c r="T519" i="25"/>
  <c r="U519" i="25"/>
  <c r="H519" i="25"/>
  <c r="I519" i="25"/>
  <c r="O519" i="25"/>
  <c r="C519" i="25"/>
  <c r="G518" i="25"/>
  <c r="F518" i="25"/>
  <c r="E519" i="25" l="1"/>
  <c r="G519" i="25"/>
  <c r="N519" i="25"/>
  <c r="M519" i="25"/>
  <c r="J520" i="25"/>
  <c r="L520" i="25"/>
  <c r="D520" i="25"/>
  <c r="F520" i="25" s="1"/>
  <c r="T520" i="25"/>
  <c r="U520" i="25"/>
  <c r="H520" i="25"/>
  <c r="I520" i="25"/>
  <c r="O520" i="25"/>
  <c r="C520" i="25"/>
  <c r="A522" i="25"/>
  <c r="B521" i="25"/>
  <c r="E520" i="25" l="1"/>
  <c r="J521" i="25"/>
  <c r="L521" i="25"/>
  <c r="T521" i="25"/>
  <c r="D521" i="25"/>
  <c r="E521" i="25" s="1"/>
  <c r="U521" i="25"/>
  <c r="I521" i="25"/>
  <c r="H521" i="25"/>
  <c r="O521" i="25"/>
  <c r="C521" i="25"/>
  <c r="A523" i="25"/>
  <c r="B522" i="25"/>
  <c r="G520" i="25"/>
  <c r="M520" i="25"/>
  <c r="N520" i="25"/>
  <c r="G521" i="25" l="1"/>
  <c r="M521" i="25"/>
  <c r="N521" i="25"/>
  <c r="F521" i="25"/>
  <c r="J522" i="25"/>
  <c r="L522" i="25"/>
  <c r="D522" i="25"/>
  <c r="F522" i="25" s="1"/>
  <c r="U522" i="25"/>
  <c r="T522" i="25"/>
  <c r="I522" i="25"/>
  <c r="H522" i="25"/>
  <c r="O522" i="25"/>
  <c r="C522" i="25"/>
  <c r="A524" i="25"/>
  <c r="B523" i="25"/>
  <c r="J523" i="25" l="1"/>
  <c r="L523" i="25"/>
  <c r="T523" i="25"/>
  <c r="D523" i="25"/>
  <c r="F523" i="25" s="1"/>
  <c r="U523" i="25"/>
  <c r="I523" i="25"/>
  <c r="H523" i="25"/>
  <c r="O523" i="25"/>
  <c r="C523" i="25"/>
  <c r="A525" i="25"/>
  <c r="B524" i="25"/>
  <c r="E522" i="25"/>
  <c r="G522" i="25"/>
  <c r="M522" i="25"/>
  <c r="N522" i="25"/>
  <c r="J524" i="25" l="1"/>
  <c r="L524" i="25"/>
  <c r="D524" i="25"/>
  <c r="F524" i="25" s="1"/>
  <c r="T524" i="25"/>
  <c r="U524" i="25"/>
  <c r="I524" i="25"/>
  <c r="H524" i="25"/>
  <c r="O524" i="25"/>
  <c r="C524" i="25"/>
  <c r="G523" i="25"/>
  <c r="M523" i="25"/>
  <c r="N523" i="25"/>
  <c r="E523" i="25"/>
  <c r="A526" i="25"/>
  <c r="B525" i="25"/>
  <c r="J525" i="25" l="1"/>
  <c r="L525" i="25"/>
  <c r="T525" i="25"/>
  <c r="U525" i="25"/>
  <c r="D525" i="25"/>
  <c r="G525" i="25" s="1"/>
  <c r="H525" i="25"/>
  <c r="O525" i="25"/>
  <c r="I525" i="25"/>
  <c r="C525" i="25"/>
  <c r="G524" i="25"/>
  <c r="A527" i="25"/>
  <c r="B526" i="25"/>
  <c r="E524" i="25"/>
  <c r="N524" i="25"/>
  <c r="M524" i="25"/>
  <c r="B527" i="25" l="1"/>
  <c r="A528" i="25"/>
  <c r="N525" i="25"/>
  <c r="M525" i="25"/>
  <c r="F525" i="25"/>
  <c r="E525" i="25"/>
  <c r="J526" i="25"/>
  <c r="L526" i="25"/>
  <c r="D526" i="25"/>
  <c r="E526" i="25" s="1"/>
  <c r="T526" i="25"/>
  <c r="U526" i="25"/>
  <c r="I526" i="25"/>
  <c r="O526" i="25"/>
  <c r="H526" i="25"/>
  <c r="C526" i="25"/>
  <c r="F526" i="25" l="1"/>
  <c r="M526" i="25"/>
  <c r="N526" i="25"/>
  <c r="G526" i="25"/>
  <c r="A529" i="25"/>
  <c r="B528" i="25"/>
  <c r="L527" i="25"/>
  <c r="J527" i="25"/>
  <c r="T527" i="25"/>
  <c r="D527" i="25"/>
  <c r="F527" i="25" s="1"/>
  <c r="U527" i="25"/>
  <c r="I527" i="25"/>
  <c r="H527" i="25"/>
  <c r="O527" i="25"/>
  <c r="C527" i="25"/>
  <c r="G527" i="25" l="1"/>
  <c r="J528" i="25"/>
  <c r="L528" i="25"/>
  <c r="D528" i="25"/>
  <c r="E528" i="25" s="1"/>
  <c r="U528" i="25"/>
  <c r="T528" i="25"/>
  <c r="H528" i="25"/>
  <c r="O528" i="25"/>
  <c r="I528" i="25"/>
  <c r="C528" i="25"/>
  <c r="B529" i="25"/>
  <c r="A530" i="25"/>
  <c r="M527" i="25"/>
  <c r="N527" i="25"/>
  <c r="E527" i="25"/>
  <c r="F528" i="25" l="1"/>
  <c r="M528" i="25"/>
  <c r="N528" i="25"/>
  <c r="A531" i="25"/>
  <c r="B530" i="25"/>
  <c r="J529" i="25"/>
  <c r="L529" i="25"/>
  <c r="H529" i="25"/>
  <c r="U529" i="25"/>
  <c r="D529" i="25"/>
  <c r="G529" i="25" s="1"/>
  <c r="T529" i="25"/>
  <c r="I529" i="25"/>
  <c r="O529" i="25"/>
  <c r="C529" i="25"/>
  <c r="G528" i="25"/>
  <c r="J530" i="25" l="1"/>
  <c r="L530" i="25"/>
  <c r="U530" i="25"/>
  <c r="D530" i="25"/>
  <c r="F530" i="25" s="1"/>
  <c r="H530" i="25"/>
  <c r="T530" i="25"/>
  <c r="C530" i="25"/>
  <c r="I530" i="25"/>
  <c r="O530" i="25"/>
  <c r="M529" i="25"/>
  <c r="N529" i="25"/>
  <c r="B531" i="25"/>
  <c r="A532" i="25"/>
  <c r="F529" i="25"/>
  <c r="E529" i="25"/>
  <c r="G530" i="25" l="1"/>
  <c r="N530" i="25"/>
  <c r="M530" i="25"/>
  <c r="A533" i="25"/>
  <c r="B532" i="25"/>
  <c r="J531" i="25"/>
  <c r="L531" i="25"/>
  <c r="H531" i="25"/>
  <c r="T531" i="25"/>
  <c r="U531" i="25"/>
  <c r="D531" i="25"/>
  <c r="I531" i="25"/>
  <c r="C531" i="25"/>
  <c r="O531" i="25"/>
  <c r="E530" i="25"/>
  <c r="N531" i="25" l="1"/>
  <c r="M531" i="25"/>
  <c r="L532" i="25"/>
  <c r="J532" i="25"/>
  <c r="H532" i="25"/>
  <c r="U532" i="25"/>
  <c r="D532" i="25"/>
  <c r="E532" i="25" s="1"/>
  <c r="T532" i="25"/>
  <c r="I532" i="25"/>
  <c r="C532" i="25"/>
  <c r="O532" i="25"/>
  <c r="G531" i="25"/>
  <c r="F531" i="25"/>
  <c r="A534" i="25"/>
  <c r="B533" i="25"/>
  <c r="E531" i="25"/>
  <c r="F532" i="25" l="1"/>
  <c r="J533" i="25"/>
  <c r="L533" i="25"/>
  <c r="U533" i="25"/>
  <c r="T533" i="25"/>
  <c r="H533" i="25"/>
  <c r="D533" i="25"/>
  <c r="E533" i="25" s="1"/>
  <c r="I533" i="25"/>
  <c r="C533" i="25"/>
  <c r="O533" i="25"/>
  <c r="B534" i="25"/>
  <c r="A535" i="25"/>
  <c r="M532" i="25"/>
  <c r="N532" i="25"/>
  <c r="G532" i="25"/>
  <c r="F533" i="25" l="1"/>
  <c r="G533" i="25"/>
  <c r="B535" i="25"/>
  <c r="A536" i="25"/>
  <c r="J534" i="25"/>
  <c r="L534" i="25"/>
  <c r="H534" i="25"/>
  <c r="D534" i="25"/>
  <c r="F534" i="25" s="1"/>
  <c r="T534" i="25"/>
  <c r="U534" i="25"/>
  <c r="C534" i="25"/>
  <c r="I534" i="25"/>
  <c r="O534" i="25"/>
  <c r="M533" i="25"/>
  <c r="N533" i="25"/>
  <c r="G534" i="25" l="1"/>
  <c r="B536" i="25"/>
  <c r="A537" i="25"/>
  <c r="E534" i="25"/>
  <c r="J535" i="25"/>
  <c r="L535" i="25"/>
  <c r="H535" i="25"/>
  <c r="U535" i="25"/>
  <c r="T535" i="25"/>
  <c r="D535" i="25"/>
  <c r="I535" i="25"/>
  <c r="O535" i="25"/>
  <c r="C535" i="25"/>
  <c r="M534" i="25"/>
  <c r="N534" i="25"/>
  <c r="M535" i="25" l="1"/>
  <c r="N535" i="25"/>
  <c r="F535" i="25"/>
  <c r="B537" i="25"/>
  <c r="A538" i="25"/>
  <c r="G535" i="25"/>
  <c r="J536" i="25"/>
  <c r="L536" i="25"/>
  <c r="U536" i="25"/>
  <c r="D536" i="25"/>
  <c r="H536" i="25"/>
  <c r="T536" i="25"/>
  <c r="I536" i="25"/>
  <c r="C536" i="25"/>
  <c r="O536" i="25"/>
  <c r="E535" i="25"/>
  <c r="B538" i="25" l="1"/>
  <c r="A539" i="25"/>
  <c r="N536" i="25"/>
  <c r="M536" i="25"/>
  <c r="J537" i="25"/>
  <c r="L537" i="25"/>
  <c r="H537" i="25"/>
  <c r="D537" i="25"/>
  <c r="F537" i="25" s="1"/>
  <c r="U537" i="25"/>
  <c r="T537" i="25"/>
  <c r="I537" i="25"/>
  <c r="O537" i="25"/>
  <c r="C537" i="25"/>
  <c r="G536" i="25"/>
  <c r="F536" i="25"/>
  <c r="E536" i="25"/>
  <c r="E537" i="25" l="1"/>
  <c r="G537" i="25"/>
  <c r="N537" i="25"/>
  <c r="M537" i="25"/>
  <c r="B539" i="25"/>
  <c r="A540" i="25"/>
  <c r="J538" i="25"/>
  <c r="L538" i="25"/>
  <c r="H538" i="25"/>
  <c r="U538" i="25"/>
  <c r="D538" i="25"/>
  <c r="T538" i="25"/>
  <c r="O538" i="25"/>
  <c r="I538" i="25"/>
  <c r="C538" i="25"/>
  <c r="M538" i="25" l="1"/>
  <c r="N538" i="25"/>
  <c r="J539" i="25"/>
  <c r="L539" i="25"/>
  <c r="U539" i="25"/>
  <c r="D539" i="25"/>
  <c r="E539" i="25" s="1"/>
  <c r="H539" i="25"/>
  <c r="T539" i="25"/>
  <c r="I539" i="25"/>
  <c r="O539" i="25"/>
  <c r="C539" i="25"/>
  <c r="G538" i="25"/>
  <c r="A541" i="25"/>
  <c r="B540" i="25"/>
  <c r="F538" i="25"/>
  <c r="E538" i="25"/>
  <c r="J540" i="25" l="1"/>
  <c r="L540" i="25"/>
  <c r="H540" i="25"/>
  <c r="T540" i="25"/>
  <c r="U540" i="25"/>
  <c r="D540" i="25"/>
  <c r="G540" i="25" s="1"/>
  <c r="O540" i="25"/>
  <c r="I540" i="25"/>
  <c r="C540" i="25"/>
  <c r="B541" i="25"/>
  <c r="A542" i="25"/>
  <c r="M539" i="25"/>
  <c r="N539" i="25"/>
  <c r="G539" i="25"/>
  <c r="F539" i="25"/>
  <c r="F540" i="25" l="1"/>
  <c r="M540" i="25"/>
  <c r="N540" i="25"/>
  <c r="A543" i="25"/>
  <c r="B542" i="25"/>
  <c r="E540" i="25"/>
  <c r="J541" i="25"/>
  <c r="L541" i="25"/>
  <c r="H541" i="25"/>
  <c r="U541" i="25"/>
  <c r="D541" i="25"/>
  <c r="T541" i="25"/>
  <c r="I541" i="25"/>
  <c r="O541" i="25"/>
  <c r="C541" i="25"/>
  <c r="M541" i="25" l="1"/>
  <c r="N541" i="25"/>
  <c r="J542" i="25"/>
  <c r="L542" i="25"/>
  <c r="U542" i="25"/>
  <c r="T542" i="25"/>
  <c r="H542" i="25"/>
  <c r="D542" i="25"/>
  <c r="E542" i="25" s="1"/>
  <c r="I542" i="25"/>
  <c r="O542" i="25"/>
  <c r="C542" i="25"/>
  <c r="B543" i="25"/>
  <c r="A544" i="25"/>
  <c r="G541" i="25"/>
  <c r="F541" i="25"/>
  <c r="E541" i="25"/>
  <c r="G542" i="25" l="1"/>
  <c r="A545" i="25"/>
  <c r="B544" i="25"/>
  <c r="J543" i="25"/>
  <c r="L543" i="25"/>
  <c r="H543" i="25"/>
  <c r="D543" i="25"/>
  <c r="F543" i="25" s="1"/>
  <c r="T543" i="25"/>
  <c r="U543" i="25"/>
  <c r="I543" i="25"/>
  <c r="O543" i="25"/>
  <c r="C543" i="25"/>
  <c r="N542" i="25"/>
  <c r="M542" i="25"/>
  <c r="F542" i="25"/>
  <c r="E543" i="25" l="1"/>
  <c r="G543" i="25"/>
  <c r="J544" i="25"/>
  <c r="L544" i="25"/>
  <c r="H544" i="25"/>
  <c r="U544" i="25"/>
  <c r="T544" i="25"/>
  <c r="D544" i="25"/>
  <c r="E544" i="25" s="1"/>
  <c r="I544" i="25"/>
  <c r="C544" i="25"/>
  <c r="O544" i="25"/>
  <c r="B545" i="25"/>
  <c r="A546" i="25"/>
  <c r="N543" i="25"/>
  <c r="M543" i="25"/>
  <c r="B546" i="25" l="1"/>
  <c r="A547" i="25"/>
  <c r="M544" i="25"/>
  <c r="N544" i="25"/>
  <c r="J545" i="25"/>
  <c r="L545" i="25"/>
  <c r="U545" i="25"/>
  <c r="D545" i="25"/>
  <c r="E545" i="25" s="1"/>
  <c r="H545" i="25"/>
  <c r="T545" i="25"/>
  <c r="I545" i="25"/>
  <c r="O545" i="25"/>
  <c r="C545" i="25"/>
  <c r="G544" i="25"/>
  <c r="F544" i="25"/>
  <c r="G545" i="25" l="1"/>
  <c r="F545" i="25"/>
  <c r="A548" i="25"/>
  <c r="B547" i="25"/>
  <c r="M545" i="25"/>
  <c r="N545" i="25"/>
  <c r="J546" i="25"/>
  <c r="L546" i="25"/>
  <c r="H546" i="25"/>
  <c r="D546" i="25"/>
  <c r="F546" i="25" s="1"/>
  <c r="U546" i="25"/>
  <c r="T546" i="25"/>
  <c r="I546" i="25"/>
  <c r="C546" i="25"/>
  <c r="O546" i="25"/>
  <c r="G546" i="25" l="1"/>
  <c r="M546" i="25"/>
  <c r="N546" i="25"/>
  <c r="J547" i="25"/>
  <c r="L547" i="25"/>
  <c r="H547" i="25"/>
  <c r="U547" i="25"/>
  <c r="D547" i="25"/>
  <c r="G547" i="25" s="1"/>
  <c r="T547" i="25"/>
  <c r="I547" i="25"/>
  <c r="C547" i="25"/>
  <c r="O547" i="25"/>
  <c r="A549" i="25"/>
  <c r="B548" i="25"/>
  <c r="E546" i="25"/>
  <c r="J548" i="25" l="1"/>
  <c r="L548" i="25"/>
  <c r="D548" i="25"/>
  <c r="F548" i="25" s="1"/>
  <c r="H548" i="25"/>
  <c r="U548" i="25"/>
  <c r="T548" i="25"/>
  <c r="I548" i="25"/>
  <c r="O548" i="25"/>
  <c r="C548" i="25"/>
  <c r="E547" i="25"/>
  <c r="M547" i="25"/>
  <c r="N547" i="25"/>
  <c r="A550" i="25"/>
  <c r="B549" i="25"/>
  <c r="F547" i="25"/>
  <c r="J549" i="25" l="1"/>
  <c r="L549" i="25"/>
  <c r="H549" i="25"/>
  <c r="D549" i="25"/>
  <c r="T549" i="25"/>
  <c r="U549" i="25"/>
  <c r="I549" i="25"/>
  <c r="O549" i="25"/>
  <c r="C549" i="25"/>
  <c r="N548" i="25"/>
  <c r="M548" i="25"/>
  <c r="G548" i="25"/>
  <c r="A551" i="25"/>
  <c r="B550" i="25"/>
  <c r="E548" i="25"/>
  <c r="N549" i="25" l="1"/>
  <c r="M549" i="25"/>
  <c r="G549" i="25"/>
  <c r="B551" i="25"/>
  <c r="A552" i="25"/>
  <c r="L550" i="25"/>
  <c r="J550" i="25"/>
  <c r="U550" i="25"/>
  <c r="D550" i="25"/>
  <c r="F550" i="25" s="1"/>
  <c r="T550" i="25"/>
  <c r="H550" i="25"/>
  <c r="O550" i="25"/>
  <c r="I550" i="25"/>
  <c r="C550" i="25"/>
  <c r="F549" i="25"/>
  <c r="E549" i="25"/>
  <c r="G550" i="25" l="1"/>
  <c r="A553" i="25"/>
  <c r="B552" i="25"/>
  <c r="J551" i="25"/>
  <c r="L551" i="25"/>
  <c r="D551" i="25"/>
  <c r="G551" i="25" s="1"/>
  <c r="H551" i="25"/>
  <c r="T551" i="25"/>
  <c r="U551" i="25"/>
  <c r="I551" i="25"/>
  <c r="O551" i="25"/>
  <c r="C551" i="25"/>
  <c r="M550" i="25"/>
  <c r="N550" i="25"/>
  <c r="E550" i="25"/>
  <c r="E551" i="25" l="1"/>
  <c r="J552" i="25"/>
  <c r="L552" i="25"/>
  <c r="H552" i="25"/>
  <c r="U552" i="25"/>
  <c r="T552" i="25"/>
  <c r="D552" i="25"/>
  <c r="E552" i="25" s="1"/>
  <c r="O552" i="25"/>
  <c r="I552" i="25"/>
  <c r="C552" i="25"/>
  <c r="B553" i="25"/>
  <c r="A554" i="25"/>
  <c r="M551" i="25"/>
  <c r="N551" i="25"/>
  <c r="F551" i="25"/>
  <c r="F552" i="25" l="1"/>
  <c r="M552" i="25"/>
  <c r="N552" i="25"/>
  <c r="A555" i="25"/>
  <c r="B554" i="25"/>
  <c r="J553" i="25"/>
  <c r="L553" i="25"/>
  <c r="U553" i="25"/>
  <c r="D553" i="25"/>
  <c r="F553" i="25" s="1"/>
  <c r="H553" i="25"/>
  <c r="T553" i="25"/>
  <c r="I553" i="25"/>
  <c r="O553" i="25"/>
  <c r="C553" i="25"/>
  <c r="G552" i="25"/>
  <c r="G553" i="25" l="1"/>
  <c r="J554" i="25"/>
  <c r="L554" i="25"/>
  <c r="T554" i="25"/>
  <c r="U554" i="25"/>
  <c r="H554" i="25"/>
  <c r="D554" i="25"/>
  <c r="E554" i="25" s="1"/>
  <c r="I554" i="25"/>
  <c r="O554" i="25"/>
  <c r="C554" i="25"/>
  <c r="B555" i="25"/>
  <c r="A556" i="25"/>
  <c r="M553" i="25"/>
  <c r="N553" i="25"/>
  <c r="E553" i="25"/>
  <c r="F554" i="25" l="1"/>
  <c r="G554" i="25"/>
  <c r="B556" i="25"/>
  <c r="A557" i="25"/>
  <c r="J555" i="25"/>
  <c r="L555" i="25"/>
  <c r="H555" i="25"/>
  <c r="D555" i="25"/>
  <c r="E555" i="25" s="1"/>
  <c r="T555" i="25"/>
  <c r="U555" i="25"/>
  <c r="I555" i="25"/>
  <c r="O555" i="25"/>
  <c r="C555" i="25"/>
  <c r="N554" i="25"/>
  <c r="M554" i="25"/>
  <c r="F555" i="25" l="1"/>
  <c r="G555" i="25"/>
  <c r="B557" i="25"/>
  <c r="A558" i="25"/>
  <c r="J556" i="25"/>
  <c r="L556" i="25"/>
  <c r="U556" i="25"/>
  <c r="H556" i="25"/>
  <c r="T556" i="25"/>
  <c r="D556" i="25"/>
  <c r="I556" i="25"/>
  <c r="O556" i="25"/>
  <c r="C556" i="25"/>
  <c r="N555" i="25"/>
  <c r="M555" i="25"/>
  <c r="M556" i="25" l="1"/>
  <c r="N556" i="25"/>
  <c r="A559" i="25"/>
  <c r="B558" i="25"/>
  <c r="J557" i="25"/>
  <c r="L557" i="25"/>
  <c r="D557" i="25"/>
  <c r="F557" i="25" s="1"/>
  <c r="H557" i="25"/>
  <c r="U557" i="25"/>
  <c r="T557" i="25"/>
  <c r="I557" i="25"/>
  <c r="O557" i="25"/>
  <c r="C557" i="25"/>
  <c r="E556" i="25"/>
  <c r="G556" i="25"/>
  <c r="F556" i="25"/>
  <c r="G557" i="25" l="1"/>
  <c r="J558" i="25"/>
  <c r="L558" i="25"/>
  <c r="H558" i="25"/>
  <c r="D558" i="25"/>
  <c r="T558" i="25"/>
  <c r="U558" i="25"/>
  <c r="I558" i="25"/>
  <c r="O558" i="25"/>
  <c r="C558" i="25"/>
  <c r="B559" i="25"/>
  <c r="A560" i="25"/>
  <c r="E557" i="25"/>
  <c r="M557" i="25"/>
  <c r="N557" i="25"/>
  <c r="M558" i="25" l="1"/>
  <c r="N558" i="25"/>
  <c r="A561" i="25"/>
  <c r="B560" i="25"/>
  <c r="F558" i="25"/>
  <c r="E558" i="25"/>
  <c r="J559" i="25"/>
  <c r="L559" i="25"/>
  <c r="U559" i="25"/>
  <c r="D559" i="25"/>
  <c r="F559" i="25" s="1"/>
  <c r="T559" i="25"/>
  <c r="H559" i="25"/>
  <c r="I559" i="25"/>
  <c r="O559" i="25"/>
  <c r="C559" i="25"/>
  <c r="G558" i="25"/>
  <c r="M559" i="25" l="1"/>
  <c r="N559" i="25"/>
  <c r="L560" i="25"/>
  <c r="J560" i="25"/>
  <c r="D560" i="25"/>
  <c r="H560" i="25"/>
  <c r="T560" i="25"/>
  <c r="U560" i="25"/>
  <c r="I560" i="25"/>
  <c r="O560" i="25"/>
  <c r="C560" i="25"/>
  <c r="G559" i="25"/>
  <c r="A562" i="25"/>
  <c r="B561" i="25"/>
  <c r="E559" i="25"/>
  <c r="N560" i="25" l="1"/>
  <c r="M560" i="25"/>
  <c r="B562" i="25"/>
  <c r="A563" i="25"/>
  <c r="E560" i="25"/>
  <c r="L561" i="25"/>
  <c r="J561" i="25"/>
  <c r="H561" i="25"/>
  <c r="U561" i="25"/>
  <c r="T561" i="25"/>
  <c r="D561" i="25"/>
  <c r="I561" i="25"/>
  <c r="O561" i="25"/>
  <c r="C561" i="25"/>
  <c r="F560" i="25"/>
  <c r="G560" i="25"/>
  <c r="N561" i="25" l="1"/>
  <c r="M561" i="25"/>
  <c r="B563" i="25"/>
  <c r="A564" i="25"/>
  <c r="E561" i="25"/>
  <c r="F561" i="25"/>
  <c r="L562" i="25"/>
  <c r="J562" i="25"/>
  <c r="U562" i="25"/>
  <c r="D562" i="25"/>
  <c r="H562" i="25"/>
  <c r="T562" i="25"/>
  <c r="O562" i="25"/>
  <c r="I562" i="25"/>
  <c r="C562" i="25"/>
  <c r="G561" i="25"/>
  <c r="M562" i="25" l="1"/>
  <c r="N562" i="25"/>
  <c r="A565" i="25"/>
  <c r="B564" i="25"/>
  <c r="G562" i="25"/>
  <c r="F562" i="25"/>
  <c r="J563" i="25"/>
  <c r="L563" i="25"/>
  <c r="T563" i="25"/>
  <c r="U563" i="25"/>
  <c r="H563" i="25"/>
  <c r="D563" i="25"/>
  <c r="F563" i="25" s="1"/>
  <c r="I563" i="25"/>
  <c r="O563" i="25"/>
  <c r="C563" i="25"/>
  <c r="E562" i="25"/>
  <c r="G563" i="25" l="1"/>
  <c r="J564" i="25"/>
  <c r="L564" i="25"/>
  <c r="H564" i="25"/>
  <c r="D564" i="25"/>
  <c r="T564" i="25"/>
  <c r="U564" i="25"/>
  <c r="I564" i="25"/>
  <c r="O564" i="25"/>
  <c r="C564" i="25"/>
  <c r="M563" i="25"/>
  <c r="N563" i="25"/>
  <c r="B565" i="25"/>
  <c r="A566" i="25"/>
  <c r="E563" i="25"/>
  <c r="M564" i="25" l="1"/>
  <c r="N564" i="25"/>
  <c r="F564" i="25"/>
  <c r="A567" i="25"/>
  <c r="B566" i="25"/>
  <c r="J565" i="25"/>
  <c r="L565" i="25"/>
  <c r="U565" i="25"/>
  <c r="H565" i="25"/>
  <c r="T565" i="25"/>
  <c r="D565" i="25"/>
  <c r="G565" i="25" s="1"/>
  <c r="I565" i="25"/>
  <c r="O565" i="25"/>
  <c r="C565" i="25"/>
  <c r="E564" i="25"/>
  <c r="G564" i="25"/>
  <c r="L566" i="25" l="1"/>
  <c r="J566" i="25"/>
  <c r="D566" i="25"/>
  <c r="F566" i="25" s="1"/>
  <c r="H566" i="25"/>
  <c r="U566" i="25"/>
  <c r="T566" i="25"/>
  <c r="O566" i="25"/>
  <c r="I566" i="25"/>
  <c r="C566" i="25"/>
  <c r="M565" i="25"/>
  <c r="N565" i="25"/>
  <c r="F565" i="25"/>
  <c r="A568" i="25"/>
  <c r="B567" i="25"/>
  <c r="E565" i="25"/>
  <c r="G566" i="25" l="1"/>
  <c r="L567" i="25"/>
  <c r="J567" i="25"/>
  <c r="H567" i="25"/>
  <c r="D567" i="25"/>
  <c r="F567" i="25" s="1"/>
  <c r="T567" i="25"/>
  <c r="U567" i="25"/>
  <c r="I567" i="25"/>
  <c r="O567" i="25"/>
  <c r="C567" i="25"/>
  <c r="B568" i="25"/>
  <c r="A569" i="25"/>
  <c r="N566" i="25"/>
  <c r="M566" i="25"/>
  <c r="E566" i="25"/>
  <c r="N567" i="25" l="1"/>
  <c r="M567" i="25"/>
  <c r="B569" i="25"/>
  <c r="A570" i="25"/>
  <c r="L568" i="25"/>
  <c r="J568" i="25"/>
  <c r="U568" i="25"/>
  <c r="D568" i="25"/>
  <c r="G568" i="25" s="1"/>
  <c r="T568" i="25"/>
  <c r="H568" i="25"/>
  <c r="I568" i="25"/>
  <c r="O568" i="25"/>
  <c r="C568" i="25"/>
  <c r="E567" i="25"/>
  <c r="G567" i="25"/>
  <c r="B570" i="25" l="1"/>
  <c r="A571" i="25"/>
  <c r="J569" i="25"/>
  <c r="L569" i="25"/>
  <c r="D569" i="25"/>
  <c r="H569" i="25"/>
  <c r="T569" i="25"/>
  <c r="U569" i="25"/>
  <c r="I569" i="25"/>
  <c r="C569" i="25"/>
  <c r="O569" i="25"/>
  <c r="M568" i="25"/>
  <c r="N568" i="25"/>
  <c r="E568" i="25"/>
  <c r="F568" i="25"/>
  <c r="M569" i="25" l="1"/>
  <c r="N569" i="25"/>
  <c r="G569" i="25"/>
  <c r="A572" i="25"/>
  <c r="B571" i="25"/>
  <c r="E569" i="25"/>
  <c r="F569" i="25"/>
  <c r="J570" i="25"/>
  <c r="L570" i="25"/>
  <c r="H570" i="25"/>
  <c r="U570" i="25"/>
  <c r="T570" i="25"/>
  <c r="D570" i="25"/>
  <c r="E570" i="25" s="1"/>
  <c r="I570" i="25"/>
  <c r="C570" i="25"/>
  <c r="O570" i="25"/>
  <c r="J571" i="25" l="1"/>
  <c r="L571" i="25"/>
  <c r="U571" i="25"/>
  <c r="D571" i="25"/>
  <c r="F571" i="25" s="1"/>
  <c r="H571" i="25"/>
  <c r="T571" i="25"/>
  <c r="I571" i="25"/>
  <c r="O571" i="25"/>
  <c r="C571" i="25"/>
  <c r="G570" i="25"/>
  <c r="F570" i="25"/>
  <c r="A573" i="25"/>
  <c r="B572" i="25"/>
  <c r="M570" i="25"/>
  <c r="N570" i="25"/>
  <c r="G571" i="25" l="1"/>
  <c r="L572" i="25"/>
  <c r="J572" i="25"/>
  <c r="T572" i="25"/>
  <c r="U572" i="25"/>
  <c r="H572" i="25"/>
  <c r="D572" i="25"/>
  <c r="E572" i="25" s="1"/>
  <c r="I572" i="25"/>
  <c r="O572" i="25"/>
  <c r="C572" i="25"/>
  <c r="M571" i="25"/>
  <c r="N571" i="25"/>
  <c r="A574" i="25"/>
  <c r="B573" i="25"/>
  <c r="E571" i="25"/>
  <c r="L573" i="25" l="1"/>
  <c r="J573" i="25"/>
  <c r="H573" i="25"/>
  <c r="D573" i="25"/>
  <c r="F573" i="25" s="1"/>
  <c r="T573" i="25"/>
  <c r="U573" i="25"/>
  <c r="I573" i="25"/>
  <c r="C573" i="25"/>
  <c r="O573" i="25"/>
  <c r="A575" i="25"/>
  <c r="B574" i="25"/>
  <c r="G572" i="25"/>
  <c r="F572" i="25"/>
  <c r="N572" i="25"/>
  <c r="M572" i="25"/>
  <c r="L574" i="25" l="1"/>
  <c r="J574" i="25"/>
  <c r="U574" i="25"/>
  <c r="H574" i="25"/>
  <c r="T574" i="25"/>
  <c r="D574" i="25"/>
  <c r="I574" i="25"/>
  <c r="O574" i="25"/>
  <c r="C574" i="25"/>
  <c r="G573" i="25"/>
  <c r="E573" i="25"/>
  <c r="B575" i="25"/>
  <c r="A576" i="25"/>
  <c r="N573" i="25"/>
  <c r="M573" i="25"/>
  <c r="M574" i="25" l="1"/>
  <c r="N574" i="25"/>
  <c r="G574" i="25"/>
  <c r="F574" i="25"/>
  <c r="A577" i="25"/>
  <c r="B576" i="25"/>
  <c r="J575" i="25"/>
  <c r="L575" i="25"/>
  <c r="D575" i="25"/>
  <c r="F575" i="25" s="1"/>
  <c r="H575" i="25"/>
  <c r="T575" i="25"/>
  <c r="U575" i="25"/>
  <c r="I575" i="25"/>
  <c r="C575" i="25"/>
  <c r="O575" i="25"/>
  <c r="E574" i="25"/>
  <c r="J576" i="25" l="1"/>
  <c r="L576" i="25"/>
  <c r="H576" i="25"/>
  <c r="D576" i="25"/>
  <c r="F576" i="25" s="1"/>
  <c r="T576" i="25"/>
  <c r="U576" i="25"/>
  <c r="O576" i="25"/>
  <c r="C576" i="25"/>
  <c r="I576" i="25"/>
  <c r="G575" i="25"/>
  <c r="A578" i="25"/>
  <c r="B577" i="25"/>
  <c r="M575" i="25"/>
  <c r="N575" i="25"/>
  <c r="E575" i="25"/>
  <c r="B578" i="25" l="1"/>
  <c r="A579" i="25"/>
  <c r="G576" i="25"/>
  <c r="M576" i="25"/>
  <c r="N576" i="25"/>
  <c r="J577" i="25"/>
  <c r="L577" i="25"/>
  <c r="U577" i="25"/>
  <c r="D577" i="25"/>
  <c r="F577" i="25" s="1"/>
  <c r="T577" i="25"/>
  <c r="H577" i="25"/>
  <c r="I577" i="25"/>
  <c r="O577" i="25"/>
  <c r="C577" i="25"/>
  <c r="E576" i="25"/>
  <c r="E577" i="25" l="1"/>
  <c r="G577" i="25"/>
  <c r="M577" i="25"/>
  <c r="N577" i="25"/>
  <c r="A580" i="25"/>
  <c r="B579" i="25"/>
  <c r="L578" i="25"/>
  <c r="J578" i="25"/>
  <c r="D578" i="25"/>
  <c r="F578" i="25" s="1"/>
  <c r="H578" i="25"/>
  <c r="T578" i="25"/>
  <c r="U578" i="25"/>
  <c r="I578" i="25"/>
  <c r="O578" i="25"/>
  <c r="C578" i="25"/>
  <c r="L579" i="25" l="1"/>
  <c r="J579" i="25"/>
  <c r="H579" i="25"/>
  <c r="T579" i="25"/>
  <c r="U579" i="25"/>
  <c r="D579" i="25"/>
  <c r="I579" i="25"/>
  <c r="C579" i="25"/>
  <c r="O579" i="25"/>
  <c r="G578" i="25"/>
  <c r="B580" i="25"/>
  <c r="A581" i="25"/>
  <c r="N578" i="25"/>
  <c r="M578" i="25"/>
  <c r="E578" i="25"/>
  <c r="N579" i="25" l="1"/>
  <c r="M579" i="25"/>
  <c r="F579" i="25"/>
  <c r="B581" i="25"/>
  <c r="A582" i="25"/>
  <c r="G579" i="25"/>
  <c r="L580" i="25"/>
  <c r="J580" i="25"/>
  <c r="U580" i="25"/>
  <c r="D580" i="25"/>
  <c r="G580" i="25" s="1"/>
  <c r="H580" i="25"/>
  <c r="T580" i="25"/>
  <c r="I580" i="25"/>
  <c r="O580" i="25"/>
  <c r="C580" i="25"/>
  <c r="E579" i="25"/>
  <c r="F580" i="25" l="1"/>
  <c r="A583" i="25"/>
  <c r="B582" i="25"/>
  <c r="M580" i="25"/>
  <c r="N580" i="25"/>
  <c r="J581" i="25"/>
  <c r="L581" i="25"/>
  <c r="D581" i="25"/>
  <c r="F581" i="25" s="1"/>
  <c r="H581" i="25"/>
  <c r="T581" i="25"/>
  <c r="U581" i="25"/>
  <c r="I581" i="25"/>
  <c r="O581" i="25"/>
  <c r="C581" i="25"/>
  <c r="E580" i="25"/>
  <c r="E581" i="25" l="1"/>
  <c r="G581" i="25"/>
  <c r="J582" i="25"/>
  <c r="L582" i="25"/>
  <c r="H582" i="25"/>
  <c r="T582" i="25"/>
  <c r="U582" i="25"/>
  <c r="D582" i="25"/>
  <c r="G582" i="25" s="1"/>
  <c r="I582" i="25"/>
  <c r="C582" i="25"/>
  <c r="O582" i="25"/>
  <c r="M581" i="25"/>
  <c r="N581" i="25"/>
  <c r="B583" i="25"/>
  <c r="A584" i="25"/>
  <c r="B584" i="25" l="1"/>
  <c r="A585" i="25"/>
  <c r="J583" i="25"/>
  <c r="L583" i="25"/>
  <c r="U583" i="25"/>
  <c r="D583" i="25"/>
  <c r="H583" i="25"/>
  <c r="T583" i="25"/>
  <c r="I583" i="25"/>
  <c r="C583" i="25"/>
  <c r="O583" i="25"/>
  <c r="E582" i="25"/>
  <c r="M582" i="25"/>
  <c r="N582" i="25"/>
  <c r="F582" i="25"/>
  <c r="M583" i="25" l="1"/>
  <c r="N583" i="25"/>
  <c r="E583" i="25"/>
  <c r="G583" i="25"/>
  <c r="A586" i="25"/>
  <c r="B585" i="25"/>
  <c r="F583" i="25"/>
  <c r="L584" i="25"/>
  <c r="J584" i="25"/>
  <c r="D584" i="25"/>
  <c r="F584" i="25" s="1"/>
  <c r="H584" i="25"/>
  <c r="T584" i="25"/>
  <c r="U584" i="25"/>
  <c r="I584" i="25"/>
  <c r="O584" i="25"/>
  <c r="C584" i="25"/>
  <c r="E584" i="25" l="1"/>
  <c r="G584" i="25"/>
  <c r="L585" i="25"/>
  <c r="J585" i="25"/>
  <c r="H585" i="25"/>
  <c r="T585" i="25"/>
  <c r="U585" i="25"/>
  <c r="D585" i="25"/>
  <c r="I585" i="25"/>
  <c r="C585" i="25"/>
  <c r="O585" i="25"/>
  <c r="B586" i="25"/>
  <c r="A587" i="25"/>
  <c r="N584" i="25"/>
  <c r="M584" i="25"/>
  <c r="N585" i="25" l="1"/>
  <c r="M585" i="25"/>
  <c r="G585" i="25"/>
  <c r="F585" i="25"/>
  <c r="A588" i="25"/>
  <c r="B587" i="25"/>
  <c r="L586" i="25"/>
  <c r="J586" i="25"/>
  <c r="U586" i="25"/>
  <c r="D586" i="25"/>
  <c r="G586" i="25" s="1"/>
  <c r="T586" i="25"/>
  <c r="H586" i="25"/>
  <c r="I586" i="25"/>
  <c r="O586" i="25"/>
  <c r="C586" i="25"/>
  <c r="E585" i="25"/>
  <c r="J587" i="25" l="1"/>
  <c r="L587" i="25"/>
  <c r="D587" i="25"/>
  <c r="F587" i="25" s="1"/>
  <c r="H587" i="25"/>
  <c r="T587" i="25"/>
  <c r="U587" i="25"/>
  <c r="I587" i="25"/>
  <c r="O587" i="25"/>
  <c r="C587" i="25"/>
  <c r="M586" i="25"/>
  <c r="N586" i="25"/>
  <c r="F586" i="25"/>
  <c r="A589" i="25"/>
  <c r="B588" i="25"/>
  <c r="E586" i="25"/>
  <c r="G587" i="25" l="1"/>
  <c r="J588" i="25"/>
  <c r="L588" i="25"/>
  <c r="H588" i="25"/>
  <c r="T588" i="25"/>
  <c r="U588" i="25"/>
  <c r="D588" i="25"/>
  <c r="F588" i="25" s="1"/>
  <c r="O588" i="25"/>
  <c r="I588" i="25"/>
  <c r="C588" i="25"/>
  <c r="B589" i="25"/>
  <c r="A590" i="25"/>
  <c r="M587" i="25"/>
  <c r="N587" i="25"/>
  <c r="E587" i="25"/>
  <c r="M588" i="25" l="1"/>
  <c r="N588" i="25"/>
  <c r="B590" i="25"/>
  <c r="A591" i="25"/>
  <c r="J589" i="25"/>
  <c r="L589" i="25"/>
  <c r="U589" i="25"/>
  <c r="D589" i="25"/>
  <c r="F589" i="25" s="1"/>
  <c r="H589" i="25"/>
  <c r="T589" i="25"/>
  <c r="I589" i="25"/>
  <c r="O589" i="25"/>
  <c r="C589" i="25"/>
  <c r="E588" i="25"/>
  <c r="G588" i="25"/>
  <c r="G589" i="25" l="1"/>
  <c r="A592" i="25"/>
  <c r="B591" i="25"/>
  <c r="L590" i="25"/>
  <c r="J590" i="25"/>
  <c r="D590" i="25"/>
  <c r="H590" i="25"/>
  <c r="T590" i="25"/>
  <c r="U590" i="25"/>
  <c r="O590" i="25"/>
  <c r="I590" i="25"/>
  <c r="C590" i="25"/>
  <c r="M589" i="25"/>
  <c r="N589" i="25"/>
  <c r="E589" i="25"/>
  <c r="N590" i="25" l="1"/>
  <c r="M590" i="25"/>
  <c r="L591" i="25"/>
  <c r="J591" i="25"/>
  <c r="H591" i="25"/>
  <c r="T591" i="25"/>
  <c r="U591" i="25"/>
  <c r="D591" i="25"/>
  <c r="G591" i="25" s="1"/>
  <c r="I591" i="25"/>
  <c r="O591" i="25"/>
  <c r="C591" i="25"/>
  <c r="F590" i="25"/>
  <c r="E590" i="25"/>
  <c r="A593" i="25"/>
  <c r="B592" i="25"/>
  <c r="G590" i="25"/>
  <c r="L592" i="25" l="1"/>
  <c r="J592" i="25"/>
  <c r="U592" i="25"/>
  <c r="D592" i="25"/>
  <c r="F592" i="25" s="1"/>
  <c r="H592" i="25"/>
  <c r="T592" i="25"/>
  <c r="O592" i="25"/>
  <c r="I592" i="25"/>
  <c r="C592" i="25"/>
  <c r="E591" i="25"/>
  <c r="A594" i="25"/>
  <c r="B593" i="25"/>
  <c r="N591" i="25"/>
  <c r="M591" i="25"/>
  <c r="F591" i="25"/>
  <c r="M592" i="25" l="1"/>
  <c r="N592" i="25"/>
  <c r="B594" i="25"/>
  <c r="A595" i="25"/>
  <c r="G592" i="25"/>
  <c r="J593" i="25"/>
  <c r="L593" i="25"/>
  <c r="D593" i="25"/>
  <c r="F593" i="25" s="1"/>
  <c r="H593" i="25"/>
  <c r="T593" i="25"/>
  <c r="U593" i="25"/>
  <c r="I593" i="25"/>
  <c r="O593" i="25"/>
  <c r="C593" i="25"/>
  <c r="E592" i="25"/>
  <c r="B595" i="25" l="1"/>
  <c r="A596" i="25"/>
  <c r="J594" i="25"/>
  <c r="L594" i="25"/>
  <c r="H594" i="25"/>
  <c r="T594" i="25"/>
  <c r="U594" i="25"/>
  <c r="D594" i="25"/>
  <c r="F594" i="25" s="1"/>
  <c r="I594" i="25"/>
  <c r="O594" i="25"/>
  <c r="C594" i="25"/>
  <c r="M593" i="25"/>
  <c r="N593" i="25"/>
  <c r="G593" i="25"/>
  <c r="E593" i="25"/>
  <c r="E594" i="25" l="1"/>
  <c r="M594" i="25"/>
  <c r="N594" i="25"/>
  <c r="A597" i="25"/>
  <c r="B596" i="25"/>
  <c r="G594" i="25"/>
  <c r="J595" i="25"/>
  <c r="L595" i="25"/>
  <c r="U595" i="25"/>
  <c r="D595" i="25"/>
  <c r="T595" i="25"/>
  <c r="H595" i="25"/>
  <c r="I595" i="25"/>
  <c r="O595" i="25"/>
  <c r="C595" i="25"/>
  <c r="M595" i="25" l="1"/>
  <c r="N595" i="25"/>
  <c r="B597" i="25"/>
  <c r="A598" i="25"/>
  <c r="F595" i="25"/>
  <c r="L596" i="25"/>
  <c r="J596" i="25"/>
  <c r="D596" i="25"/>
  <c r="F596" i="25" s="1"/>
  <c r="H596" i="25"/>
  <c r="T596" i="25"/>
  <c r="U596" i="25"/>
  <c r="I596" i="25"/>
  <c r="O596" i="25"/>
  <c r="C596" i="25"/>
  <c r="E595" i="25"/>
  <c r="G595" i="25"/>
  <c r="E596" i="25" l="1"/>
  <c r="G596" i="25"/>
  <c r="A599" i="25"/>
  <c r="B598" i="25"/>
  <c r="L597" i="25"/>
  <c r="J597" i="25"/>
  <c r="H597" i="25"/>
  <c r="T597" i="25"/>
  <c r="U597" i="25"/>
  <c r="D597" i="25"/>
  <c r="F597" i="25" s="1"/>
  <c r="I597" i="25"/>
  <c r="O597" i="25"/>
  <c r="C597" i="25"/>
  <c r="N596" i="25"/>
  <c r="M596" i="25"/>
  <c r="L598" i="25" l="1"/>
  <c r="J598" i="25"/>
  <c r="U598" i="25"/>
  <c r="D598" i="25"/>
  <c r="F598" i="25" s="1"/>
  <c r="H598" i="25"/>
  <c r="T598" i="25"/>
  <c r="O598" i="25"/>
  <c r="I598" i="25"/>
  <c r="C598" i="25"/>
  <c r="N597" i="25"/>
  <c r="M597" i="25"/>
  <c r="E597" i="25"/>
  <c r="B599" i="25"/>
  <c r="A600" i="25"/>
  <c r="G597" i="25"/>
  <c r="M598" i="25" l="1"/>
  <c r="N598" i="25"/>
  <c r="G598" i="25"/>
  <c r="B600" i="25"/>
  <c r="A601" i="25"/>
  <c r="J599" i="25"/>
  <c r="L599" i="25"/>
  <c r="D599" i="25"/>
  <c r="E599" i="25" s="1"/>
  <c r="H599" i="25"/>
  <c r="T599" i="25"/>
  <c r="U599" i="25"/>
  <c r="O599" i="25"/>
  <c r="I599" i="25"/>
  <c r="C599" i="25"/>
  <c r="E598" i="25"/>
  <c r="F599" i="25" l="1"/>
  <c r="B601" i="25"/>
  <c r="A602" i="25"/>
  <c r="G599" i="25"/>
  <c r="J600" i="25"/>
  <c r="L600" i="25"/>
  <c r="H600" i="25"/>
  <c r="T600" i="25"/>
  <c r="U600" i="25"/>
  <c r="D600" i="25"/>
  <c r="I600" i="25"/>
  <c r="O600" i="25"/>
  <c r="C600" i="25"/>
  <c r="M599" i="25"/>
  <c r="N599" i="25"/>
  <c r="M600" i="25" l="1"/>
  <c r="N600" i="25"/>
  <c r="F600" i="25"/>
  <c r="A603" i="25"/>
  <c r="B602" i="25"/>
  <c r="E600" i="25"/>
  <c r="G600" i="25"/>
  <c r="J601" i="25"/>
  <c r="L601" i="25"/>
  <c r="U601" i="25"/>
  <c r="D601" i="25"/>
  <c r="H601" i="25"/>
  <c r="T601" i="25"/>
  <c r="I601" i="25"/>
  <c r="O601" i="25"/>
  <c r="C601" i="25"/>
  <c r="M601" i="25" l="1"/>
  <c r="N601" i="25"/>
  <c r="L602" i="25"/>
  <c r="J602" i="25"/>
  <c r="D602" i="25"/>
  <c r="G602" i="25" s="1"/>
  <c r="H602" i="25"/>
  <c r="T602" i="25"/>
  <c r="U602" i="25"/>
  <c r="O602" i="25"/>
  <c r="I602" i="25"/>
  <c r="C602" i="25"/>
  <c r="E601" i="25"/>
  <c r="A604" i="25"/>
  <c r="B603" i="25"/>
  <c r="F601" i="25"/>
  <c r="G601" i="25"/>
  <c r="E602" i="25" l="1"/>
  <c r="N602" i="25"/>
  <c r="M602" i="25"/>
  <c r="A605" i="25"/>
  <c r="B604" i="25"/>
  <c r="L603" i="25"/>
  <c r="J603" i="25"/>
  <c r="H603" i="25"/>
  <c r="T603" i="25"/>
  <c r="U603" i="25"/>
  <c r="D603" i="25"/>
  <c r="G603" i="25" s="1"/>
  <c r="I603" i="25"/>
  <c r="O603" i="25"/>
  <c r="C603" i="25"/>
  <c r="F602" i="25"/>
  <c r="L604" i="25" l="1"/>
  <c r="J604" i="25"/>
  <c r="U604" i="25"/>
  <c r="D604" i="25"/>
  <c r="T604" i="25"/>
  <c r="H604" i="25"/>
  <c r="I604" i="25"/>
  <c r="O604" i="25"/>
  <c r="C604" i="25"/>
  <c r="B605" i="25"/>
  <c r="A606" i="25"/>
  <c r="N603" i="25"/>
  <c r="M603" i="25"/>
  <c r="F603" i="25"/>
  <c r="E603" i="25"/>
  <c r="M604" i="25" l="1"/>
  <c r="N604" i="25"/>
  <c r="F604" i="25"/>
  <c r="G604" i="25"/>
  <c r="E604" i="25"/>
  <c r="B606" i="25"/>
  <c r="A607" i="25"/>
  <c r="J605" i="25"/>
  <c r="L605" i="25"/>
  <c r="D605" i="25"/>
  <c r="E605" i="25" s="1"/>
  <c r="H605" i="25"/>
  <c r="T605" i="25"/>
  <c r="U605" i="25"/>
  <c r="I605" i="25"/>
  <c r="O605" i="25"/>
  <c r="C605" i="25"/>
  <c r="J606" i="25" l="1"/>
  <c r="L606" i="25"/>
  <c r="H606" i="25"/>
  <c r="T606" i="25"/>
  <c r="U606" i="25"/>
  <c r="D606" i="25"/>
  <c r="I606" i="25"/>
  <c r="O606" i="25"/>
  <c r="C606" i="25"/>
  <c r="M605" i="25"/>
  <c r="N605" i="25"/>
  <c r="F605" i="25"/>
  <c r="G605" i="25"/>
  <c r="B607" i="25"/>
  <c r="A608" i="25"/>
  <c r="M606" i="25" l="1"/>
  <c r="N606" i="25"/>
  <c r="F606" i="25"/>
  <c r="J607" i="25"/>
  <c r="L607" i="25"/>
  <c r="U607" i="25"/>
  <c r="D607" i="25"/>
  <c r="F607" i="25" s="1"/>
  <c r="H607" i="25"/>
  <c r="T607" i="25"/>
  <c r="I607" i="25"/>
  <c r="O607" i="25"/>
  <c r="C607" i="25"/>
  <c r="B608" i="25"/>
  <c r="A609" i="25"/>
  <c r="G606" i="25"/>
  <c r="E606" i="25"/>
  <c r="G607" i="25" l="1"/>
  <c r="E607" i="25"/>
  <c r="B609" i="25"/>
  <c r="A610" i="25"/>
  <c r="L608" i="25"/>
  <c r="J608" i="25"/>
  <c r="D608" i="25"/>
  <c r="G608" i="25" s="1"/>
  <c r="H608" i="25"/>
  <c r="T608" i="25"/>
  <c r="U608" i="25"/>
  <c r="I608" i="25"/>
  <c r="O608" i="25"/>
  <c r="C608" i="25"/>
  <c r="M607" i="25"/>
  <c r="N607" i="25"/>
  <c r="E608" i="25" l="1"/>
  <c r="F608" i="25"/>
  <c r="A611" i="25"/>
  <c r="B610" i="25"/>
  <c r="L609" i="25"/>
  <c r="J609" i="25"/>
  <c r="H609" i="25"/>
  <c r="T609" i="25"/>
  <c r="U609" i="25"/>
  <c r="D609" i="25"/>
  <c r="I609" i="25"/>
  <c r="O609" i="25"/>
  <c r="C609" i="25"/>
  <c r="N608" i="25"/>
  <c r="M608" i="25"/>
  <c r="N609" i="25" l="1"/>
  <c r="M609" i="25"/>
  <c r="L610" i="25"/>
  <c r="J610" i="25"/>
  <c r="U610" i="25"/>
  <c r="D610" i="25"/>
  <c r="H610" i="25"/>
  <c r="T610" i="25"/>
  <c r="O610" i="25"/>
  <c r="I610" i="25"/>
  <c r="C610" i="25"/>
  <c r="G609" i="25"/>
  <c r="B611" i="25"/>
  <c r="A612" i="25"/>
  <c r="F609" i="25"/>
  <c r="E609" i="25"/>
  <c r="M610" i="25" l="1"/>
  <c r="N610" i="25"/>
  <c r="G610" i="25"/>
  <c r="E610" i="25"/>
  <c r="B612" i="25"/>
  <c r="A613" i="25"/>
  <c r="J611" i="25"/>
  <c r="L611" i="25"/>
  <c r="D611" i="25"/>
  <c r="E611" i="25" s="1"/>
  <c r="H611" i="25"/>
  <c r="T611" i="25"/>
  <c r="U611" i="25"/>
  <c r="O611" i="25"/>
  <c r="I611" i="25"/>
  <c r="C611" i="25"/>
  <c r="F610" i="25"/>
  <c r="G611" i="25" l="1"/>
  <c r="B613" i="25"/>
  <c r="A614" i="25"/>
  <c r="F611" i="25"/>
  <c r="J612" i="25"/>
  <c r="L612" i="25"/>
  <c r="H612" i="25"/>
  <c r="T612" i="25"/>
  <c r="U612" i="25"/>
  <c r="D612" i="25"/>
  <c r="O612" i="25"/>
  <c r="I612" i="25"/>
  <c r="C612" i="25"/>
  <c r="M611" i="25"/>
  <c r="N611" i="25"/>
  <c r="M612" i="25" l="1"/>
  <c r="N612" i="25"/>
  <c r="G612" i="25"/>
  <c r="B614" i="25"/>
  <c r="A615" i="25"/>
  <c r="E612" i="25"/>
  <c r="J613" i="25"/>
  <c r="L613" i="25"/>
  <c r="U613" i="25"/>
  <c r="D613" i="25"/>
  <c r="G613" i="25" s="1"/>
  <c r="T613" i="25"/>
  <c r="H613" i="25"/>
  <c r="O613" i="25"/>
  <c r="I613" i="25"/>
  <c r="C613" i="25"/>
  <c r="F612" i="25"/>
  <c r="M613" i="25" l="1"/>
  <c r="N613" i="25"/>
  <c r="L614" i="25"/>
  <c r="J614" i="25"/>
  <c r="D614" i="25"/>
  <c r="H614" i="25"/>
  <c r="T614" i="25"/>
  <c r="U614" i="25"/>
  <c r="I614" i="25"/>
  <c r="O614" i="25"/>
  <c r="C614" i="25"/>
  <c r="F613" i="25"/>
  <c r="B615" i="25"/>
  <c r="A616" i="25"/>
  <c r="E613" i="25"/>
  <c r="N614" i="25" l="1"/>
  <c r="M614" i="25"/>
  <c r="L615" i="25"/>
  <c r="J615" i="25"/>
  <c r="H615" i="25"/>
  <c r="T615" i="25"/>
  <c r="U615" i="25"/>
  <c r="D615" i="25"/>
  <c r="E615" i="25" s="1"/>
  <c r="I615" i="25"/>
  <c r="O615" i="25"/>
  <c r="C615" i="25"/>
  <c r="E614" i="25"/>
  <c r="G614" i="25"/>
  <c r="A617" i="25"/>
  <c r="B616" i="25"/>
  <c r="F614" i="25"/>
  <c r="L616" i="25" l="1"/>
  <c r="J616" i="25"/>
  <c r="U616" i="25"/>
  <c r="D616" i="25"/>
  <c r="H616" i="25"/>
  <c r="T616" i="25"/>
  <c r="I616" i="25"/>
  <c r="O616" i="25"/>
  <c r="C616" i="25"/>
  <c r="F615" i="25"/>
  <c r="B617" i="25"/>
  <c r="A618" i="25"/>
  <c r="N615" i="25"/>
  <c r="M615" i="25"/>
  <c r="G615" i="25"/>
  <c r="M616" i="25" l="1"/>
  <c r="N616" i="25"/>
  <c r="G616" i="25"/>
  <c r="F616" i="25"/>
  <c r="B618" i="25"/>
  <c r="A619" i="25"/>
  <c r="E616" i="25"/>
  <c r="J617" i="25"/>
  <c r="L617" i="25"/>
  <c r="D617" i="25"/>
  <c r="H617" i="25"/>
  <c r="T617" i="25"/>
  <c r="U617" i="25"/>
  <c r="I617" i="25"/>
  <c r="O617" i="25"/>
  <c r="C617" i="25"/>
  <c r="B619" i="25" l="1"/>
  <c r="A620" i="25"/>
  <c r="M617" i="25"/>
  <c r="N617" i="25"/>
  <c r="F617" i="25"/>
  <c r="J618" i="25"/>
  <c r="L618" i="25"/>
  <c r="H618" i="25"/>
  <c r="T618" i="25"/>
  <c r="U618" i="25"/>
  <c r="D618" i="25"/>
  <c r="I618" i="25"/>
  <c r="O618" i="25"/>
  <c r="C618" i="25"/>
  <c r="E617" i="25"/>
  <c r="G617" i="25"/>
  <c r="M618" i="25" l="1"/>
  <c r="N618" i="25"/>
  <c r="E618" i="25"/>
  <c r="G618" i="25"/>
  <c r="F618" i="25"/>
  <c r="B620" i="25"/>
  <c r="A621" i="25"/>
  <c r="J619" i="25"/>
  <c r="L619" i="25"/>
  <c r="U619" i="25"/>
  <c r="D619" i="25"/>
  <c r="E619" i="25" s="1"/>
  <c r="H619" i="25"/>
  <c r="T619" i="25"/>
  <c r="O619" i="25"/>
  <c r="I619" i="25"/>
  <c r="C619" i="25"/>
  <c r="L620" i="25" l="1"/>
  <c r="J620" i="25"/>
  <c r="D620" i="25"/>
  <c r="E620" i="25" s="1"/>
  <c r="H620" i="25"/>
  <c r="T620" i="25"/>
  <c r="U620" i="25"/>
  <c r="I620" i="25"/>
  <c r="O620" i="25"/>
  <c r="C620" i="25"/>
  <c r="G619" i="25"/>
  <c r="M619" i="25"/>
  <c r="N619" i="25"/>
  <c r="F619" i="25"/>
  <c r="B621" i="25"/>
  <c r="A622" i="25"/>
  <c r="A623" i="25" l="1"/>
  <c r="B622" i="25"/>
  <c r="F620" i="25"/>
  <c r="N620" i="25"/>
  <c r="M620" i="25"/>
  <c r="L621" i="25"/>
  <c r="J621" i="25"/>
  <c r="H621" i="25"/>
  <c r="T621" i="25"/>
  <c r="U621" i="25"/>
  <c r="D621" i="25"/>
  <c r="I621" i="25"/>
  <c r="O621" i="25"/>
  <c r="C621" i="25"/>
  <c r="G620" i="25"/>
  <c r="N621" i="25" l="1"/>
  <c r="M621" i="25"/>
  <c r="G621" i="25"/>
  <c r="E621" i="25"/>
  <c r="F621" i="25"/>
  <c r="L622" i="25"/>
  <c r="J622" i="25"/>
  <c r="U622" i="25"/>
  <c r="D622" i="25"/>
  <c r="E622" i="25" s="1"/>
  <c r="T622" i="25"/>
  <c r="H622" i="25"/>
  <c r="I622" i="25"/>
  <c r="O622" i="25"/>
  <c r="C622" i="25"/>
  <c r="B623" i="25"/>
  <c r="A624" i="25"/>
  <c r="J623" i="25" l="1"/>
  <c r="L623" i="25"/>
  <c r="D623" i="25"/>
  <c r="F623" i="25" s="1"/>
  <c r="H623" i="25"/>
  <c r="T623" i="25"/>
  <c r="U623" i="25"/>
  <c r="I623" i="25"/>
  <c r="O623" i="25"/>
  <c r="C623" i="25"/>
  <c r="G622" i="25"/>
  <c r="M622" i="25"/>
  <c r="N622" i="25"/>
  <c r="F622" i="25"/>
  <c r="B624" i="25"/>
  <c r="A625" i="25"/>
  <c r="B625" i="25" l="1"/>
  <c r="A626" i="25"/>
  <c r="E623" i="25"/>
  <c r="J624" i="25"/>
  <c r="L624" i="25"/>
  <c r="H624" i="25"/>
  <c r="T624" i="25"/>
  <c r="U624" i="25"/>
  <c r="D624" i="25"/>
  <c r="E624" i="25" s="1"/>
  <c r="I624" i="25"/>
  <c r="O624" i="25"/>
  <c r="C624" i="25"/>
  <c r="M623" i="25"/>
  <c r="N623" i="25"/>
  <c r="G623" i="25"/>
  <c r="M624" i="25" l="1"/>
  <c r="N624" i="25"/>
  <c r="B626" i="25"/>
  <c r="A627" i="25"/>
  <c r="G624" i="25"/>
  <c r="F624" i="25"/>
  <c r="J625" i="25"/>
  <c r="L625" i="25"/>
  <c r="U625" i="25"/>
  <c r="D625" i="25"/>
  <c r="H625" i="25"/>
  <c r="T625" i="25"/>
  <c r="I625" i="25"/>
  <c r="O625" i="25"/>
  <c r="C625" i="25"/>
  <c r="M625" i="25" l="1"/>
  <c r="N625" i="25"/>
  <c r="B627" i="25"/>
  <c r="A628" i="25"/>
  <c r="E625" i="25"/>
  <c r="F625" i="25"/>
  <c r="L626" i="25"/>
  <c r="J626" i="25"/>
  <c r="D626" i="25"/>
  <c r="G626" i="25" s="1"/>
  <c r="H626" i="25"/>
  <c r="T626" i="25"/>
  <c r="U626" i="25"/>
  <c r="I626" i="25"/>
  <c r="O626" i="25"/>
  <c r="C626" i="25"/>
  <c r="G625" i="25"/>
  <c r="E626" i="25" l="1"/>
  <c r="F626" i="25"/>
  <c r="A629" i="25"/>
  <c r="B628" i="25"/>
  <c r="N626" i="25"/>
  <c r="M626" i="25"/>
  <c r="L627" i="25"/>
  <c r="J627" i="25"/>
  <c r="H627" i="25"/>
  <c r="T627" i="25"/>
  <c r="U627" i="25"/>
  <c r="D627" i="25"/>
  <c r="I627" i="25"/>
  <c r="O627" i="25"/>
  <c r="C627" i="25"/>
  <c r="N627" i="25" l="1"/>
  <c r="M627" i="25"/>
  <c r="G627" i="25"/>
  <c r="E627" i="25"/>
  <c r="L628" i="25"/>
  <c r="J628" i="25"/>
  <c r="U628" i="25"/>
  <c r="D628" i="25"/>
  <c r="G628" i="25" s="1"/>
  <c r="H628" i="25"/>
  <c r="T628" i="25"/>
  <c r="I628" i="25"/>
  <c r="O628" i="25"/>
  <c r="C628" i="25"/>
  <c r="F627" i="25"/>
  <c r="B629" i="25"/>
  <c r="A630" i="25"/>
  <c r="M628" i="25" l="1"/>
  <c r="N628" i="25"/>
  <c r="J629" i="25"/>
  <c r="L629" i="25"/>
  <c r="D629" i="25"/>
  <c r="T629" i="25"/>
  <c r="U629" i="25"/>
  <c r="I629" i="25"/>
  <c r="O629" i="25"/>
  <c r="H629" i="25"/>
  <c r="C629" i="25"/>
  <c r="E628" i="25"/>
  <c r="B630" i="25"/>
  <c r="A631" i="25"/>
  <c r="F628" i="25"/>
  <c r="M629" i="25" l="1"/>
  <c r="N629" i="25"/>
  <c r="J630" i="25"/>
  <c r="L630" i="25"/>
  <c r="T630" i="25"/>
  <c r="U630" i="25"/>
  <c r="D630" i="25"/>
  <c r="F630" i="25" s="1"/>
  <c r="H630" i="25"/>
  <c r="I630" i="25"/>
  <c r="O630" i="25"/>
  <c r="C630" i="25"/>
  <c r="E629" i="25"/>
  <c r="B631" i="25"/>
  <c r="A632" i="25"/>
  <c r="G629" i="25"/>
  <c r="F629" i="25"/>
  <c r="J631" i="25" l="1"/>
  <c r="L631" i="25"/>
  <c r="D631" i="25"/>
  <c r="G631" i="25" s="1"/>
  <c r="T631" i="25"/>
  <c r="U631" i="25"/>
  <c r="I631" i="25"/>
  <c r="O631" i="25"/>
  <c r="H631" i="25"/>
  <c r="C631" i="25"/>
  <c r="E630" i="25"/>
  <c r="G630" i="25"/>
  <c r="B632" i="25"/>
  <c r="A633" i="25"/>
  <c r="M630" i="25"/>
  <c r="N630" i="25"/>
  <c r="B633" i="25" l="1"/>
  <c r="A634" i="25"/>
  <c r="M631" i="25"/>
  <c r="N631" i="25"/>
  <c r="E631" i="25"/>
  <c r="L632" i="25"/>
  <c r="J632" i="25"/>
  <c r="T632" i="25"/>
  <c r="U632" i="25"/>
  <c r="D632" i="25"/>
  <c r="E632" i="25" s="1"/>
  <c r="I632" i="25"/>
  <c r="H632" i="25"/>
  <c r="C632" i="25"/>
  <c r="O632" i="25"/>
  <c r="F631" i="25"/>
  <c r="N632" i="25" l="1"/>
  <c r="M632" i="25"/>
  <c r="F632" i="25"/>
  <c r="G632" i="25"/>
  <c r="A635" i="25"/>
  <c r="B634" i="25"/>
  <c r="L633" i="25"/>
  <c r="J633" i="25"/>
  <c r="D633" i="25"/>
  <c r="F633" i="25" s="1"/>
  <c r="H633" i="25"/>
  <c r="T633" i="25"/>
  <c r="U633" i="25"/>
  <c r="O633" i="25"/>
  <c r="I633" i="25"/>
  <c r="C633" i="25"/>
  <c r="G633" i="25" l="1"/>
  <c r="L634" i="25"/>
  <c r="J634" i="25"/>
  <c r="D634" i="25"/>
  <c r="F634" i="25" s="1"/>
  <c r="T634" i="25"/>
  <c r="U634" i="25"/>
  <c r="I634" i="25"/>
  <c r="H634" i="25"/>
  <c r="O634" i="25"/>
  <c r="C634" i="25"/>
  <c r="B635" i="25"/>
  <c r="A636" i="25"/>
  <c r="N633" i="25"/>
  <c r="M633" i="25"/>
  <c r="E633" i="25"/>
  <c r="M634" i="25" l="1"/>
  <c r="N634" i="25"/>
  <c r="B636" i="25"/>
  <c r="A637" i="25"/>
  <c r="E634" i="25"/>
  <c r="J635" i="25"/>
  <c r="L635" i="25"/>
  <c r="U635" i="25"/>
  <c r="D635" i="25"/>
  <c r="F635" i="25" s="1"/>
  <c r="H635" i="25"/>
  <c r="T635" i="25"/>
  <c r="I635" i="25"/>
  <c r="O635" i="25"/>
  <c r="C635" i="25"/>
  <c r="G634" i="25"/>
  <c r="E635" i="25" l="1"/>
  <c r="B637" i="25"/>
  <c r="A638" i="25"/>
  <c r="M635" i="25"/>
  <c r="N635" i="25"/>
  <c r="J636" i="25"/>
  <c r="L636" i="25"/>
  <c r="D636" i="25"/>
  <c r="G636" i="25" s="1"/>
  <c r="T636" i="25"/>
  <c r="U636" i="25"/>
  <c r="I636" i="25"/>
  <c r="O636" i="25"/>
  <c r="H636" i="25"/>
  <c r="C636" i="25"/>
  <c r="G635" i="25"/>
  <c r="F636" i="25" l="1"/>
  <c r="E636" i="25"/>
  <c r="B638" i="25"/>
  <c r="A639" i="25"/>
  <c r="M636" i="25"/>
  <c r="N636" i="25"/>
  <c r="J637" i="25"/>
  <c r="L637" i="25"/>
  <c r="U637" i="25"/>
  <c r="T637" i="25"/>
  <c r="D637" i="25"/>
  <c r="F637" i="25" s="1"/>
  <c r="O637" i="25"/>
  <c r="I637" i="25"/>
  <c r="C637" i="25"/>
  <c r="H637" i="25"/>
  <c r="G637" i="25" l="1"/>
  <c r="E637" i="25"/>
  <c r="B639" i="25"/>
  <c r="A640" i="25"/>
  <c r="L638" i="25"/>
  <c r="J638" i="25"/>
  <c r="D638" i="25"/>
  <c r="F638" i="25" s="1"/>
  <c r="T638" i="25"/>
  <c r="U638" i="25"/>
  <c r="H638" i="25"/>
  <c r="I638" i="25"/>
  <c r="O638" i="25"/>
  <c r="C638" i="25"/>
  <c r="M637" i="25"/>
  <c r="N637" i="25"/>
  <c r="E638" i="25" l="1"/>
  <c r="A641" i="25"/>
  <c r="B640" i="25"/>
  <c r="G638" i="25"/>
  <c r="L639" i="25"/>
  <c r="J639" i="25"/>
  <c r="U639" i="25"/>
  <c r="D639" i="25"/>
  <c r="G639" i="25" s="1"/>
  <c r="T639" i="25"/>
  <c r="I639" i="25"/>
  <c r="H639" i="25"/>
  <c r="C639" i="25"/>
  <c r="O639" i="25"/>
  <c r="N638" i="25"/>
  <c r="M638" i="25"/>
  <c r="F639" i="25" l="1"/>
  <c r="E639" i="25"/>
  <c r="L640" i="25"/>
  <c r="J640" i="25"/>
  <c r="D640" i="25"/>
  <c r="T640" i="25"/>
  <c r="U640" i="25"/>
  <c r="H640" i="25"/>
  <c r="I640" i="25"/>
  <c r="C640" i="25"/>
  <c r="O640" i="25"/>
  <c r="N639" i="25"/>
  <c r="M639" i="25"/>
  <c r="A642" i="25"/>
  <c r="B641" i="25"/>
  <c r="J641" i="25" l="1"/>
  <c r="L641" i="25"/>
  <c r="U641" i="25"/>
  <c r="D641" i="25"/>
  <c r="E641" i="25" s="1"/>
  <c r="T641" i="25"/>
  <c r="I641" i="25"/>
  <c r="H641" i="25"/>
  <c r="C641" i="25"/>
  <c r="O641" i="25"/>
  <c r="M640" i="25"/>
  <c r="N640" i="25"/>
  <c r="E640" i="25"/>
  <c r="B642" i="25"/>
  <c r="A643" i="25"/>
  <c r="G640" i="25"/>
  <c r="F640" i="25"/>
  <c r="B643" i="25" l="1"/>
  <c r="A644" i="25"/>
  <c r="J642" i="25"/>
  <c r="L642" i="25"/>
  <c r="D642" i="25"/>
  <c r="H642" i="25"/>
  <c r="T642" i="25"/>
  <c r="U642" i="25"/>
  <c r="I642" i="25"/>
  <c r="O642" i="25"/>
  <c r="C642" i="25"/>
  <c r="G641" i="25"/>
  <c r="M641" i="25"/>
  <c r="N641" i="25"/>
  <c r="F641" i="25"/>
  <c r="M642" i="25" l="1"/>
  <c r="N642" i="25"/>
  <c r="G642" i="25"/>
  <c r="A645" i="25"/>
  <c r="B644" i="25"/>
  <c r="E642" i="25"/>
  <c r="F642" i="25"/>
  <c r="J643" i="25"/>
  <c r="L643" i="25"/>
  <c r="T643" i="25"/>
  <c r="U643" i="25"/>
  <c r="D643" i="25"/>
  <c r="H643" i="25"/>
  <c r="I643" i="25"/>
  <c r="O643" i="25"/>
  <c r="C643" i="25"/>
  <c r="M643" i="25" l="1"/>
  <c r="N643" i="25"/>
  <c r="L644" i="25"/>
  <c r="J644" i="25"/>
  <c r="D644" i="25"/>
  <c r="T644" i="25"/>
  <c r="U644" i="25"/>
  <c r="H644" i="25"/>
  <c r="C644" i="25"/>
  <c r="I644" i="25"/>
  <c r="O644" i="25"/>
  <c r="E643" i="25"/>
  <c r="B645" i="25"/>
  <c r="A646" i="25"/>
  <c r="G643" i="25"/>
  <c r="F643" i="25"/>
  <c r="L645" i="25" l="1"/>
  <c r="J645" i="25"/>
  <c r="H645" i="25"/>
  <c r="T645" i="25"/>
  <c r="U645" i="25"/>
  <c r="D645" i="25"/>
  <c r="I645" i="25"/>
  <c r="O645" i="25"/>
  <c r="C645" i="25"/>
  <c r="A647" i="25"/>
  <c r="B646" i="25"/>
  <c r="N644" i="25"/>
  <c r="M644" i="25"/>
  <c r="F644" i="25"/>
  <c r="E644" i="25"/>
  <c r="G644" i="25"/>
  <c r="N645" i="25" l="1"/>
  <c r="M645" i="25"/>
  <c r="G645" i="25"/>
  <c r="F645" i="25"/>
  <c r="L646" i="25"/>
  <c r="J646" i="25"/>
  <c r="D646" i="25"/>
  <c r="G646" i="25" s="1"/>
  <c r="T646" i="25"/>
  <c r="U646" i="25"/>
  <c r="I646" i="25"/>
  <c r="H646" i="25"/>
  <c r="O646" i="25"/>
  <c r="C646" i="25"/>
  <c r="E645" i="25"/>
  <c r="A648" i="25"/>
  <c r="B647" i="25"/>
  <c r="J647" i="25" l="1"/>
  <c r="L647" i="25"/>
  <c r="D647" i="25"/>
  <c r="G647" i="25" s="1"/>
  <c r="H647" i="25"/>
  <c r="T647" i="25"/>
  <c r="U647" i="25"/>
  <c r="I647" i="25"/>
  <c r="O647" i="25"/>
  <c r="C647" i="25"/>
  <c r="B648" i="25"/>
  <c r="A649" i="25"/>
  <c r="F646" i="25"/>
  <c r="E646" i="25"/>
  <c r="M646" i="25"/>
  <c r="N646" i="25"/>
  <c r="M647" i="25" l="1"/>
  <c r="N647" i="25"/>
  <c r="F647" i="25"/>
  <c r="A650" i="25"/>
  <c r="B649" i="25"/>
  <c r="J648" i="25"/>
  <c r="L648" i="25"/>
  <c r="U648" i="25"/>
  <c r="T648" i="25"/>
  <c r="D648" i="25"/>
  <c r="O648" i="25"/>
  <c r="I648" i="25"/>
  <c r="H648" i="25"/>
  <c r="C648" i="25"/>
  <c r="E647" i="25"/>
  <c r="M648" i="25" l="1"/>
  <c r="N648" i="25"/>
  <c r="A651" i="25"/>
  <c r="B650" i="25"/>
  <c r="J649" i="25"/>
  <c r="L649" i="25"/>
  <c r="D649" i="25"/>
  <c r="E649" i="25" s="1"/>
  <c r="T649" i="25"/>
  <c r="U649" i="25"/>
  <c r="C649" i="25"/>
  <c r="O649" i="25"/>
  <c r="H649" i="25"/>
  <c r="I649" i="25"/>
  <c r="F648" i="25"/>
  <c r="E648" i="25"/>
  <c r="G648" i="25"/>
  <c r="L650" i="25" l="1"/>
  <c r="J650" i="25"/>
  <c r="U650" i="25"/>
  <c r="D650" i="25"/>
  <c r="T650" i="25"/>
  <c r="I650" i="25"/>
  <c r="O650" i="25"/>
  <c r="H650" i="25"/>
  <c r="C650" i="25"/>
  <c r="G649" i="25"/>
  <c r="B651" i="25"/>
  <c r="A652" i="25"/>
  <c r="F649" i="25"/>
  <c r="M649" i="25"/>
  <c r="N649" i="25"/>
  <c r="N650" i="25" l="1"/>
  <c r="M650" i="25"/>
  <c r="E650" i="25"/>
  <c r="A653" i="25"/>
  <c r="B652" i="25"/>
  <c r="F650" i="25"/>
  <c r="L651" i="25"/>
  <c r="J651" i="25"/>
  <c r="D651" i="25"/>
  <c r="F651" i="25" s="1"/>
  <c r="T651" i="25"/>
  <c r="U651" i="25"/>
  <c r="I651" i="25"/>
  <c r="H651" i="25"/>
  <c r="C651" i="25"/>
  <c r="O651" i="25"/>
  <c r="G650" i="25"/>
  <c r="G651" i="25" l="1"/>
  <c r="E651" i="25"/>
  <c r="L652" i="25"/>
  <c r="J652" i="25"/>
  <c r="U652" i="25"/>
  <c r="D652" i="25"/>
  <c r="T652" i="25"/>
  <c r="I652" i="25"/>
  <c r="H652" i="25"/>
  <c r="C652" i="25"/>
  <c r="O652" i="25"/>
  <c r="B653" i="25"/>
  <c r="A654" i="25"/>
  <c r="N651" i="25"/>
  <c r="M651" i="25"/>
  <c r="M652" i="25" l="1"/>
  <c r="N652" i="25"/>
  <c r="F652" i="25"/>
  <c r="B654" i="25"/>
  <c r="A655" i="25"/>
  <c r="J653" i="25"/>
  <c r="L653" i="25"/>
  <c r="D653" i="25"/>
  <c r="G653" i="25" s="1"/>
  <c r="T653" i="25"/>
  <c r="U653" i="25"/>
  <c r="I653" i="25"/>
  <c r="H653" i="25"/>
  <c r="O653" i="25"/>
  <c r="C653" i="25"/>
  <c r="G652" i="25"/>
  <c r="E652" i="25"/>
  <c r="A656" i="25" l="1"/>
  <c r="B655" i="25"/>
  <c r="F653" i="25"/>
  <c r="J654" i="25"/>
  <c r="L654" i="25"/>
  <c r="U654" i="25"/>
  <c r="T654" i="25"/>
  <c r="D654" i="25"/>
  <c r="G654" i="25" s="1"/>
  <c r="I654" i="25"/>
  <c r="C654" i="25"/>
  <c r="H654" i="25"/>
  <c r="O654" i="25"/>
  <c r="E653" i="25"/>
  <c r="M653" i="25"/>
  <c r="N653" i="25"/>
  <c r="F654" i="25" l="1"/>
  <c r="J655" i="25"/>
  <c r="L655" i="25"/>
  <c r="D655" i="25"/>
  <c r="E655" i="25" s="1"/>
  <c r="T655" i="25"/>
  <c r="U655" i="25"/>
  <c r="I655" i="25"/>
  <c r="O655" i="25"/>
  <c r="H655" i="25"/>
  <c r="C655" i="25"/>
  <c r="M654" i="25"/>
  <c r="N654" i="25"/>
  <c r="E654" i="25"/>
  <c r="B656" i="25"/>
  <c r="A657" i="25"/>
  <c r="B657" i="25" l="1"/>
  <c r="A658" i="25"/>
  <c r="M655" i="25"/>
  <c r="N655" i="25"/>
  <c r="L656" i="25"/>
  <c r="J656" i="25"/>
  <c r="U656" i="25"/>
  <c r="D656" i="25"/>
  <c r="E656" i="25" s="1"/>
  <c r="T656" i="25"/>
  <c r="I656" i="25"/>
  <c r="C656" i="25"/>
  <c r="O656" i="25"/>
  <c r="H656" i="25"/>
  <c r="F655" i="25"/>
  <c r="G655" i="25"/>
  <c r="F656" i="25" l="1"/>
  <c r="N656" i="25"/>
  <c r="M656" i="25"/>
  <c r="B658" i="25"/>
  <c r="A659" i="25"/>
  <c r="G656" i="25"/>
  <c r="L657" i="25"/>
  <c r="J657" i="25"/>
  <c r="D657" i="25"/>
  <c r="E657" i="25" s="1"/>
  <c r="H657" i="25"/>
  <c r="T657" i="25"/>
  <c r="U657" i="25"/>
  <c r="I657" i="25"/>
  <c r="O657" i="25"/>
  <c r="C657" i="25"/>
  <c r="G657" i="25" l="1"/>
  <c r="A660" i="25"/>
  <c r="B659" i="25"/>
  <c r="L658" i="25"/>
  <c r="J658" i="25"/>
  <c r="T658" i="25"/>
  <c r="U658" i="25"/>
  <c r="D658" i="25"/>
  <c r="E658" i="25" s="1"/>
  <c r="O658" i="25"/>
  <c r="I658" i="25"/>
  <c r="H658" i="25"/>
  <c r="C658" i="25"/>
  <c r="N657" i="25"/>
  <c r="M657" i="25"/>
  <c r="F657" i="25"/>
  <c r="J659" i="25" l="1"/>
  <c r="L659" i="25"/>
  <c r="D659" i="25"/>
  <c r="F659" i="25" s="1"/>
  <c r="H659" i="25"/>
  <c r="U659" i="25"/>
  <c r="T659" i="25"/>
  <c r="I659" i="25"/>
  <c r="O659" i="25"/>
  <c r="C659" i="25"/>
  <c r="M658" i="25"/>
  <c r="N658" i="25"/>
  <c r="B660" i="25"/>
  <c r="A661" i="25"/>
  <c r="F658" i="25"/>
  <c r="G658" i="25"/>
  <c r="G659" i="25" l="1"/>
  <c r="M659" i="25"/>
  <c r="N659" i="25"/>
  <c r="E659" i="25"/>
  <c r="B661" i="25"/>
  <c r="A662" i="25"/>
  <c r="J660" i="25"/>
  <c r="L660" i="25"/>
  <c r="D660" i="25"/>
  <c r="G660" i="25" s="1"/>
  <c r="T660" i="25"/>
  <c r="U660" i="25"/>
  <c r="I660" i="25"/>
  <c r="O660" i="25"/>
  <c r="H660" i="25"/>
  <c r="C660" i="25"/>
  <c r="E660" i="25" l="1"/>
  <c r="J661" i="25"/>
  <c r="L661" i="25"/>
  <c r="D661" i="25"/>
  <c r="F661" i="25" s="1"/>
  <c r="T661" i="25"/>
  <c r="U661" i="25"/>
  <c r="I661" i="25"/>
  <c r="O661" i="25"/>
  <c r="C661" i="25"/>
  <c r="H661" i="25"/>
  <c r="F660" i="25"/>
  <c r="B662" i="25"/>
  <c r="A663" i="25"/>
  <c r="M660" i="25"/>
  <c r="N660" i="25"/>
  <c r="E661" i="25" l="1"/>
  <c r="G661" i="25"/>
  <c r="B663" i="25"/>
  <c r="A664" i="25"/>
  <c r="M661" i="25"/>
  <c r="N661" i="25"/>
  <c r="L662" i="25"/>
  <c r="J662" i="25"/>
  <c r="D662" i="25"/>
  <c r="E662" i="25" s="1"/>
  <c r="T662" i="25"/>
  <c r="U662" i="25"/>
  <c r="I662" i="25"/>
  <c r="H662" i="25"/>
  <c r="O662" i="25"/>
  <c r="C662" i="25"/>
  <c r="F662" i="25" l="1"/>
  <c r="G662" i="25"/>
  <c r="B664" i="25"/>
  <c r="A665" i="25"/>
  <c r="N662" i="25"/>
  <c r="M662" i="25"/>
  <c r="L663" i="25"/>
  <c r="J663" i="25"/>
  <c r="D663" i="25"/>
  <c r="G663" i="25" s="1"/>
  <c r="T663" i="25"/>
  <c r="U663" i="25"/>
  <c r="I663" i="25"/>
  <c r="H663" i="25"/>
  <c r="O663" i="25"/>
  <c r="C663" i="25"/>
  <c r="F663" i="25" l="1"/>
  <c r="E663" i="25"/>
  <c r="A666" i="25"/>
  <c r="B665" i="25"/>
  <c r="N663" i="25"/>
  <c r="M663" i="25"/>
  <c r="L664" i="25"/>
  <c r="J664" i="25"/>
  <c r="D664" i="25"/>
  <c r="G664" i="25" s="1"/>
  <c r="T664" i="25"/>
  <c r="U664" i="25"/>
  <c r="I664" i="25"/>
  <c r="O664" i="25"/>
  <c r="C664" i="25"/>
  <c r="H664" i="25"/>
  <c r="M664" i="25" l="1"/>
  <c r="N664" i="25"/>
  <c r="A667" i="25"/>
  <c r="B666" i="25"/>
  <c r="E664" i="25"/>
  <c r="F664" i="25"/>
  <c r="J665" i="25"/>
  <c r="L665" i="25"/>
  <c r="D665" i="25"/>
  <c r="E665" i="25" s="1"/>
  <c r="U665" i="25"/>
  <c r="T665" i="25"/>
  <c r="I665" i="25"/>
  <c r="O665" i="25"/>
  <c r="C665" i="25"/>
  <c r="H665" i="25"/>
  <c r="J666" i="25" l="1"/>
  <c r="L666" i="25"/>
  <c r="D666" i="25"/>
  <c r="F666" i="25" s="1"/>
  <c r="T666" i="25"/>
  <c r="U666" i="25"/>
  <c r="I666" i="25"/>
  <c r="H666" i="25"/>
  <c r="C666" i="25"/>
  <c r="O666" i="25"/>
  <c r="M665" i="25"/>
  <c r="N665" i="25"/>
  <c r="A668" i="25"/>
  <c r="B667" i="25"/>
  <c r="F665" i="25"/>
  <c r="G665" i="25"/>
  <c r="B668" i="25" l="1"/>
  <c r="D669" i="25" s="1"/>
  <c r="A669" i="25"/>
  <c r="U669" i="25" s="1"/>
  <c r="E666" i="25"/>
  <c r="J667" i="25"/>
  <c r="L667" i="25"/>
  <c r="D667" i="25"/>
  <c r="E667" i="25" s="1"/>
  <c r="T667" i="25"/>
  <c r="U667" i="25"/>
  <c r="I667" i="25"/>
  <c r="O667" i="25"/>
  <c r="H667" i="25"/>
  <c r="C667" i="25"/>
  <c r="M666" i="25"/>
  <c r="N666" i="25"/>
  <c r="G666" i="25"/>
  <c r="L668" i="25"/>
  <c r="J668" i="25"/>
  <c r="D668" i="25"/>
  <c r="F668" i="25" s="1"/>
  <c r="T668" i="25"/>
  <c r="U668" i="25"/>
  <c r="I668" i="25"/>
  <c r="O668" i="25"/>
  <c r="C668" i="25"/>
  <c r="H668" i="25"/>
  <c r="N669" i="25" l="1"/>
  <c r="M669" i="25"/>
  <c r="M667" i="25"/>
  <c r="N667" i="25"/>
  <c r="G667" i="25"/>
  <c r="G668" i="25"/>
  <c r="E668" i="25"/>
  <c r="N668" i="25"/>
  <c r="M668" i="25"/>
  <c r="F667" i="2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1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2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E1" authorId="0" shapeId="0" xr:uid="{00000000-0006-0000-05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7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W1" authorId="0" shapeId="0" xr:uid="{00000000-0006-0000-0C00-000001000000}">
      <text>
        <r>
          <rPr>
            <b/>
            <sz val="9"/>
            <color indexed="81"/>
            <rFont val="Tahoma"/>
            <family val="2"/>
          </rPr>
          <t>ejup: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기본값</t>
        </r>
        <r>
          <rPr>
            <sz val="9"/>
            <color indexed="81"/>
            <rFont val="Tahoma"/>
            <family val="2"/>
          </rPr>
          <t xml:space="preserve"> : 3
3 * 20 * 0.1 = 6</t>
        </r>
      </text>
    </comment>
  </commentList>
</comments>
</file>

<file path=xl/sharedStrings.xml><?xml version="1.0" encoding="utf-8"?>
<sst xmlns="http://schemas.openxmlformats.org/spreadsheetml/2006/main" count="2985" uniqueCount="792">
  <si>
    <t>type</t>
  </si>
  <si>
    <t>int</t>
  </si>
  <si>
    <t>all</t>
    <phoneticPr fontId="2" type="noConversion"/>
  </si>
  <si>
    <t>string</t>
    <phoneticPr fontId="2" type="noConversion"/>
  </si>
  <si>
    <t>value</t>
  </si>
  <si>
    <t>number</t>
  </si>
  <si>
    <t>desc1</t>
  </si>
  <si>
    <t>desc2</t>
  </si>
  <si>
    <t>desc3</t>
  </si>
  <si>
    <t>is_string</t>
  </si>
  <si>
    <t>int</t>
    <phoneticPr fontId="2" type="noConversion"/>
  </si>
  <si>
    <t>value</t>
    <phoneticPr fontId="2" type="noConversion"/>
  </si>
  <si>
    <t>Desc</t>
    <phoneticPr fontId="2" type="noConversion"/>
  </si>
  <si>
    <t>maxItemCount</t>
    <phoneticPr fontId="2" type="noConversion"/>
  </si>
  <si>
    <t>test01</t>
    <phoneticPr fontId="2" type="noConversion"/>
  </si>
  <si>
    <t>maxGold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</si>
  <si>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</si>
  <si>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</si>
  <si>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</si>
  <si>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testName</t>
    <phoneticPr fontId="2" type="noConversion"/>
  </si>
  <si>
    <t>item_status</t>
    <phoneticPr fontId="2" type="noConversion"/>
  </si>
  <si>
    <t>Boxed</t>
    <phoneticPr fontId="2" type="noConversion"/>
  </si>
  <si>
    <t>SpiderWeb</t>
    <phoneticPr fontId="2" type="noConversion"/>
  </si>
  <si>
    <t>none</t>
    <phoneticPr fontId="2" type="noConversion"/>
  </si>
  <si>
    <t>없음</t>
    <phoneticPr fontId="2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</si>
  <si>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2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</si>
  <si>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2" type="noConversion"/>
  </si>
  <si>
    <t>Id</t>
    <phoneticPr fontId="2" type="noConversion"/>
  </si>
  <si>
    <r>
      <t>s</t>
    </r>
    <r>
      <rPr>
        <sz val="11"/>
        <rFont val="Calibri"/>
        <family val="2"/>
      </rPr>
      <t>lot_anim_type</t>
    </r>
    <phoneticPr fontId="2" type="noConversion"/>
  </si>
  <si>
    <t>Active</t>
    <phoneticPr fontId="2" type="noConversion"/>
  </si>
  <si>
    <t>UnActive</t>
    <phoneticPr fontId="2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</si>
  <si>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</si>
  <si>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</si>
  <si>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t>Building</t>
    <phoneticPr fontId="2" type="noConversion"/>
  </si>
  <si>
    <t>Character</t>
    <phoneticPr fontId="2" type="noConversion"/>
  </si>
  <si>
    <t>빌딩</t>
    <phoneticPr fontId="2" type="noConversion"/>
  </si>
  <si>
    <t>캐릭터</t>
    <phoneticPr fontId="2" type="noConversion"/>
  </si>
  <si>
    <t>obj_Type</t>
    <phoneticPr fontId="2" type="noConversion"/>
  </si>
  <si>
    <t>tanker</t>
    <phoneticPr fontId="2" type="noConversion"/>
  </si>
  <si>
    <t>archer</t>
    <phoneticPr fontId="2" type="noConversion"/>
  </si>
  <si>
    <t>탱커</t>
    <phoneticPr fontId="2" type="noConversion"/>
  </si>
  <si>
    <t>궁수</t>
    <phoneticPr fontId="2" type="noConversion"/>
  </si>
  <si>
    <t>Id</t>
  </si>
  <si>
    <t>checkRange</t>
  </si>
  <si>
    <t>aggroOrder</t>
  </si>
  <si>
    <t>defaultGrade</t>
  </si>
  <si>
    <t>thumbnailPath</t>
  </si>
  <si>
    <t>prefabName</t>
  </si>
  <si>
    <t>string</t>
    <phoneticPr fontId="2" type="noConversion"/>
  </si>
  <si>
    <t>maxGrade</t>
    <phoneticPr fontId="2" type="noConversion"/>
  </si>
  <si>
    <t>unitId</t>
    <phoneticPr fontId="2" type="noConversion"/>
  </si>
  <si>
    <t>Grade</t>
  </si>
  <si>
    <t>hp</t>
  </si>
  <si>
    <t>attackDmg</t>
  </si>
  <si>
    <t>attackCount</t>
  </si>
  <si>
    <t>unit_type</t>
    <phoneticPr fontId="2" type="noConversion"/>
  </si>
  <si>
    <t>attackLongDelay</t>
    <phoneticPr fontId="2" type="noConversion"/>
  </si>
  <si>
    <t>splashDmg</t>
    <phoneticPr fontId="2" type="noConversion"/>
  </si>
  <si>
    <t>multiAttackCount</t>
    <phoneticPr fontId="2" type="noConversion"/>
  </si>
  <si>
    <t>splashRange</t>
    <phoneticPr fontId="2" type="noConversion"/>
  </si>
  <si>
    <t>projectileId</t>
    <phoneticPr fontId="2" type="noConversion"/>
  </si>
  <si>
    <t>boomEffectPrefab</t>
    <phoneticPr fontId="2" type="noConversion"/>
  </si>
  <si>
    <t>item_type</t>
    <phoneticPr fontId="2" type="noConversion"/>
  </si>
  <si>
    <t>soul</t>
    <phoneticPr fontId="2" type="noConversion"/>
  </si>
  <si>
    <r>
      <rPr>
        <sz val="11"/>
        <rFont val="돋움"/>
        <family val="3"/>
        <charset val="129"/>
      </rPr>
      <t>영혼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아이템</t>
    </r>
    <r>
      <rPr>
        <sz val="11"/>
        <rFont val="Calibri"/>
        <family val="2"/>
      </rPr>
      <t xml:space="preserve"> (</t>
    </r>
    <r>
      <rPr>
        <sz val="11"/>
        <rFont val="돋움"/>
        <family val="3"/>
        <charset val="129"/>
      </rPr>
      <t>재화</t>
    </r>
    <r>
      <rPr>
        <sz val="11"/>
        <rFont val="Calibri"/>
        <family val="2"/>
      </rPr>
      <t>)</t>
    </r>
    <phoneticPr fontId="2" type="noConversion"/>
  </si>
  <si>
    <t>rewardType</t>
    <phoneticPr fontId="2" type="noConversion"/>
  </si>
  <si>
    <t>rewardCount</t>
    <phoneticPr fontId="2" type="noConversion"/>
  </si>
  <si>
    <t>order</t>
    <phoneticPr fontId="2" type="noConversion"/>
  </si>
  <si>
    <t>stageName</t>
    <phoneticPr fontId="2" type="noConversion"/>
  </si>
  <si>
    <t>needCombatPower</t>
    <phoneticPr fontId="2" type="noConversion"/>
  </si>
  <si>
    <t>int</t>
    <phoneticPr fontId="2" type="noConversion"/>
  </si>
  <si>
    <t>string</t>
    <phoneticPr fontId="2" type="noConversion"/>
  </si>
  <si>
    <r>
      <t>s</t>
    </r>
    <r>
      <rPr>
        <sz val="11"/>
        <rFont val="Calibri"/>
        <family val="2"/>
      </rPr>
      <t>tage_01_name</t>
    </r>
    <phoneticPr fontId="2" type="noConversion"/>
  </si>
  <si>
    <r>
      <t>s</t>
    </r>
    <r>
      <rPr>
        <sz val="11"/>
        <rFont val="Calibri"/>
        <family val="2"/>
      </rPr>
      <t>tage_02_name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</si>
  <si>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</si>
  <si>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</si>
  <si>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tage_05_name</t>
    </r>
    <r>
      <rPr>
        <sz val="11"/>
        <color theme="1"/>
        <rFont val="맑은 고딕"/>
        <family val="2"/>
        <charset val="129"/>
        <scheme val="minor"/>
      </rPr>
      <t/>
    </r>
  </si>
  <si>
    <t>priorStageId</t>
    <phoneticPr fontId="2" type="noConversion"/>
  </si>
  <si>
    <t>all</t>
    <phoneticPr fontId="2" type="noConversion"/>
  </si>
  <si>
    <t>unitRarity</t>
    <phoneticPr fontId="2" type="noConversion"/>
  </si>
  <si>
    <t>unitName</t>
    <phoneticPr fontId="2" type="noConversion"/>
  </si>
  <si>
    <t>string</t>
    <phoneticPr fontId="2" type="noConversion"/>
  </si>
  <si>
    <t>all</t>
    <phoneticPr fontId="2" type="noConversion"/>
  </si>
  <si>
    <t>count</t>
    <phoneticPr fontId="2" type="noConversion"/>
  </si>
  <si>
    <t>weight</t>
    <phoneticPr fontId="2" type="noConversion"/>
  </si>
  <si>
    <t>knockback</t>
    <phoneticPr fontId="2" type="noConversion"/>
  </si>
  <si>
    <t>speed</t>
    <phoneticPr fontId="2" type="noConversion"/>
  </si>
  <si>
    <t>jp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</si>
  <si>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</si>
  <si>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</si>
  <si>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</si>
  <si>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</si>
  <si>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 xml:space="preserve"> 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</si>
  <si>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</si>
  <si>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</si>
  <si>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</si>
  <si>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q</t>
    <phoneticPr fontId="2" type="noConversion"/>
  </si>
  <si>
    <t>w</t>
    <phoneticPr fontId="2" type="noConversion"/>
  </si>
  <si>
    <t>e</t>
    <phoneticPr fontId="2" type="noConversion"/>
  </si>
  <si>
    <t>r</t>
    <phoneticPr fontId="2" type="noConversion"/>
  </si>
  <si>
    <t>ddd</t>
    <phoneticPr fontId="2" type="noConversion"/>
  </si>
  <si>
    <t>en</t>
    <phoneticPr fontId="2" type="noConversion"/>
  </si>
  <si>
    <t>ko</t>
    <phoneticPr fontId="2" type="noConversion"/>
  </si>
  <si>
    <t>language_type</t>
    <phoneticPr fontId="2" type="noConversion"/>
  </si>
  <si>
    <t>tw</t>
    <phoneticPr fontId="2" type="noConversion"/>
  </si>
  <si>
    <t>pt</t>
    <phoneticPr fontId="2" type="noConversion"/>
  </si>
  <si>
    <t>fr</t>
    <phoneticPr fontId="2" type="noConversion"/>
  </si>
  <si>
    <t>cn</t>
    <phoneticPr fontId="2" type="noConversion"/>
  </si>
  <si>
    <t>de</t>
    <phoneticPr fontId="2" type="noConversion"/>
  </si>
  <si>
    <t>ru</t>
    <phoneticPr fontId="2" type="noConversion"/>
  </si>
  <si>
    <r>
      <t xml:space="preserve">ios_3166-1 </t>
    </r>
    <r>
      <rPr>
        <sz val="11"/>
        <rFont val="Arial Unicode MS"/>
        <family val="2"/>
      </rPr>
      <t>언어코드</t>
    </r>
    <phoneticPr fontId="2" type="noConversion"/>
  </si>
  <si>
    <t>combatPower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</si>
  <si>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</si>
  <si>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</si>
  <si>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summonCnt</t>
    <phoneticPr fontId="2" type="noConversion"/>
  </si>
  <si>
    <t>upgradePieceCnt</t>
    <phoneticPr fontId="2" type="noConversion"/>
  </si>
  <si>
    <t>upgradeCostCnt</t>
    <phoneticPr fontId="2" type="noConversion"/>
  </si>
  <si>
    <t>stageClearTime</t>
    <phoneticPr fontId="2" type="noConversion"/>
  </si>
  <si>
    <t>rewardId</t>
    <phoneticPr fontId="2" type="noConversion"/>
  </si>
  <si>
    <t>exp</t>
    <phoneticPr fontId="2" type="noConversion"/>
  </si>
  <si>
    <t>경험치</t>
    <phoneticPr fontId="2" type="noConversion"/>
  </si>
  <si>
    <t>BoomEffect/Boom01.prefab</t>
    <phoneticPr fontId="2" type="noConversion"/>
  </si>
  <si>
    <t>splashEffectPrefab</t>
    <phoneticPr fontId="2" type="noConversion"/>
  </si>
  <si>
    <t>Stage/Stage001.prefab</t>
    <phoneticPr fontId="2" type="noConversion"/>
  </si>
  <si>
    <t>Stage/Stage002.prefab</t>
  </si>
  <si>
    <t>Stage/Stage003.prefab</t>
  </si>
  <si>
    <t>Stage/Stage004.prefab</t>
  </si>
  <si>
    <t>Stage/Stage005.prefab</t>
  </si>
  <si>
    <t>Stage/Stage006.prefab</t>
  </si>
  <si>
    <t>Stage/Stage007.prefab</t>
  </si>
  <si>
    <t>Stage/Stage008.prefab</t>
  </si>
  <si>
    <t>Stage/Stage009.prefab</t>
  </si>
  <si>
    <t>Stage/Stage010.prefab</t>
  </si>
  <si>
    <t>Stage/Stage011.prefab</t>
  </si>
  <si>
    <t>Stage/Stage012.prefab</t>
  </si>
  <si>
    <t>Stage/Stage013.prefab</t>
  </si>
  <si>
    <t>Stage/Stage014.prefab</t>
  </si>
  <si>
    <t>Stage/Stage015.prefab</t>
  </si>
  <si>
    <t>Stage/Stage016.prefab</t>
  </si>
  <si>
    <t>Stage/Stage017.prefab</t>
  </si>
  <si>
    <t>Stage/Stage018.prefab</t>
  </si>
  <si>
    <t>Stage/Stage019.prefab</t>
  </si>
  <si>
    <t>Stage/Stage020.prefab</t>
  </si>
  <si>
    <t>attackShortDelay</t>
    <phoneticPr fontId="2" type="noConversion"/>
  </si>
  <si>
    <t>walkSpeed</t>
    <phoneticPr fontId="2" type="noConversion"/>
  </si>
  <si>
    <t>attackRange</t>
    <phoneticPr fontId="2" type="noConversion"/>
  </si>
  <si>
    <t>Indian_Archer</t>
  </si>
  <si>
    <t>Indian_Shield</t>
  </si>
  <si>
    <t>Indian_Spear</t>
  </si>
  <si>
    <t>Indian_Sword</t>
  </si>
  <si>
    <t>Indian_Mask</t>
  </si>
  <si>
    <t>Indian_Bear</t>
  </si>
  <si>
    <t>Bear</t>
  </si>
  <si>
    <t>Indian_Master</t>
  </si>
  <si>
    <t>Corgi</t>
  </si>
  <si>
    <t>memo</t>
    <phoneticPr fontId="2" type="noConversion"/>
  </si>
  <si>
    <t>all</t>
    <phoneticPr fontId="2" type="noConversion"/>
  </si>
  <si>
    <t>memo2</t>
    <phoneticPr fontId="2" type="noConversion"/>
  </si>
  <si>
    <t>string</t>
    <phoneticPr fontId="2" type="noConversion"/>
  </si>
  <si>
    <t>string</t>
    <phoneticPr fontId="2" type="noConversion"/>
  </si>
  <si>
    <t>memo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</si>
  <si>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</si>
  <si>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all</t>
    <phoneticPr fontId="2" type="noConversion"/>
  </si>
  <si>
    <t>레어리티</t>
  </si>
  <si>
    <t>공격력</t>
  </si>
  <si>
    <t>체력</t>
  </si>
  <si>
    <t>포인트 1 당</t>
  </si>
  <si>
    <t>근거리</t>
  </si>
  <si>
    <t>원거리</t>
  </si>
  <si>
    <t>공속</t>
  </si>
  <si>
    <t>동시타격</t>
  </si>
  <si>
    <t>이동속도</t>
  </si>
  <si>
    <t>인식범위</t>
  </si>
  <si>
    <t>사거리</t>
  </si>
  <si>
    <t>스플뎀</t>
  </si>
  <si>
    <t>스플범위</t>
  </si>
  <si>
    <t>외형</t>
  </si>
  <si>
    <t>Indian_Horse_Sword</t>
  </si>
  <si>
    <t>Indian_Horse_Spear</t>
  </si>
  <si>
    <t>Indian_Horse_Archer</t>
  </si>
  <si>
    <t>Chicken_Black</t>
  </si>
  <si>
    <t>Chicken_White</t>
  </si>
  <si>
    <t>Indian_Elephant</t>
  </si>
  <si>
    <t>Indian_Egg</t>
  </si>
  <si>
    <t>Goblin_Stone</t>
  </si>
  <si>
    <t>Goblin_Club</t>
  </si>
  <si>
    <t>Goblin_Baby</t>
  </si>
  <si>
    <t>Orc_Stone</t>
  </si>
  <si>
    <t>Orc_Club</t>
  </si>
  <si>
    <t>Dragon</t>
  </si>
  <si>
    <t>Dragon_Fire</t>
  </si>
  <si>
    <t>item_type</t>
    <phoneticPr fontId="2" type="noConversion"/>
  </si>
  <si>
    <t>unit</t>
    <phoneticPr fontId="2" type="noConversion"/>
  </si>
  <si>
    <t>조각</t>
    <phoneticPr fontId="2" type="noConversion"/>
  </si>
  <si>
    <t>stageid</t>
  </si>
  <si>
    <t>스테이지 비용</t>
    <phoneticPr fontId="2" type="noConversion"/>
  </si>
  <si>
    <t>StageStartCost</t>
    <phoneticPr fontId="2" type="noConversion"/>
  </si>
  <si>
    <t>rarity_type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</si>
  <si>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</si>
  <si>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</si>
  <si>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</si>
  <si>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</si>
  <si>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rarity_type_common</t>
    <phoneticPr fontId="2" type="noConversion"/>
  </si>
  <si>
    <t>rarity_type_rare</t>
    <phoneticPr fontId="2" type="noConversion"/>
  </si>
  <si>
    <t>rarity_type_epic</t>
    <phoneticPr fontId="2" type="noConversion"/>
  </si>
  <si>
    <t>rarity_type_legendary</t>
    <phoneticPr fontId="2" type="noConversion"/>
  </si>
  <si>
    <t>일반</t>
    <phoneticPr fontId="2" type="noConversion"/>
  </si>
  <si>
    <t>레어</t>
    <phoneticPr fontId="2" type="noConversion"/>
  </si>
  <si>
    <t>에픽</t>
    <phoneticPr fontId="2" type="noConversion"/>
  </si>
  <si>
    <t>deathEffect</t>
    <phoneticPr fontId="2" type="noConversion"/>
  </si>
  <si>
    <t>Prefabs/Particle/Enemy_Die_Effect</t>
    <phoneticPr fontId="2" type="noConversion"/>
  </si>
  <si>
    <t>Indian_Flag_Alter</t>
  </si>
  <si>
    <t>Prefabs/Particle/Building_Destory_Effect_01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</si>
  <si>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</si>
  <si>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</si>
  <si>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</si>
  <si>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Indian_Archer_2</t>
  </si>
  <si>
    <t>Indian_Shield_2</t>
  </si>
  <si>
    <t>Indian_Spear_2</t>
  </si>
  <si>
    <t>Indian_Sword_2</t>
  </si>
  <si>
    <t>Indian_Mask_2</t>
  </si>
  <si>
    <t>Indian_Bear_2</t>
  </si>
  <si>
    <t>Bear_2</t>
  </si>
  <si>
    <t>Indian_Master_2</t>
  </si>
  <si>
    <t>Corgi_2</t>
  </si>
  <si>
    <t>Indian_Horse_Sword_2</t>
  </si>
  <si>
    <t>Indian_Horse_Spear_2</t>
  </si>
  <si>
    <t>Indian_Horse_Archer_2</t>
  </si>
  <si>
    <t>Chicken_Black_2</t>
  </si>
  <si>
    <t>Chicken_White_2</t>
  </si>
  <si>
    <t>Indian_Elephant_2</t>
  </si>
  <si>
    <t>Indian_Egg_2</t>
  </si>
  <si>
    <t>dropSoulCnt</t>
    <phoneticPr fontId="2" type="noConversion"/>
  </si>
  <si>
    <t>goldProductAmount</t>
  </si>
  <si>
    <t>goldProductTerm</t>
  </si>
  <si>
    <t>stage_wave</t>
    <phoneticPr fontId="2" type="noConversion"/>
  </si>
  <si>
    <t>Stage/StageWave.prefab</t>
    <phoneticPr fontId="2" type="noConversion"/>
  </si>
  <si>
    <t>time</t>
    <phoneticPr fontId="2" type="noConversion"/>
  </si>
  <si>
    <t>unitid</t>
    <phoneticPr fontId="2" type="noConversion"/>
  </si>
  <si>
    <t>unitCnt</t>
    <phoneticPr fontId="2" type="noConversion"/>
  </si>
  <si>
    <t>unitPowerRate</t>
    <phoneticPr fontId="2" type="noConversion"/>
  </si>
  <si>
    <t>StaminaChargeTime</t>
    <phoneticPr fontId="2" type="noConversion"/>
  </si>
  <si>
    <t>StaminaMaxCount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</si>
  <si>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충전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</si>
  <si>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최대값</t>
    </r>
    <phoneticPr fontId="2" type="noConversion"/>
  </si>
  <si>
    <t>Unit/Hero/20001_DevilCastle.prefab</t>
    <phoneticPr fontId="2" type="noConversion"/>
  </si>
  <si>
    <t>stageID</t>
    <phoneticPr fontId="2" type="noConversion"/>
  </si>
  <si>
    <t>StaminaDefaultCount</t>
    <phoneticPr fontId="2" type="noConversion"/>
  </si>
  <si>
    <t>int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</si>
  <si>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기본값</t>
    </r>
    <phoneticPr fontId="2" type="noConversion"/>
  </si>
  <si>
    <r>
      <rPr>
        <sz val="11"/>
        <rFont val="돋움"/>
        <family val="3"/>
        <charset val="129"/>
      </rPr>
      <t>기본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골드값</t>
    </r>
    <phoneticPr fontId="2" type="noConversion"/>
  </si>
  <si>
    <t>GoldDefault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</si>
  <si>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</si>
  <si>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delay</t>
    <phoneticPr fontId="2" type="noConversion"/>
  </si>
  <si>
    <r>
      <t>t</t>
    </r>
    <r>
      <rPr>
        <sz val="11"/>
        <rFont val="Calibri"/>
        <family val="2"/>
      </rPr>
      <t>uto_type</t>
    </r>
    <phoneticPr fontId="2" type="noConversion"/>
  </si>
  <si>
    <t>tutoType</t>
    <phoneticPr fontId="2" type="noConversion"/>
  </si>
  <si>
    <t>tuto_type</t>
    <phoneticPr fontId="2" type="noConversion"/>
  </si>
  <si>
    <t>value1</t>
    <phoneticPr fontId="2" type="noConversion"/>
  </si>
  <si>
    <t>LocalizeKey</t>
    <phoneticPr fontId="2" type="noConversion"/>
  </si>
  <si>
    <t>string</t>
    <phoneticPr fontId="2" type="noConversion"/>
  </si>
  <si>
    <r>
      <t>t</t>
    </r>
    <r>
      <rPr>
        <sz val="11"/>
        <rFont val="Calibri"/>
        <family val="2"/>
      </rPr>
      <t>uto_text_1</t>
    </r>
    <phoneticPr fontId="2" type="noConversion"/>
  </si>
  <si>
    <r>
      <t>t</t>
    </r>
    <r>
      <rPr>
        <sz val="11"/>
        <rFont val="Calibri"/>
        <family val="2"/>
      </rPr>
      <t>uto_text_2</t>
    </r>
    <r>
      <rPr>
        <sz val="11"/>
        <color theme="1"/>
        <rFont val="맑은 고딕"/>
        <family val="2"/>
        <charset val="129"/>
        <scheme val="minor"/>
      </rPr>
      <t/>
    </r>
  </si>
  <si>
    <r>
      <t>t</t>
    </r>
    <r>
      <rPr>
        <sz val="11"/>
        <rFont val="Calibri"/>
        <family val="2"/>
      </rPr>
      <t>uto_text_3</t>
    </r>
    <r>
      <rPr>
        <sz val="11"/>
        <color theme="1"/>
        <rFont val="맑은 고딕"/>
        <family val="2"/>
        <charset val="129"/>
        <scheme val="minor"/>
      </rPr>
      <t/>
    </r>
  </si>
  <si>
    <t>anim</t>
    <phoneticPr fontId="2" type="noConversion"/>
  </si>
  <si>
    <r>
      <rPr>
        <sz val="11"/>
        <rFont val="돋움"/>
        <family val="3"/>
        <charset val="129"/>
      </rPr>
      <t>건방진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인간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이대로는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용서할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없지</t>
    </r>
    <phoneticPr fontId="2" type="noConversion"/>
  </si>
  <si>
    <t>cameraStageMove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</si>
  <si>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>1</t>
    </r>
    <r>
      <rPr>
        <sz val="11"/>
        <rFont val="돋움"/>
        <family val="3"/>
        <charset val="129"/>
      </rPr>
      <t>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카메라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이동</t>
    </r>
    <phoneticPr fontId="2" type="noConversion"/>
  </si>
  <si>
    <t>needTouch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</si>
  <si>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</si>
  <si>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스타트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</si>
  <si>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패배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팝업에서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</si>
  <si>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이런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생각보다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강하군</t>
    </r>
    <r>
      <rPr>
        <sz val="11"/>
        <rFont val="Calibri"/>
        <family val="2"/>
      </rPr>
      <t xml:space="preserve">, </t>
    </r>
    <r>
      <rPr>
        <sz val="11"/>
        <rFont val="돋움"/>
        <family val="3"/>
        <charset val="129"/>
      </rPr>
      <t>새로운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필요하겠어</t>
    </r>
    <phoneticPr fontId="2" type="noConversion"/>
  </si>
  <si>
    <r>
      <rPr>
        <sz val="11"/>
        <rFont val="돋움"/>
        <family val="3"/>
        <charset val="129"/>
      </rPr>
      <t>첫번째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</si>
  <si>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t>1</t>
    </r>
    <r>
      <rPr>
        <sz val="11"/>
        <rFont val="돋움"/>
        <family val="3"/>
        <charset val="129"/>
      </rPr>
      <t>마리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소환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</si>
  <si>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두번째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</si>
  <si>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세번째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</si>
  <si>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이제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나의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강력한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힘을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보여줄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시간이군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으하하하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</si>
  <si>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 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</si>
  <si>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t>cutScene</t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</si>
  <si>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1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</si>
  <si>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2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</si>
  <si>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3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</si>
  <si>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4</t>
    </r>
    <phoneticPr fontId="2" type="noConversion"/>
  </si>
  <si>
    <t>string</t>
    <phoneticPr fontId="2" type="noConversion"/>
  </si>
  <si>
    <t>int</t>
    <phoneticPr fontId="2" type="noConversion"/>
  </si>
  <si>
    <t>DefaultUnit01</t>
    <phoneticPr fontId="2" type="noConversion"/>
  </si>
  <si>
    <t>기본보유/장착 유닛</t>
    <phoneticPr fontId="2" type="noConversion"/>
  </si>
  <si>
    <r>
      <rPr>
        <sz val="11"/>
        <rFont val="돋움"/>
        <family val="3"/>
        <charset val="129"/>
      </rPr>
      <t>보유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유닛</t>
    </r>
    <r>
      <rPr>
        <sz val="11"/>
        <rFont val="Calibri"/>
        <family val="2"/>
      </rPr>
      <t xml:space="preserve"> </t>
    </r>
    <r>
      <rPr>
        <sz val="11"/>
        <rFont val="Arial Unicode MS"/>
        <family val="2"/>
        <charset val="129"/>
      </rPr>
      <t>두</t>
    </r>
    <r>
      <rPr>
        <sz val="11"/>
        <rFont val="돋움"/>
        <family val="3"/>
        <charset val="129"/>
      </rPr>
      <t>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</si>
  <si>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t>유닛 장착 버튼 터치 하라고 함</t>
    <phoneticPr fontId="2" type="noConversion"/>
  </si>
  <si>
    <t>NonTarget</t>
    <phoneticPr fontId="2" type="noConversion"/>
  </si>
  <si>
    <t>LifeTime</t>
    <phoneticPr fontId="2" type="noConversion"/>
  </si>
  <si>
    <t>AfterHitLifeTime</t>
    <phoneticPr fontId="2" type="noConversion"/>
  </si>
  <si>
    <t>day</t>
    <phoneticPr fontId="2" type="noConversion"/>
  </si>
  <si>
    <r>
      <t>s</t>
    </r>
    <r>
      <rPr>
        <sz val="11"/>
        <rFont val="Calibri"/>
        <family val="2"/>
      </rPr>
      <t>tage_06_name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</si>
  <si>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</si>
  <si>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</si>
  <si>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</si>
  <si>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tage_10_name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</si>
  <si>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tage_11_name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</si>
  <si>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</si>
  <si>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</si>
  <si>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</si>
  <si>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tage_15_name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</si>
  <si>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</si>
  <si>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</si>
  <si>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</si>
  <si>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</si>
  <si>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tage_20_name</t>
    </r>
    <r>
      <rPr>
        <sz val="11"/>
        <color theme="1"/>
        <rFont val="맑은 고딕"/>
        <family val="2"/>
        <charset val="129"/>
        <scheme val="minor"/>
      </rPr>
      <t/>
    </r>
  </si>
  <si>
    <t>Projectile/1001_Indian_Archer_Bullet.prefab</t>
  </si>
  <si>
    <t>Projectile/1012_Indian_Horse_Archer_Bullet.prefab</t>
  </si>
  <si>
    <t>Projectile/1013_Chicken_Black_Bullet.prefab</t>
  </si>
  <si>
    <t>Projectile/1014_Chicken_White_Bullet.prefab</t>
  </si>
  <si>
    <t>Projectile/1016_Indian_Egg_Bullet.prefab</t>
  </si>
  <si>
    <t>level</t>
    <phoneticPr fontId="2" type="noConversion"/>
  </si>
  <si>
    <t>exp</t>
    <phoneticPr fontId="2" type="noConversion"/>
  </si>
  <si>
    <t>unlockSlot</t>
    <phoneticPr fontId="2" type="noConversion"/>
  </si>
  <si>
    <t>goldReward</t>
    <phoneticPr fontId="2" type="noConversion"/>
  </si>
  <si>
    <t>출석부 팝업 출력</t>
    <phoneticPr fontId="2" type="noConversion"/>
  </si>
  <si>
    <t>attendance</t>
    <phoneticPr fontId="2" type="noConversion"/>
  </si>
  <si>
    <t>dialouge</t>
    <phoneticPr fontId="2" type="noConversion"/>
  </si>
  <si>
    <t>option</t>
    <phoneticPr fontId="2" type="noConversion"/>
  </si>
  <si>
    <t>옵션</t>
    <phoneticPr fontId="2" type="noConversion"/>
  </si>
  <si>
    <t>option_jp</t>
    <phoneticPr fontId="2" type="noConversion"/>
  </si>
  <si>
    <t>stamina</t>
    <phoneticPr fontId="2" type="noConversion"/>
  </si>
  <si>
    <t>스태미나</t>
    <phoneticPr fontId="2" type="noConversion"/>
  </si>
  <si>
    <t>Witch_Poison</t>
  </si>
  <si>
    <t>Witch_Thunder</t>
  </si>
  <si>
    <t>Witch_Fire</t>
  </si>
  <si>
    <t>Zombie_Sword</t>
  </si>
  <si>
    <t>Zombie_Shield</t>
  </si>
  <si>
    <t>Zombie_Hand</t>
  </si>
  <si>
    <t>Skeleton_Witch</t>
  </si>
  <si>
    <t>Skeleton_Archer</t>
  </si>
  <si>
    <t>Skeleton_Sword</t>
  </si>
  <si>
    <t>Slime_Archer</t>
  </si>
  <si>
    <t>Slime</t>
  </si>
  <si>
    <t>체력/비율</t>
  </si>
  <si>
    <t>공격력/비율</t>
  </si>
  <si>
    <t>타입</t>
  </si>
  <si>
    <t>소환마릿수</t>
  </si>
  <si>
    <t>Dps</t>
  </si>
  <si>
    <t>전투력</t>
  </si>
  <si>
    <t>가용 포인트</t>
  </si>
  <si>
    <t>서브 스탯</t>
  </si>
  <si>
    <t>이름</t>
  </si>
  <si>
    <t>유닛</t>
  </si>
  <si>
    <t>등급에 따라 상승할 값</t>
  </si>
  <si>
    <t>실제값</t>
  </si>
  <si>
    <t>기본 정보</t>
  </si>
  <si>
    <t>전투/포인트</t>
  </si>
  <si>
    <t>legendary</t>
  </si>
  <si>
    <t>epic</t>
  </si>
  <si>
    <t>rare</t>
  </si>
  <si>
    <t>common</t>
  </si>
  <si>
    <t>유닛 레어리티 스탯</t>
  </si>
  <si>
    <t>비고</t>
  </si>
  <si>
    <t>남은체력</t>
  </si>
  <si>
    <t>승리유닛</t>
  </si>
  <si>
    <t>전투시간</t>
  </si>
  <si>
    <t>결과</t>
  </si>
  <si>
    <t>TTK</t>
  </si>
  <si>
    <t>가한뎀</t>
  </si>
  <si>
    <t>마릿수</t>
  </si>
  <si>
    <t>ID</t>
  </si>
  <si>
    <t>전투 시뮬</t>
  </si>
  <si>
    <t>아군</t>
  </si>
  <si>
    <t>적</t>
  </si>
  <si>
    <t>데이터</t>
  </si>
  <si>
    <t>유닛 이름</t>
  </si>
  <si>
    <t>유닛 cnt</t>
  </si>
  <si>
    <t>유닛 id</t>
  </si>
  <si>
    <t>스테이지ID</t>
  </si>
  <si>
    <t>전투횟수</t>
  </si>
  <si>
    <t>참고 전투력</t>
  </si>
  <si>
    <t>실제 전투력</t>
  </si>
  <si>
    <t>포인트(퍼센트)</t>
    <phoneticPr fontId="2" type="noConversion"/>
  </si>
  <si>
    <t>기본값</t>
    <phoneticPr fontId="2" type="noConversion"/>
  </si>
  <si>
    <t>레어도</t>
    <phoneticPr fontId="2" type="noConversion"/>
  </si>
  <si>
    <t>증가값</t>
    <phoneticPr fontId="2" type="noConversion"/>
  </si>
  <si>
    <t>등장확률</t>
    <phoneticPr fontId="2" type="noConversion"/>
  </si>
  <si>
    <t>ID</t>
    <phoneticPr fontId="2" type="noConversion"/>
  </si>
  <si>
    <t>등급</t>
    <phoneticPr fontId="2" type="noConversion"/>
  </si>
  <si>
    <t>전투력</t>
    <phoneticPr fontId="2" type="noConversion"/>
  </si>
  <si>
    <t>hp 합</t>
    <phoneticPr fontId="2" type="noConversion"/>
  </si>
  <si>
    <t>공격력 합</t>
    <phoneticPr fontId="2" type="noConversion"/>
  </si>
  <si>
    <t>소환 마릿수</t>
    <phoneticPr fontId="2" type="noConversion"/>
  </si>
  <si>
    <t>공격력(합산)</t>
    <phoneticPr fontId="2" type="noConversion"/>
  </si>
  <si>
    <t>체력(합산)</t>
    <phoneticPr fontId="2" type="noConversion"/>
  </si>
  <si>
    <t>합계</t>
    <phoneticPr fontId="2" type="noConversion"/>
  </si>
  <si>
    <t>승/패</t>
    <phoneticPr fontId="2" type="noConversion"/>
  </si>
  <si>
    <t>Slime_Red</t>
    <phoneticPr fontId="2" type="noConversion"/>
  </si>
  <si>
    <t>Slime_Yellow</t>
    <phoneticPr fontId="2" type="noConversion"/>
  </si>
  <si>
    <t>Slime_Archer_Red</t>
    <phoneticPr fontId="2" type="noConversion"/>
  </si>
  <si>
    <t>Slime_Archer_Yellow</t>
    <phoneticPr fontId="2" type="noConversion"/>
  </si>
  <si>
    <t>Soul_Skeleton_Sword</t>
    <phoneticPr fontId="2" type="noConversion"/>
  </si>
  <si>
    <t>Soul_Skeleton_Archer</t>
    <phoneticPr fontId="2" type="noConversion"/>
  </si>
  <si>
    <t>Soul_Skeleton_Witch</t>
    <phoneticPr fontId="2" type="noConversion"/>
  </si>
  <si>
    <t>Golem_Stone</t>
    <phoneticPr fontId="2" type="noConversion"/>
  </si>
  <si>
    <t>Golem_Fire</t>
    <phoneticPr fontId="2" type="noConversion"/>
  </si>
  <si>
    <t>Golem_Ice</t>
    <phoneticPr fontId="2" type="noConversion"/>
  </si>
  <si>
    <t>Indian_Wagon</t>
  </si>
  <si>
    <t>Indian_Catapult</t>
  </si>
  <si>
    <t>Indian_Wall</t>
  </si>
  <si>
    <t>Indian_Watchtower</t>
  </si>
  <si>
    <t>Indian_Chicken_House</t>
  </si>
  <si>
    <t>Indian_Jar_1</t>
  </si>
  <si>
    <t>Indian_Jar_2</t>
  </si>
  <si>
    <t>Indian_Straw</t>
  </si>
  <si>
    <t>Indian_House</t>
  </si>
  <si>
    <t>Indian_Fire</t>
  </si>
  <si>
    <t>Indian_Wall_2</t>
  </si>
  <si>
    <t>유닛 수</t>
    <phoneticPr fontId="2" type="noConversion"/>
  </si>
  <si>
    <t>확률</t>
    <phoneticPr fontId="2" type="noConversion"/>
  </si>
  <si>
    <t>Armor_Skeleton_Sword</t>
  </si>
  <si>
    <t>Armor_Skeleton_Archer</t>
  </si>
  <si>
    <t>Armor_Skeleton_Witch</t>
  </si>
  <si>
    <t>레어도</t>
    <phoneticPr fontId="2" type="noConversion"/>
  </si>
  <si>
    <t>적 스탯</t>
    <phoneticPr fontId="2" type="noConversion"/>
  </si>
  <si>
    <t>적 서브 스탯</t>
    <phoneticPr fontId="2" type="noConversion"/>
  </si>
  <si>
    <t>유닛 서브 스탯</t>
    <phoneticPr fontId="2" type="noConversion"/>
  </si>
  <si>
    <t>DevilCastle</t>
  </si>
  <si>
    <t>BoomEffect/Boom01.prefab</t>
  </si>
  <si>
    <t>rarity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</si>
  <si>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</si>
  <si>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</si>
  <si>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등장그룹</t>
    <phoneticPr fontId="2" type="noConversion"/>
  </si>
  <si>
    <t>memo</t>
    <phoneticPr fontId="2" type="noConversion"/>
  </si>
  <si>
    <t>rarity_type_common</t>
    <phoneticPr fontId="2" type="noConversion"/>
  </si>
  <si>
    <t>레전드</t>
    <phoneticPr fontId="2" type="noConversion"/>
  </si>
  <si>
    <t>rarity_type_01</t>
    <phoneticPr fontId="2" type="noConversion"/>
  </si>
  <si>
    <t>rarity_type_02</t>
  </si>
  <si>
    <t>rarity_type_03</t>
  </si>
  <si>
    <t>rarity_type_04</t>
  </si>
  <si>
    <t>tuto_text_1</t>
  </si>
  <si>
    <t>tuto_text_2</t>
  </si>
  <si>
    <t>tuto_text_3</t>
  </si>
  <si>
    <t>이런.. 생각보다 강하군, 새로운 녀석이 필요하겠어</t>
  </si>
  <si>
    <t>이제 나의 강력한 힘을 보여줄 시간이군.. 으하하하!</t>
  </si>
  <si>
    <t>stage_01_name</t>
  </si>
  <si>
    <t>stage_02_name</t>
  </si>
  <si>
    <t>stage_03_name</t>
  </si>
  <si>
    <t>stage_04_name</t>
  </si>
  <si>
    <t>stage_05_name</t>
  </si>
  <si>
    <t>stage_06_name</t>
  </si>
  <si>
    <t>stage_07_name</t>
  </si>
  <si>
    <t>stage_08_name</t>
  </si>
  <si>
    <t>stage_09_name</t>
  </si>
  <si>
    <t>stage_10_name</t>
  </si>
  <si>
    <t>stage_11_name</t>
  </si>
  <si>
    <t>stage_12_name</t>
  </si>
  <si>
    <t>stage_13_name</t>
  </si>
  <si>
    <t>stage_14_name</t>
  </si>
  <si>
    <t>stage_15_name</t>
  </si>
  <si>
    <t>stage_16_name</t>
  </si>
  <si>
    <t>stage_17_name</t>
  </si>
  <si>
    <t>stage_18_name</t>
  </si>
  <si>
    <t>stage_19_name</t>
  </si>
  <si>
    <t>stage_20_name</t>
  </si>
  <si>
    <t>popupName</t>
    <phoneticPr fontId="2" type="noConversion"/>
  </si>
  <si>
    <t>soundName</t>
    <phoneticPr fontId="2" type="noConversion"/>
  </si>
  <si>
    <t>AttendancePopup</t>
  </si>
  <si>
    <t>CommonPopup</t>
  </si>
  <si>
    <t>GachaResultPopup</t>
    <phoneticPr fontId="2" type="noConversion"/>
  </si>
  <si>
    <t>DialoguePopup</t>
  </si>
  <si>
    <t>UnitInfoPopup</t>
  </si>
  <si>
    <t>RewardPopup</t>
  </si>
  <si>
    <t>OptionPopup</t>
  </si>
  <si>
    <t>LevelUpPopup</t>
  </si>
  <si>
    <t>etfx_pop_balloon</t>
  </si>
  <si>
    <t>Prefabs/Particle/Flag_Change_Effect_01</t>
    <phoneticPr fontId="2" type="noConversion"/>
  </si>
  <si>
    <t>name_2002</t>
  </si>
  <si>
    <t>name_2003</t>
  </si>
  <si>
    <t>name_2004</t>
  </si>
  <si>
    <t>name_2005</t>
  </si>
  <si>
    <t>name_2006</t>
  </si>
  <si>
    <t>name_2007</t>
  </si>
  <si>
    <t>name_2008</t>
  </si>
  <si>
    <t>name_2009</t>
  </si>
  <si>
    <t>name_2010</t>
  </si>
  <si>
    <t>name_2011</t>
  </si>
  <si>
    <t>name_2012</t>
  </si>
  <si>
    <t>name_2013</t>
  </si>
  <si>
    <t>name_2014</t>
  </si>
  <si>
    <t>name_2015</t>
  </si>
  <si>
    <t>name_2016</t>
  </si>
  <si>
    <t>name_2017</t>
  </si>
  <si>
    <t>name_2018</t>
  </si>
  <si>
    <t>name_2019</t>
  </si>
  <si>
    <t>name_2020</t>
  </si>
  <si>
    <t>name_2021</t>
  </si>
  <si>
    <t>name_2022</t>
  </si>
  <si>
    <t>name_2023</t>
  </si>
  <si>
    <t>name_2024</t>
  </si>
  <si>
    <t>name_2025</t>
  </si>
  <si>
    <t>name_2026</t>
  </si>
  <si>
    <t>name_2027</t>
  </si>
  <si>
    <t>name_2028</t>
  </si>
  <si>
    <t>name_2029</t>
  </si>
  <si>
    <t>name_2030</t>
  </si>
  <si>
    <t>name_2031</t>
  </si>
  <si>
    <t>name_2001</t>
  </si>
  <si>
    <t>파란 슬라임</t>
    <phoneticPr fontId="2" type="noConversion"/>
  </si>
  <si>
    <t>풀잎 슬라임</t>
    <phoneticPr fontId="2" type="noConversion"/>
  </si>
  <si>
    <t>뼈다귀 보병</t>
    <phoneticPr fontId="2" type="noConversion"/>
  </si>
  <si>
    <t>뼈다귀 궁병</t>
    <phoneticPr fontId="2" type="noConversion"/>
  </si>
  <si>
    <t>뼈다귀 마법사</t>
    <phoneticPr fontId="2" type="noConversion"/>
  </si>
  <si>
    <t>헤더 좀비</t>
    <phoneticPr fontId="2" type="noConversion"/>
  </si>
  <si>
    <t>복서 좀비</t>
    <phoneticPr fontId="2" type="noConversion"/>
  </si>
  <si>
    <t>해머 좀비</t>
    <phoneticPr fontId="2" type="noConversion"/>
  </si>
  <si>
    <t>파이어 위저드</t>
    <phoneticPr fontId="2" type="noConversion"/>
  </si>
  <si>
    <t>썬더 위저드</t>
    <phoneticPr fontId="2" type="noConversion"/>
  </si>
  <si>
    <t>포이즌 위저드</t>
    <phoneticPr fontId="2" type="noConversion"/>
  </si>
  <si>
    <t>투척 고블린</t>
    <phoneticPr fontId="2" type="noConversion"/>
  </si>
  <si>
    <t>쌍도끼 고블린</t>
    <phoneticPr fontId="2" type="noConversion"/>
  </si>
  <si>
    <t>몽둥이 고블린</t>
    <phoneticPr fontId="2" type="noConversion"/>
  </si>
  <si>
    <t>투석 오크</t>
    <phoneticPr fontId="2" type="noConversion"/>
  </si>
  <si>
    <t>몽둥이 오크</t>
    <phoneticPr fontId="2" type="noConversion"/>
  </si>
  <si>
    <t>용용이</t>
    <phoneticPr fontId="2" type="noConversion"/>
  </si>
  <si>
    <t>불용이</t>
    <phoneticPr fontId="2" type="noConversion"/>
  </si>
  <si>
    <t>빨간 슬라임</t>
    <phoneticPr fontId="2" type="noConversion"/>
  </si>
  <si>
    <t>노란 슬라임</t>
    <phoneticPr fontId="2" type="noConversion"/>
  </si>
  <si>
    <t>꽃잎 슬라임</t>
    <phoneticPr fontId="2" type="noConversion"/>
  </si>
  <si>
    <t>떡잎 슬라임</t>
    <phoneticPr fontId="2" type="noConversion"/>
  </si>
  <si>
    <t>영혼 뼈다귀 보병</t>
    <phoneticPr fontId="2" type="noConversion"/>
  </si>
  <si>
    <t>영혼 뼈다귀 궁병</t>
    <phoneticPr fontId="2" type="noConversion"/>
  </si>
  <si>
    <t>영혼 뼈다귀 마법사</t>
    <phoneticPr fontId="2" type="noConversion"/>
  </si>
  <si>
    <t>작은 돌골렘</t>
    <phoneticPr fontId="2" type="noConversion"/>
  </si>
  <si>
    <t>작은 불골렘</t>
    <phoneticPr fontId="2" type="noConversion"/>
  </si>
  <si>
    <t>작은 얼음골렘</t>
    <phoneticPr fontId="2" type="noConversion"/>
  </si>
  <si>
    <t>갑옷 뼈다귀 보병</t>
    <phoneticPr fontId="2" type="noConversion"/>
  </si>
  <si>
    <t>갑옷 뼈다귀 궁병</t>
    <phoneticPr fontId="2" type="noConversion"/>
  </si>
  <si>
    <t>Bone Infantry</t>
  </si>
  <si>
    <t>Bone Archer</t>
  </si>
  <si>
    <t>Bone Wizard</t>
  </si>
  <si>
    <t>Thunder Wizard</t>
  </si>
  <si>
    <t>Poison Wizard</t>
  </si>
  <si>
    <t>Throwing Goblin</t>
  </si>
  <si>
    <t>Double Ax Goblin</t>
  </si>
  <si>
    <t>Catapult Orc</t>
  </si>
  <si>
    <t>Club Orc</t>
  </si>
  <si>
    <t>Soul Bone Infantry</t>
  </si>
  <si>
    <t>Soul Bone Archer</t>
  </si>
  <si>
    <t>Soul Bone Mage</t>
  </si>
  <si>
    <t>Armor Bone Infantry</t>
  </si>
  <si>
    <t>Armor Bone Archer</t>
  </si>
  <si>
    <t>Blue slime</t>
    <phoneticPr fontId="2" type="noConversion"/>
  </si>
  <si>
    <t>Cotyledon slime</t>
    <phoneticPr fontId="2" type="noConversion"/>
  </si>
  <si>
    <t>Header Zombie</t>
    <phoneticPr fontId="2" type="noConversion"/>
  </si>
  <si>
    <t>Boxer Zombie</t>
    <phoneticPr fontId="2" type="noConversion"/>
  </si>
  <si>
    <t>Hammer Zombie</t>
    <phoneticPr fontId="2" type="noConversion"/>
  </si>
  <si>
    <t>Fire Wizard</t>
    <phoneticPr fontId="2" type="noConversion"/>
  </si>
  <si>
    <t>Club Goblin</t>
    <phoneticPr fontId="2" type="noConversion"/>
  </si>
  <si>
    <t>Red Slime</t>
    <phoneticPr fontId="2" type="noConversion"/>
  </si>
  <si>
    <t>Yellow Slime</t>
    <phoneticPr fontId="2" type="noConversion"/>
  </si>
  <si>
    <t>Petal Slime</t>
    <phoneticPr fontId="2" type="noConversion"/>
  </si>
  <si>
    <t>Grass Slime</t>
    <phoneticPr fontId="2" type="noConversion"/>
  </si>
  <si>
    <t>Small Stone Golem</t>
    <phoneticPr fontId="2" type="noConversion"/>
  </si>
  <si>
    <t>Small Fire Golem</t>
    <phoneticPr fontId="2" type="noConversion"/>
  </si>
  <si>
    <t>Small Ice Golem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</si>
  <si>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</si>
  <si>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</si>
  <si>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</si>
  <si>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</si>
  <si>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Option</t>
    <phoneticPr fontId="2" type="noConversion"/>
  </si>
  <si>
    <t>CHAPTER 1 - 1</t>
  </si>
  <si>
    <t>CHAPTER 1 - 1</t>
    <phoneticPr fontId="2" type="noConversion"/>
  </si>
  <si>
    <t>CHAPTER 1 - 2</t>
  </si>
  <si>
    <t>CHAPTER 1 - 3</t>
  </si>
  <si>
    <t>CHAPTER 1 - 4</t>
  </si>
  <si>
    <t>CHAPTER 1 - 5</t>
  </si>
  <si>
    <t>CHAPTER 1 - 6</t>
  </si>
  <si>
    <t>CHAPTER 1 - 7</t>
  </si>
  <si>
    <t>CHAPTER 1 - 8</t>
  </si>
  <si>
    <t>CHAPTER 1 - 9</t>
  </si>
  <si>
    <t>CHAPTER 1 - 10</t>
  </si>
  <si>
    <t>CHAPTER 1 - 11</t>
  </si>
  <si>
    <t>CHAPTER 1 - 12</t>
  </si>
  <si>
    <t>CHAPTER 1 - 13</t>
  </si>
  <si>
    <t>CHAPTER 1 - 14</t>
  </si>
  <si>
    <t>CHAPTER 1 - 15</t>
  </si>
  <si>
    <t>CHAPTER 1 - 16</t>
  </si>
  <si>
    <t>CHAPTER 1 - 17</t>
  </si>
  <si>
    <t>CHAPTER 1 - 18</t>
  </si>
  <si>
    <t>CHAPTER 1 - 19</t>
  </si>
  <si>
    <t>CHAPTER 1 - 20</t>
  </si>
  <si>
    <t>DisableTabText</t>
  </si>
  <si>
    <t>아직 이용할 수 없어요!</t>
    <phoneticPr fontId="2" type="noConversion"/>
  </si>
  <si>
    <t>AlertNoEmptySlot</t>
    <phoneticPr fontId="2" type="noConversion"/>
  </si>
  <si>
    <t>빈 슬롯이 없어요!</t>
    <phoneticPr fontId="2" type="noConversion"/>
  </si>
  <si>
    <t>maxGrade</t>
    <phoneticPr fontId="2" type="noConversion"/>
  </si>
  <si>
    <t>morePiece</t>
    <phoneticPr fontId="2" type="noConversion"/>
  </si>
  <si>
    <t>moreSoul</t>
    <phoneticPr fontId="2" type="noConversion"/>
  </si>
  <si>
    <t>최대 등급이에요.</t>
    <phoneticPr fontId="2" type="noConversion"/>
  </si>
  <si>
    <t>유닛이 부족해요.</t>
    <phoneticPr fontId="2" type="noConversion"/>
  </si>
  <si>
    <t>영혼이 부족해요.</t>
    <phoneticPr fontId="2" type="noConversion"/>
  </si>
  <si>
    <t>gold</t>
    <phoneticPr fontId="2" type="noConversion"/>
  </si>
  <si>
    <t>골드</t>
    <phoneticPr fontId="2" type="noConversion"/>
  </si>
  <si>
    <t>etfx_pop_balloon</t>
    <phoneticPr fontId="2" type="noConversion"/>
  </si>
  <si>
    <t>BoomEffect/Stone_Boom_Effect.prefab</t>
    <phoneticPr fontId="2" type="noConversion"/>
  </si>
  <si>
    <t>notEnoughGold</t>
    <phoneticPr fontId="2" type="noConversion"/>
  </si>
  <si>
    <t>골드가 부족해요</t>
    <phoneticPr fontId="2" type="noConversion"/>
  </si>
  <si>
    <r>
      <rPr>
        <sz val="11"/>
        <rFont val="맑은 고딕"/>
        <family val="3"/>
        <charset val="129"/>
      </rPr>
      <t>흐음... 건방진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인간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맑은 고딕"/>
        <family val="3"/>
        <charset val="129"/>
      </rPr>
      <t>도저히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Arial"/>
        <family val="2"/>
      </rPr>
      <t>!</t>
    </r>
    <phoneticPr fontId="2" type="noConversion"/>
  </si>
  <si>
    <t>로브 뼈다귀 마법사</t>
    <phoneticPr fontId="2" type="noConversion"/>
  </si>
  <si>
    <t>User_01</t>
    <phoneticPr fontId="2" type="noConversion"/>
  </si>
  <si>
    <t>tryCount</t>
    <phoneticPr fontId="2" type="noConversion"/>
  </si>
  <si>
    <t>WorldShipRewardCooltime</t>
    <phoneticPr fontId="2" type="noConversion"/>
  </si>
  <si>
    <t>message</t>
    <phoneticPr fontId="2" type="noConversion"/>
  </si>
  <si>
    <t>game_tip_desc</t>
  </si>
  <si>
    <t>term_title</t>
  </si>
  <si>
    <t>게임 플레이를 위해 동의가 필요합니다.</t>
  </si>
  <si>
    <t>shop_gacha_title</t>
  </si>
  <si>
    <t>소환</t>
  </si>
  <si>
    <t>common_stamina</t>
  </si>
  <si>
    <t>스태미나</t>
  </si>
  <si>
    <t>gacha_sub_title</t>
  </si>
  <si>
    <t>마물 소환</t>
  </si>
  <si>
    <t>gacha_sub_desc</t>
  </si>
  <si>
    <t>소환 버튼을 터치하여 새로운 마물을 획득해보세요.</t>
  </si>
  <si>
    <t>gacha_1_btn</t>
  </si>
  <si>
    <t>1회 소환</t>
  </si>
  <si>
    <t>gacha_10_btn</t>
  </si>
  <si>
    <t>10회 소환</t>
  </si>
  <si>
    <t>challenge_title</t>
  </si>
  <si>
    <t>마왕성 지키기</t>
  </si>
  <si>
    <t>challenge_desc</t>
  </si>
  <si>
    <t>20분 동안 마왕을 지켜주세요!</t>
  </si>
  <si>
    <t>challenge_btn</t>
  </si>
  <si>
    <t>도전하기</t>
  </si>
  <si>
    <t>BoomEffect/Devil_Atk_Effect.prefab</t>
    <phoneticPr fontId="2" type="noConversion"/>
  </si>
  <si>
    <t>BoomEffect/Devil_Atk_Effect.prefab</t>
    <phoneticPr fontId="2" type="noConversion"/>
  </si>
  <si>
    <t>sayText</t>
    <phoneticPr fontId="2" type="noConversion"/>
  </si>
  <si>
    <t>ShowDevilSayTextCoolTime</t>
    <phoneticPr fontId="2" type="noConversion"/>
  </si>
  <si>
    <t>int</t>
    <phoneticPr fontId="2" type="noConversion"/>
  </si>
  <si>
    <r>
      <rPr>
        <sz val="11"/>
        <rFont val="돋움"/>
        <family val="3"/>
        <charset val="129"/>
      </rPr>
      <t>대사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다시뜨는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2" type="noConversion"/>
  </si>
  <si>
    <t>showtime</t>
    <phoneticPr fontId="2" type="noConversion"/>
  </si>
  <si>
    <r>
      <rPr>
        <sz val="11"/>
        <rFont val="돋움"/>
        <family val="3"/>
        <charset val="129"/>
      </rPr>
      <t>으하하하하하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</si>
  <si>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건방진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인간들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</si>
  <si>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힘을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맛봐라</t>
    </r>
    <r>
      <rPr>
        <sz val="11"/>
        <rFont val="Calibri"/>
        <family val="2"/>
      </rPr>
      <t>!</t>
    </r>
    <phoneticPr fontId="2" type="noConversion"/>
  </si>
  <si>
    <t>가라! 용감한 형제들이여!</t>
    <phoneticPr fontId="2" type="noConversion"/>
  </si>
  <si>
    <r>
      <rPr>
        <sz val="11"/>
        <rFont val="돋움"/>
        <family val="3"/>
        <charset val="129"/>
      </rPr>
      <t>따뜻하고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소중한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보금자리를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뺏어라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</si>
  <si>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빠르게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돌진해라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</si>
  <si>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이대로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물러설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없지</t>
    </r>
    <r>
      <rPr>
        <sz val="11"/>
        <rFont val="Calibri"/>
        <family val="2"/>
      </rPr>
      <t>…</t>
    </r>
    <phoneticPr fontId="2" type="noConversion"/>
  </si>
  <si>
    <r>
      <rPr>
        <sz val="11"/>
        <rFont val="돋움"/>
        <family val="3"/>
        <charset val="129"/>
      </rPr>
      <t>부리나케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도망가는군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</si>
  <si>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으하하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으하하하하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</si>
  <si>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승리가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확실해졌군</t>
    </r>
    <phoneticPr fontId="2" type="noConversion"/>
  </si>
  <si>
    <r>
      <rPr>
        <sz val="11"/>
        <rFont val="돋움"/>
        <family val="3"/>
        <charset val="129"/>
      </rPr>
      <t>혼돈의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바람을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일으켜라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</si>
  <si>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우리가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정복할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것이다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</si>
  <si>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이미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예견된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결과다</t>
    </r>
    <r>
      <rPr>
        <sz val="11"/>
        <rFont val="Calibri"/>
        <family val="2"/>
      </rPr>
      <t>.</t>
    </r>
    <phoneticPr fontId="2" type="noConversion"/>
  </si>
  <si>
    <r>
      <rPr>
        <sz val="11"/>
        <rFont val="돋움"/>
        <family val="3"/>
        <charset val="129"/>
      </rPr>
      <t>두려움을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느껴라</t>
    </r>
    <r>
      <rPr>
        <sz val="11"/>
        <rFont val="Calibri"/>
        <family val="2"/>
      </rPr>
      <t xml:space="preserve">. </t>
    </r>
    <r>
      <rPr>
        <sz val="11"/>
        <rFont val="돋움"/>
        <family val="3"/>
        <charset val="129"/>
      </rPr>
      <t>으하하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</si>
  <si>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두려워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말라</t>
    </r>
    <r>
      <rPr>
        <sz val="11"/>
        <rFont val="Calibri"/>
        <family val="2"/>
      </rPr>
      <t>!!!!</t>
    </r>
    <phoneticPr fontId="2" type="noConversion"/>
  </si>
  <si>
    <r>
      <rPr>
        <sz val="11"/>
        <rFont val="돋움"/>
        <family val="3"/>
        <charset val="129"/>
      </rPr>
      <t>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이상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참을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없다</t>
    </r>
    <r>
      <rPr>
        <sz val="11"/>
        <rFont val="Calibri"/>
        <family val="2"/>
      </rPr>
      <t>!</t>
    </r>
    <phoneticPr fontId="2" type="noConversion"/>
  </si>
  <si>
    <t>세상이 내손 안이군!</t>
    <phoneticPr fontId="2" type="noConversion"/>
  </si>
  <si>
    <r>
      <rPr>
        <sz val="11"/>
        <rFont val="돋움"/>
        <family val="3"/>
        <charset val="129"/>
      </rPr>
      <t>모조리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부셔라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</si>
  <si>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가소로운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으하하하</t>
    </r>
    <r>
      <rPr>
        <sz val="11"/>
        <rFont val="Calibri"/>
        <family val="2"/>
      </rPr>
      <t>!</t>
    </r>
    <phoneticPr fontId="2" type="noConversion"/>
  </si>
  <si>
    <t>Ragon</t>
    <phoneticPr fontId="2" type="noConversion"/>
  </si>
  <si>
    <t>Firagon</t>
    <phoneticPr fontId="2" type="noConversion"/>
  </si>
  <si>
    <t>Robe Bone Mage</t>
    <phoneticPr fontId="2" type="noConversion"/>
  </si>
  <si>
    <t>offline_popup_title</t>
  </si>
  <si>
    <t>오프라인 보상</t>
  </si>
  <si>
    <t>offline_popup_time</t>
  </si>
  <si>
    <t>sayText_1</t>
  </si>
  <si>
    <t>으하하하하하!</t>
  </si>
  <si>
    <t>sayText_2</t>
  </si>
  <si>
    <t>건방진 인간들!</t>
  </si>
  <si>
    <t>sayText_3</t>
  </si>
  <si>
    <t>내 힘을 맛봐라!</t>
  </si>
  <si>
    <t>sayText_4</t>
  </si>
  <si>
    <t>가라! 용감한 형제들이여!</t>
  </si>
  <si>
    <t>sayText_5</t>
  </si>
  <si>
    <t>따뜻하고 소중한 보금자리를 뺏어라!</t>
  </si>
  <si>
    <t>sayText_6</t>
  </si>
  <si>
    <t>더 빠르게 돌진해라!</t>
  </si>
  <si>
    <t>sayText_7</t>
  </si>
  <si>
    <t>이대로 물러설 수 없지…</t>
  </si>
  <si>
    <t>sayText_8</t>
  </si>
  <si>
    <t>부리나케 도망가는군!</t>
  </si>
  <si>
    <t>sayText_9</t>
  </si>
  <si>
    <t>으하하! 으하하하하!</t>
  </si>
  <si>
    <t>sayText_10</t>
  </si>
  <si>
    <t>승리가 확실해졌군</t>
  </si>
  <si>
    <t>sayText_11</t>
  </si>
  <si>
    <t>혼돈의 바람을 일으켜라!</t>
  </si>
  <si>
    <t>sayText_12</t>
  </si>
  <si>
    <t>우리가 정복할 것이다!</t>
  </si>
  <si>
    <t>sayText_13</t>
  </si>
  <si>
    <t>이미 예견된 결과다.</t>
  </si>
  <si>
    <t>sayText_14</t>
  </si>
  <si>
    <t>두려움을 느껴라. 으하하!</t>
  </si>
  <si>
    <t>sayText_15</t>
  </si>
  <si>
    <t>두려워 말라!!!!</t>
  </si>
  <si>
    <t>sayText_16</t>
  </si>
  <si>
    <t>더 이상 참을 수 없다!</t>
  </si>
  <si>
    <t>sayText_17</t>
  </si>
  <si>
    <t>세상이 내손 안이군!</t>
  </si>
  <si>
    <t>sayText_18</t>
  </si>
  <si>
    <t>모조리 부셔라!</t>
  </si>
  <si>
    <t>sayText_19</t>
  </si>
  <si>
    <t>가소로운 녀석들! 으하하하!</t>
  </si>
  <si>
    <t>push_message_1</t>
  </si>
  <si>
    <t>HAHAHAHAHA!!</t>
  </si>
  <si>
    <t>You arrogant humans!</t>
  </si>
  <si>
    <t>Taste my strength!</t>
  </si>
  <si>
    <t>Go! Brave brothers!</t>
  </si>
  <si>
    <t>Steal the warm and precious home!</t>
  </si>
  <si>
    <t>Move faster!</t>
  </si>
  <si>
    <t>I can't move back this way...</t>
  </si>
  <si>
    <t>Running like a rat!</t>
  </si>
  <si>
    <t>HAHA! HAHAHAHA!</t>
  </si>
  <si>
    <t>Victory is assured.</t>
  </si>
  <si>
    <t>Raise the Winds of Chaos!</t>
  </si>
  <si>
    <t>We will conquer!</t>
  </si>
  <si>
    <t>It's a foregone conclusion.</t>
  </si>
  <si>
    <t>Feel the fear! HAHAHA!</t>
  </si>
  <si>
    <t>Fear not!!!!</t>
  </si>
  <si>
    <t>I can't take this anymore!</t>
  </si>
  <si>
    <t>The world is in my hands!</t>
  </si>
  <si>
    <t>Destroy all!</t>
  </si>
  <si>
    <t>Ridiculous fools! Hahaha!</t>
  </si>
  <si>
    <t>Offline Reward</t>
  </si>
  <si>
    <r>
      <t>&lt;color=#8F98AE&gt;</t>
    </r>
    <r>
      <rPr>
        <sz val="10"/>
        <rFont val="맑은 고딕"/>
        <family val="3"/>
        <charset val="129"/>
      </rPr>
      <t>오프라인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시간</t>
    </r>
    <r>
      <rPr>
        <sz val="10"/>
        <rFont val="Arial"/>
        <family val="2"/>
      </rPr>
      <t>&lt;/color&gt; : {0} / {1}</t>
    </r>
    <phoneticPr fontId="2" type="noConversion"/>
  </si>
  <si>
    <t>&lt;color=#8F98AE&gt;Offline Time&lt;/color&gt; : {0} / {1}</t>
    <phoneticPr fontId="2" type="noConversion"/>
  </si>
  <si>
    <t>Draw 1</t>
  </si>
  <si>
    <t>Draw 10</t>
  </si>
  <si>
    <t>Protect Demon Castle</t>
  </si>
  <si>
    <t>Protect Demon Lord for 20min!</t>
  </si>
  <si>
    <t>Challenge</t>
  </si>
  <si>
    <t>Consent is required for gameplay.</t>
  </si>
  <si>
    <t>Log in every day to get rewards!</t>
  </si>
  <si>
    <t>Summon</t>
  </si>
  <si>
    <t>Stamina</t>
  </si>
  <si>
    <t>Summon Demon</t>
  </si>
  <si>
    <t>Tap Summon to get new Demons</t>
  </si>
  <si>
    <t>Hmm... Arrogant humans! I won't forgive you anymore!</t>
  </si>
  <si>
    <t>Huh... Your stronger than I thought... I'll need something new!</t>
  </si>
  <si>
    <t>It's time to show my strength... Hahahaha!</t>
  </si>
  <si>
    <t>Max Grade</t>
  </si>
  <si>
    <t>Need more Units</t>
  </si>
  <si>
    <t>Need more Souls.</t>
  </si>
  <si>
    <t>Not enough Gold.</t>
  </si>
  <si>
    <t>You can't use it yet!</t>
  </si>
  <si>
    <t>There's no empty slot!</t>
  </si>
  <si>
    <t>push_message_1</t>
    <phoneticPr fontId="2" type="noConversion"/>
  </si>
  <si>
    <t>OfflineRewardMaxTime</t>
    <phoneticPr fontId="2" type="noConversion"/>
  </si>
  <si>
    <t>오프라인 최대 시간</t>
    <phoneticPr fontId="2" type="noConversion"/>
  </si>
  <si>
    <t>OfflineRewardRate</t>
    <phoneticPr fontId="2" type="noConversion"/>
  </si>
  <si>
    <t>오프라인 보상 배율</t>
    <phoneticPr fontId="2" type="noConversion"/>
  </si>
  <si>
    <t>gacha_sub_title2</t>
    <phoneticPr fontId="2" type="noConversion"/>
  </si>
  <si>
    <t>gacha_sub_desc2</t>
    <phoneticPr fontId="2" type="noConversion"/>
  </si>
  <si>
    <t>gacha_dragon_btn</t>
  </si>
  <si>
    <t>소환</t>
    <phoneticPr fontId="2" type="noConversion"/>
  </si>
  <si>
    <t>불용이 소환</t>
    <phoneticPr fontId="2" type="noConversion"/>
  </si>
  <si>
    <t>Legendary Firagon!</t>
    <phoneticPr fontId="2" type="noConversion"/>
  </si>
  <si>
    <t>Draw</t>
    <phoneticPr fontId="2" type="noConversion"/>
  </si>
  <si>
    <t>00</t>
  </si>
  <si>
    <t>00</t>
    <phoneticPr fontId="2" type="noConversion"/>
  </si>
  <si>
    <t>string</t>
    <phoneticPr fontId="2" type="noConversion"/>
  </si>
  <si>
    <t>all</t>
    <phoneticPr fontId="2" type="noConversion"/>
  </si>
  <si>
    <t>05</t>
    <phoneticPr fontId="2" type="noConversion"/>
  </si>
  <si>
    <t>개발 테스트용</t>
    <phoneticPr fontId="2" type="noConversion"/>
  </si>
  <si>
    <t>실제 데이터</t>
    <phoneticPr fontId="2" type="noConversion"/>
  </si>
  <si>
    <t>01</t>
    <phoneticPr fontId="2" type="noConversion"/>
  </si>
  <si>
    <t>02</t>
    <phoneticPr fontId="2" type="noConversion"/>
  </si>
  <si>
    <t>03</t>
    <phoneticPr fontId="2" type="noConversion"/>
  </si>
  <si>
    <t>04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</si>
  <si>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</si>
  <si>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</si>
  <si>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</si>
  <si>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09</t>
    <phoneticPr fontId="2" type="noConversion"/>
  </si>
  <si>
    <r>
      <rPr>
        <sz val="11"/>
        <rFont val="맑은 고딕"/>
        <family val="3"/>
        <charset val="129"/>
      </rPr>
      <t>월드맵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보상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쿨타임</t>
    </r>
    <phoneticPr fontId="2" type="noConversion"/>
  </si>
  <si>
    <t>memo1</t>
    <phoneticPr fontId="2" type="noConversion"/>
  </si>
  <si>
    <t>memo2</t>
  </si>
  <si>
    <t>memo3</t>
  </si>
  <si>
    <t>memo4</t>
  </si>
  <si>
    <t>memo5</t>
  </si>
  <si>
    <t>memo6</t>
  </si>
  <si>
    <t>memo7</t>
  </si>
  <si>
    <t>FreeGachaCooltime</t>
    <phoneticPr fontId="2" type="noConversion"/>
  </si>
  <si>
    <r>
      <rPr>
        <sz val="11"/>
        <rFont val="돋움"/>
        <family val="3"/>
        <charset val="129"/>
      </rPr>
      <t>무료</t>
    </r>
    <r>
      <rPr>
        <sz val="11"/>
        <rFont val="Arial Unicode MS"/>
        <family val="2"/>
      </rPr>
      <t xml:space="preserve"> </t>
    </r>
    <r>
      <rPr>
        <sz val="11"/>
        <rFont val="돋움"/>
        <family val="3"/>
        <charset val="129"/>
      </rPr>
      <t>가챠</t>
    </r>
    <r>
      <rPr>
        <sz val="11"/>
        <rFont val="Arial Unicode MS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2" type="noConversion"/>
  </si>
  <si>
    <t>Tap Summon to get Firagon! Try your luck!</t>
    <phoneticPr fontId="2" type="noConversion"/>
  </si>
  <si>
    <t>worldmap_skeleton_reward_wait_text</t>
    <phoneticPr fontId="2" type="noConversion"/>
  </si>
  <si>
    <t>보물을 찾는 중이에요.</t>
    <phoneticPr fontId="2" type="noConversion"/>
  </si>
  <si>
    <t>I'm looking for treasure!  I think it will take about an hour.</t>
    <phoneticPr fontId="2" type="noConversion"/>
  </si>
  <si>
    <t>title</t>
    <phoneticPr fontId="2" type="noConversion"/>
  </si>
  <si>
    <t>push_title_1</t>
    <phoneticPr fontId="2" type="noConversion"/>
  </si>
  <si>
    <t>push_title_1</t>
  </si>
  <si>
    <t>지금이 기회에요!</t>
    <phoneticPr fontId="2" type="noConversion"/>
  </si>
  <si>
    <t>Now is your chance!</t>
    <phoneticPr fontId="2" type="noConversion"/>
  </si>
  <si>
    <t>Log in now to get rewards!</t>
    <phoneticPr fontId="2" type="noConversion"/>
  </si>
  <si>
    <r>
      <rPr>
        <sz val="11"/>
        <rFont val="맑은 고딕"/>
        <family val="3"/>
        <charset val="129"/>
      </rPr>
      <t>지금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바로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접속하여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보상을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획득해보세요</t>
    </r>
    <r>
      <rPr>
        <sz val="11"/>
        <rFont val="Calibri"/>
        <family val="2"/>
      </rPr>
      <t>!</t>
    </r>
    <phoneticPr fontId="2" type="noConversion"/>
  </si>
  <si>
    <t>building</t>
    <phoneticPr fontId="2" type="noConversion"/>
  </si>
  <si>
    <t>건물</t>
    <phoneticPr fontId="2" type="noConversion"/>
  </si>
  <si>
    <t>unit_icon_2030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</si>
</sst>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2"/>
      <charset val="129"/>
    </font>
    <font>
      <sz val="11"/>
      <name val="Arial Unicode MS"/>
      <family val="3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FF0000"/>
      <name val="Calibri"/>
      <family val="2"/>
    </font>
    <font>
      <sz val="11"/>
      <name val="Arial Unicode MS"/>
      <family val="2"/>
      <charset val="129"/>
    </font>
    <font>
      <sz val="11"/>
      <color rgb="FF1D1C1D"/>
      <name val="Arial"/>
      <family val="2"/>
    </font>
    <font>
      <sz val="11"/>
      <name val="Calibri"/>
      <family val="3"/>
      <charset val="129"/>
    </font>
    <font>
      <sz val="10"/>
      <color rgb="FF000000"/>
      <name val="맑은 고딕"/>
      <family val="2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9"/>
      <color theme="1"/>
      <name val="맑은 고딕"/>
      <family val="2"/>
      <scheme val="minor"/>
    </font>
    <font>
      <b/>
      <sz val="9"/>
      <color theme="1"/>
      <name val="맑은 고딕"/>
      <family val="2"/>
      <scheme val="minor"/>
    </font>
    <font>
      <sz val="9"/>
      <color rgb="FF000000"/>
      <name val="맑은 고딕"/>
      <family val="2"/>
      <scheme val="minor"/>
    </font>
    <font>
      <sz val="6"/>
      <color theme="1"/>
      <name val="맑은 고딕"/>
      <family val="2"/>
      <scheme val="minor"/>
    </font>
    <font>
      <sz val="10"/>
      <color rgb="FF000000"/>
      <name val="Arial"/>
      <family val="2"/>
    </font>
    <font>
      <b/>
      <sz val="11"/>
      <name val="돋움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11"/>
      <color rgb="FFFF0000"/>
      <name val="Calibri"/>
      <family val="2"/>
    </font>
    <font>
      <b/>
      <sz val="11"/>
      <color theme="4"/>
      <name val="Calibri"/>
      <family val="2"/>
    </font>
    <font>
      <b/>
      <sz val="11"/>
      <name val="맑은 고딕"/>
      <family val="3"/>
      <charset val="129"/>
      <scheme val="minor"/>
    </font>
    <font>
      <sz val="11"/>
      <name val="Arial"/>
      <family val="2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11"/>
      <name val="Arial Unicode MS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EFEFEF"/>
      </patternFill>
    </fill>
    <fill>
      <patternFill patternType="solid">
        <fgColor theme="9"/>
        <bgColor rgb="FFEFEFE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rgb="FFEFEFE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double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double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double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22" fillId="0" borderId="0"/>
    <xf numFmtId="0" fontId="22" fillId="0" borderId="0"/>
  </cellStyleXfs>
  <cellXfs count="15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9" fillId="0" borderId="0" xfId="0" applyFont="1"/>
    <xf numFmtId="0" fontId="9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/>
    <xf numFmtId="0" fontId="12" fillId="0" borderId="0" xfId="0" applyFont="1"/>
    <xf numFmtId="0" fontId="0" fillId="3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16" fillId="0" borderId="0" xfId="0" applyFont="1"/>
    <xf numFmtId="0" fontId="17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/>
    </xf>
    <xf numFmtId="0" fontId="17" fillId="0" borderId="0" xfId="0" applyFont="1"/>
    <xf numFmtId="0" fontId="17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vertical="center"/>
    </xf>
    <xf numFmtId="0" fontId="17" fillId="0" borderId="0" xfId="0" quotePrefix="1" applyFont="1" applyAlignment="1">
      <alignment horizontal="left"/>
    </xf>
    <xf numFmtId="0" fontId="3" fillId="0" borderId="0" xfId="0" applyFont="1" applyAlignment="1">
      <alignment horizontal="left" vertical="center"/>
    </xf>
    <xf numFmtId="0" fontId="9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1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2" fillId="0" borderId="0" xfId="1"/>
    <xf numFmtId="0" fontId="23" fillId="0" borderId="0" xfId="1" applyFont="1" applyAlignment="1">
      <alignment horizontal="center"/>
    </xf>
    <xf numFmtId="0" fontId="23" fillId="0" borderId="2" xfId="1" applyFont="1" applyBorder="1"/>
    <xf numFmtId="0" fontId="23" fillId="0" borderId="2" xfId="1" applyFont="1" applyBorder="1" applyAlignment="1">
      <alignment horizontal="center"/>
    </xf>
    <xf numFmtId="0" fontId="23" fillId="0" borderId="3" xfId="1" applyFont="1" applyBorder="1" applyAlignment="1">
      <alignment horizontal="center"/>
    </xf>
    <xf numFmtId="0" fontId="24" fillId="0" borderId="0" xfId="1" applyFont="1" applyAlignment="1">
      <alignment horizontal="center"/>
    </xf>
    <xf numFmtId="0" fontId="23" fillId="0" borderId="0" xfId="1" applyFont="1"/>
    <xf numFmtId="0" fontId="23" fillId="0" borderId="7" xfId="1" applyFont="1" applyBorder="1"/>
    <xf numFmtId="0" fontId="25" fillId="0" borderId="7" xfId="1" applyFont="1" applyBorder="1" applyAlignment="1">
      <alignment horizontal="center"/>
    </xf>
    <xf numFmtId="0" fontId="25" fillId="10" borderId="7" xfId="1" applyFont="1" applyFill="1" applyBorder="1" applyAlignment="1">
      <alignment horizontal="center"/>
    </xf>
    <xf numFmtId="0" fontId="23" fillId="0" borderId="8" xfId="1" applyFont="1" applyBorder="1" applyAlignment="1">
      <alignment horizontal="center"/>
    </xf>
    <xf numFmtId="0" fontId="27" fillId="5" borderId="7" xfId="1" applyFont="1" applyFill="1" applyBorder="1" applyAlignment="1">
      <alignment horizontal="center"/>
    </xf>
    <xf numFmtId="0" fontId="28" fillId="0" borderId="7" xfId="1" applyFont="1" applyBorder="1" applyAlignment="1">
      <alignment horizontal="center"/>
    </xf>
    <xf numFmtId="0" fontId="24" fillId="0" borderId="8" xfId="1" applyFont="1" applyBorder="1" applyAlignment="1">
      <alignment horizontal="center"/>
    </xf>
    <xf numFmtId="0" fontId="29" fillId="5" borderId="0" xfId="1" applyFont="1" applyFill="1" applyAlignment="1">
      <alignment horizontal="left"/>
    </xf>
    <xf numFmtId="0" fontId="3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3" fillId="4" borderId="2" xfId="1" applyFont="1" applyFill="1" applyBorder="1" applyAlignment="1">
      <alignment horizontal="left"/>
    </xf>
    <xf numFmtId="0" fontId="8" fillId="0" borderId="10" xfId="1" applyFont="1" applyBorder="1"/>
    <xf numFmtId="0" fontId="8" fillId="0" borderId="9" xfId="1" applyFont="1" applyBorder="1"/>
    <xf numFmtId="0" fontId="26" fillId="10" borderId="11" xfId="1" applyFont="1" applyFill="1" applyBorder="1"/>
    <xf numFmtId="0" fontId="24" fillId="6" borderId="5" xfId="1" applyFont="1" applyFill="1" applyBorder="1"/>
    <xf numFmtId="0" fontId="8" fillId="0" borderId="4" xfId="1" applyFont="1" applyBorder="1"/>
    <xf numFmtId="0" fontId="24" fillId="9" borderId="5" xfId="1" applyFont="1" applyFill="1" applyBorder="1"/>
    <xf numFmtId="0" fontId="8" fillId="0" borderId="6" xfId="1" applyFont="1" applyBorder="1"/>
    <xf numFmtId="0" fontId="24" fillId="8" borderId="5" xfId="1" applyFont="1" applyFill="1" applyBorder="1"/>
    <xf numFmtId="0" fontId="24" fillId="7" borderId="5" xfId="1" applyFont="1" applyFill="1" applyBorder="1"/>
    <xf numFmtId="0" fontId="22" fillId="0" borderId="0" xfId="2" applyAlignment="1">
      <alignment horizontal="center"/>
    </xf>
    <xf numFmtId="0" fontId="22" fillId="0" borderId="0" xfId="2"/>
    <xf numFmtId="0" fontId="24" fillId="10" borderId="7" xfId="2" applyFont="1" applyFill="1" applyBorder="1" applyAlignment="1">
      <alignment horizontal="center"/>
    </xf>
    <xf numFmtId="0" fontId="23" fillId="0" borderId="7" xfId="2" applyFont="1" applyBorder="1" applyAlignment="1">
      <alignment horizontal="center"/>
    </xf>
    <xf numFmtId="0" fontId="23" fillId="0" borderId="7" xfId="2" applyFont="1" applyBorder="1" applyAlignment="1">
      <alignment horizontal="left"/>
    </xf>
    <xf numFmtId="0" fontId="23" fillId="0" borderId="0" xfId="2" applyFont="1" applyAlignment="1">
      <alignment horizontal="left"/>
    </xf>
    <xf numFmtId="0" fontId="24" fillId="11" borderId="7" xfId="2" applyFont="1" applyFill="1" applyBorder="1" applyAlignment="1">
      <alignment horizontal="center"/>
    </xf>
    <xf numFmtId="0" fontId="24" fillId="12" borderId="7" xfId="2" applyFont="1" applyFill="1" applyBorder="1" applyAlignment="1">
      <alignment horizontal="center"/>
    </xf>
    <xf numFmtId="0" fontId="22" fillId="0" borderId="12" xfId="2" applyBorder="1"/>
    <xf numFmtId="0" fontId="22" fillId="0" borderId="12" xfId="2" applyBorder="1" applyAlignment="1">
      <alignment horizontal="center"/>
    </xf>
    <xf numFmtId="0" fontId="22" fillId="13" borderId="12" xfId="2" applyFill="1" applyBorder="1" applyAlignment="1">
      <alignment horizontal="center"/>
    </xf>
    <xf numFmtId="0" fontId="24" fillId="14" borderId="7" xfId="2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0" fillId="0" borderId="13" xfId="0" applyBorder="1"/>
    <xf numFmtId="0" fontId="31" fillId="2" borderId="0" xfId="0" applyFont="1" applyFill="1" applyAlignment="1">
      <alignment horizontal="center"/>
    </xf>
    <xf numFmtId="0" fontId="32" fillId="2" borderId="0" xfId="0" applyFont="1" applyFill="1" applyAlignment="1">
      <alignment horizontal="center"/>
    </xf>
    <xf numFmtId="0" fontId="33" fillId="3" borderId="0" xfId="0" applyFont="1" applyFill="1" applyAlignment="1">
      <alignment horizontal="center"/>
    </xf>
    <xf numFmtId="0" fontId="33" fillId="2" borderId="0" xfId="0" applyFont="1" applyFill="1" applyAlignment="1">
      <alignment horizontal="center"/>
    </xf>
    <xf numFmtId="0" fontId="33" fillId="4" borderId="0" xfId="0" applyFont="1" applyFill="1" applyAlignment="1">
      <alignment horizontal="center"/>
    </xf>
    <xf numFmtId="0" fontId="23" fillId="0" borderId="15" xfId="1" applyFont="1" applyBorder="1" applyAlignment="1">
      <alignment horizontal="center"/>
    </xf>
    <xf numFmtId="0" fontId="23" fillId="4" borderId="15" xfId="1" applyFont="1" applyFill="1" applyBorder="1" applyAlignment="1">
      <alignment horizontal="left"/>
    </xf>
    <xf numFmtId="0" fontId="23" fillId="0" borderId="3" xfId="1" applyFont="1" applyBorder="1"/>
    <xf numFmtId="0" fontId="23" fillId="0" borderId="16" xfId="1" applyFont="1" applyBorder="1" applyAlignment="1">
      <alignment horizontal="center"/>
    </xf>
    <xf numFmtId="0" fontId="23" fillId="4" borderId="16" xfId="1" applyFont="1" applyFill="1" applyBorder="1" applyAlignment="1">
      <alignment horizontal="left"/>
    </xf>
    <xf numFmtId="0" fontId="23" fillId="0" borderId="16" xfId="1" applyFont="1" applyBorder="1"/>
    <xf numFmtId="0" fontId="22" fillId="0" borderId="16" xfId="1" applyBorder="1"/>
    <xf numFmtId="0" fontId="23" fillId="0" borderId="17" xfId="1" applyFont="1" applyBorder="1" applyAlignment="1">
      <alignment horizontal="center"/>
    </xf>
    <xf numFmtId="0" fontId="23" fillId="0" borderId="17" xfId="1" applyFont="1" applyBorder="1" applyAlignment="1">
      <alignment horizontal="left"/>
    </xf>
    <xf numFmtId="0" fontId="22" fillId="0" borderId="17" xfId="1" applyBorder="1"/>
    <xf numFmtId="0" fontId="22" fillId="0" borderId="18" xfId="1" applyBorder="1"/>
    <xf numFmtId="0" fontId="23" fillId="0" borderId="19" xfId="1" applyFont="1" applyBorder="1" applyAlignment="1">
      <alignment horizontal="center"/>
    </xf>
    <xf numFmtId="0" fontId="23" fillId="0" borderId="19" xfId="1" applyFont="1" applyBorder="1"/>
    <xf numFmtId="0" fontId="23" fillId="0" borderId="18" xfId="1" applyFont="1" applyBorder="1"/>
    <xf numFmtId="0" fontId="22" fillId="0" borderId="19" xfId="1" applyBorder="1"/>
    <xf numFmtId="0" fontId="23" fillId="0" borderId="17" xfId="1" applyFont="1" applyBorder="1"/>
    <xf numFmtId="0" fontId="23" fillId="4" borderId="19" xfId="1" applyFont="1" applyFill="1" applyBorder="1" applyAlignment="1">
      <alignment horizontal="left"/>
    </xf>
    <xf numFmtId="0" fontId="23" fillId="0" borderId="20" xfId="1" applyFont="1" applyBorder="1" applyAlignment="1">
      <alignment horizontal="center"/>
    </xf>
    <xf numFmtId="0" fontId="23" fillId="0" borderId="18" xfId="1" applyFont="1" applyBorder="1" applyAlignment="1">
      <alignment horizontal="center"/>
    </xf>
    <xf numFmtId="0" fontId="34" fillId="0" borderId="0" xfId="0" applyFont="1" applyAlignment="1">
      <alignment horizontal="center"/>
    </xf>
    <xf numFmtId="0" fontId="0" fillId="17" borderId="0" xfId="0" applyFill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2" fillId="17" borderId="0" xfId="0" applyFont="1" applyFill="1" applyAlignment="1">
      <alignment horizontal="center"/>
    </xf>
    <xf numFmtId="0" fontId="32" fillId="4" borderId="0" xfId="0" applyFont="1" applyFill="1" applyAlignment="1">
      <alignment horizontal="center"/>
    </xf>
    <xf numFmtId="0" fontId="17" fillId="16" borderId="0" xfId="0" applyFont="1" applyFill="1" applyAlignment="1">
      <alignment horizontal="center"/>
    </xf>
    <xf numFmtId="0" fontId="17" fillId="16" borderId="0" xfId="0" applyFont="1" applyFill="1" applyAlignment="1">
      <alignment horizontal="left"/>
    </xf>
    <xf numFmtId="0" fontId="17" fillId="16" borderId="0" xfId="0" quotePrefix="1" applyFont="1" applyFill="1" applyAlignment="1">
      <alignment horizontal="left"/>
    </xf>
    <xf numFmtId="0" fontId="17" fillId="16" borderId="0" xfId="0" applyFont="1" applyFill="1"/>
    <xf numFmtId="0" fontId="17" fillId="15" borderId="0" xfId="0" applyFont="1" applyFill="1" applyAlignment="1">
      <alignment horizontal="center"/>
    </xf>
    <xf numFmtId="0" fontId="17" fillId="15" borderId="0" xfId="0" applyFont="1" applyFill="1" applyAlignment="1">
      <alignment horizontal="left"/>
    </xf>
    <xf numFmtId="0" fontId="17" fillId="15" borderId="0" xfId="0" quotePrefix="1" applyFont="1" applyFill="1" applyAlignment="1">
      <alignment horizontal="left"/>
    </xf>
    <xf numFmtId="0" fontId="17" fillId="15" borderId="0" xfId="0" applyFont="1" applyFill="1"/>
    <xf numFmtId="0" fontId="0" fillId="0" borderId="18" xfId="0" applyBorder="1" applyAlignment="1">
      <alignment horizontal="center"/>
    </xf>
    <xf numFmtId="0" fontId="0" fillId="0" borderId="18" xfId="0" applyBorder="1"/>
    <xf numFmtId="0" fontId="24" fillId="0" borderId="0" xfId="1" applyFont="1"/>
    <xf numFmtId="0" fontId="0" fillId="0" borderId="1" xfId="0" applyBorder="1" applyAlignment="1">
      <alignment horizontal="center"/>
    </xf>
    <xf numFmtId="0" fontId="21" fillId="0" borderId="0" xfId="0" applyFont="1"/>
    <xf numFmtId="0" fontId="8" fillId="0" borderId="21" xfId="0" applyFont="1" applyBorder="1" applyAlignment="1">
      <alignment wrapText="1"/>
    </xf>
    <xf numFmtId="0" fontId="8" fillId="0" borderId="21" xfId="0" applyFont="1" applyBorder="1" applyAlignment="1">
      <alignment vertical="center"/>
    </xf>
    <xf numFmtId="0" fontId="38" fillId="0" borderId="0" xfId="0" applyFont="1"/>
    <xf numFmtId="0" fontId="3" fillId="0" borderId="0" xfId="0" quotePrefix="1" applyFont="1" applyAlignment="1">
      <alignment horizontal="center"/>
    </xf>
    <xf numFmtId="0" fontId="36" fillId="0" borderId="0" xfId="0" applyFont="1" applyAlignment="1">
      <alignment horizontal="center" vertical="center"/>
    </xf>
    <xf numFmtId="0" fontId="9" fillId="13" borderId="0" xfId="0" applyFont="1" applyFill="1" applyAlignment="1">
      <alignment horizontal="center"/>
    </xf>
    <xf numFmtId="0" fontId="3" fillId="13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6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/>
    </xf>
    <xf numFmtId="0" fontId="6" fillId="0" borderId="1" xfId="0" applyFont="1" applyBorder="1"/>
    <xf numFmtId="0" fontId="0" fillId="0" borderId="1" xfId="0" applyBorder="1"/>
    <xf numFmtId="0" fontId="4" fillId="18" borderId="0" xfId="0" applyFont="1" applyFill="1" applyAlignment="1">
      <alignment vertical="center"/>
    </xf>
    <xf numFmtId="0" fontId="0" fillId="18" borderId="0" xfId="0" applyFill="1"/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4">
    <dxf>
      <fill>
        <patternFill patternType="solid">
          <fgColor rgb="FFFFF2CC"/>
          <bgColor rgb="FFFFF2CC"/>
        </patternFill>
      </fill>
    </dxf>
    <dxf>
      <font>
        <color rgb="FFFF0000"/>
      </font>
      <fill>
        <patternFill patternType="solid">
          <fgColor rgb="FFF4CCCC"/>
          <bgColor rgb="FFF4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activeCell="I16" sqref="I16"/>
    </sheetView>
  </sheetViews>
  <sheetFormatPr defaultRowHeight="15"/>
  <cols>
    <col min="1" max="1" width="62.85546875" customWidth="1"/>
    <col min="2" max="2" width="13.85546875" customWidth="1"/>
    <col min="3" max="3" width="20.140625" customWidth="1"/>
    <col min="4" max="4" width="20.570312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6.5">
      <c r="A4" s="2" t="s">
        <v>13</v>
      </c>
      <c r="B4" s="3" t="s">
        <v>10</v>
      </c>
      <c r="C4" s="3">
        <v>5000</v>
      </c>
      <c r="D4" s="2" t="s">
        <v>16</v>
      </c>
    </row>
    <row r="5" spans="1:4" ht="16.5">
      <c r="A5" s="2" t="s">
        <v>14</v>
      </c>
      <c r="B5" s="3" t="s">
        <v>3</v>
      </c>
      <c r="C5" s="3" t="s">
        <v>19</v>
      </c>
      <c r="D5" s="2" t="s">
        <v>17</v>
      </c>
    </row>
    <row r="6" spans="1:4" ht="16.5">
      <c r="A6" s="2" t="s">
        <v>15</v>
      </c>
      <c r="B6" s="3" t="s">
        <v>10</v>
      </c>
      <c r="C6" s="3">
        <v>3</v>
      </c>
      <c r="D6" s="2" t="s">
        <v>18</v>
      </c>
    </row>
    <row r="7" spans="1:4" ht="16.5">
      <c r="A7" s="41" t="s">
        <v>196</v>
      </c>
      <c r="B7" s="3" t="s">
        <v>10</v>
      </c>
      <c r="C7">
        <v>1</v>
      </c>
      <c r="D7" s="12" t="s">
        <v>195</v>
      </c>
    </row>
    <row r="8" spans="1:4" ht="16.5">
      <c r="A8" s="2" t="s">
        <v>241</v>
      </c>
      <c r="B8" s="3" t="s">
        <v>10</v>
      </c>
      <c r="C8" s="3">
        <v>300</v>
      </c>
      <c r="D8" s="2" t="s">
        <v>243</v>
      </c>
    </row>
    <row r="9" spans="1:4" ht="16.5">
      <c r="A9" s="2" t="s">
        <v>242</v>
      </c>
      <c r="B9" s="3" t="s">
        <v>10</v>
      </c>
      <c r="C9" s="3">
        <v>20</v>
      </c>
      <c r="D9" s="2" t="s">
        <v>244</v>
      </c>
    </row>
    <row r="10" spans="1:4" ht="16.5">
      <c r="A10" s="2" t="s">
        <v>247</v>
      </c>
      <c r="B10" s="3" t="s">
        <v>248</v>
      </c>
      <c r="C10" s="3">
        <v>10</v>
      </c>
      <c r="D10" s="2" t="s">
        <v>249</v>
      </c>
    </row>
    <row r="11" spans="1:4" ht="16.5">
      <c r="A11" s="2" t="s">
        <v>251</v>
      </c>
      <c r="B11" s="3" t="s">
        <v>248</v>
      </c>
      <c r="C11" s="3">
        <v>300</v>
      </c>
      <c r="D11" s="2" t="s">
        <v>250</v>
      </c>
    </row>
    <row r="12" spans="1:4" ht="16.5">
      <c r="A12" s="2" t="s">
        <v>285</v>
      </c>
      <c r="B12" s="3" t="s">
        <v>10</v>
      </c>
      <c r="C12" s="3">
        <v>2001</v>
      </c>
      <c r="D12" s="12" t="s">
        <v>286</v>
      </c>
    </row>
    <row r="13" spans="1:4" ht="16.5">
      <c r="A13" s="2" t="s">
        <v>605</v>
      </c>
      <c r="B13" s="3" t="s">
        <v>10</v>
      </c>
      <c r="C13" s="150">
        <v>3600</v>
      </c>
      <c r="D13" s="140" t="s">
        <v>768</v>
      </c>
    </row>
    <row r="14" spans="1:4" ht="16.5">
      <c r="A14" s="2" t="s">
        <v>631</v>
      </c>
      <c r="B14" s="3" t="s">
        <v>632</v>
      </c>
      <c r="C14" s="3">
        <v>2</v>
      </c>
      <c r="D14" s="2" t="s">
        <v>633</v>
      </c>
    </row>
    <row r="15" spans="1:4" ht="16.5">
      <c r="A15" s="2" t="s">
        <v>742</v>
      </c>
      <c r="B15" s="3" t="s">
        <v>10</v>
      </c>
      <c r="C15" s="151">
        <v>1800</v>
      </c>
      <c r="D15" s="12" t="s">
        <v>743</v>
      </c>
    </row>
    <row r="16" spans="1:4" ht="16.5">
      <c r="A16" s="2" t="s">
        <v>744</v>
      </c>
      <c r="B16" s="3" t="s">
        <v>10</v>
      </c>
      <c r="C16" s="150">
        <v>10</v>
      </c>
      <c r="D16" s="12" t="s">
        <v>745</v>
      </c>
    </row>
    <row r="17" spans="1:4" ht="16.5">
      <c r="A17" s="2" t="s">
        <v>776</v>
      </c>
      <c r="B17" s="3" t="s">
        <v>10</v>
      </c>
      <c r="C17">
        <v>21600</v>
      </c>
      <c r="D17" s="12" t="s">
        <v>777</v>
      </c>
    </row>
    <row r="18" spans="1:4" ht="16.5">
      <c r="B18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1:H29"/>
  <sheetViews>
    <sheetView topLeftCell="A6" zoomScaleNormal="100" workbookViewId="0">
      <selection activeCell="D25" sqref="D25"/>
    </sheetView>
  </sheetViews>
  <sheetFormatPr defaultRowHeight="15"/>
  <cols>
    <col min="2" max="2" width="15.5703125" customWidth="1"/>
    <col min="3" max="3" width="21.5703125" customWidth="1"/>
    <col min="4" max="4" width="17.7109375" customWidth="1"/>
    <col min="5" max="5" width="22" bestFit="1" customWidth="1"/>
    <col min="6" max="6" width="16.140625" bestFit="1" customWidth="1"/>
    <col min="7" max="8" width="20.7109375" customWidth="1"/>
  </cols>
  <sheetData>
    <row r="1" spans="1:8">
      <c r="A1" s="14" t="s">
        <v>42</v>
      </c>
      <c r="B1" s="14" t="s">
        <v>68</v>
      </c>
      <c r="C1" s="14" t="s">
        <v>69</v>
      </c>
      <c r="D1" s="14" t="s">
        <v>77</v>
      </c>
      <c r="E1" s="14" t="s">
        <v>47</v>
      </c>
      <c r="F1" s="14" t="s">
        <v>117</v>
      </c>
      <c r="G1" s="14" t="s">
        <v>233</v>
      </c>
      <c r="H1" s="14" t="s">
        <v>234</v>
      </c>
    </row>
    <row r="2" spans="1:8">
      <c r="A2" s="15" t="s">
        <v>1</v>
      </c>
      <c r="B2" s="16" t="s">
        <v>71</v>
      </c>
      <c r="C2" s="16" t="s">
        <v>70</v>
      </c>
      <c r="D2" s="16" t="s">
        <v>70</v>
      </c>
      <c r="E2" s="17" t="s">
        <v>3</v>
      </c>
      <c r="F2" s="16" t="s">
        <v>10</v>
      </c>
      <c r="G2" s="16" t="s">
        <v>10</v>
      </c>
      <c r="H2" s="16" t="s">
        <v>10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  <c r="H3" s="18" t="s">
        <v>2</v>
      </c>
    </row>
    <row r="4" spans="1:8">
      <c r="A4" s="5">
        <v>1</v>
      </c>
      <c r="B4" s="9" t="s">
        <v>72</v>
      </c>
      <c r="C4" s="5">
        <v>200</v>
      </c>
      <c r="D4" s="5">
        <v>0</v>
      </c>
      <c r="E4" s="9" t="s">
        <v>123</v>
      </c>
      <c r="F4" s="9">
        <v>150</v>
      </c>
      <c r="G4" s="9">
        <v>15</v>
      </c>
      <c r="H4" s="9">
        <v>15</v>
      </c>
    </row>
    <row r="5" spans="1:8" ht="16.5">
      <c r="A5" s="5">
        <v>2</v>
      </c>
      <c r="B5" s="9" t="s">
        <v>73</v>
      </c>
      <c r="C5" s="5">
        <v>225</v>
      </c>
      <c r="D5" s="5">
        <v>1</v>
      </c>
      <c r="E5" s="9" t="s">
        <v>124</v>
      </c>
      <c r="F5" s="9">
        <v>150</v>
      </c>
      <c r="G5" s="9">
        <v>15</v>
      </c>
      <c r="H5" s="9">
        <v>15</v>
      </c>
    </row>
    <row r="6" spans="1:8" ht="16.5">
      <c r="A6" s="5">
        <v>3</v>
      </c>
      <c r="B6" s="9" t="s">
        <v>74</v>
      </c>
      <c r="C6" s="5">
        <v>300</v>
      </c>
      <c r="D6" s="5">
        <v>2</v>
      </c>
      <c r="E6" s="9" t="s">
        <v>125</v>
      </c>
      <c r="F6" s="9">
        <v>150</v>
      </c>
      <c r="G6" s="9">
        <v>15</v>
      </c>
      <c r="H6" s="9">
        <v>15</v>
      </c>
    </row>
    <row r="7" spans="1:8" ht="16.5">
      <c r="A7" s="5">
        <v>4</v>
      </c>
      <c r="B7" s="9" t="s">
        <v>75</v>
      </c>
      <c r="C7" s="5">
        <v>375</v>
      </c>
      <c r="D7" s="5">
        <v>3</v>
      </c>
      <c r="E7" s="9" t="s">
        <v>126</v>
      </c>
      <c r="F7" s="9">
        <v>150</v>
      </c>
      <c r="G7" s="9">
        <v>15</v>
      </c>
      <c r="H7" s="9">
        <v>15</v>
      </c>
    </row>
    <row r="8" spans="1:8" ht="16.5">
      <c r="A8" s="5">
        <v>5</v>
      </c>
      <c r="B8" s="9" t="s">
        <v>76</v>
      </c>
      <c r="C8" s="5">
        <v>600</v>
      </c>
      <c r="D8" s="5">
        <v>4</v>
      </c>
      <c r="E8" s="9" t="s">
        <v>127</v>
      </c>
      <c r="F8" s="9">
        <v>150</v>
      </c>
      <c r="G8" s="9">
        <v>15</v>
      </c>
      <c r="H8" s="9">
        <v>15</v>
      </c>
    </row>
    <row r="9" spans="1:8" ht="16.5">
      <c r="A9" s="5">
        <v>6</v>
      </c>
      <c r="B9" s="9" t="s">
        <v>293</v>
      </c>
      <c r="C9" s="5">
        <v>550</v>
      </c>
      <c r="D9" s="5">
        <v>5</v>
      </c>
      <c r="E9" s="9" t="s">
        <v>128</v>
      </c>
      <c r="F9" s="9">
        <v>150</v>
      </c>
      <c r="G9" s="9">
        <v>15</v>
      </c>
      <c r="H9" s="9">
        <v>15</v>
      </c>
    </row>
    <row r="10" spans="1:8" ht="16.5">
      <c r="A10" s="5">
        <v>7</v>
      </c>
      <c r="B10" s="9" t="s">
        <v>294</v>
      </c>
      <c r="C10" s="5">
        <v>750</v>
      </c>
      <c r="D10" s="5">
        <v>6</v>
      </c>
      <c r="E10" s="9" t="s">
        <v>129</v>
      </c>
      <c r="F10" s="9">
        <v>150</v>
      </c>
      <c r="G10" s="9">
        <v>15</v>
      </c>
      <c r="H10" s="9">
        <v>15</v>
      </c>
    </row>
    <row r="11" spans="1:8" ht="16.5">
      <c r="A11" s="5">
        <v>8</v>
      </c>
      <c r="B11" s="9" t="s">
        <v>295</v>
      </c>
      <c r="C11" s="5">
        <v>1125</v>
      </c>
      <c r="D11" s="5">
        <v>7</v>
      </c>
      <c r="E11" s="9" t="s">
        <v>130</v>
      </c>
      <c r="F11" s="9">
        <v>150</v>
      </c>
      <c r="G11" s="9">
        <v>15</v>
      </c>
      <c r="H11" s="9">
        <v>15</v>
      </c>
    </row>
    <row r="12" spans="1:8" ht="16.5">
      <c r="A12" s="5">
        <v>9</v>
      </c>
      <c r="B12" s="9" t="s">
        <v>296</v>
      </c>
      <c r="C12" s="5">
        <v>1200</v>
      </c>
      <c r="D12" s="5">
        <v>8</v>
      </c>
      <c r="E12" s="9" t="s">
        <v>131</v>
      </c>
      <c r="F12" s="9">
        <v>150</v>
      </c>
      <c r="G12" s="9">
        <v>15</v>
      </c>
      <c r="H12" s="9">
        <v>15</v>
      </c>
    </row>
    <row r="13" spans="1:8" ht="16.5">
      <c r="A13" s="5">
        <v>10</v>
      </c>
      <c r="B13" s="9" t="s">
        <v>297</v>
      </c>
      <c r="C13" s="5">
        <v>1300</v>
      </c>
      <c r="D13" s="5">
        <v>9</v>
      </c>
      <c r="E13" s="9" t="s">
        <v>132</v>
      </c>
      <c r="F13" s="9">
        <v>150</v>
      </c>
      <c r="G13" s="9">
        <v>15</v>
      </c>
      <c r="H13" s="9">
        <v>15</v>
      </c>
    </row>
    <row r="14" spans="1:8" ht="16.5">
      <c r="A14" s="5">
        <v>11</v>
      </c>
      <c r="B14" s="9" t="s">
        <v>298</v>
      </c>
      <c r="C14" s="5">
        <v>1500</v>
      </c>
      <c r="D14" s="5">
        <v>10</v>
      </c>
      <c r="E14" s="9" t="s">
        <v>133</v>
      </c>
      <c r="F14" s="9">
        <v>150</v>
      </c>
      <c r="G14" s="9">
        <v>15</v>
      </c>
      <c r="H14" s="9">
        <v>15</v>
      </c>
    </row>
    <row r="15" spans="1:8" ht="16.5">
      <c r="A15" s="5">
        <v>12</v>
      </c>
      <c r="B15" s="9" t="s">
        <v>299</v>
      </c>
      <c r="C15" s="5">
        <v>1700</v>
      </c>
      <c r="D15" s="5">
        <v>11</v>
      </c>
      <c r="E15" s="9" t="s">
        <v>134</v>
      </c>
      <c r="F15" s="9">
        <v>150</v>
      </c>
      <c r="G15" s="9">
        <v>15</v>
      </c>
      <c r="H15" s="9">
        <v>15</v>
      </c>
    </row>
    <row r="16" spans="1:8" ht="16.5">
      <c r="A16" s="5">
        <v>13</v>
      </c>
      <c r="B16" s="9" t="s">
        <v>300</v>
      </c>
      <c r="C16" s="5">
        <v>2350</v>
      </c>
      <c r="D16" s="5">
        <v>12</v>
      </c>
      <c r="E16" s="9" t="s">
        <v>135</v>
      </c>
      <c r="F16" s="9">
        <v>150</v>
      </c>
      <c r="G16" s="9">
        <v>15</v>
      </c>
      <c r="H16" s="9">
        <v>15</v>
      </c>
    </row>
    <row r="17" spans="1:8" ht="16.5">
      <c r="A17" s="5">
        <v>14</v>
      </c>
      <c r="B17" s="9" t="s">
        <v>301</v>
      </c>
      <c r="C17" s="5">
        <v>3125</v>
      </c>
      <c r="D17" s="5">
        <v>13</v>
      </c>
      <c r="E17" s="9" t="s">
        <v>136</v>
      </c>
      <c r="F17" s="9">
        <v>150</v>
      </c>
      <c r="G17" s="9">
        <v>15</v>
      </c>
      <c r="H17" s="9">
        <v>15</v>
      </c>
    </row>
    <row r="18" spans="1:8" ht="16.5">
      <c r="A18" s="5">
        <v>15</v>
      </c>
      <c r="B18" s="9" t="s">
        <v>302</v>
      </c>
      <c r="C18" s="5">
        <v>3750</v>
      </c>
      <c r="D18" s="5">
        <v>14</v>
      </c>
      <c r="E18" s="9" t="s">
        <v>137</v>
      </c>
      <c r="F18" s="9">
        <v>150</v>
      </c>
      <c r="G18" s="9">
        <v>15</v>
      </c>
      <c r="H18" s="9">
        <v>15</v>
      </c>
    </row>
    <row r="19" spans="1:8" ht="16.5">
      <c r="A19" s="5">
        <v>16</v>
      </c>
      <c r="B19" s="9" t="s">
        <v>303</v>
      </c>
      <c r="C19" s="5">
        <v>4025</v>
      </c>
      <c r="D19" s="5">
        <v>15</v>
      </c>
      <c r="E19" s="9" t="s">
        <v>138</v>
      </c>
      <c r="F19" s="9">
        <v>150</v>
      </c>
      <c r="G19" s="9">
        <v>15</v>
      </c>
      <c r="H19" s="9">
        <v>15</v>
      </c>
    </row>
    <row r="20" spans="1:8" ht="16.5">
      <c r="A20" s="5">
        <v>17</v>
      </c>
      <c r="B20" s="9" t="s">
        <v>304</v>
      </c>
      <c r="C20" s="5">
        <v>4737</v>
      </c>
      <c r="D20" s="5">
        <v>16</v>
      </c>
      <c r="E20" s="9" t="s">
        <v>139</v>
      </c>
      <c r="F20" s="9">
        <v>150</v>
      </c>
      <c r="G20" s="9">
        <v>15</v>
      </c>
      <c r="H20" s="9">
        <v>15</v>
      </c>
    </row>
    <row r="21" spans="1:8" ht="16.5">
      <c r="A21" s="5">
        <v>18</v>
      </c>
      <c r="B21" s="9" t="s">
        <v>305</v>
      </c>
      <c r="C21" s="5">
        <v>6281</v>
      </c>
      <c r="D21" s="5">
        <v>17</v>
      </c>
      <c r="E21" s="9" t="s">
        <v>140</v>
      </c>
      <c r="F21" s="9">
        <v>150</v>
      </c>
      <c r="G21" s="9">
        <v>15</v>
      </c>
      <c r="H21" s="9">
        <v>15</v>
      </c>
    </row>
    <row r="22" spans="1:8" ht="16.5">
      <c r="A22" s="5">
        <v>19</v>
      </c>
      <c r="B22" s="9" t="s">
        <v>306</v>
      </c>
      <c r="C22" s="5">
        <v>6416</v>
      </c>
      <c r="D22" s="5">
        <v>18</v>
      </c>
      <c r="E22" s="9" t="s">
        <v>141</v>
      </c>
      <c r="F22" s="9">
        <v>150</v>
      </c>
      <c r="G22" s="9">
        <v>15</v>
      </c>
      <c r="H22" s="9">
        <v>15</v>
      </c>
    </row>
    <row r="23" spans="1:8" ht="16.5">
      <c r="A23" s="5">
        <v>20</v>
      </c>
      <c r="B23" s="9" t="s">
        <v>307</v>
      </c>
      <c r="C23" s="5">
        <v>7607</v>
      </c>
      <c r="D23" s="5">
        <v>19</v>
      </c>
      <c r="E23" s="9" t="s">
        <v>142</v>
      </c>
      <c r="F23" s="9">
        <v>150</v>
      </c>
      <c r="G23" s="9">
        <v>15</v>
      </c>
      <c r="H23" s="9">
        <v>15</v>
      </c>
    </row>
    <row r="24" spans="1:8" ht="16.5">
      <c r="A24" s="5">
        <v>998</v>
      </c>
      <c r="B24" s="9" t="s">
        <v>307</v>
      </c>
      <c r="C24" s="5">
        <v>7607</v>
      </c>
      <c r="D24" s="5">
        <v>1000</v>
      </c>
      <c r="E24" s="9" t="s">
        <v>142</v>
      </c>
      <c r="F24" s="9">
        <v>150</v>
      </c>
      <c r="G24" s="9">
        <v>15</v>
      </c>
      <c r="H24" s="9">
        <v>15</v>
      </c>
    </row>
    <row r="25" spans="1:8">
      <c r="A25" s="5">
        <v>999</v>
      </c>
      <c r="B25" s="9" t="s">
        <v>235</v>
      </c>
      <c r="C25" s="5">
        <v>0</v>
      </c>
      <c r="D25" s="5">
        <v>5</v>
      </c>
      <c r="E25" s="9" t="s">
        <v>236</v>
      </c>
      <c r="F25" s="9">
        <v>1200</v>
      </c>
      <c r="G25" s="9">
        <v>0</v>
      </c>
      <c r="H25" s="9">
        <v>0</v>
      </c>
    </row>
    <row r="26" spans="1:8">
      <c r="A26" s="5">
        <v>1000</v>
      </c>
      <c r="B26" s="9" t="s">
        <v>235</v>
      </c>
      <c r="C26" s="5">
        <v>0</v>
      </c>
      <c r="D26" s="5">
        <v>20</v>
      </c>
      <c r="E26" s="9" t="s">
        <v>236</v>
      </c>
      <c r="F26" s="9">
        <v>1200</v>
      </c>
      <c r="G26" s="9">
        <v>0</v>
      </c>
      <c r="H26" s="9">
        <v>0</v>
      </c>
    </row>
    <row r="27" spans="1:8">
      <c r="A27" s="5"/>
    </row>
    <row r="28" spans="1:8">
      <c r="A28" s="5"/>
    </row>
    <row r="29" spans="1:8">
      <c r="A29" s="5"/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4"/>
  <sheetViews>
    <sheetView topLeftCell="A89" zoomScale="130" zoomScaleNormal="130" workbookViewId="0">
      <selection activeCell="D109" sqref="D109"/>
    </sheetView>
  </sheetViews>
  <sheetFormatPr defaultRowHeight="15"/>
  <cols>
    <col min="1" max="1" width="22.5703125" customWidth="1"/>
    <col min="2" max="2" width="54.28515625" bestFit="1" customWidth="1"/>
    <col min="3" max="3" width="53.85546875" bestFit="1" customWidth="1"/>
    <col min="4" max="4" width="12.85546875" bestFit="1" customWidth="1"/>
  </cols>
  <sheetData>
    <row r="1" spans="1:4">
      <c r="A1" s="14" t="s">
        <v>42</v>
      </c>
      <c r="B1" s="14" t="s">
        <v>102</v>
      </c>
      <c r="C1" s="14" t="s">
        <v>101</v>
      </c>
      <c r="D1" s="14" t="s">
        <v>87</v>
      </c>
    </row>
    <row r="2" spans="1:4">
      <c r="A2" s="16" t="s">
        <v>3</v>
      </c>
      <c r="B2" s="16" t="s">
        <v>3</v>
      </c>
      <c r="C2" s="16" t="s">
        <v>3</v>
      </c>
      <c r="D2" s="16" t="s">
        <v>3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 ht="16.5">
      <c r="A4" s="23" t="s">
        <v>16</v>
      </c>
      <c r="B4" s="21" t="s">
        <v>88</v>
      </c>
      <c r="C4" s="9" t="s">
        <v>92</v>
      </c>
      <c r="D4" s="9" t="s">
        <v>96</v>
      </c>
    </row>
    <row r="5" spans="1:4" ht="16.5">
      <c r="A5" s="22" t="s">
        <v>17</v>
      </c>
      <c r="B5" s="21" t="s">
        <v>89</v>
      </c>
      <c r="C5" s="9" t="s">
        <v>93</v>
      </c>
      <c r="D5" s="9" t="s">
        <v>97</v>
      </c>
    </row>
    <row r="6" spans="1:4" ht="16.5">
      <c r="A6" s="22" t="s">
        <v>18</v>
      </c>
      <c r="B6" s="21" t="s">
        <v>90</v>
      </c>
      <c r="C6" s="9" t="s">
        <v>94</v>
      </c>
      <c r="D6" s="9" t="s">
        <v>98</v>
      </c>
    </row>
    <row r="7" spans="1:4" ht="16.5">
      <c r="A7" s="22" t="s">
        <v>100</v>
      </c>
      <c r="B7" s="21" t="s">
        <v>91</v>
      </c>
      <c r="C7" s="9" t="s">
        <v>95</v>
      </c>
      <c r="D7" s="9" t="s">
        <v>99</v>
      </c>
    </row>
    <row r="8" spans="1:4">
      <c r="A8" s="2" t="s">
        <v>427</v>
      </c>
      <c r="B8" s="42" t="s">
        <v>206</v>
      </c>
      <c r="C8" s="2" t="s">
        <v>559</v>
      </c>
      <c r="D8" s="2" t="s">
        <v>202</v>
      </c>
    </row>
    <row r="9" spans="1:4">
      <c r="A9" s="2" t="s">
        <v>203</v>
      </c>
      <c r="B9" s="11" t="s">
        <v>207</v>
      </c>
      <c r="C9" s="2" t="s">
        <v>560</v>
      </c>
      <c r="D9" s="2" t="s">
        <v>203</v>
      </c>
    </row>
    <row r="10" spans="1:4">
      <c r="A10" s="2" t="s">
        <v>204</v>
      </c>
      <c r="B10" s="11" t="s">
        <v>208</v>
      </c>
      <c r="C10" s="2" t="s">
        <v>561</v>
      </c>
      <c r="D10" s="2" t="s">
        <v>204</v>
      </c>
    </row>
    <row r="11" spans="1:4">
      <c r="A11" s="2" t="s">
        <v>205</v>
      </c>
      <c r="B11" s="11" t="s">
        <v>428</v>
      </c>
      <c r="C11" s="2" t="s">
        <v>562</v>
      </c>
      <c r="D11" s="2" t="s">
        <v>205</v>
      </c>
    </row>
    <row r="12" spans="1:4">
      <c r="A12" s="2" t="s">
        <v>320</v>
      </c>
      <c r="B12" s="11" t="s">
        <v>321</v>
      </c>
      <c r="C12" s="11" t="s">
        <v>563</v>
      </c>
      <c r="D12" s="11" t="s">
        <v>322</v>
      </c>
    </row>
    <row r="13" spans="1:4">
      <c r="A13" s="2" t="s">
        <v>429</v>
      </c>
      <c r="B13" s="42" t="s">
        <v>206</v>
      </c>
      <c r="C13" s="2" t="s">
        <v>559</v>
      </c>
      <c r="D13" s="2" t="s">
        <v>202</v>
      </c>
    </row>
    <row r="14" spans="1:4">
      <c r="A14" s="2" t="s">
        <v>430</v>
      </c>
      <c r="B14" s="11" t="s">
        <v>207</v>
      </c>
      <c r="C14" s="2" t="s">
        <v>560</v>
      </c>
      <c r="D14" s="2" t="s">
        <v>203</v>
      </c>
    </row>
    <row r="15" spans="1:4">
      <c r="A15" s="2" t="s">
        <v>431</v>
      </c>
      <c r="B15" s="11" t="s">
        <v>208</v>
      </c>
      <c r="C15" s="2" t="s">
        <v>561</v>
      </c>
      <c r="D15" s="2" t="s">
        <v>204</v>
      </c>
    </row>
    <row r="16" spans="1:4">
      <c r="A16" s="2" t="s">
        <v>432</v>
      </c>
      <c r="B16" s="11" t="s">
        <v>428</v>
      </c>
      <c r="C16" s="2" t="s">
        <v>562</v>
      </c>
      <c r="D16" s="2" t="s">
        <v>205</v>
      </c>
    </row>
    <row r="17" spans="1:3" ht="16.5">
      <c r="A17" t="s">
        <v>433</v>
      </c>
      <c r="B17" s="137" t="s">
        <v>601</v>
      </c>
      <c r="C17" t="s">
        <v>732</v>
      </c>
    </row>
    <row r="18" spans="1:3">
      <c r="A18" t="s">
        <v>434</v>
      </c>
      <c r="B18" t="s">
        <v>436</v>
      </c>
      <c r="C18" t="s">
        <v>733</v>
      </c>
    </row>
    <row r="19" spans="1:3">
      <c r="A19" t="s">
        <v>435</v>
      </c>
      <c r="B19" t="s">
        <v>437</v>
      </c>
      <c r="C19" t="s">
        <v>734</v>
      </c>
    </row>
    <row r="20" spans="1:3">
      <c r="A20" t="s">
        <v>438</v>
      </c>
      <c r="B20" s="8" t="s">
        <v>565</v>
      </c>
      <c r="C20" s="8" t="s">
        <v>564</v>
      </c>
    </row>
    <row r="21" spans="1:3">
      <c r="A21" t="s">
        <v>439</v>
      </c>
      <c r="B21" s="8" t="s">
        <v>566</v>
      </c>
      <c r="C21" s="8" t="s">
        <v>566</v>
      </c>
    </row>
    <row r="22" spans="1:3">
      <c r="A22" t="s">
        <v>440</v>
      </c>
      <c r="B22" s="8" t="s">
        <v>567</v>
      </c>
      <c r="C22" s="8" t="s">
        <v>567</v>
      </c>
    </row>
    <row r="23" spans="1:3">
      <c r="A23" t="s">
        <v>441</v>
      </c>
      <c r="B23" s="8" t="s">
        <v>568</v>
      </c>
      <c r="C23" s="8" t="s">
        <v>568</v>
      </c>
    </row>
    <row r="24" spans="1:3">
      <c r="A24" t="s">
        <v>442</v>
      </c>
      <c r="B24" s="8" t="s">
        <v>569</v>
      </c>
      <c r="C24" s="8" t="s">
        <v>569</v>
      </c>
    </row>
    <row r="25" spans="1:3">
      <c r="A25" t="s">
        <v>443</v>
      </c>
      <c r="B25" s="8" t="s">
        <v>570</v>
      </c>
      <c r="C25" s="8" t="s">
        <v>570</v>
      </c>
    </row>
    <row r="26" spans="1:3">
      <c r="A26" t="s">
        <v>444</v>
      </c>
      <c r="B26" s="8" t="s">
        <v>571</v>
      </c>
      <c r="C26" s="8" t="s">
        <v>571</v>
      </c>
    </row>
    <row r="27" spans="1:3">
      <c r="A27" t="s">
        <v>445</v>
      </c>
      <c r="B27" s="8" t="s">
        <v>572</v>
      </c>
      <c r="C27" s="8" t="s">
        <v>572</v>
      </c>
    </row>
    <row r="28" spans="1:3">
      <c r="A28" t="s">
        <v>446</v>
      </c>
      <c r="B28" s="8" t="s">
        <v>573</v>
      </c>
      <c r="C28" s="8" t="s">
        <v>573</v>
      </c>
    </row>
    <row r="29" spans="1:3">
      <c r="A29" t="s">
        <v>447</v>
      </c>
      <c r="B29" s="8" t="s">
        <v>574</v>
      </c>
      <c r="C29" s="8" t="s">
        <v>574</v>
      </c>
    </row>
    <row r="30" spans="1:3">
      <c r="A30" t="s">
        <v>448</v>
      </c>
      <c r="B30" s="8" t="s">
        <v>575</v>
      </c>
      <c r="C30" s="8" t="s">
        <v>575</v>
      </c>
    </row>
    <row r="31" spans="1:3">
      <c r="A31" t="s">
        <v>449</v>
      </c>
      <c r="B31" s="8" t="s">
        <v>576</v>
      </c>
      <c r="C31" s="8" t="s">
        <v>576</v>
      </c>
    </row>
    <row r="32" spans="1:3">
      <c r="A32" t="s">
        <v>450</v>
      </c>
      <c r="B32" s="8" t="s">
        <v>577</v>
      </c>
      <c r="C32" s="8" t="s">
        <v>577</v>
      </c>
    </row>
    <row r="33" spans="1:5">
      <c r="A33" t="s">
        <v>451</v>
      </c>
      <c r="B33" s="8" t="s">
        <v>578</v>
      </c>
      <c r="C33" s="8" t="s">
        <v>578</v>
      </c>
    </row>
    <row r="34" spans="1:5">
      <c r="A34" t="s">
        <v>452</v>
      </c>
      <c r="B34" s="8" t="s">
        <v>579</v>
      </c>
      <c r="C34" s="8" t="s">
        <v>579</v>
      </c>
    </row>
    <row r="35" spans="1:5">
      <c r="A35" t="s">
        <v>453</v>
      </c>
      <c r="B35" s="8" t="s">
        <v>580</v>
      </c>
      <c r="C35" s="8" t="s">
        <v>580</v>
      </c>
    </row>
    <row r="36" spans="1:5">
      <c r="A36" t="s">
        <v>454</v>
      </c>
      <c r="B36" s="8" t="s">
        <v>581</v>
      </c>
      <c r="C36" s="8" t="s">
        <v>581</v>
      </c>
    </row>
    <row r="37" spans="1:5">
      <c r="A37" t="s">
        <v>455</v>
      </c>
      <c r="B37" s="8" t="s">
        <v>582</v>
      </c>
      <c r="C37" s="8" t="s">
        <v>582</v>
      </c>
    </row>
    <row r="38" spans="1:5">
      <c r="A38" t="s">
        <v>456</v>
      </c>
      <c r="B38" s="8" t="s">
        <v>583</v>
      </c>
      <c r="C38" s="8" t="s">
        <v>583</v>
      </c>
    </row>
    <row r="39" spans="1:5">
      <c r="A39" t="s">
        <v>457</v>
      </c>
      <c r="B39" s="8" t="s">
        <v>584</v>
      </c>
      <c r="C39" s="8" t="s">
        <v>584</v>
      </c>
    </row>
    <row r="40" spans="1:5">
      <c r="A40" t="s">
        <v>500</v>
      </c>
      <c r="B40" s="7" t="s">
        <v>522</v>
      </c>
      <c r="C40" s="7" t="s">
        <v>546</v>
      </c>
      <c r="D40" s="7"/>
      <c r="E40" s="7"/>
    </row>
    <row r="41" spans="1:5">
      <c r="A41" t="s">
        <v>470</v>
      </c>
      <c r="B41" s="7" t="s">
        <v>501</v>
      </c>
      <c r="C41" s="7" t="s">
        <v>545</v>
      </c>
    </row>
    <row r="42" spans="1:5">
      <c r="A42" t="s">
        <v>471</v>
      </c>
      <c r="B42" s="7" t="s">
        <v>503</v>
      </c>
      <c r="C42" s="7" t="s">
        <v>531</v>
      </c>
    </row>
    <row r="43" spans="1:5">
      <c r="A43" t="s">
        <v>472</v>
      </c>
      <c r="B43" s="7" t="s">
        <v>504</v>
      </c>
      <c r="C43" s="7" t="s">
        <v>532</v>
      </c>
    </row>
    <row r="44" spans="1:5">
      <c r="A44" t="s">
        <v>473</v>
      </c>
      <c r="B44" s="7" t="s">
        <v>505</v>
      </c>
      <c r="C44" s="7" t="s">
        <v>533</v>
      </c>
    </row>
    <row r="45" spans="1:5">
      <c r="A45" t="s">
        <v>474</v>
      </c>
      <c r="B45" s="7" t="s">
        <v>506</v>
      </c>
      <c r="C45" s="7" t="s">
        <v>547</v>
      </c>
    </row>
    <row r="46" spans="1:5">
      <c r="A46" t="s">
        <v>475</v>
      </c>
      <c r="B46" s="7" t="s">
        <v>507</v>
      </c>
      <c r="C46" s="7" t="s">
        <v>548</v>
      </c>
    </row>
    <row r="47" spans="1:5">
      <c r="A47" t="s">
        <v>476</v>
      </c>
      <c r="B47" s="7" t="s">
        <v>508</v>
      </c>
      <c r="C47" s="7" t="s">
        <v>549</v>
      </c>
    </row>
    <row r="48" spans="1:5">
      <c r="A48" t="s">
        <v>477</v>
      </c>
      <c r="B48" s="7" t="s">
        <v>509</v>
      </c>
      <c r="C48" s="7" t="s">
        <v>550</v>
      </c>
    </row>
    <row r="49" spans="1:5">
      <c r="A49" t="s">
        <v>478</v>
      </c>
      <c r="B49" s="7" t="s">
        <v>510</v>
      </c>
      <c r="C49" s="7" t="s">
        <v>534</v>
      </c>
    </row>
    <row r="50" spans="1:5">
      <c r="A50" t="s">
        <v>479</v>
      </c>
      <c r="B50" s="7" t="s">
        <v>511</v>
      </c>
      <c r="C50" s="7" t="s">
        <v>535</v>
      </c>
    </row>
    <row r="51" spans="1:5">
      <c r="A51" t="s">
        <v>480</v>
      </c>
      <c r="B51" s="7" t="s">
        <v>512</v>
      </c>
      <c r="C51" s="7" t="s">
        <v>536</v>
      </c>
    </row>
    <row r="52" spans="1:5">
      <c r="A52" t="s">
        <v>481</v>
      </c>
      <c r="B52" s="7" t="s">
        <v>514</v>
      </c>
      <c r="C52" s="7" t="s">
        <v>551</v>
      </c>
    </row>
    <row r="53" spans="1:5">
      <c r="A53" t="s">
        <v>482</v>
      </c>
      <c r="B53" s="7" t="s">
        <v>513</v>
      </c>
      <c r="C53" s="7" t="s">
        <v>537</v>
      </c>
    </row>
    <row r="54" spans="1:5">
      <c r="A54" t="s">
        <v>483</v>
      </c>
      <c r="B54" s="7" t="s">
        <v>515</v>
      </c>
      <c r="C54" s="7" t="s">
        <v>538</v>
      </c>
    </row>
    <row r="55" spans="1:5">
      <c r="A55" t="s">
        <v>484</v>
      </c>
      <c r="B55" s="7" t="s">
        <v>516</v>
      </c>
      <c r="C55" s="7" t="s">
        <v>539</v>
      </c>
    </row>
    <row r="56" spans="1:5">
      <c r="A56" t="s">
        <v>485</v>
      </c>
      <c r="B56" s="7" t="s">
        <v>517</v>
      </c>
      <c r="C56" s="7" t="s">
        <v>654</v>
      </c>
    </row>
    <row r="57" spans="1:5">
      <c r="A57" t="s">
        <v>486</v>
      </c>
      <c r="B57" s="7" t="s">
        <v>518</v>
      </c>
      <c r="C57" s="7" t="s">
        <v>655</v>
      </c>
    </row>
    <row r="58" spans="1:5">
      <c r="A58" t="s">
        <v>487</v>
      </c>
      <c r="B58" s="7" t="s">
        <v>521</v>
      </c>
      <c r="C58" s="7" t="s">
        <v>554</v>
      </c>
    </row>
    <row r="59" spans="1:5">
      <c r="A59" t="s">
        <v>488</v>
      </c>
      <c r="B59" s="7" t="s">
        <v>502</v>
      </c>
      <c r="C59" s="7" t="s">
        <v>555</v>
      </c>
    </row>
    <row r="60" spans="1:5">
      <c r="A60" t="s">
        <v>489</v>
      </c>
      <c r="B60" s="7" t="s">
        <v>519</v>
      </c>
      <c r="C60" s="7" t="s">
        <v>552</v>
      </c>
      <c r="D60" s="7"/>
      <c r="E60" s="7"/>
    </row>
    <row r="61" spans="1:5">
      <c r="A61" t="s">
        <v>490</v>
      </c>
      <c r="B61" s="7" t="s">
        <v>520</v>
      </c>
      <c r="C61" s="7" t="s">
        <v>553</v>
      </c>
      <c r="D61" s="7"/>
      <c r="E61" s="7"/>
    </row>
    <row r="62" spans="1:5">
      <c r="A62" t="s">
        <v>491</v>
      </c>
      <c r="B62" s="7" t="s">
        <v>523</v>
      </c>
      <c r="C62" s="7" t="s">
        <v>540</v>
      </c>
    </row>
    <row r="63" spans="1:5">
      <c r="A63" t="s">
        <v>492</v>
      </c>
      <c r="B63" s="7" t="s">
        <v>524</v>
      </c>
      <c r="C63" s="7" t="s">
        <v>541</v>
      </c>
    </row>
    <row r="64" spans="1:5">
      <c r="A64" t="s">
        <v>493</v>
      </c>
      <c r="B64" s="7" t="s">
        <v>525</v>
      </c>
      <c r="C64" s="7" t="s">
        <v>542</v>
      </c>
    </row>
    <row r="65" spans="1:3">
      <c r="A65" t="s">
        <v>494</v>
      </c>
      <c r="B65" s="7" t="s">
        <v>526</v>
      </c>
      <c r="C65" s="7" t="s">
        <v>556</v>
      </c>
    </row>
    <row r="66" spans="1:3">
      <c r="A66" t="s">
        <v>495</v>
      </c>
      <c r="B66" s="7" t="s">
        <v>527</v>
      </c>
      <c r="C66" s="7" t="s">
        <v>557</v>
      </c>
    </row>
    <row r="67" spans="1:3">
      <c r="A67" t="s">
        <v>496</v>
      </c>
      <c r="B67" s="7" t="s">
        <v>528</v>
      </c>
      <c r="C67" s="7" t="s">
        <v>558</v>
      </c>
    </row>
    <row r="68" spans="1:3">
      <c r="A68" t="s">
        <v>497</v>
      </c>
      <c r="B68" s="7" t="s">
        <v>529</v>
      </c>
      <c r="C68" s="7" t="s">
        <v>543</v>
      </c>
    </row>
    <row r="69" spans="1:3">
      <c r="A69" t="s">
        <v>498</v>
      </c>
      <c r="B69" s="7" t="s">
        <v>530</v>
      </c>
      <c r="C69" s="7" t="s">
        <v>544</v>
      </c>
    </row>
    <row r="70" spans="1:3">
      <c r="A70" t="s">
        <v>499</v>
      </c>
      <c r="B70" s="7" t="s">
        <v>602</v>
      </c>
      <c r="C70" s="7" t="s">
        <v>656</v>
      </c>
    </row>
    <row r="71" spans="1:3">
      <c r="A71" t="s">
        <v>585</v>
      </c>
      <c r="B71" s="7" t="s">
        <v>586</v>
      </c>
      <c r="C71" s="7" t="s">
        <v>739</v>
      </c>
    </row>
    <row r="72" spans="1:3">
      <c r="A72" s="8" t="s">
        <v>587</v>
      </c>
      <c r="B72" s="7" t="s">
        <v>588</v>
      </c>
      <c r="C72" s="7" t="s">
        <v>740</v>
      </c>
    </row>
    <row r="73" spans="1:3">
      <c r="A73" s="8" t="s">
        <v>589</v>
      </c>
      <c r="B73" s="7" t="s">
        <v>592</v>
      </c>
      <c r="C73" s="7" t="s">
        <v>735</v>
      </c>
    </row>
    <row r="74" spans="1:3">
      <c r="A74" s="8" t="s">
        <v>590</v>
      </c>
      <c r="B74" s="7" t="s">
        <v>593</v>
      </c>
      <c r="C74" s="7" t="s">
        <v>736</v>
      </c>
    </row>
    <row r="75" spans="1:3">
      <c r="A75" s="8" t="s">
        <v>591</v>
      </c>
      <c r="B75" s="7" t="s">
        <v>594</v>
      </c>
      <c r="C75" s="7" t="s">
        <v>737</v>
      </c>
    </row>
    <row r="76" spans="1:3">
      <c r="A76" s="8" t="s">
        <v>599</v>
      </c>
      <c r="B76" s="12" t="s">
        <v>600</v>
      </c>
      <c r="C76" s="7" t="s">
        <v>738</v>
      </c>
    </row>
    <row r="77" spans="1:3">
      <c r="A77" s="8" t="s">
        <v>608</v>
      </c>
      <c r="B77" t="s">
        <v>609</v>
      </c>
      <c r="C77" t="s">
        <v>726</v>
      </c>
    </row>
    <row r="78" spans="1:3">
      <c r="A78" t="s">
        <v>607</v>
      </c>
      <c r="B78" t="s">
        <v>727</v>
      </c>
      <c r="C78" t="s">
        <v>727</v>
      </c>
    </row>
    <row r="79" spans="1:3">
      <c r="A79" t="s">
        <v>610</v>
      </c>
      <c r="B79" t="s">
        <v>611</v>
      </c>
      <c r="C79" t="s">
        <v>728</v>
      </c>
    </row>
    <row r="80" spans="1:3">
      <c r="A80" t="s">
        <v>612</v>
      </c>
      <c r="B80" t="s">
        <v>613</v>
      </c>
      <c r="C80" t="s">
        <v>729</v>
      </c>
    </row>
    <row r="81" spans="1:3">
      <c r="A81" t="s">
        <v>614</v>
      </c>
      <c r="B81" t="s">
        <v>615</v>
      </c>
      <c r="C81" t="s">
        <v>730</v>
      </c>
    </row>
    <row r="82" spans="1:3">
      <c r="A82" t="s">
        <v>616</v>
      </c>
      <c r="B82" t="s">
        <v>617</v>
      </c>
      <c r="C82" t="s">
        <v>731</v>
      </c>
    </row>
    <row r="83" spans="1:3">
      <c r="A83" t="s">
        <v>618</v>
      </c>
      <c r="B83" t="s">
        <v>619</v>
      </c>
      <c r="C83" t="s">
        <v>721</v>
      </c>
    </row>
    <row r="84" spans="1:3">
      <c r="A84" t="s">
        <v>620</v>
      </c>
      <c r="B84" t="s">
        <v>621</v>
      </c>
      <c r="C84" t="s">
        <v>722</v>
      </c>
    </row>
    <row r="85" spans="1:3">
      <c r="A85" t="s">
        <v>622</v>
      </c>
      <c r="B85" t="s">
        <v>623</v>
      </c>
      <c r="C85" t="s">
        <v>723</v>
      </c>
    </row>
    <row r="86" spans="1:3">
      <c r="A86" t="s">
        <v>624</v>
      </c>
      <c r="B86" t="s">
        <v>625</v>
      </c>
      <c r="C86" t="s">
        <v>724</v>
      </c>
    </row>
    <row r="87" spans="1:3" ht="15.75" thickBot="1">
      <c r="A87" t="s">
        <v>626</v>
      </c>
      <c r="B87" t="s">
        <v>627</v>
      </c>
      <c r="C87" t="s">
        <v>725</v>
      </c>
    </row>
    <row r="88" spans="1:3" ht="15.75" thickBot="1">
      <c r="A88" s="138" t="s">
        <v>657</v>
      </c>
      <c r="B88" s="138" t="s">
        <v>658</v>
      </c>
      <c r="C88" t="s">
        <v>718</v>
      </c>
    </row>
    <row r="89" spans="1:3" ht="15.75" thickBot="1">
      <c r="A89" s="138" t="s">
        <v>659</v>
      </c>
      <c r="B89" s="139" t="s">
        <v>719</v>
      </c>
      <c r="C89" s="8" t="s">
        <v>720</v>
      </c>
    </row>
    <row r="90" spans="1:3">
      <c r="A90" t="s">
        <v>660</v>
      </c>
      <c r="B90" t="s">
        <v>661</v>
      </c>
      <c r="C90" t="s">
        <v>699</v>
      </c>
    </row>
    <row r="91" spans="1:3">
      <c r="A91" t="s">
        <v>662</v>
      </c>
      <c r="B91" t="s">
        <v>663</v>
      </c>
      <c r="C91" t="s">
        <v>700</v>
      </c>
    </row>
    <row r="92" spans="1:3">
      <c r="A92" t="s">
        <v>664</v>
      </c>
      <c r="B92" t="s">
        <v>665</v>
      </c>
      <c r="C92" t="s">
        <v>701</v>
      </c>
    </row>
    <row r="93" spans="1:3">
      <c r="A93" t="s">
        <v>666</v>
      </c>
      <c r="B93" t="s">
        <v>667</v>
      </c>
      <c r="C93" t="s">
        <v>702</v>
      </c>
    </row>
    <row r="94" spans="1:3">
      <c r="A94" t="s">
        <v>668</v>
      </c>
      <c r="B94" t="s">
        <v>669</v>
      </c>
      <c r="C94" t="s">
        <v>703</v>
      </c>
    </row>
    <row r="95" spans="1:3">
      <c r="A95" t="s">
        <v>670</v>
      </c>
      <c r="B95" t="s">
        <v>671</v>
      </c>
      <c r="C95" t="s">
        <v>704</v>
      </c>
    </row>
    <row r="96" spans="1:3">
      <c r="A96" t="s">
        <v>672</v>
      </c>
      <c r="B96" t="s">
        <v>673</v>
      </c>
      <c r="C96" t="s">
        <v>705</v>
      </c>
    </row>
    <row r="97" spans="1:3">
      <c r="A97" t="s">
        <v>674</v>
      </c>
      <c r="B97" t="s">
        <v>675</v>
      </c>
      <c r="C97" t="s">
        <v>706</v>
      </c>
    </row>
    <row r="98" spans="1:3">
      <c r="A98" t="s">
        <v>676</v>
      </c>
      <c r="B98" t="s">
        <v>677</v>
      </c>
      <c r="C98" t="s">
        <v>707</v>
      </c>
    </row>
    <row r="99" spans="1:3">
      <c r="A99" t="s">
        <v>678</v>
      </c>
      <c r="B99" t="s">
        <v>679</v>
      </c>
      <c r="C99" t="s">
        <v>708</v>
      </c>
    </row>
    <row r="100" spans="1:3">
      <c r="A100" t="s">
        <v>680</v>
      </c>
      <c r="B100" t="s">
        <v>681</v>
      </c>
      <c r="C100" t="s">
        <v>709</v>
      </c>
    </row>
    <row r="101" spans="1:3">
      <c r="A101" t="s">
        <v>682</v>
      </c>
      <c r="B101" t="s">
        <v>683</v>
      </c>
      <c r="C101" t="s">
        <v>710</v>
      </c>
    </row>
    <row r="102" spans="1:3">
      <c r="A102" t="s">
        <v>684</v>
      </c>
      <c r="B102" t="s">
        <v>685</v>
      </c>
      <c r="C102" t="s">
        <v>711</v>
      </c>
    </row>
    <row r="103" spans="1:3">
      <c r="A103" t="s">
        <v>686</v>
      </c>
      <c r="B103" t="s">
        <v>687</v>
      </c>
      <c r="C103" t="s">
        <v>712</v>
      </c>
    </row>
    <row r="104" spans="1:3">
      <c r="A104" t="s">
        <v>688</v>
      </c>
      <c r="B104" t="s">
        <v>689</v>
      </c>
      <c r="C104" t="s">
        <v>713</v>
      </c>
    </row>
    <row r="105" spans="1:3">
      <c r="A105" t="s">
        <v>690</v>
      </c>
      <c r="B105" t="s">
        <v>691</v>
      </c>
      <c r="C105" t="s">
        <v>714</v>
      </c>
    </row>
    <row r="106" spans="1:3">
      <c r="A106" t="s">
        <v>692</v>
      </c>
      <c r="B106" t="s">
        <v>693</v>
      </c>
      <c r="C106" t="s">
        <v>715</v>
      </c>
    </row>
    <row r="107" spans="1:3">
      <c r="A107" t="s">
        <v>694</v>
      </c>
      <c r="B107" t="s">
        <v>695</v>
      </c>
      <c r="C107" t="s">
        <v>716</v>
      </c>
    </row>
    <row r="108" spans="1:3">
      <c r="A108" t="s">
        <v>696</v>
      </c>
      <c r="B108" t="s">
        <v>697</v>
      </c>
      <c r="C108" t="s">
        <v>717</v>
      </c>
    </row>
    <row r="109" spans="1:3" ht="16.5">
      <c r="A109" t="s">
        <v>698</v>
      </c>
      <c r="B109" s="137" t="s">
        <v>788</v>
      </c>
      <c r="C109" s="8" t="s">
        <v>787</v>
      </c>
    </row>
    <row r="110" spans="1:3">
      <c r="A110" s="8" t="s">
        <v>746</v>
      </c>
      <c r="B110" s="12" t="s">
        <v>750</v>
      </c>
      <c r="C110" s="140" t="s">
        <v>751</v>
      </c>
    </row>
    <row r="111" spans="1:3">
      <c r="A111" s="8" t="s">
        <v>747</v>
      </c>
      <c r="B111" t="s">
        <v>617</v>
      </c>
      <c r="C111" s="8" t="s">
        <v>778</v>
      </c>
    </row>
    <row r="112" spans="1:3">
      <c r="A112" t="s">
        <v>748</v>
      </c>
      <c r="B112" s="12" t="s">
        <v>749</v>
      </c>
      <c r="C112" s="8" t="s">
        <v>752</v>
      </c>
    </row>
    <row r="113" spans="1:3">
      <c r="A113" s="8" t="s">
        <v>779</v>
      </c>
      <c r="B113" s="12" t="s">
        <v>780</v>
      </c>
      <c r="C113" s="8" t="s">
        <v>781</v>
      </c>
    </row>
    <row r="114" spans="1:3" ht="16.5">
      <c r="A114" t="s">
        <v>784</v>
      </c>
      <c r="B114" s="24" t="s">
        <v>785</v>
      </c>
      <c r="C114" s="8" t="s">
        <v>786</v>
      </c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</sheetPr>
  <dimension ref="A1:F47"/>
  <sheetViews>
    <sheetView workbookViewId="0">
      <selection activeCell="F30" sqref="F30"/>
    </sheetView>
  </sheetViews>
  <sheetFormatPr defaultRowHeight="15"/>
  <cols>
    <col min="4" max="5" width="15.42578125" customWidth="1"/>
    <col min="6" max="6" width="21.7109375" customWidth="1"/>
  </cols>
  <sheetData>
    <row r="1" spans="1:6">
      <c r="A1" s="14" t="s">
        <v>42</v>
      </c>
      <c r="B1" s="14" t="s">
        <v>194</v>
      </c>
      <c r="C1" s="14" t="s">
        <v>67</v>
      </c>
      <c r="D1" s="14" t="s">
        <v>65</v>
      </c>
      <c r="E1" s="14" t="s">
        <v>118</v>
      </c>
      <c r="F1" s="14" t="s">
        <v>66</v>
      </c>
    </row>
    <row r="2" spans="1:6">
      <c r="A2" s="15" t="s">
        <v>1</v>
      </c>
      <c r="B2" s="15" t="s">
        <v>1</v>
      </c>
      <c r="C2" s="15" t="s">
        <v>1</v>
      </c>
      <c r="D2" s="16" t="s">
        <v>191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1</v>
      </c>
      <c r="C4" s="5">
        <f>COUNTIF($B$4:B4,B4)</f>
        <v>1</v>
      </c>
      <c r="D4" s="9">
        <f>IF(COUNTIF($B$4:B4,B4)=2,2,0)</f>
        <v>0</v>
      </c>
      <c r="E4" s="5">
        <v>2001</v>
      </c>
      <c r="F4" s="5">
        <v>3</v>
      </c>
    </row>
    <row r="5" spans="1:6">
      <c r="A5" s="5">
        <v>2</v>
      </c>
      <c r="B5" s="5">
        <v>1</v>
      </c>
      <c r="C5" s="5">
        <f>COUNTIF($B$4:B5,B5)</f>
        <v>2</v>
      </c>
      <c r="D5" s="9">
        <f>IF(COUNTIF($B$4:B5,B5)=2,2,0)</f>
        <v>2</v>
      </c>
      <c r="E5" s="5">
        <v>0</v>
      </c>
      <c r="F5" s="5">
        <v>3</v>
      </c>
    </row>
    <row r="6" spans="1:6">
      <c r="A6" s="5">
        <v>3</v>
      </c>
      <c r="B6" s="5">
        <v>2</v>
      </c>
      <c r="C6" s="5">
        <f>COUNTIF($B$4:B6,B6)</f>
        <v>1</v>
      </c>
      <c r="D6" s="9">
        <f>IF(COUNTIF($B$4:B6,B6)=2,2,0)</f>
        <v>0</v>
      </c>
      <c r="E6" s="5">
        <v>2002</v>
      </c>
      <c r="F6" s="5">
        <v>3</v>
      </c>
    </row>
    <row r="7" spans="1:6">
      <c r="A7" s="5">
        <v>4</v>
      </c>
      <c r="B7" s="5">
        <v>2</v>
      </c>
      <c r="C7" s="5">
        <f>COUNTIF($B$4:B7,B7)</f>
        <v>2</v>
      </c>
      <c r="D7" s="9">
        <f>IF(COUNTIF($B$4:B7,B7)=2,2,0)</f>
        <v>2</v>
      </c>
      <c r="E7" s="5">
        <v>0</v>
      </c>
      <c r="F7" s="5">
        <v>3</v>
      </c>
    </row>
    <row r="8" spans="1:6">
      <c r="A8" s="5">
        <v>5</v>
      </c>
      <c r="B8" s="5">
        <v>3</v>
      </c>
      <c r="C8" s="5">
        <f>COUNTIF($B$4:B8,B8)</f>
        <v>1</v>
      </c>
      <c r="D8" s="9">
        <f>IF(COUNTIF($B$4:B8,B8)=2,2,0)</f>
        <v>0</v>
      </c>
      <c r="E8" s="5">
        <v>2019</v>
      </c>
      <c r="F8" s="5">
        <v>3</v>
      </c>
    </row>
    <row r="9" spans="1:6">
      <c r="A9" s="5">
        <v>6</v>
      </c>
      <c r="B9" s="5">
        <v>3</v>
      </c>
      <c r="C9" s="5">
        <f>COUNTIF($B$4:B9,B9)</f>
        <v>2</v>
      </c>
      <c r="D9" s="9">
        <f>IF(COUNTIF($B$4:B9,B9)=2,2,0)</f>
        <v>2</v>
      </c>
      <c r="E9" s="5">
        <v>0</v>
      </c>
      <c r="F9" s="5">
        <v>3</v>
      </c>
    </row>
    <row r="10" spans="1:6">
      <c r="A10" s="5">
        <v>7</v>
      </c>
      <c r="B10" s="5">
        <v>4</v>
      </c>
      <c r="C10" s="5">
        <f>COUNTIF($B$4:B10,B10)</f>
        <v>1</v>
      </c>
      <c r="D10" s="9">
        <f>IF(COUNTIF($B$4:B10,B10)=2,2,0)</f>
        <v>0</v>
      </c>
      <c r="E10" s="5">
        <v>2020</v>
      </c>
      <c r="F10" s="5">
        <v>3</v>
      </c>
    </row>
    <row r="11" spans="1:6">
      <c r="A11" s="5">
        <v>8</v>
      </c>
      <c r="B11" s="5">
        <v>4</v>
      </c>
      <c r="C11" s="5">
        <f>COUNTIF($B$4:B11,B11)</f>
        <v>2</v>
      </c>
      <c r="D11" s="9">
        <f>IF(COUNTIF($B$4:B11,B11)=2,2,0)</f>
        <v>2</v>
      </c>
      <c r="E11" s="5">
        <v>0</v>
      </c>
      <c r="F11" s="5">
        <v>3</v>
      </c>
    </row>
    <row r="12" spans="1:6">
      <c r="A12" s="5">
        <v>9</v>
      </c>
      <c r="B12" s="5">
        <v>5</v>
      </c>
      <c r="C12" s="5">
        <f>COUNTIF($B$4:B12,B12)</f>
        <v>1</v>
      </c>
      <c r="D12" s="9">
        <f>IF(COUNTIF($B$4:B12,B12)=2,2,0)</f>
        <v>0</v>
      </c>
      <c r="E12" s="5">
        <v>2021</v>
      </c>
      <c r="F12" s="5">
        <v>3</v>
      </c>
    </row>
    <row r="13" spans="1:6">
      <c r="A13" s="5">
        <v>10</v>
      </c>
      <c r="B13" s="5">
        <v>5</v>
      </c>
      <c r="C13" s="5">
        <f>COUNTIF($B$4:B13,B13)</f>
        <v>2</v>
      </c>
      <c r="D13" s="9">
        <f>IF(COUNTIF($B$4:B13,B13)=2,2,0)</f>
        <v>2</v>
      </c>
      <c r="E13" s="5">
        <v>0</v>
      </c>
      <c r="F13" s="5">
        <v>3</v>
      </c>
    </row>
    <row r="14" spans="1:6">
      <c r="A14" s="5">
        <v>11</v>
      </c>
      <c r="B14" s="5">
        <v>6</v>
      </c>
      <c r="C14" s="5">
        <f>COUNTIF($B$4:B14,B14)</f>
        <v>1</v>
      </c>
      <c r="D14" s="9">
        <f>IF(COUNTIF($B$4:B14,B14)=2,2,0)</f>
        <v>0</v>
      </c>
      <c r="E14" s="5">
        <v>2022</v>
      </c>
      <c r="F14" s="5">
        <v>3</v>
      </c>
    </row>
    <row r="15" spans="1:6">
      <c r="A15" s="5">
        <v>12</v>
      </c>
      <c r="B15" s="5">
        <v>6</v>
      </c>
      <c r="C15" s="5">
        <f>COUNTIF($B$4:B15,B15)</f>
        <v>2</v>
      </c>
      <c r="D15" s="9">
        <f>IF(COUNTIF($B$4:B15,B15)=2,2,0)</f>
        <v>2</v>
      </c>
      <c r="E15" s="5">
        <v>0</v>
      </c>
      <c r="F15" s="5">
        <v>3</v>
      </c>
    </row>
    <row r="16" spans="1:6">
      <c r="A16" s="5">
        <v>13</v>
      </c>
      <c r="B16" s="5">
        <v>7</v>
      </c>
      <c r="C16" s="5">
        <f>COUNTIF($B$4:B16,B16)</f>
        <v>1</v>
      </c>
      <c r="D16" s="9">
        <f>IF(COUNTIF($B$4:B16,B16)=2,2,0)</f>
        <v>0</v>
      </c>
      <c r="E16" s="5">
        <v>2003</v>
      </c>
      <c r="F16" s="5">
        <v>3</v>
      </c>
    </row>
    <row r="17" spans="1:6">
      <c r="A17" s="5">
        <v>14</v>
      </c>
      <c r="B17" s="5">
        <v>7</v>
      </c>
      <c r="C17" s="5">
        <f>COUNTIF($B$4:B17,B17)</f>
        <v>2</v>
      </c>
      <c r="D17" s="9">
        <f>IF(COUNTIF($B$4:B17,B17)=2,2,0)</f>
        <v>2</v>
      </c>
      <c r="E17" s="5">
        <v>0</v>
      </c>
      <c r="F17" s="5">
        <v>3</v>
      </c>
    </row>
    <row r="18" spans="1:6">
      <c r="A18" s="5">
        <v>15</v>
      </c>
      <c r="B18" s="5">
        <v>8</v>
      </c>
      <c r="C18" s="5">
        <f>COUNTIF($B$4:B18,B18)</f>
        <v>1</v>
      </c>
      <c r="D18" s="9">
        <f>IF(COUNTIF($B$4:B18,B18)=2,2,0)</f>
        <v>0</v>
      </c>
      <c r="E18" s="5">
        <v>2004</v>
      </c>
      <c r="F18" s="5">
        <v>3</v>
      </c>
    </row>
    <row r="19" spans="1:6">
      <c r="A19" s="5">
        <v>16</v>
      </c>
      <c r="B19" s="5">
        <v>8</v>
      </c>
      <c r="C19" s="5">
        <f>COUNTIF($B$4:B19,B19)</f>
        <v>2</v>
      </c>
      <c r="D19" s="9">
        <f>IF(COUNTIF($B$4:B19,B19)=2,2,0)</f>
        <v>2</v>
      </c>
      <c r="E19" s="5">
        <v>0</v>
      </c>
      <c r="F19" s="5">
        <v>3</v>
      </c>
    </row>
    <row r="20" spans="1:6">
      <c r="A20" s="5">
        <v>17</v>
      </c>
      <c r="B20" s="5">
        <v>9</v>
      </c>
      <c r="C20" s="5">
        <f>COUNTIF($B$4:B20,B20)</f>
        <v>1</v>
      </c>
      <c r="D20" s="9">
        <f>IF(COUNTIF($B$4:B20,B20)=2,2,0)</f>
        <v>0</v>
      </c>
      <c r="E20" s="5">
        <v>2005</v>
      </c>
      <c r="F20" s="5">
        <v>3</v>
      </c>
    </row>
    <row r="21" spans="1:6">
      <c r="A21" s="5">
        <v>18</v>
      </c>
      <c r="B21" s="5">
        <v>9</v>
      </c>
      <c r="C21" s="5">
        <f>COUNTIF($B$4:B21,B21)</f>
        <v>2</v>
      </c>
      <c r="D21" s="9">
        <f>IF(COUNTIF($B$4:B21,B21)=2,2,0)</f>
        <v>2</v>
      </c>
      <c r="E21" s="5">
        <v>0</v>
      </c>
      <c r="F21" s="5">
        <v>3</v>
      </c>
    </row>
    <row r="22" spans="1:6">
      <c r="A22" s="5">
        <v>19</v>
      </c>
      <c r="B22" s="5">
        <v>10</v>
      </c>
      <c r="C22" s="5">
        <f>COUNTIF($B$4:B22,B22)</f>
        <v>1</v>
      </c>
      <c r="D22" s="9">
        <f>IF(COUNTIF($B$4:B22,B22)=2,2,0)</f>
        <v>0</v>
      </c>
      <c r="E22" s="5">
        <v>2006</v>
      </c>
      <c r="F22" s="5">
        <v>3</v>
      </c>
    </row>
    <row r="23" spans="1:6">
      <c r="A23" s="5">
        <v>20</v>
      </c>
      <c r="B23" s="5">
        <v>10</v>
      </c>
      <c r="C23" s="5">
        <f>COUNTIF($B$4:B23,B23)</f>
        <v>2</v>
      </c>
      <c r="D23" s="9">
        <f>IF(COUNTIF($B$4:B23,B23)=2,2,0)</f>
        <v>2</v>
      </c>
      <c r="E23" s="5">
        <v>0</v>
      </c>
      <c r="F23" s="5">
        <v>3</v>
      </c>
    </row>
    <row r="24" spans="1:6">
      <c r="A24" s="5">
        <v>21</v>
      </c>
      <c r="B24" s="5">
        <v>11</v>
      </c>
      <c r="C24" s="5">
        <f>COUNTIF($B$4:B24,B24)</f>
        <v>1</v>
      </c>
      <c r="D24" s="9">
        <f>IF(COUNTIF($B$4:B24,B24)=2,2,0)</f>
        <v>0</v>
      </c>
      <c r="E24" s="5">
        <v>2007</v>
      </c>
      <c r="F24" s="5">
        <v>3</v>
      </c>
    </row>
    <row r="25" spans="1:6">
      <c r="A25" s="5">
        <v>22</v>
      </c>
      <c r="B25" s="5">
        <v>11</v>
      </c>
      <c r="C25" s="5">
        <f>COUNTIF($B$4:B25,B25)</f>
        <v>2</v>
      </c>
      <c r="D25" s="9">
        <f>IF(COUNTIF($B$4:B25,B25)=2,2,0)</f>
        <v>2</v>
      </c>
      <c r="E25" s="5">
        <v>0</v>
      </c>
      <c r="F25" s="5">
        <v>3</v>
      </c>
    </row>
    <row r="26" spans="1:6">
      <c r="A26" s="5">
        <v>23</v>
      </c>
      <c r="B26" s="5">
        <v>12</v>
      </c>
      <c r="C26" s="5">
        <f>COUNTIF($B$4:B26,B26)</f>
        <v>1</v>
      </c>
      <c r="D26" s="9">
        <f>IF(COUNTIF($B$4:B26,B26)=2,2,0)</f>
        <v>0</v>
      </c>
      <c r="E26" s="5">
        <v>2008</v>
      </c>
      <c r="F26" s="5">
        <v>3</v>
      </c>
    </row>
    <row r="27" spans="1:6">
      <c r="A27" s="5">
        <v>24</v>
      </c>
      <c r="B27" s="5">
        <v>12</v>
      </c>
      <c r="C27" s="5">
        <f>COUNTIF($B$4:B27,B27)</f>
        <v>2</v>
      </c>
      <c r="D27" s="9">
        <f>IF(COUNTIF($B$4:B27,B27)=2,2,0)</f>
        <v>2</v>
      </c>
      <c r="E27" s="5">
        <v>0</v>
      </c>
      <c r="F27" s="5">
        <v>3</v>
      </c>
    </row>
    <row r="28" spans="1:6">
      <c r="A28" s="5">
        <v>25</v>
      </c>
      <c r="B28" s="5">
        <v>13</v>
      </c>
      <c r="C28" s="5">
        <f>COUNTIF($B$4:B28,B28)</f>
        <v>1</v>
      </c>
      <c r="D28" s="9">
        <f>IF(COUNTIF($B$4:B28,B28)=2,2,0)</f>
        <v>0</v>
      </c>
      <c r="E28" s="5">
        <v>2026</v>
      </c>
      <c r="F28" s="5">
        <v>3</v>
      </c>
    </row>
    <row r="29" spans="1:6">
      <c r="A29" s="5">
        <v>26</v>
      </c>
      <c r="B29" s="5">
        <v>13</v>
      </c>
      <c r="C29" s="5">
        <f>COUNTIF($B$4:B29,B29)</f>
        <v>2</v>
      </c>
      <c r="D29" s="9">
        <f>IF(COUNTIF($B$4:B29,B29)=2,2,0)</f>
        <v>2</v>
      </c>
      <c r="E29" s="5">
        <v>0</v>
      </c>
      <c r="F29" s="5">
        <v>3</v>
      </c>
    </row>
    <row r="30" spans="1:6">
      <c r="A30" s="5">
        <v>27</v>
      </c>
      <c r="B30" s="5">
        <v>14</v>
      </c>
      <c r="C30" s="5">
        <f>COUNTIF($B$4:B30,B30)</f>
        <v>1</v>
      </c>
      <c r="D30" s="9">
        <f>IF(COUNTIF($B$4:B30,B30)=2,2,0)</f>
        <v>0</v>
      </c>
      <c r="E30" s="5">
        <v>2027</v>
      </c>
      <c r="F30" s="5">
        <v>3</v>
      </c>
    </row>
    <row r="31" spans="1:6">
      <c r="A31" s="5">
        <v>28</v>
      </c>
      <c r="B31" s="5">
        <v>14</v>
      </c>
      <c r="C31" s="5">
        <f>COUNTIF($B$4:B31,B31)</f>
        <v>2</v>
      </c>
      <c r="D31" s="9">
        <f>IF(COUNTIF($B$4:B31,B31)=2,2,0)</f>
        <v>2</v>
      </c>
      <c r="E31" s="5">
        <v>0</v>
      </c>
      <c r="F31" s="5">
        <v>3</v>
      </c>
    </row>
    <row r="32" spans="1:6">
      <c r="A32" s="5">
        <v>29</v>
      </c>
      <c r="B32" s="5">
        <v>15</v>
      </c>
      <c r="C32" s="5">
        <f>COUNTIF($B$4:B32,B32)</f>
        <v>1</v>
      </c>
      <c r="D32" s="9">
        <f>IF(COUNTIF($B$4:B32,B32)=2,2,0)</f>
        <v>0</v>
      </c>
      <c r="E32" s="5">
        <v>2028</v>
      </c>
      <c r="F32" s="5">
        <v>3</v>
      </c>
    </row>
    <row r="33" spans="1:6">
      <c r="A33" s="5">
        <v>30</v>
      </c>
      <c r="B33" s="5">
        <v>15</v>
      </c>
      <c r="C33" s="5">
        <f>COUNTIF($B$4:B33,B33)</f>
        <v>2</v>
      </c>
      <c r="D33" s="9">
        <f>IF(COUNTIF($B$4:B33,B33)=2,2,0)</f>
        <v>2</v>
      </c>
      <c r="E33" s="5">
        <v>0</v>
      </c>
      <c r="F33" s="5">
        <v>3</v>
      </c>
    </row>
    <row r="34" spans="1:6">
      <c r="A34" s="5">
        <v>31</v>
      </c>
      <c r="B34" s="5">
        <v>16</v>
      </c>
      <c r="C34" s="5">
        <f>COUNTIF($B$4:B34,B34)</f>
        <v>1</v>
      </c>
      <c r="D34" s="9">
        <f>IF(COUNTIF($B$4:B34,B34)=2,2,0)</f>
        <v>0</v>
      </c>
      <c r="E34" s="5">
        <v>2029</v>
      </c>
      <c r="F34" s="5">
        <v>3</v>
      </c>
    </row>
    <row r="35" spans="1:6">
      <c r="A35" s="5">
        <v>32</v>
      </c>
      <c r="B35" s="5">
        <v>16</v>
      </c>
      <c r="C35" s="5">
        <f>COUNTIF($B$4:B35,B35)</f>
        <v>2</v>
      </c>
      <c r="D35" s="9">
        <f>IF(COUNTIF($B$4:B35,B35)=2,2,0)</f>
        <v>2</v>
      </c>
      <c r="E35" s="5">
        <v>0</v>
      </c>
      <c r="F35" s="5">
        <v>3</v>
      </c>
    </row>
    <row r="36" spans="1:6">
      <c r="A36" s="5">
        <v>33</v>
      </c>
      <c r="B36" s="5">
        <v>17</v>
      </c>
      <c r="C36" s="5">
        <f>COUNTIF($B$4:B36,B36)</f>
        <v>1</v>
      </c>
      <c r="D36" s="9">
        <f>IF(COUNTIF($B$4:B36,B36)=2,2,0)</f>
        <v>0</v>
      </c>
      <c r="E36" s="5">
        <v>2030</v>
      </c>
      <c r="F36" s="5">
        <v>3</v>
      </c>
    </row>
    <row r="37" spans="1:6">
      <c r="A37" s="5">
        <v>34</v>
      </c>
      <c r="B37" s="5">
        <v>17</v>
      </c>
      <c r="C37" s="5">
        <f>COUNTIF($B$4:B37,B37)</f>
        <v>2</v>
      </c>
      <c r="D37" s="9">
        <f>IF(COUNTIF($B$4:B37,B37)=2,2,0)</f>
        <v>2</v>
      </c>
      <c r="E37" s="5">
        <v>0</v>
      </c>
      <c r="F37" s="5">
        <v>3</v>
      </c>
    </row>
    <row r="38" spans="1:6">
      <c r="A38" s="5">
        <v>35</v>
      </c>
      <c r="B38" s="5">
        <v>18</v>
      </c>
      <c r="C38" s="5">
        <f>COUNTIF($B$4:B38,B38)</f>
        <v>1</v>
      </c>
      <c r="D38" s="9">
        <f>IF(COUNTIF($B$4:B38,B38)=2,2,0)</f>
        <v>0</v>
      </c>
      <c r="E38" s="5">
        <v>2031</v>
      </c>
      <c r="F38" s="5">
        <v>3</v>
      </c>
    </row>
    <row r="39" spans="1:6">
      <c r="A39" s="5">
        <v>36</v>
      </c>
      <c r="B39" s="5">
        <v>18</v>
      </c>
      <c r="C39" s="5">
        <f>COUNTIF($B$4:B39,B39)</f>
        <v>2</v>
      </c>
      <c r="D39" s="9">
        <f>IF(COUNTIF($B$4:B39,B39)=2,2,0)</f>
        <v>2</v>
      </c>
      <c r="E39" s="5">
        <v>0</v>
      </c>
      <c r="F39" s="5">
        <v>3</v>
      </c>
    </row>
    <row r="40" spans="1:6">
      <c r="A40" s="5">
        <v>37</v>
      </c>
      <c r="B40" s="5">
        <v>19</v>
      </c>
      <c r="C40" s="5">
        <f>COUNTIF($B$4:B40,B40)</f>
        <v>1</v>
      </c>
      <c r="D40" s="9">
        <f>IF(COUNTIF($B$4:B40,B40)=2,2,0)</f>
        <v>0</v>
      </c>
      <c r="E40" s="5">
        <v>2023</v>
      </c>
      <c r="F40" s="5">
        <v>3</v>
      </c>
    </row>
    <row r="41" spans="1:6">
      <c r="A41" s="5">
        <v>38</v>
      </c>
      <c r="B41" s="5">
        <v>19</v>
      </c>
      <c r="C41" s="5">
        <f>COUNTIF($B$4:B41,B41)</f>
        <v>2</v>
      </c>
      <c r="D41" s="9">
        <f>IF(COUNTIF($B$4:B41,B41)=2,2,0)</f>
        <v>2</v>
      </c>
      <c r="E41" s="5">
        <v>0</v>
      </c>
      <c r="F41" s="5">
        <v>3</v>
      </c>
    </row>
    <row r="42" spans="1:6">
      <c r="A42" s="5">
        <v>39</v>
      </c>
      <c r="B42" s="5">
        <v>20</v>
      </c>
      <c r="C42" s="5">
        <f>COUNTIF($B$4:B42,B42)</f>
        <v>1</v>
      </c>
      <c r="D42" s="9">
        <f>IF(COUNTIF($B$4:B42,B42)=2,2,0)</f>
        <v>0</v>
      </c>
      <c r="E42" s="5">
        <v>2024</v>
      </c>
      <c r="F42" s="5">
        <v>3</v>
      </c>
    </row>
    <row r="43" spans="1:6">
      <c r="A43" s="5">
        <v>40</v>
      </c>
      <c r="B43" s="5">
        <v>20</v>
      </c>
      <c r="C43" s="5">
        <f>COUNTIF($B$4:B43,B43)</f>
        <v>2</v>
      </c>
      <c r="D43" s="9">
        <f>IF(COUNTIF($B$4:B43,B43)=2,2,0)</f>
        <v>2</v>
      </c>
      <c r="E43" s="5">
        <v>0</v>
      </c>
      <c r="F43" s="5">
        <v>3</v>
      </c>
    </row>
    <row r="44" spans="1:6">
      <c r="A44" s="5">
        <v>41</v>
      </c>
      <c r="B44" s="5">
        <v>999</v>
      </c>
      <c r="C44" s="5">
        <f>COUNTIF($B$4:B44,B44)</f>
        <v>1</v>
      </c>
      <c r="D44" s="9">
        <f>IF(COUNTIF($B$4:B44,B44)=2,2,0)</f>
        <v>0</v>
      </c>
      <c r="E44" s="5">
        <v>2017</v>
      </c>
      <c r="F44" s="5">
        <v>3</v>
      </c>
    </row>
    <row r="45" spans="1:6">
      <c r="A45" s="5">
        <v>42</v>
      </c>
      <c r="B45" s="5">
        <v>999</v>
      </c>
      <c r="C45" s="5">
        <f>COUNTIF($B$4:B45,B45)</f>
        <v>2</v>
      </c>
      <c r="D45" s="9">
        <f>IF(COUNTIF($B$4:B45,B45)=2,2,0)</f>
        <v>2</v>
      </c>
      <c r="E45" s="5">
        <v>0</v>
      </c>
      <c r="F45" s="5">
        <v>3</v>
      </c>
    </row>
    <row r="46" spans="1:6">
      <c r="A46" s="5">
        <v>43</v>
      </c>
      <c r="B46" s="5">
        <v>1000</v>
      </c>
      <c r="C46" s="5">
        <f>COUNTIF($B$4:B46,B46)</f>
        <v>1</v>
      </c>
      <c r="D46" s="9">
        <f>IF(COUNTIF($B$4:B46,B46)=2,2,0)</f>
        <v>0</v>
      </c>
      <c r="E46" s="5">
        <v>2018</v>
      </c>
      <c r="F46" s="5">
        <v>3</v>
      </c>
    </row>
    <row r="47" spans="1:6">
      <c r="A47" s="5">
        <v>44</v>
      </c>
      <c r="B47" s="5">
        <v>1000</v>
      </c>
      <c r="C47" s="5">
        <f>COUNTIF($B$4:B47,B47)</f>
        <v>2</v>
      </c>
      <c r="D47" s="9">
        <f>IF(COUNTIF($B$4:B47,B47)=2,2,0)</f>
        <v>2</v>
      </c>
      <c r="E47" s="5">
        <v>0</v>
      </c>
      <c r="F47" s="5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69"/>
  <sheetViews>
    <sheetView workbookViewId="0">
      <selection activeCell="Q20" sqref="Q20"/>
    </sheetView>
  </sheetViews>
  <sheetFormatPr defaultColWidth="8.85546875" defaultRowHeight="15"/>
  <cols>
    <col min="1" max="1" width="9.140625" customWidth="1"/>
    <col min="2" max="2" width="22" customWidth="1"/>
    <col min="3" max="3" width="28" customWidth="1"/>
    <col min="4" max="4" width="26.28515625" customWidth="1"/>
    <col min="5" max="5" width="12.5703125" bestFit="1" customWidth="1"/>
    <col min="6" max="6" width="9.7109375" bestFit="1" customWidth="1"/>
    <col min="7" max="7" width="13.7109375" bestFit="1" customWidth="1"/>
    <col min="14" max="14" width="26.7109375" customWidth="1"/>
  </cols>
  <sheetData>
    <row r="1" spans="1:14">
      <c r="A1" s="14" t="s">
        <v>42</v>
      </c>
      <c r="B1" s="14" t="s">
        <v>782</v>
      </c>
      <c r="C1" s="14" t="s">
        <v>606</v>
      </c>
      <c r="D1" s="14" t="s">
        <v>237</v>
      </c>
      <c r="E1" s="14" t="s">
        <v>65</v>
      </c>
      <c r="F1" s="14" t="s">
        <v>118</v>
      </c>
      <c r="G1" s="14" t="s">
        <v>66</v>
      </c>
      <c r="H1" s="143" t="s">
        <v>769</v>
      </c>
      <c r="I1" s="143" t="s">
        <v>770</v>
      </c>
      <c r="J1" s="143" t="s">
        <v>771</v>
      </c>
      <c r="K1" s="143" t="s">
        <v>772</v>
      </c>
      <c r="L1" s="143" t="s">
        <v>773</v>
      </c>
      <c r="M1" s="143" t="s">
        <v>774</v>
      </c>
      <c r="N1" s="143" t="s">
        <v>775</v>
      </c>
    </row>
    <row r="2" spans="1:14">
      <c r="A2" s="15" t="s">
        <v>1</v>
      </c>
      <c r="B2" s="16" t="s">
        <v>3</v>
      </c>
      <c r="C2" s="16" t="s">
        <v>3</v>
      </c>
      <c r="D2" s="16" t="s">
        <v>3</v>
      </c>
      <c r="E2" s="16" t="s">
        <v>62</v>
      </c>
      <c r="F2" s="15" t="s">
        <v>1</v>
      </c>
      <c r="G2" s="15" t="s">
        <v>1</v>
      </c>
      <c r="H2" s="144" t="s">
        <v>755</v>
      </c>
      <c r="I2" s="144" t="s">
        <v>755</v>
      </c>
      <c r="J2" s="144" t="s">
        <v>755</v>
      </c>
      <c r="K2" s="144" t="s">
        <v>755</v>
      </c>
      <c r="L2" s="144" t="s">
        <v>755</v>
      </c>
      <c r="M2" s="144" t="s">
        <v>755</v>
      </c>
      <c r="N2" s="144" t="s">
        <v>755</v>
      </c>
    </row>
    <row r="3" spans="1:14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  <c r="H3" s="144" t="s">
        <v>756</v>
      </c>
      <c r="I3" s="144" t="s">
        <v>756</v>
      </c>
      <c r="J3" s="144" t="s">
        <v>756</v>
      </c>
      <c r="K3" s="144" t="s">
        <v>756</v>
      </c>
      <c r="L3" s="144" t="s">
        <v>756</v>
      </c>
      <c r="M3" s="144" t="s">
        <v>756</v>
      </c>
      <c r="N3" s="144" t="s">
        <v>756</v>
      </c>
    </row>
    <row r="4" spans="1:14" ht="16.5">
      <c r="A4" s="5">
        <v>10</v>
      </c>
      <c r="B4" s="9" t="s">
        <v>783</v>
      </c>
      <c r="C4" s="9" t="s">
        <v>741</v>
      </c>
      <c r="D4" s="142" t="str">
        <f t="shared" ref="D4:D16" si="0">H4&amp;"-"&amp;I4&amp;"-"&amp;J4&amp;" "&amp;K4&amp;":"&amp;L4&amp;":"&amp;M4</f>
        <v>2023-11-23 16:00:00</v>
      </c>
      <c r="E4" s="9">
        <v>4</v>
      </c>
      <c r="F4" s="5">
        <v>0</v>
      </c>
      <c r="G4" s="5">
        <v>3000</v>
      </c>
      <c r="H4" s="5">
        <v>2023</v>
      </c>
      <c r="I4" s="5">
        <v>11</v>
      </c>
      <c r="J4" s="5">
        <v>23</v>
      </c>
      <c r="K4" s="5">
        <v>16</v>
      </c>
      <c r="L4" s="141" t="s">
        <v>754</v>
      </c>
      <c r="M4" s="141" t="s">
        <v>754</v>
      </c>
      <c r="N4" s="12" t="s">
        <v>758</v>
      </c>
    </row>
    <row r="5" spans="1:14" ht="16.5">
      <c r="A5" s="5">
        <v>11</v>
      </c>
      <c r="B5" s="9" t="s">
        <v>783</v>
      </c>
      <c r="C5" s="9" t="s">
        <v>741</v>
      </c>
      <c r="D5" s="142" t="str">
        <f t="shared" si="0"/>
        <v>2023-11-23 16:05:00</v>
      </c>
      <c r="E5" s="9">
        <v>4</v>
      </c>
      <c r="F5" s="5">
        <v>0</v>
      </c>
      <c r="G5" s="5">
        <v>3000</v>
      </c>
      <c r="H5" s="5">
        <v>2023</v>
      </c>
      <c r="I5" s="5">
        <v>11</v>
      </c>
      <c r="J5" s="5">
        <v>23</v>
      </c>
      <c r="K5" s="5">
        <v>16</v>
      </c>
      <c r="L5" s="141" t="s">
        <v>757</v>
      </c>
      <c r="M5" s="141" t="s">
        <v>754</v>
      </c>
      <c r="N5" s="12" t="s">
        <v>758</v>
      </c>
    </row>
    <row r="6" spans="1:14" ht="16.5">
      <c r="A6" s="5">
        <v>12</v>
      </c>
      <c r="B6" s="9" t="s">
        <v>783</v>
      </c>
      <c r="C6" s="9" t="s">
        <v>741</v>
      </c>
      <c r="D6" s="142" t="str">
        <f t="shared" si="0"/>
        <v>2023-11-23 16:10:00</v>
      </c>
      <c r="E6" s="9">
        <v>4</v>
      </c>
      <c r="F6" s="5">
        <v>0</v>
      </c>
      <c r="G6" s="5">
        <v>3000</v>
      </c>
      <c r="H6" s="5">
        <v>2023</v>
      </c>
      <c r="I6" s="5">
        <v>11</v>
      </c>
      <c r="J6" s="5">
        <v>23</v>
      </c>
      <c r="K6" s="5">
        <v>16</v>
      </c>
      <c r="L6" s="5">
        <v>10</v>
      </c>
      <c r="M6" s="141" t="s">
        <v>754</v>
      </c>
      <c r="N6" s="12" t="s">
        <v>758</v>
      </c>
    </row>
    <row r="7" spans="1:14" ht="16.5">
      <c r="A7" s="5">
        <v>13</v>
      </c>
      <c r="B7" s="9" t="s">
        <v>783</v>
      </c>
      <c r="C7" s="9" t="s">
        <v>741</v>
      </c>
      <c r="D7" s="142" t="str">
        <f t="shared" si="0"/>
        <v>2023-11-23 16:15:00</v>
      </c>
      <c r="E7" s="9">
        <v>4</v>
      </c>
      <c r="F7" s="5">
        <v>0</v>
      </c>
      <c r="G7" s="5">
        <v>3000</v>
      </c>
      <c r="H7" s="5">
        <v>2023</v>
      </c>
      <c r="I7" s="5">
        <v>11</v>
      </c>
      <c r="J7" s="5">
        <v>23</v>
      </c>
      <c r="K7" s="5">
        <v>16</v>
      </c>
      <c r="L7" s="5">
        <v>15</v>
      </c>
      <c r="M7" s="141" t="s">
        <v>754</v>
      </c>
      <c r="N7" s="12" t="s">
        <v>758</v>
      </c>
    </row>
    <row r="8" spans="1:14" ht="16.5">
      <c r="A8" s="5">
        <v>14</v>
      </c>
      <c r="B8" s="9" t="s">
        <v>783</v>
      </c>
      <c r="C8" s="9" t="s">
        <v>741</v>
      </c>
      <c r="D8" s="142" t="str">
        <f t="shared" si="0"/>
        <v>2023-11-23 16:20:00</v>
      </c>
      <c r="E8" s="9">
        <v>4</v>
      </c>
      <c r="F8" s="5">
        <v>0</v>
      </c>
      <c r="G8" s="5">
        <v>3000</v>
      </c>
      <c r="H8" s="5">
        <v>2023</v>
      </c>
      <c r="I8" s="5">
        <v>11</v>
      </c>
      <c r="J8" s="5">
        <v>23</v>
      </c>
      <c r="K8" s="5">
        <v>16</v>
      </c>
      <c r="L8" s="5">
        <v>20</v>
      </c>
      <c r="M8" s="141" t="s">
        <v>754</v>
      </c>
      <c r="N8" s="12" t="s">
        <v>758</v>
      </c>
    </row>
    <row r="9" spans="1:14" ht="16.5">
      <c r="A9" s="5">
        <v>15</v>
      </c>
      <c r="B9" s="9" t="s">
        <v>783</v>
      </c>
      <c r="C9" s="9" t="s">
        <v>741</v>
      </c>
      <c r="D9" s="142" t="str">
        <f t="shared" si="0"/>
        <v>2023-11-23 16:25:00</v>
      </c>
      <c r="E9" s="9">
        <v>4</v>
      </c>
      <c r="F9" s="5">
        <v>0</v>
      </c>
      <c r="G9" s="5">
        <v>3000</v>
      </c>
      <c r="H9" s="5">
        <v>2023</v>
      </c>
      <c r="I9" s="5">
        <v>11</v>
      </c>
      <c r="J9" s="5">
        <v>23</v>
      </c>
      <c r="K9" s="5">
        <v>16</v>
      </c>
      <c r="L9" s="5">
        <v>25</v>
      </c>
      <c r="M9" s="141" t="s">
        <v>754</v>
      </c>
      <c r="N9" s="12" t="s">
        <v>758</v>
      </c>
    </row>
    <row r="10" spans="1:14" ht="16.5">
      <c r="A10" s="5">
        <v>16</v>
      </c>
      <c r="B10" s="9" t="s">
        <v>783</v>
      </c>
      <c r="C10" s="9" t="s">
        <v>741</v>
      </c>
      <c r="D10" s="142" t="str">
        <f t="shared" si="0"/>
        <v>2023-11-23 16:30:00</v>
      </c>
      <c r="E10" s="9">
        <v>4</v>
      </c>
      <c r="F10" s="5">
        <v>0</v>
      </c>
      <c r="G10" s="5">
        <v>3000</v>
      </c>
      <c r="H10" s="5">
        <v>2023</v>
      </c>
      <c r="I10" s="5">
        <v>11</v>
      </c>
      <c r="J10" s="5">
        <v>23</v>
      </c>
      <c r="K10" s="5">
        <v>16</v>
      </c>
      <c r="L10" s="5">
        <v>30</v>
      </c>
      <c r="M10" s="141" t="s">
        <v>754</v>
      </c>
      <c r="N10" s="12" t="s">
        <v>758</v>
      </c>
    </row>
    <row r="11" spans="1:14" ht="16.5">
      <c r="A11" s="5">
        <v>17</v>
      </c>
      <c r="B11" s="9" t="s">
        <v>783</v>
      </c>
      <c r="C11" s="9" t="s">
        <v>741</v>
      </c>
      <c r="D11" s="142" t="str">
        <f t="shared" si="0"/>
        <v>2023-11-23 16:35:00</v>
      </c>
      <c r="E11" s="9">
        <v>4</v>
      </c>
      <c r="F11" s="5">
        <v>0</v>
      </c>
      <c r="G11" s="5">
        <v>3000</v>
      </c>
      <c r="H11" s="5">
        <v>2023</v>
      </c>
      <c r="I11" s="5">
        <v>11</v>
      </c>
      <c r="J11" s="5">
        <v>23</v>
      </c>
      <c r="K11" s="5">
        <v>16</v>
      </c>
      <c r="L11" s="5">
        <v>35</v>
      </c>
      <c r="M11" s="141" t="s">
        <v>754</v>
      </c>
      <c r="N11" s="12" t="s">
        <v>758</v>
      </c>
    </row>
    <row r="12" spans="1:14" ht="16.5">
      <c r="A12" s="5">
        <v>18</v>
      </c>
      <c r="B12" s="9" t="s">
        <v>783</v>
      </c>
      <c r="C12" s="9" t="s">
        <v>741</v>
      </c>
      <c r="D12" s="142" t="str">
        <f t="shared" si="0"/>
        <v>2023-11-23 16:40:00</v>
      </c>
      <c r="E12" s="9">
        <v>4</v>
      </c>
      <c r="F12" s="5">
        <v>0</v>
      </c>
      <c r="G12" s="5">
        <v>3000</v>
      </c>
      <c r="H12" s="5">
        <v>2023</v>
      </c>
      <c r="I12" s="5">
        <v>11</v>
      </c>
      <c r="J12" s="5">
        <v>23</v>
      </c>
      <c r="K12" s="5">
        <v>16</v>
      </c>
      <c r="L12" s="5">
        <v>40</v>
      </c>
      <c r="M12" s="141" t="s">
        <v>754</v>
      </c>
      <c r="N12" s="12" t="s">
        <v>758</v>
      </c>
    </row>
    <row r="13" spans="1:14" ht="16.5">
      <c r="A13" s="5">
        <v>19</v>
      </c>
      <c r="B13" s="9" t="s">
        <v>783</v>
      </c>
      <c r="C13" s="9" t="s">
        <v>741</v>
      </c>
      <c r="D13" s="142" t="str">
        <f t="shared" si="0"/>
        <v>2023-11-23 16:45:00</v>
      </c>
      <c r="E13" s="9">
        <v>4</v>
      </c>
      <c r="F13" s="5">
        <v>0</v>
      </c>
      <c r="G13" s="5">
        <v>3000</v>
      </c>
      <c r="H13" s="5">
        <v>2023</v>
      </c>
      <c r="I13" s="5">
        <v>11</v>
      </c>
      <c r="J13" s="5">
        <v>23</v>
      </c>
      <c r="K13" s="5">
        <v>16</v>
      </c>
      <c r="L13" s="5">
        <v>45</v>
      </c>
      <c r="M13" s="141" t="s">
        <v>754</v>
      </c>
      <c r="N13" s="12" t="s">
        <v>758</v>
      </c>
    </row>
    <row r="14" spans="1:14" ht="16.5">
      <c r="A14" s="5">
        <v>20</v>
      </c>
      <c r="B14" s="9" t="s">
        <v>783</v>
      </c>
      <c r="C14" s="9" t="s">
        <v>741</v>
      </c>
      <c r="D14" s="142" t="str">
        <f t="shared" si="0"/>
        <v>2023-11-23 16:50:00</v>
      </c>
      <c r="E14" s="9">
        <v>4</v>
      </c>
      <c r="F14" s="5">
        <v>0</v>
      </c>
      <c r="G14" s="5">
        <v>3000</v>
      </c>
      <c r="H14" s="5">
        <v>2023</v>
      </c>
      <c r="I14" s="5">
        <v>11</v>
      </c>
      <c r="J14" s="5">
        <v>23</v>
      </c>
      <c r="K14" s="5">
        <v>16</v>
      </c>
      <c r="L14" s="5">
        <v>50</v>
      </c>
      <c r="M14" s="141" t="s">
        <v>754</v>
      </c>
      <c r="N14" s="12" t="s">
        <v>758</v>
      </c>
    </row>
    <row r="15" spans="1:14" ht="16.5">
      <c r="A15" s="5">
        <v>21</v>
      </c>
      <c r="B15" s="9" t="s">
        <v>783</v>
      </c>
      <c r="C15" s="9" t="s">
        <v>741</v>
      </c>
      <c r="D15" s="142" t="str">
        <f t="shared" si="0"/>
        <v>2023-11-23 16:55:00</v>
      </c>
      <c r="E15" s="9">
        <v>4</v>
      </c>
      <c r="F15" s="5">
        <v>0</v>
      </c>
      <c r="G15" s="5">
        <v>3000</v>
      </c>
      <c r="H15" s="5">
        <v>2023</v>
      </c>
      <c r="I15" s="5">
        <v>11</v>
      </c>
      <c r="J15" s="5">
        <v>23</v>
      </c>
      <c r="K15" s="5">
        <v>16</v>
      </c>
      <c r="L15" s="5">
        <v>55</v>
      </c>
      <c r="M15" s="141" t="s">
        <v>754</v>
      </c>
      <c r="N15" s="12" t="s">
        <v>758</v>
      </c>
    </row>
    <row r="16" spans="1:14" ht="16.5">
      <c r="A16" s="5">
        <v>22</v>
      </c>
      <c r="B16" s="9" t="s">
        <v>783</v>
      </c>
      <c r="C16" s="9" t="s">
        <v>741</v>
      </c>
      <c r="D16" s="142" t="str">
        <f t="shared" si="0"/>
        <v>2023-11-23 17:00:00</v>
      </c>
      <c r="E16" s="9">
        <v>4</v>
      </c>
      <c r="F16" s="5">
        <v>0</v>
      </c>
      <c r="G16" s="5">
        <v>3000</v>
      </c>
      <c r="H16" s="5">
        <v>2023</v>
      </c>
      <c r="I16" s="5">
        <v>11</v>
      </c>
      <c r="J16" s="5">
        <v>23</v>
      </c>
      <c r="K16" s="5">
        <v>17</v>
      </c>
      <c r="L16" s="141" t="s">
        <v>754</v>
      </c>
      <c r="M16" s="141" t="s">
        <v>754</v>
      </c>
      <c r="N16" s="12" t="s">
        <v>758</v>
      </c>
    </row>
    <row r="17" spans="1:14" ht="16.5">
      <c r="A17" s="5">
        <v>23</v>
      </c>
      <c r="B17" s="9" t="s">
        <v>783</v>
      </c>
      <c r="C17" s="9" t="s">
        <v>741</v>
      </c>
      <c r="D17" s="142" t="str">
        <f t="shared" ref="D17:D41" si="1">H17&amp;"-"&amp;I17&amp;"-"&amp;J17&amp;" "&amp;K17&amp;":"&amp;L17&amp;":"&amp;M17</f>
        <v>2023-11-23 17:05:00</v>
      </c>
      <c r="E17" s="9">
        <v>4</v>
      </c>
      <c r="F17" s="5">
        <v>0</v>
      </c>
      <c r="G17" s="5">
        <v>3000</v>
      </c>
      <c r="H17" s="5">
        <v>2023</v>
      </c>
      <c r="I17" s="5">
        <v>11</v>
      </c>
      <c r="J17" s="5">
        <v>23</v>
      </c>
      <c r="K17" s="5">
        <v>17</v>
      </c>
      <c r="L17" s="141" t="s">
        <v>757</v>
      </c>
      <c r="M17" s="141" t="s">
        <v>754</v>
      </c>
      <c r="N17" s="12" t="s">
        <v>758</v>
      </c>
    </row>
    <row r="18" spans="1:14" ht="16.5">
      <c r="A18" s="5">
        <v>24</v>
      </c>
      <c r="B18" s="9" t="s">
        <v>783</v>
      </c>
      <c r="C18" s="9" t="s">
        <v>741</v>
      </c>
      <c r="D18" s="142" t="str">
        <f t="shared" si="1"/>
        <v>2023-11-23 17:10:00</v>
      </c>
      <c r="E18" s="9">
        <v>4</v>
      </c>
      <c r="F18" s="5">
        <v>0</v>
      </c>
      <c r="G18" s="5">
        <v>3000</v>
      </c>
      <c r="H18" s="5">
        <v>2023</v>
      </c>
      <c r="I18" s="5">
        <v>11</v>
      </c>
      <c r="J18" s="5">
        <v>23</v>
      </c>
      <c r="K18" s="5">
        <v>17</v>
      </c>
      <c r="L18" s="5">
        <v>10</v>
      </c>
      <c r="M18" s="141" t="s">
        <v>753</v>
      </c>
      <c r="N18" s="12" t="s">
        <v>758</v>
      </c>
    </row>
    <row r="19" spans="1:14" ht="16.5">
      <c r="A19" s="5">
        <v>25</v>
      </c>
      <c r="B19" s="9" t="s">
        <v>783</v>
      </c>
      <c r="C19" s="9" t="s">
        <v>741</v>
      </c>
      <c r="D19" s="142" t="str">
        <f t="shared" si="1"/>
        <v>2023-11-23 17:15:00</v>
      </c>
      <c r="E19" s="9">
        <v>4</v>
      </c>
      <c r="F19" s="5">
        <v>0</v>
      </c>
      <c r="G19" s="5">
        <v>3000</v>
      </c>
      <c r="H19" s="5">
        <v>2023</v>
      </c>
      <c r="I19" s="5">
        <v>11</v>
      </c>
      <c r="J19" s="5">
        <v>23</v>
      </c>
      <c r="K19" s="5">
        <v>17</v>
      </c>
      <c r="L19" s="5">
        <v>15</v>
      </c>
      <c r="M19" s="141" t="s">
        <v>753</v>
      </c>
      <c r="N19" s="12" t="s">
        <v>758</v>
      </c>
    </row>
    <row r="20" spans="1:14" ht="16.5">
      <c r="A20" s="5">
        <v>26</v>
      </c>
      <c r="B20" s="9" t="s">
        <v>783</v>
      </c>
      <c r="C20" s="9" t="s">
        <v>741</v>
      </c>
      <c r="D20" s="142" t="str">
        <f t="shared" si="1"/>
        <v>2023-11-23 17:20:00</v>
      </c>
      <c r="E20" s="9">
        <v>4</v>
      </c>
      <c r="F20" s="5">
        <v>0</v>
      </c>
      <c r="G20" s="5">
        <v>3000</v>
      </c>
      <c r="H20" s="5">
        <v>2023</v>
      </c>
      <c r="I20" s="5">
        <v>11</v>
      </c>
      <c r="J20" s="5">
        <v>23</v>
      </c>
      <c r="K20" s="5">
        <v>17</v>
      </c>
      <c r="L20" s="5">
        <v>20</v>
      </c>
      <c r="M20" s="141" t="s">
        <v>754</v>
      </c>
      <c r="N20" s="12" t="s">
        <v>758</v>
      </c>
    </row>
    <row r="21" spans="1:14" ht="16.5">
      <c r="A21" s="5">
        <v>27</v>
      </c>
      <c r="B21" s="9" t="s">
        <v>783</v>
      </c>
      <c r="C21" s="9" t="s">
        <v>741</v>
      </c>
      <c r="D21" s="142" t="str">
        <f t="shared" si="1"/>
        <v>2023-11-23 17:25:00</v>
      </c>
      <c r="E21" s="9">
        <v>4</v>
      </c>
      <c r="F21" s="5">
        <v>0</v>
      </c>
      <c r="G21" s="5">
        <v>3000</v>
      </c>
      <c r="H21" s="5">
        <v>2023</v>
      </c>
      <c r="I21" s="5">
        <v>11</v>
      </c>
      <c r="J21" s="5">
        <v>23</v>
      </c>
      <c r="K21" s="5">
        <v>17</v>
      </c>
      <c r="L21" s="5">
        <v>25</v>
      </c>
      <c r="M21" s="141" t="s">
        <v>754</v>
      </c>
      <c r="N21" s="12" t="s">
        <v>758</v>
      </c>
    </row>
    <row r="22" spans="1:14" ht="16.5">
      <c r="A22" s="5">
        <v>28</v>
      </c>
      <c r="B22" s="9" t="s">
        <v>783</v>
      </c>
      <c r="C22" s="9" t="s">
        <v>741</v>
      </c>
      <c r="D22" s="142" t="str">
        <f t="shared" si="1"/>
        <v>2023-11-23 17:30:00</v>
      </c>
      <c r="E22" s="9">
        <v>4</v>
      </c>
      <c r="F22" s="5">
        <v>0</v>
      </c>
      <c r="G22" s="5">
        <v>3000</v>
      </c>
      <c r="H22" s="5">
        <v>2023</v>
      </c>
      <c r="I22" s="5">
        <v>11</v>
      </c>
      <c r="J22" s="5">
        <v>23</v>
      </c>
      <c r="K22" s="5">
        <v>17</v>
      </c>
      <c r="L22" s="5">
        <v>30</v>
      </c>
      <c r="M22" s="141" t="s">
        <v>754</v>
      </c>
      <c r="N22" s="12" t="s">
        <v>758</v>
      </c>
    </row>
    <row r="23" spans="1:14" ht="16.5">
      <c r="A23" s="5">
        <v>29</v>
      </c>
      <c r="B23" s="9" t="s">
        <v>783</v>
      </c>
      <c r="C23" s="9" t="s">
        <v>741</v>
      </c>
      <c r="D23" s="142" t="str">
        <f t="shared" si="1"/>
        <v>2023-11-23 17:35:00</v>
      </c>
      <c r="E23" s="9">
        <v>4</v>
      </c>
      <c r="F23" s="5">
        <v>0</v>
      </c>
      <c r="G23" s="5">
        <v>3000</v>
      </c>
      <c r="H23" s="5">
        <v>2023</v>
      </c>
      <c r="I23" s="5">
        <v>11</v>
      </c>
      <c r="J23" s="5">
        <v>23</v>
      </c>
      <c r="K23" s="5">
        <v>17</v>
      </c>
      <c r="L23" s="5">
        <v>35</v>
      </c>
      <c r="M23" s="141" t="s">
        <v>754</v>
      </c>
      <c r="N23" s="12" t="s">
        <v>758</v>
      </c>
    </row>
    <row r="24" spans="1:14" ht="16.5">
      <c r="A24" s="5">
        <v>30</v>
      </c>
      <c r="B24" s="9" t="s">
        <v>783</v>
      </c>
      <c r="C24" s="9" t="s">
        <v>741</v>
      </c>
      <c r="D24" s="142" t="str">
        <f t="shared" si="1"/>
        <v>2023-11-23 17:40:00</v>
      </c>
      <c r="E24" s="9">
        <v>4</v>
      </c>
      <c r="F24" s="5">
        <v>0</v>
      </c>
      <c r="G24" s="5">
        <v>3000</v>
      </c>
      <c r="H24" s="5">
        <v>2023</v>
      </c>
      <c r="I24" s="5">
        <v>11</v>
      </c>
      <c r="J24" s="5">
        <v>23</v>
      </c>
      <c r="K24" s="5">
        <v>17</v>
      </c>
      <c r="L24" s="5">
        <v>40</v>
      </c>
      <c r="M24" s="141" t="s">
        <v>754</v>
      </c>
      <c r="N24" s="12" t="s">
        <v>758</v>
      </c>
    </row>
    <row r="25" spans="1:14" ht="16.5">
      <c r="A25" s="5">
        <v>31</v>
      </c>
      <c r="B25" s="9" t="s">
        <v>783</v>
      </c>
      <c r="C25" s="9" t="s">
        <v>741</v>
      </c>
      <c r="D25" s="142" t="str">
        <f t="shared" si="1"/>
        <v>2023-11-23 17:45:00</v>
      </c>
      <c r="E25" s="9">
        <v>4</v>
      </c>
      <c r="F25" s="5">
        <v>0</v>
      </c>
      <c r="G25" s="5">
        <v>3000</v>
      </c>
      <c r="H25" s="5">
        <v>2023</v>
      </c>
      <c r="I25" s="5">
        <v>11</v>
      </c>
      <c r="J25" s="5">
        <v>23</v>
      </c>
      <c r="K25" s="5">
        <v>17</v>
      </c>
      <c r="L25" s="5">
        <v>45</v>
      </c>
      <c r="M25" s="141" t="s">
        <v>754</v>
      </c>
      <c r="N25" s="12" t="s">
        <v>758</v>
      </c>
    </row>
    <row r="26" spans="1:14" ht="16.5">
      <c r="A26" s="5">
        <v>32</v>
      </c>
      <c r="B26" s="9" t="s">
        <v>783</v>
      </c>
      <c r="C26" s="9" t="s">
        <v>741</v>
      </c>
      <c r="D26" s="142" t="str">
        <f t="shared" si="1"/>
        <v>2023-11-23 17:50:00</v>
      </c>
      <c r="E26" s="9">
        <v>4</v>
      </c>
      <c r="F26" s="5">
        <v>0</v>
      </c>
      <c r="G26" s="5">
        <v>3000</v>
      </c>
      <c r="H26" s="5">
        <v>2023</v>
      </c>
      <c r="I26" s="5">
        <v>11</v>
      </c>
      <c r="J26" s="5">
        <v>23</v>
      </c>
      <c r="K26" s="5">
        <v>17</v>
      </c>
      <c r="L26" s="5">
        <v>50</v>
      </c>
      <c r="M26" s="141" t="s">
        <v>754</v>
      </c>
      <c r="N26" s="12" t="s">
        <v>758</v>
      </c>
    </row>
    <row r="27" spans="1:14" ht="16.5">
      <c r="A27" s="5">
        <v>33</v>
      </c>
      <c r="B27" s="9" t="s">
        <v>783</v>
      </c>
      <c r="C27" s="9" t="s">
        <v>741</v>
      </c>
      <c r="D27" s="142" t="str">
        <f t="shared" si="1"/>
        <v>2023-11-23 17:55:00</v>
      </c>
      <c r="E27" s="9">
        <v>4</v>
      </c>
      <c r="F27" s="5">
        <v>0</v>
      </c>
      <c r="G27" s="5">
        <v>3000</v>
      </c>
      <c r="H27" s="5">
        <v>2023</v>
      </c>
      <c r="I27" s="5">
        <v>11</v>
      </c>
      <c r="J27" s="5">
        <v>23</v>
      </c>
      <c r="K27" s="5">
        <v>17</v>
      </c>
      <c r="L27" s="5">
        <v>55</v>
      </c>
      <c r="M27" s="141" t="s">
        <v>754</v>
      </c>
      <c r="N27" s="12" t="s">
        <v>758</v>
      </c>
    </row>
    <row r="28" spans="1:14" ht="16.5">
      <c r="A28" s="5">
        <v>34</v>
      </c>
      <c r="B28" s="9" t="s">
        <v>783</v>
      </c>
      <c r="C28" s="9" t="s">
        <v>741</v>
      </c>
      <c r="D28" s="142" t="str">
        <f t="shared" si="1"/>
        <v>2023-11-23 18:00:00</v>
      </c>
      <c r="E28" s="9">
        <v>4</v>
      </c>
      <c r="F28" s="5">
        <v>0</v>
      </c>
      <c r="G28" s="5">
        <v>3000</v>
      </c>
      <c r="H28" s="5">
        <v>2023</v>
      </c>
      <c r="I28" s="5">
        <v>11</v>
      </c>
      <c r="J28" s="5">
        <v>23</v>
      </c>
      <c r="K28" s="5">
        <v>18</v>
      </c>
      <c r="L28" s="141" t="s">
        <v>754</v>
      </c>
      <c r="M28" s="141" t="s">
        <v>754</v>
      </c>
      <c r="N28" s="12" t="s">
        <v>758</v>
      </c>
    </row>
    <row r="29" spans="1:14" ht="16.5">
      <c r="A29" s="5">
        <v>35</v>
      </c>
      <c r="B29" s="9" t="s">
        <v>783</v>
      </c>
      <c r="C29" s="9" t="s">
        <v>741</v>
      </c>
      <c r="D29" s="142" t="str">
        <f t="shared" si="1"/>
        <v>2023-11-23 18:05:00</v>
      </c>
      <c r="E29" s="9">
        <v>4</v>
      </c>
      <c r="F29" s="5">
        <v>0</v>
      </c>
      <c r="G29" s="5">
        <v>3000</v>
      </c>
      <c r="H29" s="5">
        <v>2023</v>
      </c>
      <c r="I29" s="5">
        <v>11</v>
      </c>
      <c r="J29" s="5">
        <v>23</v>
      </c>
      <c r="K29" s="5">
        <v>18</v>
      </c>
      <c r="L29" s="141" t="s">
        <v>757</v>
      </c>
      <c r="M29" s="141" t="s">
        <v>754</v>
      </c>
      <c r="N29" s="12" t="s">
        <v>758</v>
      </c>
    </row>
    <row r="30" spans="1:14" ht="16.5">
      <c r="A30" s="5">
        <v>36</v>
      </c>
      <c r="B30" s="9" t="s">
        <v>783</v>
      </c>
      <c r="C30" s="9" t="s">
        <v>741</v>
      </c>
      <c r="D30" s="142" t="str">
        <f t="shared" si="1"/>
        <v>2023-11-23 18:10:00</v>
      </c>
      <c r="E30" s="9">
        <v>4</v>
      </c>
      <c r="F30" s="5">
        <v>0</v>
      </c>
      <c r="G30" s="5">
        <v>3000</v>
      </c>
      <c r="H30" s="5">
        <v>2023</v>
      </c>
      <c r="I30" s="5">
        <v>11</v>
      </c>
      <c r="J30" s="5">
        <v>23</v>
      </c>
      <c r="K30" s="5">
        <v>18</v>
      </c>
      <c r="L30" s="5">
        <v>10</v>
      </c>
      <c r="M30" s="141" t="s">
        <v>753</v>
      </c>
      <c r="N30" s="12" t="s">
        <v>758</v>
      </c>
    </row>
    <row r="31" spans="1:14" ht="16.5">
      <c r="A31" s="5">
        <v>37</v>
      </c>
      <c r="B31" s="9" t="s">
        <v>783</v>
      </c>
      <c r="C31" s="9" t="s">
        <v>741</v>
      </c>
      <c r="D31" s="142" t="str">
        <f t="shared" si="1"/>
        <v>2023-11-23 18:15:00</v>
      </c>
      <c r="E31" s="9">
        <v>4</v>
      </c>
      <c r="F31" s="5">
        <v>0</v>
      </c>
      <c r="G31" s="5">
        <v>3000</v>
      </c>
      <c r="H31" s="5">
        <v>2023</v>
      </c>
      <c r="I31" s="5">
        <v>11</v>
      </c>
      <c r="J31" s="5">
        <v>23</v>
      </c>
      <c r="K31" s="5">
        <v>18</v>
      </c>
      <c r="L31" s="5">
        <v>15</v>
      </c>
      <c r="M31" s="141" t="s">
        <v>753</v>
      </c>
      <c r="N31" s="12" t="s">
        <v>758</v>
      </c>
    </row>
    <row r="32" spans="1:14" ht="16.5">
      <c r="A32" s="5">
        <v>38</v>
      </c>
      <c r="B32" s="9" t="s">
        <v>783</v>
      </c>
      <c r="C32" s="9" t="s">
        <v>741</v>
      </c>
      <c r="D32" s="142" t="str">
        <f t="shared" si="1"/>
        <v>2023-11-23 18:20:00</v>
      </c>
      <c r="E32" s="9">
        <v>4</v>
      </c>
      <c r="F32" s="5">
        <v>0</v>
      </c>
      <c r="G32" s="5">
        <v>3000</v>
      </c>
      <c r="H32" s="5">
        <v>2023</v>
      </c>
      <c r="I32" s="5">
        <v>11</v>
      </c>
      <c r="J32" s="5">
        <v>23</v>
      </c>
      <c r="K32" s="5">
        <v>18</v>
      </c>
      <c r="L32" s="5">
        <v>20</v>
      </c>
      <c r="M32" s="141" t="s">
        <v>754</v>
      </c>
      <c r="N32" s="12" t="s">
        <v>758</v>
      </c>
    </row>
    <row r="33" spans="1:14" ht="16.5">
      <c r="A33" s="5">
        <v>39</v>
      </c>
      <c r="B33" s="9" t="s">
        <v>783</v>
      </c>
      <c r="C33" s="9" t="s">
        <v>741</v>
      </c>
      <c r="D33" s="142" t="str">
        <f t="shared" si="1"/>
        <v>2023-11-23 18:25:00</v>
      </c>
      <c r="E33" s="9">
        <v>4</v>
      </c>
      <c r="F33" s="5">
        <v>0</v>
      </c>
      <c r="G33" s="5">
        <v>3000</v>
      </c>
      <c r="H33" s="5">
        <v>2023</v>
      </c>
      <c r="I33" s="5">
        <v>11</v>
      </c>
      <c r="J33" s="5">
        <v>23</v>
      </c>
      <c r="K33" s="5">
        <v>18</v>
      </c>
      <c r="L33" s="5">
        <v>25</v>
      </c>
      <c r="M33" s="141" t="s">
        <v>754</v>
      </c>
      <c r="N33" s="12" t="s">
        <v>758</v>
      </c>
    </row>
    <row r="34" spans="1:14" ht="16.5">
      <c r="A34" s="5">
        <v>40</v>
      </c>
      <c r="B34" s="9" t="s">
        <v>783</v>
      </c>
      <c r="C34" s="9" t="s">
        <v>741</v>
      </c>
      <c r="D34" s="142" t="str">
        <f t="shared" si="1"/>
        <v>2023-11-23 18:30:00</v>
      </c>
      <c r="E34" s="9">
        <v>4</v>
      </c>
      <c r="F34" s="5">
        <v>0</v>
      </c>
      <c r="G34" s="5">
        <v>3000</v>
      </c>
      <c r="H34" s="5">
        <v>2023</v>
      </c>
      <c r="I34" s="5">
        <v>11</v>
      </c>
      <c r="J34" s="5">
        <v>23</v>
      </c>
      <c r="K34" s="5">
        <v>18</v>
      </c>
      <c r="L34" s="5">
        <v>30</v>
      </c>
      <c r="M34" s="141" t="s">
        <v>754</v>
      </c>
      <c r="N34" s="12" t="s">
        <v>758</v>
      </c>
    </row>
    <row r="35" spans="1:14" s="149" customFormat="1" ht="16.5">
      <c r="A35" s="136">
        <v>41</v>
      </c>
      <c r="B35" s="9" t="s">
        <v>783</v>
      </c>
      <c r="C35" s="145" t="s">
        <v>741</v>
      </c>
      <c r="D35" s="146" t="str">
        <f t="shared" si="1"/>
        <v>2023-11-23 18:35:00</v>
      </c>
      <c r="E35" s="9">
        <v>4</v>
      </c>
      <c r="F35" s="5">
        <v>0</v>
      </c>
      <c r="G35" s="5">
        <v>3000</v>
      </c>
      <c r="H35" s="136">
        <v>2023</v>
      </c>
      <c r="I35" s="136">
        <v>11</v>
      </c>
      <c r="J35" s="5">
        <v>23</v>
      </c>
      <c r="K35" s="5">
        <v>18</v>
      </c>
      <c r="L35" s="5">
        <v>35</v>
      </c>
      <c r="M35" s="147" t="s">
        <v>754</v>
      </c>
      <c r="N35" s="148" t="s">
        <v>758</v>
      </c>
    </row>
    <row r="36" spans="1:14" ht="16.5">
      <c r="A36" s="5">
        <v>42</v>
      </c>
      <c r="B36" s="9" t="s">
        <v>783</v>
      </c>
      <c r="C36" s="9" t="s">
        <v>741</v>
      </c>
      <c r="D36" s="142" t="str">
        <f t="shared" si="1"/>
        <v>2023-11-23 13:00:00</v>
      </c>
      <c r="E36" s="9">
        <v>4</v>
      </c>
      <c r="F36" s="5">
        <v>0</v>
      </c>
      <c r="G36" s="5">
        <v>3000</v>
      </c>
      <c r="H36" s="5">
        <v>2023</v>
      </c>
      <c r="I36" s="5">
        <v>11</v>
      </c>
      <c r="J36" s="5">
        <v>23</v>
      </c>
      <c r="K36" s="5">
        <v>13</v>
      </c>
      <c r="L36" s="141" t="s">
        <v>754</v>
      </c>
      <c r="M36" s="141" t="s">
        <v>754</v>
      </c>
      <c r="N36" s="7" t="s">
        <v>759</v>
      </c>
    </row>
    <row r="37" spans="1:14" ht="16.5">
      <c r="A37" s="5">
        <v>43</v>
      </c>
      <c r="B37" s="9" t="s">
        <v>783</v>
      </c>
      <c r="C37" s="9" t="s">
        <v>741</v>
      </c>
      <c r="D37" s="142" t="str">
        <f t="shared" si="1"/>
        <v>2023-11-23 18:00:00</v>
      </c>
      <c r="E37" s="9">
        <v>4</v>
      </c>
      <c r="F37" s="5">
        <v>0</v>
      </c>
      <c r="G37" s="5">
        <v>3000</v>
      </c>
      <c r="H37" s="5">
        <v>2023</v>
      </c>
      <c r="I37" s="5">
        <v>11</v>
      </c>
      <c r="J37" s="5">
        <v>23</v>
      </c>
      <c r="K37" s="5">
        <v>18</v>
      </c>
      <c r="L37" s="141" t="s">
        <v>754</v>
      </c>
      <c r="M37" s="141" t="s">
        <v>754</v>
      </c>
      <c r="N37" s="7" t="s">
        <v>759</v>
      </c>
    </row>
    <row r="38" spans="1:14" ht="16.5">
      <c r="A38" s="5">
        <v>44</v>
      </c>
      <c r="B38" s="9" t="s">
        <v>783</v>
      </c>
      <c r="C38" s="9" t="s">
        <v>741</v>
      </c>
      <c r="D38" s="142" t="str">
        <f t="shared" si="1"/>
        <v>2023-11-24 13:00:00</v>
      </c>
      <c r="E38" s="9">
        <v>4</v>
      </c>
      <c r="F38" s="5">
        <v>0</v>
      </c>
      <c r="G38" s="5">
        <v>3000</v>
      </c>
      <c r="H38" s="5">
        <v>2023</v>
      </c>
      <c r="I38" s="5">
        <v>11</v>
      </c>
      <c r="J38" s="5">
        <v>24</v>
      </c>
      <c r="K38" s="5">
        <v>13</v>
      </c>
      <c r="L38" s="141" t="s">
        <v>754</v>
      </c>
      <c r="M38" s="141" t="s">
        <v>754</v>
      </c>
      <c r="N38" s="7" t="s">
        <v>759</v>
      </c>
    </row>
    <row r="39" spans="1:14" ht="16.5">
      <c r="A39" s="5">
        <v>45</v>
      </c>
      <c r="B39" s="9" t="s">
        <v>783</v>
      </c>
      <c r="C39" s="9" t="s">
        <v>741</v>
      </c>
      <c r="D39" s="142" t="str">
        <f t="shared" si="1"/>
        <v>2023-11-24 18:00:00</v>
      </c>
      <c r="E39" s="9">
        <v>4</v>
      </c>
      <c r="F39" s="5">
        <v>0</v>
      </c>
      <c r="G39" s="5">
        <v>3000</v>
      </c>
      <c r="H39" s="5">
        <v>2023</v>
      </c>
      <c r="I39" s="5">
        <v>11</v>
      </c>
      <c r="J39" s="5">
        <v>24</v>
      </c>
      <c r="K39" s="5">
        <v>18</v>
      </c>
      <c r="L39" s="141" t="s">
        <v>754</v>
      </c>
      <c r="M39" s="141" t="s">
        <v>754</v>
      </c>
      <c r="N39" s="7" t="s">
        <v>759</v>
      </c>
    </row>
    <row r="40" spans="1:14" ht="16.5">
      <c r="A40" s="5">
        <v>46</v>
      </c>
      <c r="B40" s="9" t="s">
        <v>783</v>
      </c>
      <c r="C40" s="9" t="s">
        <v>741</v>
      </c>
      <c r="D40" s="142" t="str">
        <f t="shared" si="1"/>
        <v>2023-11-25 13:00:00</v>
      </c>
      <c r="E40" s="9">
        <v>4</v>
      </c>
      <c r="F40" s="5">
        <v>0</v>
      </c>
      <c r="G40" s="5">
        <v>3000</v>
      </c>
      <c r="H40" s="5">
        <v>2023</v>
      </c>
      <c r="I40" s="5">
        <v>11</v>
      </c>
      <c r="J40" s="5">
        <v>25</v>
      </c>
      <c r="K40" s="5">
        <v>13</v>
      </c>
      <c r="L40" s="141" t="s">
        <v>754</v>
      </c>
      <c r="M40" s="141" t="s">
        <v>754</v>
      </c>
      <c r="N40" s="7" t="s">
        <v>759</v>
      </c>
    </row>
    <row r="41" spans="1:14" ht="16.5">
      <c r="A41" s="5">
        <v>47</v>
      </c>
      <c r="B41" s="9" t="s">
        <v>783</v>
      </c>
      <c r="C41" s="9" t="s">
        <v>741</v>
      </c>
      <c r="D41" s="142" t="str">
        <f t="shared" si="1"/>
        <v>2023-11-25 18:00:00</v>
      </c>
      <c r="E41" s="9">
        <v>4</v>
      </c>
      <c r="F41" s="5">
        <v>0</v>
      </c>
      <c r="G41" s="5">
        <v>3000</v>
      </c>
      <c r="H41" s="5">
        <v>2023</v>
      </c>
      <c r="I41" s="5">
        <v>11</v>
      </c>
      <c r="J41" s="5">
        <v>25</v>
      </c>
      <c r="K41" s="5">
        <v>18</v>
      </c>
      <c r="L41" s="141" t="s">
        <v>754</v>
      </c>
      <c r="M41" s="141" t="s">
        <v>754</v>
      </c>
      <c r="N41" s="7" t="s">
        <v>759</v>
      </c>
    </row>
    <row r="42" spans="1:14" ht="16.5">
      <c r="A42" s="5">
        <v>48</v>
      </c>
      <c r="B42" s="9" t="s">
        <v>783</v>
      </c>
      <c r="C42" s="9" t="s">
        <v>741</v>
      </c>
      <c r="D42" s="142" t="str">
        <f t="shared" ref="D42:D51" si="2">H42&amp;"-"&amp;I42&amp;"-"&amp;J42&amp;" "&amp;K42&amp;":"&amp;L42&amp;":"&amp;M42</f>
        <v>2023-11-26 13:00:00</v>
      </c>
      <c r="E42" s="9">
        <v>4</v>
      </c>
      <c r="F42" s="5">
        <v>0</v>
      </c>
      <c r="G42" s="5">
        <v>3000</v>
      </c>
      <c r="H42" s="5">
        <v>2023</v>
      </c>
      <c r="I42" s="5">
        <v>11</v>
      </c>
      <c r="J42" s="5">
        <v>26</v>
      </c>
      <c r="K42" s="5">
        <v>13</v>
      </c>
      <c r="L42" s="141" t="s">
        <v>754</v>
      </c>
      <c r="M42" s="141" t="s">
        <v>754</v>
      </c>
      <c r="N42" s="7" t="s">
        <v>759</v>
      </c>
    </row>
    <row r="43" spans="1:14" ht="16.5">
      <c r="A43" s="5">
        <v>49</v>
      </c>
      <c r="B43" s="9" t="s">
        <v>783</v>
      </c>
      <c r="C43" s="9" t="s">
        <v>741</v>
      </c>
      <c r="D43" s="142" t="str">
        <f t="shared" si="2"/>
        <v>2023-11-26 18:00:00</v>
      </c>
      <c r="E43" s="9">
        <v>4</v>
      </c>
      <c r="F43" s="5">
        <v>0</v>
      </c>
      <c r="G43" s="5">
        <v>3000</v>
      </c>
      <c r="H43" s="5">
        <v>2023</v>
      </c>
      <c r="I43" s="5">
        <v>11</v>
      </c>
      <c r="J43" s="5">
        <v>26</v>
      </c>
      <c r="K43" s="5">
        <v>18</v>
      </c>
      <c r="L43" s="141" t="s">
        <v>754</v>
      </c>
      <c r="M43" s="141" t="s">
        <v>754</v>
      </c>
      <c r="N43" s="7" t="s">
        <v>759</v>
      </c>
    </row>
    <row r="44" spans="1:14" ht="16.5">
      <c r="A44" s="5">
        <v>50</v>
      </c>
      <c r="B44" s="9" t="s">
        <v>783</v>
      </c>
      <c r="C44" s="9" t="s">
        <v>741</v>
      </c>
      <c r="D44" s="142" t="str">
        <f t="shared" si="2"/>
        <v>2023-11-27 13:00:00</v>
      </c>
      <c r="E44" s="9">
        <v>4</v>
      </c>
      <c r="F44" s="5">
        <v>0</v>
      </c>
      <c r="G44" s="5">
        <v>3000</v>
      </c>
      <c r="H44" s="5">
        <v>2023</v>
      </c>
      <c r="I44" s="5">
        <v>11</v>
      </c>
      <c r="J44" s="5">
        <v>27</v>
      </c>
      <c r="K44" s="5">
        <v>13</v>
      </c>
      <c r="L44" s="141" t="s">
        <v>754</v>
      </c>
      <c r="M44" s="141" t="s">
        <v>754</v>
      </c>
      <c r="N44" s="7" t="s">
        <v>759</v>
      </c>
    </row>
    <row r="45" spans="1:14" ht="16.5">
      <c r="A45" s="5">
        <v>51</v>
      </c>
      <c r="B45" s="9" t="s">
        <v>783</v>
      </c>
      <c r="C45" s="9" t="s">
        <v>741</v>
      </c>
      <c r="D45" s="142" t="str">
        <f t="shared" si="2"/>
        <v>2023-11-27 18:00:00</v>
      </c>
      <c r="E45" s="9">
        <v>4</v>
      </c>
      <c r="F45" s="5">
        <v>0</v>
      </c>
      <c r="G45" s="5">
        <v>3000</v>
      </c>
      <c r="H45" s="5">
        <v>2023</v>
      </c>
      <c r="I45" s="5">
        <v>11</v>
      </c>
      <c r="J45" s="5">
        <v>27</v>
      </c>
      <c r="K45" s="5">
        <v>18</v>
      </c>
      <c r="L45" s="141" t="s">
        <v>754</v>
      </c>
      <c r="M45" s="141" t="s">
        <v>754</v>
      </c>
      <c r="N45" s="7" t="s">
        <v>759</v>
      </c>
    </row>
    <row r="46" spans="1:14" ht="16.5">
      <c r="A46" s="5">
        <v>52</v>
      </c>
      <c r="B46" s="9" t="s">
        <v>783</v>
      </c>
      <c r="C46" s="9" t="s">
        <v>741</v>
      </c>
      <c r="D46" s="142" t="str">
        <f t="shared" si="2"/>
        <v>2023-11-28 13:00:00</v>
      </c>
      <c r="E46" s="9">
        <v>4</v>
      </c>
      <c r="F46" s="5">
        <v>0</v>
      </c>
      <c r="G46" s="5">
        <v>3000</v>
      </c>
      <c r="H46" s="5">
        <v>2023</v>
      </c>
      <c r="I46" s="5">
        <v>11</v>
      </c>
      <c r="J46" s="5">
        <v>28</v>
      </c>
      <c r="K46" s="5">
        <v>13</v>
      </c>
      <c r="L46" s="141" t="s">
        <v>754</v>
      </c>
      <c r="M46" s="141" t="s">
        <v>754</v>
      </c>
      <c r="N46" s="7" t="s">
        <v>759</v>
      </c>
    </row>
    <row r="47" spans="1:14" ht="16.5">
      <c r="A47" s="5">
        <v>53</v>
      </c>
      <c r="B47" s="9" t="s">
        <v>783</v>
      </c>
      <c r="C47" s="9" t="s">
        <v>741</v>
      </c>
      <c r="D47" s="142" t="str">
        <f t="shared" si="2"/>
        <v>2023-11-28 18:00:00</v>
      </c>
      <c r="E47" s="9">
        <v>4</v>
      </c>
      <c r="F47" s="5">
        <v>0</v>
      </c>
      <c r="G47" s="5">
        <v>3000</v>
      </c>
      <c r="H47" s="5">
        <v>2023</v>
      </c>
      <c r="I47" s="5">
        <v>11</v>
      </c>
      <c r="J47" s="5">
        <v>28</v>
      </c>
      <c r="K47" s="5">
        <v>18</v>
      </c>
      <c r="L47" s="141" t="s">
        <v>754</v>
      </c>
      <c r="M47" s="141" t="s">
        <v>754</v>
      </c>
      <c r="N47" s="7" t="s">
        <v>759</v>
      </c>
    </row>
    <row r="48" spans="1:14" ht="16.5">
      <c r="A48" s="5">
        <v>54</v>
      </c>
      <c r="B48" s="9" t="s">
        <v>783</v>
      </c>
      <c r="C48" s="9" t="s">
        <v>741</v>
      </c>
      <c r="D48" s="142" t="str">
        <f t="shared" si="2"/>
        <v>2023-11-29 13:00:00</v>
      </c>
      <c r="E48" s="9">
        <v>4</v>
      </c>
      <c r="F48" s="5">
        <v>0</v>
      </c>
      <c r="G48" s="5">
        <v>3000</v>
      </c>
      <c r="H48" s="5">
        <v>2023</v>
      </c>
      <c r="I48" s="5">
        <v>11</v>
      </c>
      <c r="J48" s="5">
        <v>29</v>
      </c>
      <c r="K48" s="5">
        <v>13</v>
      </c>
      <c r="L48" s="141" t="s">
        <v>754</v>
      </c>
      <c r="M48" s="141" t="s">
        <v>754</v>
      </c>
      <c r="N48" s="7" t="s">
        <v>759</v>
      </c>
    </row>
    <row r="49" spans="1:14" ht="16.5">
      <c r="A49" s="5">
        <v>55</v>
      </c>
      <c r="B49" s="9" t="s">
        <v>783</v>
      </c>
      <c r="C49" s="9" t="s">
        <v>741</v>
      </c>
      <c r="D49" s="142" t="str">
        <f t="shared" si="2"/>
        <v>2023-11-29 18:00:00</v>
      </c>
      <c r="E49" s="9">
        <v>4</v>
      </c>
      <c r="F49" s="5">
        <v>0</v>
      </c>
      <c r="G49" s="5">
        <v>3000</v>
      </c>
      <c r="H49" s="5">
        <v>2023</v>
      </c>
      <c r="I49" s="5">
        <v>11</v>
      </c>
      <c r="J49" s="5">
        <v>29</v>
      </c>
      <c r="K49" s="5">
        <v>18</v>
      </c>
      <c r="L49" s="141" t="s">
        <v>754</v>
      </c>
      <c r="M49" s="141" t="s">
        <v>754</v>
      </c>
      <c r="N49" s="7" t="s">
        <v>759</v>
      </c>
    </row>
    <row r="50" spans="1:14" ht="16.5">
      <c r="A50" s="5">
        <v>56</v>
      </c>
      <c r="B50" s="9" t="s">
        <v>783</v>
      </c>
      <c r="C50" s="9" t="s">
        <v>741</v>
      </c>
      <c r="D50" s="142" t="str">
        <f t="shared" si="2"/>
        <v>2023-11-30 13:00:00</v>
      </c>
      <c r="E50" s="9">
        <v>4</v>
      </c>
      <c r="F50" s="5">
        <v>0</v>
      </c>
      <c r="G50" s="5">
        <v>3000</v>
      </c>
      <c r="H50" s="5">
        <v>2023</v>
      </c>
      <c r="I50" s="5">
        <v>11</v>
      </c>
      <c r="J50" s="5">
        <v>30</v>
      </c>
      <c r="K50" s="5">
        <v>13</v>
      </c>
      <c r="L50" s="141" t="s">
        <v>754</v>
      </c>
      <c r="M50" s="141" t="s">
        <v>754</v>
      </c>
      <c r="N50" s="7" t="s">
        <v>759</v>
      </c>
    </row>
    <row r="51" spans="1:14" ht="16.5">
      <c r="A51" s="5">
        <v>57</v>
      </c>
      <c r="B51" s="9" t="s">
        <v>783</v>
      </c>
      <c r="C51" s="9" t="s">
        <v>741</v>
      </c>
      <c r="D51" s="142" t="str">
        <f t="shared" si="2"/>
        <v>2023-11-30 18:00:00</v>
      </c>
      <c r="E51" s="9">
        <v>4</v>
      </c>
      <c r="F51" s="5">
        <v>0</v>
      </c>
      <c r="G51" s="5">
        <v>3000</v>
      </c>
      <c r="H51" s="5">
        <v>2023</v>
      </c>
      <c r="I51" s="5">
        <v>11</v>
      </c>
      <c r="J51" s="5">
        <v>30</v>
      </c>
      <c r="K51" s="5">
        <v>18</v>
      </c>
      <c r="L51" s="141" t="s">
        <v>754</v>
      </c>
      <c r="M51" s="141" t="s">
        <v>754</v>
      </c>
      <c r="N51" s="7" t="s">
        <v>759</v>
      </c>
    </row>
    <row r="52" spans="1:14" ht="16.5">
      <c r="A52" s="5">
        <v>58</v>
      </c>
      <c r="B52" s="9" t="s">
        <v>783</v>
      </c>
      <c r="C52" s="9" t="s">
        <v>741</v>
      </c>
      <c r="D52" s="142" t="str">
        <f t="shared" ref="D52:D69" si="3">H52&amp;"-"&amp;I52&amp;"-"&amp;J52&amp;" "&amp;K52&amp;":"&amp;L52&amp;":"&amp;M52</f>
        <v>2023-12-01 13:00:00</v>
      </c>
      <c r="E52" s="9">
        <v>4</v>
      </c>
      <c r="F52" s="5">
        <v>0</v>
      </c>
      <c r="G52" s="5">
        <v>3000</v>
      </c>
      <c r="H52" s="5">
        <v>2023</v>
      </c>
      <c r="I52" s="5">
        <v>12</v>
      </c>
      <c r="J52" s="141" t="s">
        <v>760</v>
      </c>
      <c r="K52" s="5">
        <v>13</v>
      </c>
      <c r="L52" s="141" t="s">
        <v>754</v>
      </c>
      <c r="M52" s="141" t="s">
        <v>754</v>
      </c>
      <c r="N52" s="7" t="s">
        <v>759</v>
      </c>
    </row>
    <row r="53" spans="1:14" ht="16.5">
      <c r="A53" s="5">
        <v>59</v>
      </c>
      <c r="B53" s="9" t="s">
        <v>783</v>
      </c>
      <c r="C53" s="9" t="s">
        <v>741</v>
      </c>
      <c r="D53" s="142" t="str">
        <f t="shared" si="3"/>
        <v>2023-12-01 18:00:00</v>
      </c>
      <c r="E53" s="9">
        <v>4</v>
      </c>
      <c r="F53" s="5">
        <v>0</v>
      </c>
      <c r="G53" s="5">
        <v>3000</v>
      </c>
      <c r="H53" s="5">
        <v>2023</v>
      </c>
      <c r="I53" s="5">
        <v>12</v>
      </c>
      <c r="J53" s="141" t="s">
        <v>760</v>
      </c>
      <c r="K53" s="5">
        <v>18</v>
      </c>
      <c r="L53" s="141" t="s">
        <v>754</v>
      </c>
      <c r="M53" s="141" t="s">
        <v>754</v>
      </c>
      <c r="N53" s="7" t="s">
        <v>759</v>
      </c>
    </row>
    <row r="54" spans="1:14" ht="16.5">
      <c r="A54" s="5">
        <v>60</v>
      </c>
      <c r="B54" s="9" t="s">
        <v>783</v>
      </c>
      <c r="C54" s="9" t="s">
        <v>741</v>
      </c>
      <c r="D54" s="142" t="str">
        <f t="shared" si="3"/>
        <v>2023-12-02 13:00:00</v>
      </c>
      <c r="E54" s="9">
        <v>4</v>
      </c>
      <c r="F54" s="5">
        <v>0</v>
      </c>
      <c r="G54" s="5">
        <v>3000</v>
      </c>
      <c r="H54" s="5">
        <v>2023</v>
      </c>
      <c r="I54" s="5">
        <v>12</v>
      </c>
      <c r="J54" s="141" t="s">
        <v>761</v>
      </c>
      <c r="K54" s="5">
        <v>13</v>
      </c>
      <c r="L54" s="141" t="s">
        <v>754</v>
      </c>
      <c r="M54" s="141" t="s">
        <v>754</v>
      </c>
      <c r="N54" s="7" t="s">
        <v>759</v>
      </c>
    </row>
    <row r="55" spans="1:14" ht="16.5">
      <c r="A55" s="5">
        <v>61</v>
      </c>
      <c r="B55" s="9" t="s">
        <v>783</v>
      </c>
      <c r="C55" s="9" t="s">
        <v>741</v>
      </c>
      <c r="D55" s="142" t="str">
        <f t="shared" si="3"/>
        <v>2023-12-02 18:00:00</v>
      </c>
      <c r="E55" s="9">
        <v>4</v>
      </c>
      <c r="F55" s="5">
        <v>0</v>
      </c>
      <c r="G55" s="5">
        <v>3000</v>
      </c>
      <c r="H55" s="5">
        <v>2023</v>
      </c>
      <c r="I55" s="5">
        <v>12</v>
      </c>
      <c r="J55" s="141" t="s">
        <v>761</v>
      </c>
      <c r="K55" s="5">
        <v>18</v>
      </c>
      <c r="L55" s="141" t="s">
        <v>754</v>
      </c>
      <c r="M55" s="141" t="s">
        <v>754</v>
      </c>
      <c r="N55" s="7" t="s">
        <v>759</v>
      </c>
    </row>
    <row r="56" spans="1:14" ht="16.5">
      <c r="A56" s="5">
        <v>62</v>
      </c>
      <c r="B56" s="9" t="s">
        <v>783</v>
      </c>
      <c r="C56" s="9" t="s">
        <v>741</v>
      </c>
      <c r="D56" s="142" t="str">
        <f t="shared" si="3"/>
        <v>2023-12-03 13:00:00</v>
      </c>
      <c r="E56" s="9">
        <v>4</v>
      </c>
      <c r="F56" s="5">
        <v>0</v>
      </c>
      <c r="G56" s="5">
        <v>3000</v>
      </c>
      <c r="H56" s="5">
        <v>2023</v>
      </c>
      <c r="I56" s="5">
        <v>12</v>
      </c>
      <c r="J56" s="141" t="s">
        <v>762</v>
      </c>
      <c r="K56" s="5">
        <v>13</v>
      </c>
      <c r="L56" s="141" t="s">
        <v>754</v>
      </c>
      <c r="M56" s="141" t="s">
        <v>754</v>
      </c>
      <c r="N56" s="7" t="s">
        <v>759</v>
      </c>
    </row>
    <row r="57" spans="1:14" ht="16.5">
      <c r="A57" s="5">
        <v>63</v>
      </c>
      <c r="B57" s="9" t="s">
        <v>783</v>
      </c>
      <c r="C57" s="9" t="s">
        <v>741</v>
      </c>
      <c r="D57" s="142" t="str">
        <f t="shared" si="3"/>
        <v>2023-12-03 18:00:00</v>
      </c>
      <c r="E57" s="9">
        <v>4</v>
      </c>
      <c r="F57" s="5">
        <v>0</v>
      </c>
      <c r="G57" s="5">
        <v>3000</v>
      </c>
      <c r="H57" s="5">
        <v>2023</v>
      </c>
      <c r="I57" s="5">
        <v>12</v>
      </c>
      <c r="J57" s="141" t="s">
        <v>762</v>
      </c>
      <c r="K57" s="5">
        <v>18</v>
      </c>
      <c r="L57" s="141" t="s">
        <v>754</v>
      </c>
      <c r="M57" s="141" t="s">
        <v>754</v>
      </c>
      <c r="N57" s="7" t="s">
        <v>759</v>
      </c>
    </row>
    <row r="58" spans="1:14" ht="16.5">
      <c r="A58" s="5">
        <v>64</v>
      </c>
      <c r="B58" s="9" t="s">
        <v>783</v>
      </c>
      <c r="C58" s="9" t="s">
        <v>741</v>
      </c>
      <c r="D58" s="142" t="str">
        <f t="shared" si="3"/>
        <v>2023-12-04 13:00:00</v>
      </c>
      <c r="E58" s="9">
        <v>4</v>
      </c>
      <c r="F58" s="5">
        <v>0</v>
      </c>
      <c r="G58" s="5">
        <v>3000</v>
      </c>
      <c r="H58" s="5">
        <v>2023</v>
      </c>
      <c r="I58" s="5">
        <v>12</v>
      </c>
      <c r="J58" s="141" t="s">
        <v>763</v>
      </c>
      <c r="K58" s="5">
        <v>13</v>
      </c>
      <c r="L58" s="141" t="s">
        <v>754</v>
      </c>
      <c r="M58" s="141" t="s">
        <v>754</v>
      </c>
      <c r="N58" s="7" t="s">
        <v>759</v>
      </c>
    </row>
    <row r="59" spans="1:14" ht="16.5">
      <c r="A59" s="5">
        <v>65</v>
      </c>
      <c r="B59" s="9" t="s">
        <v>783</v>
      </c>
      <c r="C59" s="9" t="s">
        <v>741</v>
      </c>
      <c r="D59" s="142" t="str">
        <f t="shared" si="3"/>
        <v>2023-12-04 18:00:00</v>
      </c>
      <c r="E59" s="9">
        <v>4</v>
      </c>
      <c r="F59" s="5">
        <v>0</v>
      </c>
      <c r="G59" s="5">
        <v>3000</v>
      </c>
      <c r="H59" s="5">
        <v>2023</v>
      </c>
      <c r="I59" s="5">
        <v>12</v>
      </c>
      <c r="J59" s="141" t="s">
        <v>763</v>
      </c>
      <c r="K59" s="5">
        <v>18</v>
      </c>
      <c r="L59" s="141" t="s">
        <v>754</v>
      </c>
      <c r="M59" s="141" t="s">
        <v>754</v>
      </c>
      <c r="N59" s="7" t="s">
        <v>759</v>
      </c>
    </row>
    <row r="60" spans="1:14" ht="16.5">
      <c r="A60" s="5">
        <v>66</v>
      </c>
      <c r="B60" s="9" t="s">
        <v>783</v>
      </c>
      <c r="C60" s="9" t="s">
        <v>741</v>
      </c>
      <c r="D60" s="142" t="str">
        <f t="shared" si="3"/>
        <v>2023-12-05 13:00:00</v>
      </c>
      <c r="E60" s="9">
        <v>4</v>
      </c>
      <c r="F60" s="5">
        <v>0</v>
      </c>
      <c r="G60" s="5">
        <v>3000</v>
      </c>
      <c r="H60" s="5">
        <v>2023</v>
      </c>
      <c r="I60" s="5">
        <v>12</v>
      </c>
      <c r="J60" s="141" t="s">
        <v>757</v>
      </c>
      <c r="K60" s="5">
        <v>13</v>
      </c>
      <c r="L60" s="141" t="s">
        <v>754</v>
      </c>
      <c r="M60" s="141" t="s">
        <v>754</v>
      </c>
      <c r="N60" s="7" t="s">
        <v>759</v>
      </c>
    </row>
    <row r="61" spans="1:14" ht="16.5">
      <c r="A61" s="5">
        <v>67</v>
      </c>
      <c r="B61" s="9" t="s">
        <v>783</v>
      </c>
      <c r="C61" s="9" t="s">
        <v>741</v>
      </c>
      <c r="D61" s="142" t="str">
        <f t="shared" si="3"/>
        <v>2023-12-05 18:00:00</v>
      </c>
      <c r="E61" s="9">
        <v>4</v>
      </c>
      <c r="F61" s="5">
        <v>0</v>
      </c>
      <c r="G61" s="5">
        <v>3000</v>
      </c>
      <c r="H61" s="5">
        <v>2023</v>
      </c>
      <c r="I61" s="5">
        <v>12</v>
      </c>
      <c r="J61" s="141" t="s">
        <v>757</v>
      </c>
      <c r="K61" s="5">
        <v>18</v>
      </c>
      <c r="L61" s="141" t="s">
        <v>754</v>
      </c>
      <c r="M61" s="141" t="s">
        <v>754</v>
      </c>
      <c r="N61" s="7" t="s">
        <v>759</v>
      </c>
    </row>
    <row r="62" spans="1:14" ht="16.5">
      <c r="A62" s="5">
        <v>68</v>
      </c>
      <c r="B62" s="9" t="s">
        <v>783</v>
      </c>
      <c r="C62" s="9" t="s">
        <v>741</v>
      </c>
      <c r="D62" s="142" t="str">
        <f t="shared" si="3"/>
        <v>2023-12-06 13:00:00</v>
      </c>
      <c r="E62" s="9">
        <v>4</v>
      </c>
      <c r="F62" s="5">
        <v>0</v>
      </c>
      <c r="G62" s="5">
        <v>3000</v>
      </c>
      <c r="H62" s="5">
        <v>2023</v>
      </c>
      <c r="I62" s="5">
        <v>12</v>
      </c>
      <c r="J62" s="141" t="s">
        <v>764</v>
      </c>
      <c r="K62" s="5">
        <v>13</v>
      </c>
      <c r="L62" s="141" t="s">
        <v>754</v>
      </c>
      <c r="M62" s="141" t="s">
        <v>754</v>
      </c>
      <c r="N62" s="7" t="s">
        <v>759</v>
      </c>
    </row>
    <row r="63" spans="1:14" ht="16.5">
      <c r="A63" s="5">
        <v>69</v>
      </c>
      <c r="B63" s="9" t="s">
        <v>783</v>
      </c>
      <c r="C63" s="9" t="s">
        <v>741</v>
      </c>
      <c r="D63" s="142" t="str">
        <f t="shared" si="3"/>
        <v>2023-12-06 18:00:00</v>
      </c>
      <c r="E63" s="9">
        <v>4</v>
      </c>
      <c r="F63" s="5">
        <v>0</v>
      </c>
      <c r="G63" s="5">
        <v>3000</v>
      </c>
      <c r="H63" s="5">
        <v>2023</v>
      </c>
      <c r="I63" s="5">
        <v>12</v>
      </c>
      <c r="J63" s="141" t="s">
        <v>764</v>
      </c>
      <c r="K63" s="5">
        <v>18</v>
      </c>
      <c r="L63" s="141" t="s">
        <v>754</v>
      </c>
      <c r="M63" s="141" t="s">
        <v>754</v>
      </c>
      <c r="N63" s="7" t="s">
        <v>759</v>
      </c>
    </row>
    <row r="64" spans="1:14" ht="16.5">
      <c r="A64" s="5">
        <v>70</v>
      </c>
      <c r="B64" s="9" t="s">
        <v>783</v>
      </c>
      <c r="C64" s="9" t="s">
        <v>741</v>
      </c>
      <c r="D64" s="142" t="str">
        <f t="shared" si="3"/>
        <v>2023-12-07 13:00:00</v>
      </c>
      <c r="E64" s="9">
        <v>4</v>
      </c>
      <c r="F64" s="5">
        <v>0</v>
      </c>
      <c r="G64" s="5">
        <v>3000</v>
      </c>
      <c r="H64" s="5">
        <v>2023</v>
      </c>
      <c r="I64" s="5">
        <v>12</v>
      </c>
      <c r="J64" s="141" t="s">
        <v>765</v>
      </c>
      <c r="K64" s="5">
        <v>13</v>
      </c>
      <c r="L64" s="141" t="s">
        <v>754</v>
      </c>
      <c r="M64" s="141" t="s">
        <v>754</v>
      </c>
      <c r="N64" s="7" t="s">
        <v>759</v>
      </c>
    </row>
    <row r="65" spans="1:14" ht="16.5">
      <c r="A65" s="5">
        <v>71</v>
      </c>
      <c r="B65" s="9" t="s">
        <v>783</v>
      </c>
      <c r="C65" s="9" t="s">
        <v>741</v>
      </c>
      <c r="D65" s="142" t="str">
        <f t="shared" si="3"/>
        <v>2023-12-07 18:00:00</v>
      </c>
      <c r="E65" s="9">
        <v>4</v>
      </c>
      <c r="F65" s="5">
        <v>0</v>
      </c>
      <c r="G65" s="5">
        <v>3000</v>
      </c>
      <c r="H65" s="5">
        <v>2023</v>
      </c>
      <c r="I65" s="5">
        <v>12</v>
      </c>
      <c r="J65" s="141" t="s">
        <v>765</v>
      </c>
      <c r="K65" s="5">
        <v>18</v>
      </c>
      <c r="L65" s="141" t="s">
        <v>754</v>
      </c>
      <c r="M65" s="141" t="s">
        <v>754</v>
      </c>
      <c r="N65" s="7" t="s">
        <v>759</v>
      </c>
    </row>
    <row r="66" spans="1:14" ht="16.5">
      <c r="A66" s="5">
        <v>72</v>
      </c>
      <c r="B66" s="9" t="s">
        <v>783</v>
      </c>
      <c r="C66" s="9" t="s">
        <v>741</v>
      </c>
      <c r="D66" s="142" t="str">
        <f>H66&amp;"-"&amp;I66&amp;"-"&amp;J66&amp;" "&amp;K66&amp;":"&amp;L66&amp;":"&amp;M66</f>
        <v>2023-12-08 13:00:00</v>
      </c>
      <c r="E66" s="9">
        <v>4</v>
      </c>
      <c r="F66" s="5">
        <v>0</v>
      </c>
      <c r="G66" s="5">
        <v>3000</v>
      </c>
      <c r="H66" s="5">
        <v>2023</v>
      </c>
      <c r="I66" s="5">
        <v>12</v>
      </c>
      <c r="J66" s="141" t="s">
        <v>766</v>
      </c>
      <c r="K66" s="5">
        <v>13</v>
      </c>
      <c r="L66" s="141" t="s">
        <v>754</v>
      </c>
      <c r="M66" s="141" t="s">
        <v>754</v>
      </c>
      <c r="N66" s="7" t="s">
        <v>759</v>
      </c>
    </row>
    <row r="67" spans="1:14" ht="16.5">
      <c r="A67" s="5">
        <v>73</v>
      </c>
      <c r="B67" s="9" t="s">
        <v>783</v>
      </c>
      <c r="C67" s="9" t="s">
        <v>741</v>
      </c>
      <c r="D67" s="142" t="str">
        <f>H67&amp;"-"&amp;I67&amp;"-"&amp;J67&amp;" "&amp;K67&amp;":"&amp;L67&amp;":"&amp;M67</f>
        <v>2023-12-08 18:00:00</v>
      </c>
      <c r="E67" s="9">
        <v>4</v>
      </c>
      <c r="F67" s="5">
        <v>0</v>
      </c>
      <c r="G67" s="5">
        <v>3000</v>
      </c>
      <c r="H67" s="5">
        <v>2023</v>
      </c>
      <c r="I67" s="5">
        <v>12</v>
      </c>
      <c r="J67" s="141" t="s">
        <v>766</v>
      </c>
      <c r="K67" s="5">
        <v>18</v>
      </c>
      <c r="L67" s="141" t="s">
        <v>754</v>
      </c>
      <c r="M67" s="141" t="s">
        <v>754</v>
      </c>
      <c r="N67" s="7" t="s">
        <v>759</v>
      </c>
    </row>
    <row r="68" spans="1:14" ht="16.5">
      <c r="A68" s="5">
        <v>74</v>
      </c>
      <c r="B68" s="9" t="s">
        <v>783</v>
      </c>
      <c r="C68" s="9" t="s">
        <v>741</v>
      </c>
      <c r="D68" s="142" t="str">
        <f>H68&amp;"-"&amp;I68&amp;"-"&amp;J68&amp;" "&amp;K68&amp;":"&amp;L68&amp;":"&amp;M68</f>
        <v>2023-12-09 13:00:00</v>
      </c>
      <c r="E68" s="9">
        <v>4</v>
      </c>
      <c r="F68" s="5">
        <v>0</v>
      </c>
      <c r="G68" s="5">
        <v>3000</v>
      </c>
      <c r="H68" s="5">
        <v>2023</v>
      </c>
      <c r="I68" s="5">
        <v>12</v>
      </c>
      <c r="J68" s="141" t="s">
        <v>767</v>
      </c>
      <c r="K68" s="5">
        <v>13</v>
      </c>
      <c r="L68" s="141" t="s">
        <v>754</v>
      </c>
      <c r="M68" s="141" t="s">
        <v>754</v>
      </c>
      <c r="N68" s="7" t="s">
        <v>759</v>
      </c>
    </row>
    <row r="69" spans="1:14" ht="16.5">
      <c r="A69" s="5">
        <v>75</v>
      </c>
      <c r="B69" s="9" t="s">
        <v>783</v>
      </c>
      <c r="C69" s="9" t="s">
        <v>741</v>
      </c>
      <c r="D69" s="142" t="str">
        <f t="shared" si="3"/>
        <v>2023-12-09 18:00:00</v>
      </c>
      <c r="E69" s="9">
        <v>4</v>
      </c>
      <c r="F69" s="5">
        <v>0</v>
      </c>
      <c r="G69" s="5">
        <v>3000</v>
      </c>
      <c r="H69" s="5">
        <v>2023</v>
      </c>
      <c r="I69" s="5">
        <v>12</v>
      </c>
      <c r="J69" s="141" t="s">
        <v>767</v>
      </c>
      <c r="K69" s="5">
        <v>18</v>
      </c>
      <c r="L69" s="141" t="s">
        <v>754</v>
      </c>
      <c r="M69" s="141" t="s">
        <v>754</v>
      </c>
      <c r="N69" s="7" t="s">
        <v>759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2"/>
  <sheetViews>
    <sheetView workbookViewId="0">
      <selection activeCell="C34" sqref="C34"/>
    </sheetView>
  </sheetViews>
  <sheetFormatPr defaultRowHeight="15"/>
  <cols>
    <col min="2" max="2" width="17.28515625" customWidth="1"/>
    <col min="3" max="3" width="34.42578125" customWidth="1"/>
    <col min="4" max="4" width="17.28515625" customWidth="1"/>
    <col min="5" max="5" width="22.28515625" customWidth="1"/>
  </cols>
  <sheetData>
    <row r="1" spans="1:5">
      <c r="A1" s="14" t="s">
        <v>42</v>
      </c>
      <c r="B1" s="14" t="s">
        <v>630</v>
      </c>
      <c r="C1" s="14" t="s">
        <v>155</v>
      </c>
      <c r="D1" s="14" t="s">
        <v>634</v>
      </c>
      <c r="E1" s="14" t="s">
        <v>263</v>
      </c>
    </row>
    <row r="2" spans="1:5">
      <c r="A2" s="15" t="s">
        <v>1</v>
      </c>
      <c r="B2" s="16" t="s">
        <v>3</v>
      </c>
      <c r="C2" s="16" t="s">
        <v>3</v>
      </c>
      <c r="D2" s="16" t="s">
        <v>10</v>
      </c>
      <c r="E2" s="16" t="s">
        <v>10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>
        <v>1</v>
      </c>
      <c r="B4" t="str">
        <f>"sayText_"&amp;A4</f>
        <v>sayText_1</v>
      </c>
      <c r="C4" s="8" t="s">
        <v>635</v>
      </c>
      <c r="D4">
        <v>3</v>
      </c>
      <c r="E4">
        <v>1</v>
      </c>
    </row>
    <row r="5" spans="1:5">
      <c r="A5">
        <v>2</v>
      </c>
      <c r="B5" t="str">
        <f t="shared" ref="B5:B22" si="0">"sayText_"&amp;A5</f>
        <v>sayText_2</v>
      </c>
      <c r="C5" s="8" t="s">
        <v>636</v>
      </c>
      <c r="D5">
        <v>3</v>
      </c>
      <c r="E5">
        <v>2</v>
      </c>
    </row>
    <row r="6" spans="1:5">
      <c r="A6">
        <v>3</v>
      </c>
      <c r="B6" t="str">
        <f t="shared" si="0"/>
        <v>sayText_3</v>
      </c>
      <c r="C6" s="8" t="s">
        <v>637</v>
      </c>
      <c r="D6">
        <v>3</v>
      </c>
      <c r="E6">
        <v>2</v>
      </c>
    </row>
    <row r="7" spans="1:5">
      <c r="A7">
        <v>4</v>
      </c>
      <c r="B7" t="str">
        <f t="shared" si="0"/>
        <v>sayText_4</v>
      </c>
      <c r="C7" s="7" t="s">
        <v>638</v>
      </c>
      <c r="D7">
        <v>3</v>
      </c>
      <c r="E7">
        <v>0</v>
      </c>
    </row>
    <row r="8" spans="1:5">
      <c r="A8">
        <v>5</v>
      </c>
      <c r="B8" t="str">
        <f t="shared" si="0"/>
        <v>sayText_5</v>
      </c>
      <c r="C8" s="8" t="s">
        <v>639</v>
      </c>
      <c r="D8">
        <v>3</v>
      </c>
      <c r="E8">
        <v>2</v>
      </c>
    </row>
    <row r="9" spans="1:5">
      <c r="A9">
        <v>6</v>
      </c>
      <c r="B9" t="str">
        <f t="shared" si="0"/>
        <v>sayText_6</v>
      </c>
      <c r="C9" s="8" t="s">
        <v>640</v>
      </c>
      <c r="D9">
        <v>3</v>
      </c>
      <c r="E9">
        <v>2</v>
      </c>
    </row>
    <row r="10" spans="1:5">
      <c r="A10">
        <v>7</v>
      </c>
      <c r="B10" t="str">
        <f t="shared" si="0"/>
        <v>sayText_7</v>
      </c>
      <c r="C10" s="8" t="s">
        <v>641</v>
      </c>
      <c r="D10">
        <v>3</v>
      </c>
      <c r="E10">
        <v>2</v>
      </c>
    </row>
    <row r="11" spans="1:5">
      <c r="A11">
        <v>8</v>
      </c>
      <c r="B11" t="str">
        <f t="shared" si="0"/>
        <v>sayText_8</v>
      </c>
      <c r="C11" s="8" t="s">
        <v>642</v>
      </c>
      <c r="D11">
        <v>3</v>
      </c>
      <c r="E11">
        <v>1</v>
      </c>
    </row>
    <row r="12" spans="1:5">
      <c r="A12">
        <v>9</v>
      </c>
      <c r="B12" t="str">
        <f t="shared" si="0"/>
        <v>sayText_9</v>
      </c>
      <c r="C12" s="8" t="s">
        <v>643</v>
      </c>
      <c r="D12">
        <v>3</v>
      </c>
      <c r="E12">
        <v>1</v>
      </c>
    </row>
    <row r="13" spans="1:5">
      <c r="A13">
        <v>10</v>
      </c>
      <c r="B13" t="str">
        <f t="shared" si="0"/>
        <v>sayText_10</v>
      </c>
      <c r="C13" s="8" t="s">
        <v>644</v>
      </c>
      <c r="D13">
        <v>3</v>
      </c>
      <c r="E13">
        <v>1</v>
      </c>
    </row>
    <row r="14" spans="1:5">
      <c r="A14">
        <v>11</v>
      </c>
      <c r="B14" t="str">
        <f t="shared" si="0"/>
        <v>sayText_11</v>
      </c>
      <c r="C14" s="8" t="s">
        <v>645</v>
      </c>
      <c r="D14">
        <v>3</v>
      </c>
      <c r="E14">
        <v>1</v>
      </c>
    </row>
    <row r="15" spans="1:5">
      <c r="A15">
        <v>12</v>
      </c>
      <c r="B15" t="str">
        <f t="shared" si="0"/>
        <v>sayText_12</v>
      </c>
      <c r="C15" s="8" t="s">
        <v>646</v>
      </c>
      <c r="D15">
        <v>3</v>
      </c>
      <c r="E15">
        <v>1</v>
      </c>
    </row>
    <row r="16" spans="1:5">
      <c r="A16">
        <v>13</v>
      </c>
      <c r="B16" t="str">
        <f t="shared" si="0"/>
        <v>sayText_13</v>
      </c>
      <c r="C16" s="8" t="s">
        <v>647</v>
      </c>
      <c r="D16">
        <v>3</v>
      </c>
      <c r="E16">
        <v>1</v>
      </c>
    </row>
    <row r="17" spans="1:5">
      <c r="A17">
        <v>14</v>
      </c>
      <c r="B17" t="str">
        <f t="shared" si="0"/>
        <v>sayText_14</v>
      </c>
      <c r="C17" s="8" t="s">
        <v>648</v>
      </c>
      <c r="D17">
        <v>3</v>
      </c>
      <c r="E17">
        <v>1</v>
      </c>
    </row>
    <row r="18" spans="1:5">
      <c r="A18">
        <v>15</v>
      </c>
      <c r="B18" t="str">
        <f t="shared" si="0"/>
        <v>sayText_15</v>
      </c>
      <c r="C18" s="8" t="s">
        <v>649</v>
      </c>
      <c r="D18">
        <v>3</v>
      </c>
      <c r="E18">
        <v>0</v>
      </c>
    </row>
    <row r="19" spans="1:5">
      <c r="A19">
        <v>16</v>
      </c>
      <c r="B19" t="str">
        <f t="shared" si="0"/>
        <v>sayText_16</v>
      </c>
      <c r="C19" s="8" t="s">
        <v>650</v>
      </c>
      <c r="D19">
        <v>3</v>
      </c>
      <c r="E19">
        <v>2</v>
      </c>
    </row>
    <row r="20" spans="1:5">
      <c r="A20">
        <v>17</v>
      </c>
      <c r="B20" t="str">
        <f t="shared" si="0"/>
        <v>sayText_17</v>
      </c>
      <c r="C20" s="7" t="s">
        <v>651</v>
      </c>
      <c r="D20">
        <v>3</v>
      </c>
      <c r="E20">
        <v>1</v>
      </c>
    </row>
    <row r="21" spans="1:5">
      <c r="A21">
        <v>18</v>
      </c>
      <c r="B21" t="str">
        <f t="shared" si="0"/>
        <v>sayText_18</v>
      </c>
      <c r="C21" s="8" t="s">
        <v>652</v>
      </c>
      <c r="D21">
        <v>3</v>
      </c>
      <c r="E21">
        <v>2</v>
      </c>
    </row>
    <row r="22" spans="1:5">
      <c r="A22">
        <v>19</v>
      </c>
      <c r="B22" t="str">
        <f t="shared" si="0"/>
        <v>sayText_19</v>
      </c>
      <c r="C22" s="8" t="s">
        <v>653</v>
      </c>
      <c r="D22">
        <v>3</v>
      </c>
      <c r="E22">
        <v>1</v>
      </c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70"/>
  <sheetViews>
    <sheetView workbookViewId="0">
      <selection activeCell="J26" sqref="J26"/>
    </sheetView>
  </sheetViews>
  <sheetFormatPr defaultColWidth="8.85546875" defaultRowHeight="15"/>
  <cols>
    <col min="1" max="2" width="9.140625" customWidth="1"/>
    <col min="3" max="3" width="12.5703125" bestFit="1" customWidth="1"/>
    <col min="4" max="4" width="9.7109375" bestFit="1" customWidth="1"/>
    <col min="5" max="5" width="13.7109375" bestFit="1" customWidth="1"/>
  </cols>
  <sheetData>
    <row r="1" spans="1:5">
      <c r="A1" s="14" t="s">
        <v>42</v>
      </c>
      <c r="B1" s="14" t="s">
        <v>604</v>
      </c>
      <c r="C1" s="14" t="s">
        <v>65</v>
      </c>
      <c r="D1" s="14" t="s">
        <v>118</v>
      </c>
      <c r="E1" s="14" t="s">
        <v>66</v>
      </c>
    </row>
    <row r="2" spans="1:5">
      <c r="A2" s="15" t="s">
        <v>1</v>
      </c>
      <c r="B2" s="15" t="s">
        <v>1</v>
      </c>
      <c r="C2" s="16" t="s">
        <v>62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9">
        <v>0</v>
      </c>
      <c r="D4" s="5">
        <v>2018</v>
      </c>
      <c r="E4" s="5">
        <v>1</v>
      </c>
    </row>
    <row r="5" spans="1:5">
      <c r="A5" s="136">
        <v>2</v>
      </c>
      <c r="B5" s="136">
        <v>2</v>
      </c>
      <c r="C5" s="9">
        <v>4</v>
      </c>
      <c r="D5" s="5">
        <v>0</v>
      </c>
      <c r="E5" s="5">
        <v>1000</v>
      </c>
    </row>
    <row r="6" spans="1:5">
      <c r="A6" s="5">
        <v>3</v>
      </c>
      <c r="B6" s="5">
        <v>3</v>
      </c>
      <c r="C6" s="9">
        <v>4</v>
      </c>
      <c r="D6" s="5">
        <v>0</v>
      </c>
      <c r="E6" s="5">
        <v>1000</v>
      </c>
    </row>
    <row r="7" spans="1:5">
      <c r="A7" s="136">
        <v>4</v>
      </c>
      <c r="B7" s="136">
        <v>4</v>
      </c>
      <c r="C7" s="9">
        <v>0</v>
      </c>
      <c r="D7" s="5">
        <v>2026</v>
      </c>
      <c r="E7" s="5">
        <v>1</v>
      </c>
    </row>
    <row r="8" spans="1:5">
      <c r="A8" s="5">
        <v>5</v>
      </c>
      <c r="B8" s="5">
        <v>5</v>
      </c>
      <c r="C8" s="9">
        <v>4</v>
      </c>
      <c r="D8" s="5">
        <v>0</v>
      </c>
      <c r="E8" s="5">
        <v>1000</v>
      </c>
    </row>
    <row r="9" spans="1:5">
      <c r="A9" s="136">
        <v>6</v>
      </c>
      <c r="B9" s="136">
        <v>6</v>
      </c>
      <c r="C9" s="9">
        <v>4</v>
      </c>
      <c r="D9" s="5">
        <v>0</v>
      </c>
      <c r="E9" s="5">
        <v>1000</v>
      </c>
    </row>
    <row r="10" spans="1:5">
      <c r="A10" s="5">
        <v>7</v>
      </c>
      <c r="B10" s="5">
        <v>7</v>
      </c>
      <c r="C10" s="9">
        <v>0</v>
      </c>
      <c r="D10" s="5">
        <v>2027</v>
      </c>
      <c r="E10" s="5">
        <v>1</v>
      </c>
    </row>
    <row r="11" spans="1:5">
      <c r="A11" s="136">
        <v>8</v>
      </c>
      <c r="B11" s="136">
        <v>8</v>
      </c>
      <c r="C11" s="9">
        <v>4</v>
      </c>
      <c r="D11" s="5">
        <v>0</v>
      </c>
      <c r="E11" s="5">
        <v>1000</v>
      </c>
    </row>
    <row r="12" spans="1:5">
      <c r="A12" s="5">
        <v>9</v>
      </c>
      <c r="B12" s="5">
        <v>9</v>
      </c>
      <c r="C12" s="9">
        <v>4</v>
      </c>
      <c r="D12" s="5">
        <v>0</v>
      </c>
      <c r="E12" s="5">
        <v>1000</v>
      </c>
    </row>
    <row r="13" spans="1:5">
      <c r="A13" s="136">
        <v>10</v>
      </c>
      <c r="B13" s="136">
        <v>10</v>
      </c>
      <c r="C13" s="9">
        <v>0</v>
      </c>
      <c r="D13" s="5">
        <v>2028</v>
      </c>
      <c r="E13" s="5">
        <v>1</v>
      </c>
    </row>
    <row r="14" spans="1:5">
      <c r="A14" s="5">
        <v>11</v>
      </c>
      <c r="B14" s="5">
        <v>11</v>
      </c>
      <c r="C14" s="9">
        <v>4</v>
      </c>
      <c r="D14" s="5">
        <v>0</v>
      </c>
      <c r="E14" s="5">
        <v>1000</v>
      </c>
    </row>
    <row r="15" spans="1:5">
      <c r="A15" s="136">
        <v>12</v>
      </c>
      <c r="B15" s="136">
        <v>12</v>
      </c>
      <c r="C15" s="9">
        <v>4</v>
      </c>
      <c r="D15" s="5">
        <v>0</v>
      </c>
      <c r="E15" s="5">
        <v>1000</v>
      </c>
    </row>
    <row r="16" spans="1:5">
      <c r="A16" s="5">
        <v>13</v>
      </c>
      <c r="B16" s="5">
        <v>13</v>
      </c>
      <c r="C16" s="9">
        <v>0</v>
      </c>
      <c r="D16" s="5">
        <v>2018</v>
      </c>
      <c r="E16" s="5">
        <v>1</v>
      </c>
    </row>
    <row r="17" spans="1:5">
      <c r="A17" s="5">
        <v>14</v>
      </c>
      <c r="B17" s="5">
        <v>14</v>
      </c>
      <c r="C17" s="9">
        <v>4</v>
      </c>
      <c r="D17" s="5">
        <v>0</v>
      </c>
      <c r="E17" s="5">
        <v>1000</v>
      </c>
    </row>
    <row r="18" spans="1:5">
      <c r="A18" s="5">
        <v>15</v>
      </c>
      <c r="B18" s="5">
        <v>15</v>
      </c>
      <c r="C18" s="9">
        <v>4</v>
      </c>
      <c r="D18" s="5">
        <v>0</v>
      </c>
      <c r="E18" s="5">
        <v>1000</v>
      </c>
    </row>
    <row r="19" spans="1:5">
      <c r="A19" s="136">
        <v>16</v>
      </c>
      <c r="B19" s="136">
        <v>16</v>
      </c>
      <c r="C19" s="9">
        <v>4</v>
      </c>
      <c r="D19" s="5">
        <v>0</v>
      </c>
      <c r="E19" s="5">
        <v>1000</v>
      </c>
    </row>
    <row r="20" spans="1:5">
      <c r="A20" s="5">
        <v>17</v>
      </c>
      <c r="B20" s="5">
        <v>17</v>
      </c>
      <c r="C20" s="9">
        <v>4</v>
      </c>
      <c r="D20" s="5">
        <v>0</v>
      </c>
      <c r="E20" s="5">
        <v>1000</v>
      </c>
    </row>
    <row r="21" spans="1:5">
      <c r="A21" s="5">
        <v>18</v>
      </c>
      <c r="B21" s="5">
        <v>18</v>
      </c>
      <c r="C21" s="9">
        <v>4</v>
      </c>
      <c r="D21" s="5">
        <v>0</v>
      </c>
      <c r="E21" s="5">
        <v>1000</v>
      </c>
    </row>
    <row r="22" spans="1:5">
      <c r="A22" s="5">
        <v>19</v>
      </c>
      <c r="B22" s="5">
        <v>19</v>
      </c>
      <c r="C22" s="9">
        <v>4</v>
      </c>
      <c r="D22" s="5">
        <v>0</v>
      </c>
      <c r="E22" s="5">
        <v>1000</v>
      </c>
    </row>
    <row r="23" spans="1:5">
      <c r="A23" s="136">
        <v>20</v>
      </c>
      <c r="B23" s="136">
        <v>20</v>
      </c>
      <c r="C23" s="9">
        <v>4</v>
      </c>
      <c r="D23" s="5">
        <v>0</v>
      </c>
      <c r="E23" s="5">
        <v>1000</v>
      </c>
    </row>
    <row r="24" spans="1:5">
      <c r="A24" s="5">
        <v>21</v>
      </c>
      <c r="B24" s="5">
        <v>21</v>
      </c>
      <c r="C24" s="9">
        <v>4</v>
      </c>
      <c r="D24" s="5">
        <v>0</v>
      </c>
      <c r="E24" s="5">
        <v>1000</v>
      </c>
    </row>
    <row r="25" spans="1:5">
      <c r="A25" s="5">
        <v>22</v>
      </c>
      <c r="B25" s="5">
        <v>22</v>
      </c>
      <c r="C25" s="9">
        <v>4</v>
      </c>
      <c r="D25" s="5">
        <v>0</v>
      </c>
      <c r="E25" s="5">
        <v>1000</v>
      </c>
    </row>
    <row r="26" spans="1:5">
      <c r="A26" s="5">
        <v>23</v>
      </c>
      <c r="B26" s="5">
        <v>23</v>
      </c>
      <c r="C26" s="9">
        <v>4</v>
      </c>
      <c r="D26" s="5">
        <v>0</v>
      </c>
      <c r="E26" s="5">
        <v>1000</v>
      </c>
    </row>
    <row r="27" spans="1:5">
      <c r="A27" s="136">
        <v>24</v>
      </c>
      <c r="B27" s="136">
        <v>24</v>
      </c>
      <c r="C27" s="9">
        <v>4</v>
      </c>
      <c r="D27" s="5">
        <v>0</v>
      </c>
      <c r="E27" s="5">
        <v>1000</v>
      </c>
    </row>
    <row r="28" spans="1:5">
      <c r="A28" s="5">
        <v>25</v>
      </c>
      <c r="B28" s="5">
        <v>25</v>
      </c>
      <c r="C28" s="9">
        <v>4</v>
      </c>
      <c r="D28" s="5">
        <v>0</v>
      </c>
      <c r="E28" s="5">
        <v>1000</v>
      </c>
    </row>
    <row r="29" spans="1:5">
      <c r="A29" s="5">
        <v>26</v>
      </c>
      <c r="B29" s="5">
        <v>26</v>
      </c>
      <c r="C29" s="9">
        <v>4</v>
      </c>
      <c r="D29" s="5">
        <v>0</v>
      </c>
      <c r="E29" s="5">
        <v>1000</v>
      </c>
    </row>
    <row r="30" spans="1:5">
      <c r="A30" s="5">
        <v>27</v>
      </c>
      <c r="B30" s="5">
        <v>27</v>
      </c>
      <c r="C30" s="9">
        <v>4</v>
      </c>
      <c r="D30" s="5">
        <v>0</v>
      </c>
      <c r="E30" s="5">
        <v>1000</v>
      </c>
    </row>
    <row r="31" spans="1:5">
      <c r="A31" s="136">
        <v>28</v>
      </c>
      <c r="B31" s="136">
        <v>28</v>
      </c>
      <c r="C31" s="9">
        <v>4</v>
      </c>
      <c r="D31" s="5">
        <v>0</v>
      </c>
      <c r="E31" s="5">
        <v>1000</v>
      </c>
    </row>
    <row r="32" spans="1:5">
      <c r="A32" s="5">
        <v>29</v>
      </c>
      <c r="B32" s="5">
        <v>29</v>
      </c>
      <c r="C32" s="9">
        <v>4</v>
      </c>
      <c r="D32" s="5">
        <v>0</v>
      </c>
      <c r="E32" s="5">
        <v>1000</v>
      </c>
    </row>
    <row r="33" spans="1:5">
      <c r="A33" s="5">
        <v>30</v>
      </c>
      <c r="B33" s="5">
        <v>30</v>
      </c>
      <c r="C33" s="9">
        <v>4</v>
      </c>
      <c r="D33" s="5">
        <v>0</v>
      </c>
      <c r="E33" s="5">
        <v>1000</v>
      </c>
    </row>
    <row r="34" spans="1:5">
      <c r="A34" s="5">
        <v>31</v>
      </c>
      <c r="B34" s="5">
        <v>31</v>
      </c>
      <c r="C34" s="9">
        <v>4</v>
      </c>
      <c r="D34" s="5">
        <v>0</v>
      </c>
      <c r="E34" s="5">
        <v>1000</v>
      </c>
    </row>
    <row r="35" spans="1:5">
      <c r="A35" s="136">
        <v>32</v>
      </c>
      <c r="B35" s="136">
        <v>32</v>
      </c>
      <c r="C35" s="9">
        <v>4</v>
      </c>
      <c r="D35" s="5">
        <v>0</v>
      </c>
      <c r="E35" s="5">
        <v>1000</v>
      </c>
    </row>
    <row r="36" spans="1:5">
      <c r="A36" s="5">
        <v>33</v>
      </c>
      <c r="B36" s="5">
        <v>33</v>
      </c>
      <c r="C36" s="9">
        <v>4</v>
      </c>
      <c r="D36" s="5">
        <v>0</v>
      </c>
      <c r="E36" s="5">
        <v>1000</v>
      </c>
    </row>
    <row r="37" spans="1:5">
      <c r="A37" s="5">
        <v>34</v>
      </c>
      <c r="B37" s="5">
        <v>34</v>
      </c>
      <c r="C37" s="9">
        <v>4</v>
      </c>
      <c r="D37" s="5">
        <v>0</v>
      </c>
      <c r="E37" s="5">
        <v>1000</v>
      </c>
    </row>
    <row r="38" spans="1:5">
      <c r="A38" s="5">
        <v>35</v>
      </c>
      <c r="B38" s="5">
        <v>35</v>
      </c>
      <c r="C38" s="9">
        <v>4</v>
      </c>
      <c r="D38" s="5">
        <v>0</v>
      </c>
      <c r="E38" s="5">
        <v>1000</v>
      </c>
    </row>
    <row r="39" spans="1:5">
      <c r="A39" s="136">
        <v>36</v>
      </c>
      <c r="B39" s="136">
        <v>36</v>
      </c>
      <c r="C39" s="9">
        <v>4</v>
      </c>
      <c r="D39" s="5">
        <v>0</v>
      </c>
      <c r="E39" s="5">
        <v>1000</v>
      </c>
    </row>
    <row r="40" spans="1:5">
      <c r="A40" s="5">
        <v>37</v>
      </c>
      <c r="B40" s="5">
        <v>37</v>
      </c>
      <c r="C40" s="9">
        <v>4</v>
      </c>
      <c r="D40" s="5">
        <v>0</v>
      </c>
      <c r="E40" s="5">
        <v>1000</v>
      </c>
    </row>
    <row r="41" spans="1:5">
      <c r="A41" s="5">
        <v>38</v>
      </c>
      <c r="B41" s="5">
        <v>38</v>
      </c>
      <c r="C41" s="9">
        <v>4</v>
      </c>
      <c r="D41" s="5">
        <v>0</v>
      </c>
      <c r="E41" s="5">
        <v>1000</v>
      </c>
    </row>
    <row r="42" spans="1:5">
      <c r="A42" s="5">
        <v>39</v>
      </c>
      <c r="B42" s="5">
        <v>39</v>
      </c>
      <c r="C42" s="9">
        <v>4</v>
      </c>
      <c r="D42" s="5">
        <v>0</v>
      </c>
      <c r="E42" s="5">
        <v>1000</v>
      </c>
    </row>
    <row r="43" spans="1:5">
      <c r="A43" s="136">
        <v>40</v>
      </c>
      <c r="B43" s="136">
        <v>40</v>
      </c>
      <c r="C43" s="9">
        <v>4</v>
      </c>
      <c r="D43" s="5">
        <v>0</v>
      </c>
      <c r="E43" s="5">
        <v>1000</v>
      </c>
    </row>
    <row r="44" spans="1:5">
      <c r="A44" s="5">
        <v>41</v>
      </c>
      <c r="B44" s="5">
        <v>41</v>
      </c>
      <c r="C44" s="9">
        <v>4</v>
      </c>
      <c r="D44" s="5">
        <v>0</v>
      </c>
      <c r="E44" s="5">
        <v>1000</v>
      </c>
    </row>
    <row r="45" spans="1:5">
      <c r="A45" s="5">
        <v>42</v>
      </c>
      <c r="B45" s="5">
        <v>42</v>
      </c>
      <c r="C45" s="9">
        <v>4</v>
      </c>
      <c r="D45" s="5">
        <v>0</v>
      </c>
      <c r="E45" s="5">
        <v>1000</v>
      </c>
    </row>
    <row r="46" spans="1:5">
      <c r="A46" s="5">
        <v>43</v>
      </c>
      <c r="B46" s="5">
        <v>43</v>
      </c>
      <c r="C46" s="9">
        <v>4</v>
      </c>
      <c r="D46" s="5">
        <v>0</v>
      </c>
      <c r="E46" s="5">
        <v>1000</v>
      </c>
    </row>
    <row r="47" spans="1:5">
      <c r="A47" s="136">
        <v>44</v>
      </c>
      <c r="B47" s="136">
        <v>44</v>
      </c>
      <c r="C47" s="9">
        <v>4</v>
      </c>
      <c r="D47" s="5">
        <v>0</v>
      </c>
      <c r="E47" s="5">
        <v>1000</v>
      </c>
    </row>
    <row r="48" spans="1:5">
      <c r="A48" s="5">
        <v>45</v>
      </c>
      <c r="B48" s="5">
        <v>45</v>
      </c>
      <c r="C48" s="9">
        <v>4</v>
      </c>
      <c r="D48" s="5">
        <v>0</v>
      </c>
      <c r="E48" s="5">
        <v>1000</v>
      </c>
    </row>
    <row r="49" spans="1:5">
      <c r="A49" s="5">
        <v>46</v>
      </c>
      <c r="B49" s="5">
        <v>46</v>
      </c>
      <c r="C49" s="9">
        <v>4</v>
      </c>
      <c r="D49" s="5">
        <v>0</v>
      </c>
      <c r="E49" s="5">
        <v>1000</v>
      </c>
    </row>
    <row r="50" spans="1:5">
      <c r="A50" s="5">
        <v>47</v>
      </c>
      <c r="B50" s="5">
        <v>47</v>
      </c>
      <c r="C50" s="9">
        <v>4</v>
      </c>
      <c r="D50" s="5">
        <v>0</v>
      </c>
      <c r="E50" s="5">
        <v>1000</v>
      </c>
    </row>
    <row r="51" spans="1:5">
      <c r="A51" s="136">
        <v>48</v>
      </c>
      <c r="B51" s="136">
        <v>48</v>
      </c>
      <c r="C51" s="9">
        <v>4</v>
      </c>
      <c r="D51" s="5">
        <v>0</v>
      </c>
      <c r="E51" s="5">
        <v>1000</v>
      </c>
    </row>
    <row r="52" spans="1:5">
      <c r="A52" s="5">
        <v>49</v>
      </c>
      <c r="B52" s="5">
        <v>49</v>
      </c>
      <c r="C52" s="9">
        <v>4</v>
      </c>
      <c r="D52" s="5">
        <v>0</v>
      </c>
      <c r="E52" s="5">
        <v>1000</v>
      </c>
    </row>
    <row r="53" spans="1:5">
      <c r="A53" s="5">
        <v>50</v>
      </c>
      <c r="B53" s="5">
        <v>50</v>
      </c>
      <c r="C53" s="9">
        <v>4</v>
      </c>
      <c r="D53" s="5">
        <v>0</v>
      </c>
      <c r="E53" s="5">
        <v>1000</v>
      </c>
    </row>
    <row r="54" spans="1:5">
      <c r="A54" s="136">
        <v>51</v>
      </c>
      <c r="B54" s="136">
        <v>51</v>
      </c>
      <c r="C54" s="9">
        <v>4</v>
      </c>
      <c r="D54" s="5">
        <v>0</v>
      </c>
      <c r="E54" s="5">
        <v>1000</v>
      </c>
    </row>
    <row r="55" spans="1:5">
      <c r="A55" s="5">
        <v>52</v>
      </c>
      <c r="B55" s="5">
        <v>52</v>
      </c>
      <c r="C55" s="9">
        <v>4</v>
      </c>
      <c r="D55" s="5">
        <v>0</v>
      </c>
      <c r="E55" s="5">
        <v>1000</v>
      </c>
    </row>
    <row r="56" spans="1:5">
      <c r="A56" s="5">
        <v>53</v>
      </c>
      <c r="B56" s="5">
        <v>53</v>
      </c>
      <c r="C56" s="9">
        <v>4</v>
      </c>
      <c r="D56" s="5">
        <v>0</v>
      </c>
      <c r="E56" s="5">
        <v>1000</v>
      </c>
    </row>
    <row r="57" spans="1:5">
      <c r="A57" s="5">
        <v>54</v>
      </c>
      <c r="B57" s="5">
        <v>54</v>
      </c>
      <c r="C57" s="9">
        <v>4</v>
      </c>
      <c r="D57" s="5">
        <v>0</v>
      </c>
      <c r="E57" s="5">
        <v>1000</v>
      </c>
    </row>
    <row r="58" spans="1:5">
      <c r="A58" s="136">
        <v>55</v>
      </c>
      <c r="B58" s="136">
        <v>55</v>
      </c>
      <c r="C58" s="9">
        <v>4</v>
      </c>
      <c r="D58" s="5">
        <v>0</v>
      </c>
      <c r="E58" s="5">
        <v>1000</v>
      </c>
    </row>
    <row r="59" spans="1:5">
      <c r="A59" s="5">
        <v>56</v>
      </c>
      <c r="B59" s="5">
        <v>56</v>
      </c>
      <c r="C59" s="9">
        <v>4</v>
      </c>
      <c r="D59" s="5">
        <v>0</v>
      </c>
      <c r="E59" s="5">
        <v>1000</v>
      </c>
    </row>
    <row r="60" spans="1:5">
      <c r="A60" s="5">
        <v>57</v>
      </c>
      <c r="B60" s="5">
        <v>57</v>
      </c>
      <c r="C60" s="9">
        <v>4</v>
      </c>
      <c r="D60" s="5">
        <v>0</v>
      </c>
      <c r="E60" s="5">
        <v>1000</v>
      </c>
    </row>
    <row r="61" spans="1:5">
      <c r="A61" s="5">
        <v>58</v>
      </c>
      <c r="B61" s="5">
        <v>58</v>
      </c>
      <c r="C61" s="9">
        <v>4</v>
      </c>
      <c r="D61" s="5">
        <v>0</v>
      </c>
      <c r="E61" s="5">
        <v>1000</v>
      </c>
    </row>
    <row r="62" spans="1:5">
      <c r="A62" s="136">
        <v>59</v>
      </c>
      <c r="B62" s="136">
        <v>59</v>
      </c>
      <c r="C62" s="9">
        <v>4</v>
      </c>
      <c r="D62" s="5">
        <v>0</v>
      </c>
      <c r="E62" s="5">
        <v>1000</v>
      </c>
    </row>
    <row r="63" spans="1:5">
      <c r="A63" s="5">
        <v>60</v>
      </c>
      <c r="B63" s="5">
        <v>60</v>
      </c>
      <c r="C63" s="9">
        <v>4</v>
      </c>
      <c r="D63" s="5">
        <v>0</v>
      </c>
      <c r="E63" s="5">
        <v>1000</v>
      </c>
    </row>
    <row r="64" spans="1:5">
      <c r="A64" s="5">
        <v>61</v>
      </c>
      <c r="B64" s="5">
        <v>61</v>
      </c>
      <c r="C64" s="9">
        <v>4</v>
      </c>
      <c r="D64" s="5">
        <v>0</v>
      </c>
      <c r="E64" s="5">
        <v>1000</v>
      </c>
    </row>
    <row r="65" spans="1:5">
      <c r="A65" s="5">
        <v>62</v>
      </c>
      <c r="B65" s="5">
        <v>62</v>
      </c>
      <c r="C65" s="9">
        <v>4</v>
      </c>
      <c r="D65" s="5">
        <v>0</v>
      </c>
      <c r="E65" s="5">
        <v>1000</v>
      </c>
    </row>
    <row r="66" spans="1:5">
      <c r="A66" s="136">
        <v>63</v>
      </c>
      <c r="B66" s="136">
        <v>63</v>
      </c>
      <c r="C66" s="9">
        <v>4</v>
      </c>
      <c r="D66" s="5">
        <v>0</v>
      </c>
      <c r="E66" s="5">
        <v>1000</v>
      </c>
    </row>
    <row r="67" spans="1:5">
      <c r="A67" s="5">
        <v>64</v>
      </c>
      <c r="B67" s="5">
        <v>64</v>
      </c>
      <c r="C67" s="9">
        <v>4</v>
      </c>
      <c r="D67" s="5">
        <v>0</v>
      </c>
      <c r="E67" s="5">
        <v>1000</v>
      </c>
    </row>
    <row r="68" spans="1:5">
      <c r="A68" s="5">
        <v>65</v>
      </c>
      <c r="B68" s="5">
        <v>65</v>
      </c>
      <c r="C68" s="9">
        <v>4</v>
      </c>
      <c r="D68" s="5">
        <v>0</v>
      </c>
      <c r="E68" s="5">
        <v>1000</v>
      </c>
    </row>
    <row r="69" spans="1:5">
      <c r="A69" s="5">
        <v>66</v>
      </c>
      <c r="B69" s="5">
        <v>66</v>
      </c>
      <c r="C69" s="9">
        <v>4</v>
      </c>
      <c r="D69" s="5">
        <v>0</v>
      </c>
      <c r="E69" s="5">
        <v>1000</v>
      </c>
    </row>
    <row r="70" spans="1:5">
      <c r="A70" s="136">
        <v>67</v>
      </c>
      <c r="B70" s="136">
        <v>67</v>
      </c>
      <c r="C70" s="9">
        <v>4</v>
      </c>
      <c r="D70" s="5">
        <v>0</v>
      </c>
      <c r="E70" s="5">
        <v>1000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6"/>
  <sheetViews>
    <sheetView workbookViewId="0">
      <selection activeCell="L15" sqref="L15"/>
    </sheetView>
  </sheetViews>
  <sheetFormatPr defaultRowHeight="15"/>
  <cols>
    <col min="2" max="2" width="18.42578125" customWidth="1"/>
    <col min="3" max="3" width="16.7109375" customWidth="1"/>
  </cols>
  <sheetData>
    <row r="1" spans="1:3">
      <c r="A1" s="14" t="s">
        <v>42</v>
      </c>
      <c r="B1" s="14" t="s">
        <v>458</v>
      </c>
      <c r="C1" s="14" t="s">
        <v>459</v>
      </c>
    </row>
    <row r="2" spans="1:3">
      <c r="A2" s="15" t="s">
        <v>1</v>
      </c>
      <c r="B2" s="16" t="s">
        <v>3</v>
      </c>
      <c r="C2" s="16" t="s">
        <v>3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460</v>
      </c>
      <c r="C4" s="5" t="s">
        <v>468</v>
      </c>
    </row>
    <row r="5" spans="1:3">
      <c r="A5" s="5">
        <v>2</v>
      </c>
      <c r="B5" s="5" t="s">
        <v>461</v>
      </c>
      <c r="C5" s="5" t="s">
        <v>468</v>
      </c>
    </row>
    <row r="6" spans="1:3">
      <c r="A6" s="5">
        <v>3</v>
      </c>
      <c r="B6" s="8" t="s">
        <v>462</v>
      </c>
      <c r="C6" s="5" t="s">
        <v>468</v>
      </c>
    </row>
    <row r="7" spans="1:3">
      <c r="A7" s="5">
        <v>4</v>
      </c>
      <c r="B7" t="s">
        <v>463</v>
      </c>
      <c r="C7" s="5" t="s">
        <v>468</v>
      </c>
    </row>
    <row r="8" spans="1:3">
      <c r="A8" s="5">
        <v>5</v>
      </c>
      <c r="B8" t="s">
        <v>464</v>
      </c>
      <c r="C8" s="5" t="s">
        <v>468</v>
      </c>
    </row>
    <row r="9" spans="1:3">
      <c r="A9" s="5">
        <v>6</v>
      </c>
      <c r="B9" t="s">
        <v>465</v>
      </c>
      <c r="C9" s="5" t="s">
        <v>468</v>
      </c>
    </row>
    <row r="10" spans="1:3">
      <c r="A10" s="5">
        <v>7</v>
      </c>
      <c r="B10" t="s">
        <v>466</v>
      </c>
      <c r="C10" s="5" t="s">
        <v>468</v>
      </c>
    </row>
    <row r="11" spans="1:3">
      <c r="A11" s="5">
        <v>8</v>
      </c>
      <c r="B11" t="s">
        <v>467</v>
      </c>
      <c r="C11" s="9" t="s">
        <v>597</v>
      </c>
    </row>
    <row r="12" spans="1:3">
      <c r="A12" s="5"/>
    </row>
    <row r="13" spans="1:3">
      <c r="A13" s="5"/>
    </row>
    <row r="14" spans="1:3">
      <c r="A14" s="5"/>
    </row>
    <row r="15" spans="1:3">
      <c r="A15" s="5"/>
    </row>
    <row r="16" spans="1:3">
      <c r="A16" s="5"/>
    </row>
  </sheetData>
  <phoneticPr fontId="2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6"/>
  <sheetViews>
    <sheetView zoomScale="130" zoomScaleNormal="130" workbookViewId="0">
      <selection activeCell="E18" sqref="E18"/>
    </sheetView>
  </sheetViews>
  <sheetFormatPr defaultRowHeight="15"/>
  <cols>
    <col min="1" max="1" width="22.5703125" bestFit="1" customWidth="1"/>
    <col min="2" max="2" width="26.5703125" bestFit="1" customWidth="1"/>
    <col min="4" max="4" width="23.140625" customWidth="1"/>
    <col min="5" max="5" width="25.14062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37</v>
      </c>
      <c r="B4" s="2" t="s">
        <v>33</v>
      </c>
      <c r="C4" s="4">
        <v>0</v>
      </c>
      <c r="D4" s="10" t="s">
        <v>35</v>
      </c>
      <c r="E4" s="1"/>
      <c r="F4" s="1"/>
      <c r="G4" s="4">
        <v>0</v>
      </c>
    </row>
    <row r="5" spans="1:7">
      <c r="A5" s="2" t="s">
        <v>37</v>
      </c>
      <c r="B5" s="2" t="s">
        <v>34</v>
      </c>
      <c r="C5" s="4">
        <v>1</v>
      </c>
      <c r="D5" s="11" t="s">
        <v>36</v>
      </c>
      <c r="E5" s="1"/>
      <c r="F5" s="1"/>
      <c r="G5" s="4">
        <v>0</v>
      </c>
    </row>
    <row r="6" spans="1:7">
      <c r="A6" s="1" t="s">
        <v>20</v>
      </c>
      <c r="B6" s="2" t="s">
        <v>23</v>
      </c>
      <c r="C6" s="4">
        <v>0</v>
      </c>
      <c r="D6" s="7" t="s">
        <v>24</v>
      </c>
    </row>
    <row r="7" spans="1:7">
      <c r="A7" s="1" t="s">
        <v>20</v>
      </c>
      <c r="B7" s="2" t="s">
        <v>21</v>
      </c>
      <c r="C7" s="4">
        <v>1</v>
      </c>
      <c r="D7" s="8" t="s">
        <v>25</v>
      </c>
    </row>
    <row r="8" spans="1:7">
      <c r="A8" s="2" t="s">
        <v>20</v>
      </c>
      <c r="B8" s="2" t="s">
        <v>22</v>
      </c>
      <c r="C8" s="4">
        <v>2</v>
      </c>
      <c r="D8" s="8" t="s">
        <v>26</v>
      </c>
    </row>
    <row r="9" spans="1:7">
      <c r="A9" s="8" t="s">
        <v>28</v>
      </c>
      <c r="B9" s="2" t="s">
        <v>29</v>
      </c>
      <c r="C9" s="4">
        <v>1</v>
      </c>
      <c r="D9" s="8" t="s">
        <v>31</v>
      </c>
    </row>
    <row r="10" spans="1:7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55</v>
      </c>
      <c r="B11" s="2" t="s">
        <v>38</v>
      </c>
      <c r="C11" s="4">
        <v>0</v>
      </c>
      <c r="D11" s="12" t="s">
        <v>40</v>
      </c>
    </row>
    <row r="12" spans="1:7">
      <c r="A12" s="2" t="s">
        <v>55</v>
      </c>
      <c r="B12" s="2" t="s">
        <v>39</v>
      </c>
      <c r="C12" s="4">
        <v>1</v>
      </c>
      <c r="D12" s="7" t="s">
        <v>41</v>
      </c>
    </row>
    <row r="13" spans="1:7">
      <c r="A13" s="2" t="s">
        <v>55</v>
      </c>
      <c r="B13" s="2" t="s">
        <v>789</v>
      </c>
      <c r="C13" s="4">
        <v>2</v>
      </c>
      <c r="D13" s="7" t="s">
        <v>790</v>
      </c>
    </row>
    <row r="14" spans="1:7">
      <c r="A14" s="2" t="s">
        <v>62</v>
      </c>
      <c r="B14" s="2" t="s">
        <v>192</v>
      </c>
      <c r="C14" s="4">
        <v>0</v>
      </c>
      <c r="D14" s="40" t="s">
        <v>193</v>
      </c>
    </row>
    <row r="15" spans="1:7">
      <c r="A15" s="2" t="s">
        <v>62</v>
      </c>
      <c r="B15" s="2" t="s">
        <v>63</v>
      </c>
      <c r="C15" s="4">
        <v>1</v>
      </c>
      <c r="D15" s="8" t="s">
        <v>64</v>
      </c>
    </row>
    <row r="16" spans="1:7" ht="16.5">
      <c r="A16" s="2" t="s">
        <v>62</v>
      </c>
      <c r="B16" s="2" t="s">
        <v>119</v>
      </c>
      <c r="C16" s="4">
        <v>2</v>
      </c>
      <c r="D16" s="25" t="s">
        <v>120</v>
      </c>
    </row>
    <row r="17" spans="1:4" ht="16.5">
      <c r="A17" s="2" t="s">
        <v>62</v>
      </c>
      <c r="B17" s="2" t="s">
        <v>323</v>
      </c>
      <c r="C17" s="4">
        <v>3</v>
      </c>
      <c r="D17" s="25" t="s">
        <v>324</v>
      </c>
    </row>
    <row r="18" spans="1:4" ht="16.5">
      <c r="A18" s="2" t="s">
        <v>62</v>
      </c>
      <c r="B18" s="2" t="s">
        <v>595</v>
      </c>
      <c r="C18" s="4">
        <v>4</v>
      </c>
      <c r="D18" s="25" t="s">
        <v>596</v>
      </c>
    </row>
    <row r="19" spans="1:4" ht="16.5">
      <c r="A19" s="2" t="s">
        <v>197</v>
      </c>
      <c r="B19" s="2" t="s">
        <v>198</v>
      </c>
      <c r="C19" s="4">
        <v>0</v>
      </c>
      <c r="D19" s="25"/>
    </row>
    <row r="20" spans="1:4" ht="16.5">
      <c r="A20" s="2" t="s">
        <v>197</v>
      </c>
      <c r="B20" s="2" t="s">
        <v>199</v>
      </c>
      <c r="C20" s="4">
        <v>1</v>
      </c>
      <c r="D20" s="25"/>
    </row>
    <row r="21" spans="1:4" ht="16.5">
      <c r="A21" s="2" t="s">
        <v>197</v>
      </c>
      <c r="B21" s="2" t="s">
        <v>200</v>
      </c>
      <c r="C21" s="4">
        <v>2</v>
      </c>
      <c r="D21" s="25"/>
    </row>
    <row r="22" spans="1:4" ht="16.5">
      <c r="A22" s="2" t="s">
        <v>197</v>
      </c>
      <c r="B22" s="2" t="s">
        <v>201</v>
      </c>
      <c r="C22" s="4">
        <v>3</v>
      </c>
      <c r="D22" s="25"/>
    </row>
    <row r="23" spans="1:4">
      <c r="A23" s="2" t="s">
        <v>103</v>
      </c>
      <c r="B23" s="2" t="s">
        <v>102</v>
      </c>
      <c r="C23" s="4">
        <v>0</v>
      </c>
      <c r="D23" s="8" t="s">
        <v>110</v>
      </c>
    </row>
    <row r="24" spans="1:4">
      <c r="A24" s="2" t="s">
        <v>103</v>
      </c>
      <c r="B24" s="2" t="s">
        <v>101</v>
      </c>
      <c r="C24" s="4">
        <v>1</v>
      </c>
      <c r="D24" s="8"/>
    </row>
    <row r="25" spans="1:4">
      <c r="A25" s="2" t="s">
        <v>103</v>
      </c>
      <c r="B25" s="2" t="s">
        <v>87</v>
      </c>
      <c r="C25" s="4">
        <v>2</v>
      </c>
      <c r="D25" s="8"/>
    </row>
    <row r="26" spans="1:4" ht="16.5">
      <c r="A26" s="2" t="s">
        <v>103</v>
      </c>
      <c r="B26" s="24" t="s">
        <v>107</v>
      </c>
      <c r="C26" s="4">
        <v>3</v>
      </c>
      <c r="D26" s="8"/>
    </row>
    <row r="27" spans="1:4" ht="16.5">
      <c r="A27" s="2" t="s">
        <v>103</v>
      </c>
      <c r="B27" s="24" t="s">
        <v>104</v>
      </c>
      <c r="C27" s="4">
        <v>4</v>
      </c>
      <c r="D27" s="8"/>
    </row>
    <row r="28" spans="1:4">
      <c r="A28" s="2" t="s">
        <v>103</v>
      </c>
      <c r="B28" s="2" t="s">
        <v>105</v>
      </c>
      <c r="C28" s="4">
        <v>5</v>
      </c>
      <c r="D28" s="8"/>
    </row>
    <row r="29" spans="1:4">
      <c r="A29" s="2" t="s">
        <v>103</v>
      </c>
      <c r="B29" s="2" t="s">
        <v>106</v>
      </c>
      <c r="C29" s="4">
        <v>6</v>
      </c>
      <c r="D29" s="8"/>
    </row>
    <row r="30" spans="1:4" ht="16.5">
      <c r="A30" s="2" t="s">
        <v>103</v>
      </c>
      <c r="B30" s="24" t="s">
        <v>108</v>
      </c>
      <c r="C30" s="4">
        <v>7</v>
      </c>
      <c r="D30" s="8"/>
    </row>
    <row r="31" spans="1:4" ht="16.5">
      <c r="A31" s="2" t="s">
        <v>103</v>
      </c>
      <c r="B31" s="24" t="s">
        <v>109</v>
      </c>
      <c r="C31" s="4">
        <v>8</v>
      </c>
      <c r="D31" s="8"/>
    </row>
    <row r="32" spans="1:4">
      <c r="A32" s="2" t="s">
        <v>256</v>
      </c>
      <c r="B32" t="s">
        <v>278</v>
      </c>
      <c r="C32" s="4">
        <v>0</v>
      </c>
    </row>
    <row r="33" spans="1:3">
      <c r="A33" s="2" t="s">
        <v>256</v>
      </c>
      <c r="B33" s="8" t="s">
        <v>319</v>
      </c>
      <c r="C33" s="4">
        <v>1</v>
      </c>
    </row>
    <row r="34" spans="1:3">
      <c r="A34" s="2" t="s">
        <v>256</v>
      </c>
      <c r="B34" s="8" t="s">
        <v>265</v>
      </c>
      <c r="C34" s="4">
        <v>2</v>
      </c>
    </row>
    <row r="35" spans="1:3">
      <c r="A35" s="2" t="s">
        <v>256</v>
      </c>
      <c r="B35" s="8" t="s">
        <v>267</v>
      </c>
      <c r="C35" s="4">
        <v>3</v>
      </c>
    </row>
    <row r="36" spans="1:3">
      <c r="A36" s="2" t="s">
        <v>256</v>
      </c>
      <c r="B36" s="8" t="s">
        <v>318</v>
      </c>
      <c r="C36" s="4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29"/>
  <sheetViews>
    <sheetView workbookViewId="0">
      <selection activeCell="H127" sqref="H127"/>
    </sheetView>
  </sheetViews>
  <sheetFormatPr defaultRowHeight="15"/>
  <cols>
    <col min="6" max="6" width="15.5703125" bestFit="1" customWidth="1"/>
  </cols>
  <sheetData>
    <row r="1" spans="1:6">
      <c r="A1" s="14" t="s">
        <v>42</v>
      </c>
      <c r="B1" s="14" t="s">
        <v>246</v>
      </c>
      <c r="C1" s="14" t="s">
        <v>237</v>
      </c>
      <c r="D1" s="14" t="s">
        <v>238</v>
      </c>
      <c r="E1" s="14" t="s">
        <v>239</v>
      </c>
      <c r="F1" s="14" t="s">
        <v>240</v>
      </c>
    </row>
    <row r="2" spans="1:6">
      <c r="A2" s="15" t="s">
        <v>1</v>
      </c>
      <c r="B2" s="16" t="s">
        <v>10</v>
      </c>
      <c r="C2" s="15" t="s">
        <v>1</v>
      </c>
      <c r="D2" s="15" t="s">
        <v>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999</v>
      </c>
      <c r="C4" s="5">
        <v>15</v>
      </c>
      <c r="D4" s="37">
        <v>1001</v>
      </c>
      <c r="E4" s="9">
        <v>10</v>
      </c>
      <c r="F4" s="9">
        <v>100</v>
      </c>
    </row>
    <row r="5" spans="1:6">
      <c r="A5" s="5">
        <v>2</v>
      </c>
      <c r="B5" s="5">
        <v>999</v>
      </c>
      <c r="C5" s="5">
        <v>15</v>
      </c>
      <c r="D5" s="37">
        <v>1002</v>
      </c>
      <c r="E5" s="9">
        <v>10</v>
      </c>
      <c r="F5" s="5">
        <v>100</v>
      </c>
    </row>
    <row r="6" spans="1:6">
      <c r="A6" s="5">
        <v>3</v>
      </c>
      <c r="B6" s="5">
        <v>999</v>
      </c>
      <c r="C6" s="5">
        <v>15</v>
      </c>
      <c r="D6" s="37">
        <v>1003</v>
      </c>
      <c r="E6" s="9">
        <v>10</v>
      </c>
      <c r="F6" s="9">
        <v>100</v>
      </c>
    </row>
    <row r="7" spans="1:6">
      <c r="A7" s="5">
        <v>4</v>
      </c>
      <c r="B7" s="5">
        <v>999</v>
      </c>
      <c r="C7" s="5">
        <v>15</v>
      </c>
      <c r="D7" s="37">
        <v>1004</v>
      </c>
      <c r="E7" s="9">
        <v>10</v>
      </c>
      <c r="F7" s="9">
        <v>100</v>
      </c>
    </row>
    <row r="8" spans="1:6">
      <c r="A8" s="5">
        <v>5</v>
      </c>
      <c r="B8" s="5">
        <v>999</v>
      </c>
      <c r="C8" s="5">
        <v>15</v>
      </c>
      <c r="D8" s="37">
        <v>1005</v>
      </c>
      <c r="E8" s="9">
        <v>10</v>
      </c>
      <c r="F8" s="9">
        <v>100</v>
      </c>
    </row>
    <row r="9" spans="1:6">
      <c r="A9" s="5">
        <v>6</v>
      </c>
      <c r="B9" s="5">
        <v>999</v>
      </c>
      <c r="C9" s="5">
        <v>15</v>
      </c>
      <c r="D9" s="37">
        <v>1006</v>
      </c>
      <c r="E9" s="9">
        <v>10</v>
      </c>
      <c r="F9" s="9">
        <v>100</v>
      </c>
    </row>
    <row r="10" spans="1:6">
      <c r="A10" s="5">
        <v>7</v>
      </c>
      <c r="B10" s="5">
        <v>999</v>
      </c>
      <c r="C10" s="5">
        <v>15</v>
      </c>
      <c r="D10" s="37">
        <v>1007</v>
      </c>
      <c r="E10" s="9">
        <v>10</v>
      </c>
      <c r="F10" s="9">
        <v>100</v>
      </c>
    </row>
    <row r="11" spans="1:6">
      <c r="A11" s="5">
        <v>8</v>
      </c>
      <c r="B11" s="5">
        <v>999</v>
      </c>
      <c r="C11" s="5">
        <v>15</v>
      </c>
      <c r="D11" s="37">
        <v>1008</v>
      </c>
      <c r="E11" s="9">
        <v>10</v>
      </c>
      <c r="F11" s="9">
        <v>100</v>
      </c>
    </row>
    <row r="12" spans="1:6">
      <c r="A12" s="5">
        <v>9</v>
      </c>
      <c r="B12" s="5">
        <v>999</v>
      </c>
      <c r="C12" s="5">
        <v>15</v>
      </c>
      <c r="D12" s="37">
        <v>1009</v>
      </c>
      <c r="E12" s="9">
        <v>10</v>
      </c>
      <c r="F12" s="9">
        <v>100</v>
      </c>
    </row>
    <row r="13" spans="1:6">
      <c r="A13" s="5">
        <v>10</v>
      </c>
      <c r="B13" s="5">
        <v>999</v>
      </c>
      <c r="C13" s="5">
        <v>15</v>
      </c>
      <c r="D13" s="37">
        <v>1010</v>
      </c>
      <c r="E13" s="9">
        <v>10</v>
      </c>
      <c r="F13" s="9">
        <v>100</v>
      </c>
    </row>
    <row r="14" spans="1:6">
      <c r="A14" s="5">
        <v>11</v>
      </c>
      <c r="B14" s="5">
        <v>999</v>
      </c>
      <c r="C14" s="5">
        <v>15</v>
      </c>
      <c r="D14" s="37">
        <v>1011</v>
      </c>
      <c r="E14" s="9">
        <v>10</v>
      </c>
      <c r="F14" s="9">
        <v>100</v>
      </c>
    </row>
    <row r="15" spans="1:6">
      <c r="A15" s="5">
        <v>12</v>
      </c>
      <c r="B15" s="5">
        <v>999</v>
      </c>
      <c r="C15" s="5">
        <v>15</v>
      </c>
      <c r="D15" s="37">
        <v>1012</v>
      </c>
      <c r="E15" s="9">
        <v>10</v>
      </c>
      <c r="F15" s="9">
        <v>100</v>
      </c>
    </row>
    <row r="16" spans="1:6">
      <c r="A16" s="5">
        <v>13</v>
      </c>
      <c r="B16" s="5">
        <v>999</v>
      </c>
      <c r="C16" s="5">
        <v>15</v>
      </c>
      <c r="D16" s="37">
        <v>1013</v>
      </c>
      <c r="E16" s="9">
        <v>10</v>
      </c>
      <c r="F16" s="9">
        <v>100</v>
      </c>
    </row>
    <row r="17" spans="1:6">
      <c r="A17" s="5">
        <v>14</v>
      </c>
      <c r="B17" s="5">
        <v>999</v>
      </c>
      <c r="C17" s="5">
        <v>15</v>
      </c>
      <c r="D17" s="37">
        <v>1001</v>
      </c>
      <c r="E17" s="9">
        <v>10</v>
      </c>
      <c r="F17" s="9">
        <v>200</v>
      </c>
    </row>
    <row r="18" spans="1:6">
      <c r="A18" s="5">
        <v>15</v>
      </c>
      <c r="B18" s="5">
        <v>999</v>
      </c>
      <c r="C18" s="5">
        <v>15</v>
      </c>
      <c r="D18" s="37">
        <v>1002</v>
      </c>
      <c r="E18" s="9">
        <v>10</v>
      </c>
      <c r="F18" s="9">
        <v>200</v>
      </c>
    </row>
    <row r="19" spans="1:6">
      <c r="A19" s="5">
        <v>16</v>
      </c>
      <c r="B19" s="5">
        <v>999</v>
      </c>
      <c r="C19" s="5">
        <v>15</v>
      </c>
      <c r="D19" s="37">
        <v>1003</v>
      </c>
      <c r="E19" s="9">
        <v>10</v>
      </c>
      <c r="F19" s="9">
        <v>200</v>
      </c>
    </row>
    <row r="20" spans="1:6">
      <c r="A20" s="5">
        <v>17</v>
      </c>
      <c r="B20" s="5">
        <v>999</v>
      </c>
      <c r="C20" s="5">
        <v>15</v>
      </c>
      <c r="D20" s="37">
        <v>1004</v>
      </c>
      <c r="E20" s="9">
        <v>10</v>
      </c>
      <c r="F20" s="9">
        <v>200</v>
      </c>
    </row>
    <row r="21" spans="1:6">
      <c r="A21" s="5">
        <v>18</v>
      </c>
      <c r="B21" s="5">
        <v>999</v>
      </c>
      <c r="C21" s="5">
        <v>15</v>
      </c>
      <c r="D21" s="37">
        <v>1005</v>
      </c>
      <c r="E21" s="9">
        <v>10</v>
      </c>
      <c r="F21" s="9">
        <v>200</v>
      </c>
    </row>
    <row r="22" spans="1:6">
      <c r="A22" s="5">
        <v>19</v>
      </c>
      <c r="B22" s="5">
        <v>999</v>
      </c>
      <c r="C22" s="5">
        <v>15</v>
      </c>
      <c r="D22" s="37">
        <v>1006</v>
      </c>
      <c r="E22" s="9">
        <v>10</v>
      </c>
      <c r="F22" s="9">
        <v>200</v>
      </c>
    </row>
    <row r="23" spans="1:6">
      <c r="A23" s="5">
        <v>20</v>
      </c>
      <c r="B23" s="5">
        <v>999</v>
      </c>
      <c r="C23" s="5">
        <v>15</v>
      </c>
      <c r="D23" s="37">
        <v>1007</v>
      </c>
      <c r="E23" s="9">
        <v>10</v>
      </c>
      <c r="F23" s="9">
        <v>200</v>
      </c>
    </row>
    <row r="24" spans="1:6">
      <c r="A24" s="5">
        <v>21</v>
      </c>
      <c r="B24" s="5">
        <v>999</v>
      </c>
      <c r="C24" s="5">
        <v>15</v>
      </c>
      <c r="D24" s="37">
        <v>1008</v>
      </c>
      <c r="E24" s="9">
        <v>10</v>
      </c>
      <c r="F24" s="9">
        <v>200</v>
      </c>
    </row>
    <row r="25" spans="1:6">
      <c r="A25" s="5">
        <v>22</v>
      </c>
      <c r="B25" s="5">
        <v>999</v>
      </c>
      <c r="C25" s="5">
        <v>15</v>
      </c>
      <c r="D25" s="37">
        <v>1009</v>
      </c>
      <c r="E25" s="9">
        <v>10</v>
      </c>
      <c r="F25" s="9">
        <v>200</v>
      </c>
    </row>
    <row r="26" spans="1:6">
      <c r="A26" s="5">
        <v>23</v>
      </c>
      <c r="B26" s="5">
        <v>999</v>
      </c>
      <c r="C26" s="5">
        <v>15</v>
      </c>
      <c r="D26" s="37">
        <v>1010</v>
      </c>
      <c r="E26" s="9">
        <v>10</v>
      </c>
      <c r="F26" s="9">
        <v>200</v>
      </c>
    </row>
    <row r="27" spans="1:6">
      <c r="A27" s="5">
        <v>24</v>
      </c>
      <c r="B27" s="5">
        <v>999</v>
      </c>
      <c r="C27" s="5">
        <v>15</v>
      </c>
      <c r="D27" s="37">
        <v>1011</v>
      </c>
      <c r="E27" s="9">
        <v>10</v>
      </c>
      <c r="F27" s="9">
        <v>200</v>
      </c>
    </row>
    <row r="28" spans="1:6">
      <c r="A28" s="5">
        <v>25</v>
      </c>
      <c r="B28" s="5">
        <v>999</v>
      </c>
      <c r="C28" s="5">
        <v>15</v>
      </c>
      <c r="D28" s="37">
        <v>1012</v>
      </c>
      <c r="E28" s="9">
        <v>10</v>
      </c>
      <c r="F28" s="9">
        <v>200</v>
      </c>
    </row>
    <row r="29" spans="1:6">
      <c r="A29" s="5">
        <v>26</v>
      </c>
      <c r="B29" s="5">
        <v>999</v>
      </c>
      <c r="C29" s="5">
        <v>15</v>
      </c>
      <c r="D29" s="37">
        <v>1013</v>
      </c>
      <c r="E29" s="9">
        <v>10</v>
      </c>
      <c r="F29" s="9">
        <v>200</v>
      </c>
    </row>
    <row r="30" spans="1:6">
      <c r="A30" s="5">
        <v>27</v>
      </c>
      <c r="B30" s="5">
        <v>999</v>
      </c>
      <c r="C30" s="5">
        <v>15</v>
      </c>
      <c r="D30" s="37">
        <v>1014</v>
      </c>
      <c r="E30" s="9">
        <v>10</v>
      </c>
      <c r="F30" s="9">
        <v>200</v>
      </c>
    </row>
    <row r="31" spans="1:6">
      <c r="A31" s="5">
        <v>28</v>
      </c>
      <c r="B31" s="5">
        <v>999</v>
      </c>
      <c r="C31" s="5">
        <v>15</v>
      </c>
      <c r="D31" s="37">
        <v>1015</v>
      </c>
      <c r="E31" s="9">
        <v>10</v>
      </c>
      <c r="F31" s="9">
        <v>200</v>
      </c>
    </row>
    <row r="32" spans="1:6">
      <c r="A32" s="5">
        <v>29</v>
      </c>
      <c r="B32" s="5">
        <v>999</v>
      </c>
      <c r="C32" s="5">
        <v>15</v>
      </c>
      <c r="D32" s="37">
        <v>1016</v>
      </c>
      <c r="E32" s="9">
        <v>10</v>
      </c>
      <c r="F32" s="9">
        <v>200</v>
      </c>
    </row>
    <row r="33" spans="1:6">
      <c r="A33" s="5">
        <v>30</v>
      </c>
      <c r="B33" s="5">
        <v>999</v>
      </c>
      <c r="C33" s="5">
        <v>15</v>
      </c>
      <c r="D33" s="37">
        <v>1001</v>
      </c>
      <c r="E33" s="9">
        <v>10</v>
      </c>
      <c r="F33" s="9">
        <v>300</v>
      </c>
    </row>
    <row r="34" spans="1:6">
      <c r="A34" s="5">
        <v>31</v>
      </c>
      <c r="B34" s="5">
        <v>999</v>
      </c>
      <c r="C34" s="5">
        <v>15</v>
      </c>
      <c r="D34" s="37">
        <v>1002</v>
      </c>
      <c r="E34" s="9">
        <v>10</v>
      </c>
      <c r="F34" s="9">
        <v>300</v>
      </c>
    </row>
    <row r="35" spans="1:6">
      <c r="A35" s="5">
        <v>32</v>
      </c>
      <c r="B35" s="5">
        <v>999</v>
      </c>
      <c r="C35" s="5">
        <v>15</v>
      </c>
      <c r="D35" s="37">
        <v>1003</v>
      </c>
      <c r="E35" s="9">
        <v>10</v>
      </c>
      <c r="F35" s="9">
        <v>300</v>
      </c>
    </row>
    <row r="36" spans="1:6">
      <c r="A36" s="5">
        <v>33</v>
      </c>
      <c r="B36" s="5">
        <v>999</v>
      </c>
      <c r="C36" s="5">
        <v>15</v>
      </c>
      <c r="D36" s="37">
        <v>1004</v>
      </c>
      <c r="E36" s="9">
        <v>10</v>
      </c>
      <c r="F36" s="9">
        <v>300</v>
      </c>
    </row>
    <row r="37" spans="1:6">
      <c r="A37" s="5">
        <v>34</v>
      </c>
      <c r="B37" s="5">
        <v>999</v>
      </c>
      <c r="C37" s="5">
        <v>15</v>
      </c>
      <c r="D37" s="37">
        <v>1005</v>
      </c>
      <c r="E37" s="9">
        <v>10</v>
      </c>
      <c r="F37" s="9">
        <v>300</v>
      </c>
    </row>
    <row r="38" spans="1:6">
      <c r="A38" s="5">
        <v>35</v>
      </c>
      <c r="B38" s="5">
        <v>999</v>
      </c>
      <c r="C38" s="5">
        <v>15</v>
      </c>
      <c r="D38" s="37">
        <v>1006</v>
      </c>
      <c r="E38" s="9">
        <v>10</v>
      </c>
      <c r="F38" s="9">
        <v>300</v>
      </c>
    </row>
    <row r="39" spans="1:6">
      <c r="A39" s="5">
        <v>36</v>
      </c>
      <c r="B39" s="5">
        <v>999</v>
      </c>
      <c r="C39" s="5">
        <v>15</v>
      </c>
      <c r="D39" s="37">
        <v>1007</v>
      </c>
      <c r="E39" s="9">
        <v>10</v>
      </c>
      <c r="F39" s="9">
        <v>300</v>
      </c>
    </row>
    <row r="40" spans="1:6">
      <c r="A40" s="5">
        <v>37</v>
      </c>
      <c r="B40" s="5">
        <v>999</v>
      </c>
      <c r="C40" s="5">
        <v>15</v>
      </c>
      <c r="D40" s="37">
        <v>1008</v>
      </c>
      <c r="E40" s="9">
        <v>10</v>
      </c>
      <c r="F40" s="9">
        <v>300</v>
      </c>
    </row>
    <row r="41" spans="1:6">
      <c r="A41" s="5">
        <v>38</v>
      </c>
      <c r="B41" s="5">
        <v>999</v>
      </c>
      <c r="C41" s="5">
        <v>15</v>
      </c>
      <c r="D41" s="37">
        <v>1009</v>
      </c>
      <c r="E41" s="9">
        <v>10</v>
      </c>
      <c r="F41" s="9">
        <v>300</v>
      </c>
    </row>
    <row r="42" spans="1:6">
      <c r="A42" s="5">
        <v>39</v>
      </c>
      <c r="B42" s="5">
        <v>999</v>
      </c>
      <c r="C42" s="5">
        <v>15</v>
      </c>
      <c r="D42" s="37">
        <v>1010</v>
      </c>
      <c r="E42" s="9">
        <v>10</v>
      </c>
      <c r="F42" s="9">
        <v>300</v>
      </c>
    </row>
    <row r="43" spans="1:6">
      <c r="A43" s="5">
        <v>40</v>
      </c>
      <c r="B43" s="5">
        <v>999</v>
      </c>
      <c r="C43" s="5">
        <v>15</v>
      </c>
      <c r="D43" s="37">
        <v>1011</v>
      </c>
      <c r="E43" s="9">
        <v>10</v>
      </c>
      <c r="F43" s="9">
        <v>300</v>
      </c>
    </row>
    <row r="44" spans="1:6">
      <c r="A44" s="5">
        <v>41</v>
      </c>
      <c r="B44" s="5">
        <v>999</v>
      </c>
      <c r="C44" s="5">
        <v>15</v>
      </c>
      <c r="D44" s="37">
        <v>1012</v>
      </c>
      <c r="E44" s="9">
        <v>10</v>
      </c>
      <c r="F44" s="9">
        <v>300</v>
      </c>
    </row>
    <row r="45" spans="1:6">
      <c r="A45" s="5">
        <v>42</v>
      </c>
      <c r="B45" s="5">
        <v>999</v>
      </c>
      <c r="C45" s="5">
        <v>15</v>
      </c>
      <c r="D45" s="37">
        <v>1013</v>
      </c>
      <c r="E45" s="9">
        <v>10</v>
      </c>
      <c r="F45" s="9">
        <v>300</v>
      </c>
    </row>
    <row r="46" spans="1:6">
      <c r="A46" s="5">
        <v>43</v>
      </c>
      <c r="B46" s="5">
        <v>999</v>
      </c>
      <c r="C46" s="5">
        <v>15</v>
      </c>
      <c r="D46" s="37">
        <v>1014</v>
      </c>
      <c r="E46" s="9">
        <v>10</v>
      </c>
      <c r="F46" s="9">
        <v>300</v>
      </c>
    </row>
    <row r="47" spans="1:6">
      <c r="A47" s="5">
        <v>44</v>
      </c>
      <c r="B47" s="5">
        <v>999</v>
      </c>
      <c r="C47" s="5">
        <v>15</v>
      </c>
      <c r="D47" s="37">
        <v>1015</v>
      </c>
      <c r="E47" s="9">
        <v>10</v>
      </c>
      <c r="F47" s="9">
        <v>300</v>
      </c>
    </row>
    <row r="48" spans="1:6">
      <c r="A48" s="5">
        <v>45</v>
      </c>
      <c r="B48" s="5">
        <v>999</v>
      </c>
      <c r="C48" s="5">
        <v>15</v>
      </c>
      <c r="D48" s="37">
        <v>1016</v>
      </c>
      <c r="E48" s="9">
        <v>10</v>
      </c>
      <c r="F48" s="9">
        <v>300</v>
      </c>
    </row>
    <row r="49" spans="1:6">
      <c r="A49" s="5">
        <v>46</v>
      </c>
      <c r="B49" s="5">
        <v>999</v>
      </c>
      <c r="C49" s="5">
        <v>15</v>
      </c>
      <c r="D49" s="37">
        <v>1001</v>
      </c>
      <c r="E49" s="9">
        <v>10</v>
      </c>
      <c r="F49" s="9">
        <v>300</v>
      </c>
    </row>
    <row r="50" spans="1:6">
      <c r="A50" s="5">
        <v>47</v>
      </c>
      <c r="B50" s="5">
        <v>999</v>
      </c>
      <c r="C50" s="5">
        <v>15</v>
      </c>
      <c r="D50" s="37">
        <v>1002</v>
      </c>
      <c r="E50" s="9">
        <v>10</v>
      </c>
      <c r="F50" s="9">
        <v>300</v>
      </c>
    </row>
    <row r="51" spans="1:6">
      <c r="A51" s="5">
        <v>48</v>
      </c>
      <c r="B51" s="5">
        <v>999</v>
      </c>
      <c r="C51" s="5">
        <v>15</v>
      </c>
      <c r="D51" s="37">
        <v>1003</v>
      </c>
      <c r="E51" s="9">
        <v>10</v>
      </c>
      <c r="F51" s="9">
        <v>300</v>
      </c>
    </row>
    <row r="52" spans="1:6">
      <c r="A52" s="5">
        <v>49</v>
      </c>
      <c r="B52" s="5">
        <v>999</v>
      </c>
      <c r="C52" s="5">
        <v>15</v>
      </c>
      <c r="D52" s="37">
        <v>1004</v>
      </c>
      <c r="E52" s="9">
        <v>10</v>
      </c>
      <c r="F52" s="9">
        <v>300</v>
      </c>
    </row>
    <row r="53" spans="1:6">
      <c r="A53" s="5">
        <v>50</v>
      </c>
      <c r="B53" s="5">
        <v>999</v>
      </c>
      <c r="C53" s="5">
        <v>15</v>
      </c>
      <c r="D53" s="37">
        <v>1005</v>
      </c>
      <c r="E53" s="9">
        <v>10</v>
      </c>
      <c r="F53" s="9">
        <v>300</v>
      </c>
    </row>
    <row r="54" spans="1:6">
      <c r="A54" s="5">
        <v>51</v>
      </c>
      <c r="B54" s="5">
        <v>999</v>
      </c>
      <c r="C54" s="5">
        <v>15</v>
      </c>
      <c r="D54" s="37">
        <v>1006</v>
      </c>
      <c r="E54" s="9">
        <v>10</v>
      </c>
      <c r="F54" s="9">
        <v>300</v>
      </c>
    </row>
    <row r="55" spans="1:6">
      <c r="A55" s="5">
        <v>52</v>
      </c>
      <c r="B55" s="5">
        <v>999</v>
      </c>
      <c r="C55" s="5">
        <v>15</v>
      </c>
      <c r="D55" s="37">
        <v>1007</v>
      </c>
      <c r="E55" s="9">
        <v>10</v>
      </c>
      <c r="F55" s="9">
        <v>300</v>
      </c>
    </row>
    <row r="56" spans="1:6">
      <c r="A56" s="5">
        <v>53</v>
      </c>
      <c r="B56" s="5">
        <v>999</v>
      </c>
      <c r="C56" s="5">
        <v>15</v>
      </c>
      <c r="D56" s="37">
        <v>1008</v>
      </c>
      <c r="E56" s="9">
        <v>10</v>
      </c>
      <c r="F56" s="9">
        <v>300</v>
      </c>
    </row>
    <row r="57" spans="1:6">
      <c r="A57" s="5">
        <v>54</v>
      </c>
      <c r="B57" s="5">
        <v>999</v>
      </c>
      <c r="C57" s="5">
        <v>15</v>
      </c>
      <c r="D57" s="37">
        <v>1009</v>
      </c>
      <c r="E57" s="9">
        <v>10</v>
      </c>
      <c r="F57" s="9">
        <v>300</v>
      </c>
    </row>
    <row r="58" spans="1:6">
      <c r="A58" s="5">
        <v>55</v>
      </c>
      <c r="B58" s="5">
        <v>999</v>
      </c>
      <c r="C58" s="5">
        <v>15</v>
      </c>
      <c r="D58" s="37">
        <v>1010</v>
      </c>
      <c r="E58" s="9">
        <v>10</v>
      </c>
      <c r="F58" s="9">
        <v>300</v>
      </c>
    </row>
    <row r="59" spans="1:6">
      <c r="A59" s="5">
        <v>56</v>
      </c>
      <c r="B59" s="5">
        <v>999</v>
      </c>
      <c r="C59" s="5">
        <v>15</v>
      </c>
      <c r="D59" s="37">
        <v>1011</v>
      </c>
      <c r="E59" s="9">
        <v>10</v>
      </c>
      <c r="F59" s="9">
        <v>300</v>
      </c>
    </row>
    <row r="60" spans="1:6">
      <c r="A60" s="5">
        <v>57</v>
      </c>
      <c r="B60" s="5">
        <v>999</v>
      </c>
      <c r="C60" s="5">
        <v>15</v>
      </c>
      <c r="D60" s="37">
        <v>1012</v>
      </c>
      <c r="E60" s="9">
        <v>10</v>
      </c>
      <c r="F60" s="9">
        <v>300</v>
      </c>
    </row>
    <row r="61" spans="1:6">
      <c r="A61" s="5">
        <v>58</v>
      </c>
      <c r="B61" s="5">
        <v>999</v>
      </c>
      <c r="C61" s="5">
        <v>15</v>
      </c>
      <c r="D61" s="37">
        <v>1013</v>
      </c>
      <c r="E61" s="9">
        <v>10</v>
      </c>
      <c r="F61" s="9">
        <v>300</v>
      </c>
    </row>
    <row r="62" spans="1:6">
      <c r="A62" s="5">
        <v>59</v>
      </c>
      <c r="B62" s="5">
        <v>999</v>
      </c>
      <c r="C62" s="5">
        <v>15</v>
      </c>
      <c r="D62" s="37">
        <v>1014</v>
      </c>
      <c r="E62" s="9">
        <v>10</v>
      </c>
      <c r="F62" s="9">
        <v>300</v>
      </c>
    </row>
    <row r="63" spans="1:6">
      <c r="A63" s="5">
        <v>60</v>
      </c>
      <c r="B63" s="5">
        <v>999</v>
      </c>
      <c r="C63" s="5">
        <v>15</v>
      </c>
      <c r="D63" s="37">
        <v>1015</v>
      </c>
      <c r="E63" s="9">
        <v>10</v>
      </c>
      <c r="F63" s="9">
        <v>300</v>
      </c>
    </row>
    <row r="64" spans="1:6">
      <c r="A64" s="5">
        <v>61</v>
      </c>
      <c r="B64" s="5">
        <v>999</v>
      </c>
      <c r="C64" s="5">
        <v>15</v>
      </c>
      <c r="D64" s="37">
        <v>1016</v>
      </c>
      <c r="E64" s="9">
        <v>10</v>
      </c>
      <c r="F64" s="9">
        <v>300</v>
      </c>
    </row>
    <row r="65" spans="1:6">
      <c r="A65" s="5">
        <v>62</v>
      </c>
      <c r="B65" s="5">
        <v>999</v>
      </c>
      <c r="C65" s="5">
        <v>15</v>
      </c>
      <c r="D65" s="37">
        <v>1016</v>
      </c>
      <c r="E65" s="9">
        <v>10</v>
      </c>
      <c r="F65" s="9">
        <v>300</v>
      </c>
    </row>
    <row r="66" spans="1:6">
      <c r="A66" s="5">
        <v>63</v>
      </c>
      <c r="B66" s="5">
        <v>999</v>
      </c>
      <c r="C66" s="5">
        <v>15</v>
      </c>
      <c r="D66" s="37">
        <v>1016</v>
      </c>
      <c r="E66" s="9">
        <v>10</v>
      </c>
      <c r="F66" s="9">
        <v>300</v>
      </c>
    </row>
    <row r="67" spans="1:6">
      <c r="A67" s="5">
        <v>64</v>
      </c>
      <c r="B67" s="5">
        <v>1000</v>
      </c>
      <c r="C67" s="5">
        <v>15</v>
      </c>
      <c r="D67" s="37">
        <v>1051</v>
      </c>
      <c r="E67" s="9">
        <v>10</v>
      </c>
      <c r="F67" s="9">
        <v>100</v>
      </c>
    </row>
    <row r="68" spans="1:6">
      <c r="A68" s="5">
        <v>65</v>
      </c>
      <c r="B68" s="5">
        <v>1000</v>
      </c>
      <c r="C68" s="5">
        <v>15</v>
      </c>
      <c r="D68" s="37">
        <v>1052</v>
      </c>
      <c r="E68" s="9">
        <v>10</v>
      </c>
      <c r="F68" s="5">
        <v>100</v>
      </c>
    </row>
    <row r="69" spans="1:6">
      <c r="A69" s="5">
        <v>66</v>
      </c>
      <c r="B69" s="5">
        <v>1000</v>
      </c>
      <c r="C69" s="5">
        <v>15</v>
      </c>
      <c r="D69" s="37">
        <v>1053</v>
      </c>
      <c r="E69" s="9">
        <v>10</v>
      </c>
      <c r="F69" s="9">
        <v>100</v>
      </c>
    </row>
    <row r="70" spans="1:6">
      <c r="A70" s="5">
        <v>67</v>
      </c>
      <c r="B70" s="5">
        <v>1000</v>
      </c>
      <c r="C70" s="5">
        <v>15</v>
      </c>
      <c r="D70" s="37">
        <v>1054</v>
      </c>
      <c r="E70" s="9">
        <v>10</v>
      </c>
      <c r="F70" s="5">
        <v>100</v>
      </c>
    </row>
    <row r="71" spans="1:6">
      <c r="A71" s="5">
        <v>68</v>
      </c>
      <c r="B71" s="5">
        <v>1000</v>
      </c>
      <c r="C71" s="5">
        <v>15</v>
      </c>
      <c r="D71" s="37">
        <v>1055</v>
      </c>
      <c r="E71" s="9">
        <v>10</v>
      </c>
      <c r="F71" s="9">
        <v>100</v>
      </c>
    </row>
    <row r="72" spans="1:6">
      <c r="A72" s="5">
        <v>69</v>
      </c>
      <c r="B72" s="5">
        <v>1000</v>
      </c>
      <c r="C72" s="5">
        <v>15</v>
      </c>
      <c r="D72" s="37">
        <v>1056</v>
      </c>
      <c r="E72" s="9">
        <v>10</v>
      </c>
      <c r="F72" s="9">
        <v>100</v>
      </c>
    </row>
    <row r="73" spans="1:6">
      <c r="A73" s="5">
        <v>70</v>
      </c>
      <c r="B73" s="5">
        <v>1000</v>
      </c>
      <c r="C73" s="5">
        <v>15</v>
      </c>
      <c r="D73" s="37">
        <v>1057</v>
      </c>
      <c r="E73" s="9">
        <v>10</v>
      </c>
      <c r="F73" s="9">
        <v>100</v>
      </c>
    </row>
    <row r="74" spans="1:6">
      <c r="A74" s="5">
        <v>71</v>
      </c>
      <c r="B74" s="5">
        <v>1000</v>
      </c>
      <c r="C74" s="5">
        <v>15</v>
      </c>
      <c r="D74" s="37">
        <v>1058</v>
      </c>
      <c r="E74" s="9">
        <v>10</v>
      </c>
      <c r="F74" s="9">
        <v>100</v>
      </c>
    </row>
    <row r="75" spans="1:6">
      <c r="A75" s="5">
        <v>72</v>
      </c>
      <c r="B75" s="5">
        <v>1000</v>
      </c>
      <c r="C75" s="5">
        <v>15</v>
      </c>
      <c r="D75" s="37">
        <v>1059</v>
      </c>
      <c r="E75" s="9">
        <v>10</v>
      </c>
      <c r="F75" s="9">
        <v>100</v>
      </c>
    </row>
    <row r="76" spans="1:6">
      <c r="A76" s="5">
        <v>73</v>
      </c>
      <c r="B76" s="5">
        <v>1000</v>
      </c>
      <c r="C76" s="5">
        <v>15</v>
      </c>
      <c r="D76" s="37">
        <v>1060</v>
      </c>
      <c r="E76" s="9">
        <v>10</v>
      </c>
      <c r="F76" s="9">
        <v>100</v>
      </c>
    </row>
    <row r="77" spans="1:6">
      <c r="A77" s="5">
        <v>74</v>
      </c>
      <c r="B77" s="5">
        <v>1000</v>
      </c>
      <c r="C77" s="5">
        <v>15</v>
      </c>
      <c r="D77" s="37">
        <v>1061</v>
      </c>
      <c r="E77" s="9">
        <v>10</v>
      </c>
      <c r="F77" s="9">
        <v>100</v>
      </c>
    </row>
    <row r="78" spans="1:6">
      <c r="A78" s="5">
        <v>75</v>
      </c>
      <c r="B78" s="5">
        <v>1000</v>
      </c>
      <c r="C78" s="5">
        <v>15</v>
      </c>
      <c r="D78" s="37">
        <v>1062</v>
      </c>
      <c r="E78" s="9">
        <v>10</v>
      </c>
      <c r="F78" s="9">
        <v>100</v>
      </c>
    </row>
    <row r="79" spans="1:6">
      <c r="A79" s="5">
        <v>76</v>
      </c>
      <c r="B79" s="5">
        <v>1000</v>
      </c>
      <c r="C79" s="5">
        <v>15</v>
      </c>
      <c r="D79" s="37">
        <v>1063</v>
      </c>
      <c r="E79" s="9">
        <v>10</v>
      </c>
      <c r="F79" s="9">
        <v>100</v>
      </c>
    </row>
    <row r="80" spans="1:6">
      <c r="A80" s="5">
        <v>77</v>
      </c>
      <c r="B80" s="5">
        <v>1000</v>
      </c>
      <c r="C80" s="5">
        <v>15</v>
      </c>
      <c r="D80" s="37">
        <v>1051</v>
      </c>
      <c r="E80" s="9">
        <v>10</v>
      </c>
      <c r="F80" s="9">
        <v>200</v>
      </c>
    </row>
    <row r="81" spans="1:6">
      <c r="A81" s="5">
        <v>78</v>
      </c>
      <c r="B81" s="5">
        <v>1000</v>
      </c>
      <c r="C81" s="5">
        <v>15</v>
      </c>
      <c r="D81" s="37">
        <v>1052</v>
      </c>
      <c r="E81" s="9">
        <v>10</v>
      </c>
      <c r="F81" s="9">
        <v>200</v>
      </c>
    </row>
    <row r="82" spans="1:6">
      <c r="A82" s="5">
        <v>79</v>
      </c>
      <c r="B82" s="5">
        <v>1000</v>
      </c>
      <c r="C82" s="5">
        <v>15</v>
      </c>
      <c r="D82" s="5">
        <v>1053</v>
      </c>
      <c r="E82" s="9">
        <v>10</v>
      </c>
      <c r="F82" s="5">
        <v>200</v>
      </c>
    </row>
    <row r="83" spans="1:6">
      <c r="A83" s="5">
        <v>80</v>
      </c>
      <c r="B83" s="5">
        <v>1000</v>
      </c>
      <c r="C83" s="5">
        <v>15</v>
      </c>
      <c r="D83" s="5">
        <v>1054</v>
      </c>
      <c r="E83" s="9">
        <v>10</v>
      </c>
      <c r="F83" s="5">
        <v>200</v>
      </c>
    </row>
    <row r="84" spans="1:6">
      <c r="A84" s="5">
        <v>81</v>
      </c>
      <c r="B84" s="5">
        <v>1000</v>
      </c>
      <c r="C84" s="5">
        <v>15</v>
      </c>
      <c r="D84" s="5">
        <v>1055</v>
      </c>
      <c r="E84" s="9">
        <v>10</v>
      </c>
      <c r="F84" s="5">
        <v>200</v>
      </c>
    </row>
    <row r="85" spans="1:6">
      <c r="A85" s="5">
        <v>82</v>
      </c>
      <c r="B85" s="5">
        <v>1000</v>
      </c>
      <c r="C85" s="5">
        <v>15</v>
      </c>
      <c r="D85" s="5">
        <v>1056</v>
      </c>
      <c r="E85" s="9">
        <v>10</v>
      </c>
      <c r="F85" s="5">
        <v>200</v>
      </c>
    </row>
    <row r="86" spans="1:6">
      <c r="A86" s="5">
        <v>83</v>
      </c>
      <c r="B86" s="5">
        <v>1000</v>
      </c>
      <c r="C86" s="5">
        <v>15</v>
      </c>
      <c r="D86" s="5">
        <v>1057</v>
      </c>
      <c r="E86" s="9">
        <v>10</v>
      </c>
      <c r="F86" s="5">
        <v>200</v>
      </c>
    </row>
    <row r="87" spans="1:6">
      <c r="A87" s="5">
        <v>84</v>
      </c>
      <c r="B87" s="5">
        <v>1000</v>
      </c>
      <c r="C87" s="5">
        <v>15</v>
      </c>
      <c r="D87" s="5">
        <v>1058</v>
      </c>
      <c r="E87" s="9">
        <v>10</v>
      </c>
      <c r="F87" s="5">
        <v>200</v>
      </c>
    </row>
    <row r="88" spans="1:6">
      <c r="A88" s="5">
        <v>85</v>
      </c>
      <c r="B88" s="5">
        <v>1000</v>
      </c>
      <c r="C88" s="5">
        <v>15</v>
      </c>
      <c r="D88" s="5">
        <v>1059</v>
      </c>
      <c r="E88" s="9">
        <v>10</v>
      </c>
      <c r="F88" s="5">
        <v>200</v>
      </c>
    </row>
    <row r="89" spans="1:6">
      <c r="A89" s="5">
        <v>86</v>
      </c>
      <c r="B89" s="5">
        <v>1000</v>
      </c>
      <c r="C89" s="5">
        <v>15</v>
      </c>
      <c r="D89" s="5">
        <v>1060</v>
      </c>
      <c r="E89" s="9">
        <v>10</v>
      </c>
      <c r="F89" s="5">
        <v>200</v>
      </c>
    </row>
    <row r="90" spans="1:6">
      <c r="A90" s="5">
        <v>87</v>
      </c>
      <c r="B90" s="5">
        <v>1000</v>
      </c>
      <c r="C90" s="5">
        <v>15</v>
      </c>
      <c r="D90" s="5">
        <v>1061</v>
      </c>
      <c r="E90" s="9">
        <v>10</v>
      </c>
      <c r="F90" s="5">
        <v>200</v>
      </c>
    </row>
    <row r="91" spans="1:6">
      <c r="A91" s="5">
        <v>88</v>
      </c>
      <c r="B91" s="5">
        <v>1000</v>
      </c>
      <c r="C91" s="5">
        <v>15</v>
      </c>
      <c r="D91" s="5">
        <v>1062</v>
      </c>
      <c r="E91" s="9">
        <v>10</v>
      </c>
      <c r="F91" s="5">
        <v>200</v>
      </c>
    </row>
    <row r="92" spans="1:6">
      <c r="A92" s="5">
        <v>89</v>
      </c>
      <c r="B92" s="5">
        <v>1000</v>
      </c>
      <c r="C92" s="5">
        <v>15</v>
      </c>
      <c r="D92" s="5">
        <v>1063</v>
      </c>
      <c r="E92" s="9">
        <v>10</v>
      </c>
      <c r="F92" s="5">
        <v>200</v>
      </c>
    </row>
    <row r="93" spans="1:6">
      <c r="A93" s="5">
        <v>90</v>
      </c>
      <c r="B93" s="5">
        <v>1000</v>
      </c>
      <c r="C93" s="5">
        <v>15</v>
      </c>
      <c r="D93" s="5">
        <v>1064</v>
      </c>
      <c r="E93" s="9">
        <v>10</v>
      </c>
      <c r="F93" s="5">
        <v>200</v>
      </c>
    </row>
    <row r="94" spans="1:6">
      <c r="A94" s="5">
        <v>91</v>
      </c>
      <c r="B94" s="5">
        <v>1000</v>
      </c>
      <c r="C94" s="5">
        <v>15</v>
      </c>
      <c r="D94" s="5">
        <v>1065</v>
      </c>
      <c r="E94" s="9">
        <v>10</v>
      </c>
      <c r="F94" s="5">
        <v>200</v>
      </c>
    </row>
    <row r="95" spans="1:6">
      <c r="A95" s="5">
        <v>92</v>
      </c>
      <c r="B95" s="5">
        <v>1000</v>
      </c>
      <c r="C95" s="5">
        <v>15</v>
      </c>
      <c r="D95" s="5">
        <v>1066</v>
      </c>
      <c r="E95" s="9">
        <v>10</v>
      </c>
      <c r="F95" s="5">
        <v>200</v>
      </c>
    </row>
    <row r="96" spans="1:6">
      <c r="A96" s="5">
        <v>93</v>
      </c>
      <c r="B96" s="5">
        <v>1000</v>
      </c>
      <c r="C96" s="5">
        <v>15</v>
      </c>
      <c r="D96" s="5">
        <v>1051</v>
      </c>
      <c r="E96" s="9">
        <v>10</v>
      </c>
      <c r="F96" s="5">
        <v>300</v>
      </c>
    </row>
    <row r="97" spans="1:6">
      <c r="A97" s="5">
        <v>94</v>
      </c>
      <c r="B97" s="5">
        <v>1000</v>
      </c>
      <c r="C97" s="5">
        <v>15</v>
      </c>
      <c r="D97" s="5">
        <v>1052</v>
      </c>
      <c r="E97" s="9">
        <v>10</v>
      </c>
      <c r="F97" s="5">
        <v>300</v>
      </c>
    </row>
    <row r="98" spans="1:6">
      <c r="A98" s="5">
        <v>95</v>
      </c>
      <c r="B98" s="5">
        <v>1000</v>
      </c>
      <c r="C98" s="5">
        <v>15</v>
      </c>
      <c r="D98" s="5">
        <v>1053</v>
      </c>
      <c r="E98" s="9">
        <v>10</v>
      </c>
      <c r="F98" s="5">
        <v>300</v>
      </c>
    </row>
    <row r="99" spans="1:6">
      <c r="A99" s="5">
        <v>96</v>
      </c>
      <c r="B99" s="5">
        <v>1000</v>
      </c>
      <c r="C99" s="5">
        <v>15</v>
      </c>
      <c r="D99" s="5">
        <v>1054</v>
      </c>
      <c r="E99" s="9">
        <v>10</v>
      </c>
      <c r="F99" s="5">
        <v>300</v>
      </c>
    </row>
    <row r="100" spans="1:6">
      <c r="A100" s="5">
        <v>97</v>
      </c>
      <c r="B100" s="5">
        <v>1000</v>
      </c>
      <c r="C100" s="5">
        <v>15</v>
      </c>
      <c r="D100" s="5">
        <v>1055</v>
      </c>
      <c r="E100" s="9">
        <v>10</v>
      </c>
      <c r="F100" s="5">
        <v>300</v>
      </c>
    </row>
    <row r="101" spans="1:6">
      <c r="A101" s="5">
        <v>98</v>
      </c>
      <c r="B101" s="5">
        <v>1000</v>
      </c>
      <c r="C101" s="5">
        <v>15</v>
      </c>
      <c r="D101" s="5">
        <v>1056</v>
      </c>
      <c r="E101" s="9">
        <v>10</v>
      </c>
      <c r="F101" s="5">
        <v>300</v>
      </c>
    </row>
    <row r="102" spans="1:6">
      <c r="A102" s="5">
        <v>99</v>
      </c>
      <c r="B102" s="5">
        <v>1000</v>
      </c>
      <c r="C102" s="5">
        <v>15</v>
      </c>
      <c r="D102" s="5">
        <v>1057</v>
      </c>
      <c r="E102" s="9">
        <v>10</v>
      </c>
      <c r="F102" s="5">
        <v>300</v>
      </c>
    </row>
    <row r="103" spans="1:6">
      <c r="A103" s="5">
        <v>100</v>
      </c>
      <c r="B103" s="5">
        <v>1000</v>
      </c>
      <c r="C103" s="5">
        <v>15</v>
      </c>
      <c r="D103" s="5">
        <v>1058</v>
      </c>
      <c r="E103" s="9">
        <v>10</v>
      </c>
      <c r="F103" s="5">
        <v>300</v>
      </c>
    </row>
    <row r="104" spans="1:6">
      <c r="A104" s="5">
        <v>101</v>
      </c>
      <c r="B104" s="5">
        <v>1000</v>
      </c>
      <c r="C104" s="5">
        <v>15</v>
      </c>
      <c r="D104" s="5">
        <v>1059</v>
      </c>
      <c r="E104" s="9">
        <v>10</v>
      </c>
      <c r="F104" s="5">
        <v>300</v>
      </c>
    </row>
    <row r="105" spans="1:6">
      <c r="A105" s="5">
        <v>102</v>
      </c>
      <c r="B105" s="5">
        <v>1000</v>
      </c>
      <c r="C105" s="5">
        <v>15</v>
      </c>
      <c r="D105" s="5">
        <v>1060</v>
      </c>
      <c r="E105" s="9">
        <v>10</v>
      </c>
      <c r="F105" s="5">
        <v>300</v>
      </c>
    </row>
    <row r="106" spans="1:6">
      <c r="A106" s="5">
        <v>103</v>
      </c>
      <c r="B106" s="5">
        <v>1000</v>
      </c>
      <c r="C106" s="5">
        <v>15</v>
      </c>
      <c r="D106" s="5">
        <v>1061</v>
      </c>
      <c r="E106" s="9">
        <v>10</v>
      </c>
      <c r="F106" s="5">
        <v>300</v>
      </c>
    </row>
    <row r="107" spans="1:6">
      <c r="A107" s="5">
        <v>104</v>
      </c>
      <c r="B107" s="5">
        <v>1000</v>
      </c>
      <c r="C107" s="5">
        <v>15</v>
      </c>
      <c r="D107" s="5">
        <v>1062</v>
      </c>
      <c r="E107" s="9">
        <v>10</v>
      </c>
      <c r="F107" s="5">
        <v>300</v>
      </c>
    </row>
    <row r="108" spans="1:6">
      <c r="A108" s="5">
        <v>105</v>
      </c>
      <c r="B108" s="5">
        <v>1000</v>
      </c>
      <c r="C108" s="5">
        <v>15</v>
      </c>
      <c r="D108" s="5">
        <v>1063</v>
      </c>
      <c r="E108" s="9">
        <v>10</v>
      </c>
      <c r="F108" s="5">
        <v>300</v>
      </c>
    </row>
    <row r="109" spans="1:6">
      <c r="A109" s="5">
        <v>106</v>
      </c>
      <c r="B109" s="5">
        <v>1000</v>
      </c>
      <c r="C109" s="5">
        <v>15</v>
      </c>
      <c r="D109" s="5">
        <v>1064</v>
      </c>
      <c r="E109" s="9">
        <v>10</v>
      </c>
      <c r="F109" s="5">
        <v>300</v>
      </c>
    </row>
    <row r="110" spans="1:6">
      <c r="A110" s="5">
        <v>107</v>
      </c>
      <c r="B110" s="5">
        <v>1000</v>
      </c>
      <c r="C110" s="5">
        <v>15</v>
      </c>
      <c r="D110" s="5">
        <v>1065</v>
      </c>
      <c r="E110" s="9">
        <v>10</v>
      </c>
      <c r="F110" s="5">
        <v>300</v>
      </c>
    </row>
    <row r="111" spans="1:6">
      <c r="A111" s="5">
        <v>108</v>
      </c>
      <c r="B111" s="5">
        <v>1000</v>
      </c>
      <c r="C111" s="5">
        <v>15</v>
      </c>
      <c r="D111" s="5">
        <v>1066</v>
      </c>
      <c r="E111" s="9">
        <v>10</v>
      </c>
      <c r="F111" s="5">
        <v>300</v>
      </c>
    </row>
    <row r="112" spans="1:6">
      <c r="A112" s="5">
        <v>109</v>
      </c>
      <c r="B112" s="5">
        <v>1000</v>
      </c>
      <c r="C112" s="5">
        <v>15</v>
      </c>
      <c r="D112" s="5">
        <v>1051</v>
      </c>
      <c r="E112" s="9">
        <v>10</v>
      </c>
      <c r="F112" s="5">
        <v>300</v>
      </c>
    </row>
    <row r="113" spans="1:6">
      <c r="A113" s="5">
        <v>110</v>
      </c>
      <c r="B113" s="5">
        <v>1000</v>
      </c>
      <c r="C113" s="5">
        <v>15</v>
      </c>
      <c r="D113" s="5">
        <v>1052</v>
      </c>
      <c r="E113" s="9">
        <v>10</v>
      </c>
      <c r="F113" s="5">
        <v>300</v>
      </c>
    </row>
    <row r="114" spans="1:6">
      <c r="A114" s="5">
        <v>111</v>
      </c>
      <c r="B114" s="5">
        <v>1000</v>
      </c>
      <c r="C114" s="5">
        <v>15</v>
      </c>
      <c r="D114" s="5">
        <v>1053</v>
      </c>
      <c r="E114" s="9">
        <v>10</v>
      </c>
      <c r="F114" s="5">
        <v>300</v>
      </c>
    </row>
    <row r="115" spans="1:6">
      <c r="A115" s="5">
        <v>112</v>
      </c>
      <c r="B115" s="5">
        <v>1000</v>
      </c>
      <c r="C115" s="5">
        <v>15</v>
      </c>
      <c r="D115" s="5">
        <v>1054</v>
      </c>
      <c r="E115" s="9">
        <v>10</v>
      </c>
      <c r="F115" s="5">
        <v>300</v>
      </c>
    </row>
    <row r="116" spans="1:6">
      <c r="A116" s="5">
        <v>113</v>
      </c>
      <c r="B116" s="5">
        <v>1000</v>
      </c>
      <c r="C116" s="5">
        <v>15</v>
      </c>
      <c r="D116" s="5">
        <v>1055</v>
      </c>
      <c r="E116" s="9">
        <v>10</v>
      </c>
      <c r="F116" s="5">
        <v>300</v>
      </c>
    </row>
    <row r="117" spans="1:6">
      <c r="A117" s="5">
        <v>114</v>
      </c>
      <c r="B117" s="5">
        <v>1000</v>
      </c>
      <c r="C117" s="5">
        <v>15</v>
      </c>
      <c r="D117" s="5">
        <v>1056</v>
      </c>
      <c r="E117" s="9">
        <v>10</v>
      </c>
      <c r="F117" s="5">
        <v>300</v>
      </c>
    </row>
    <row r="118" spans="1:6">
      <c r="A118" s="5">
        <v>115</v>
      </c>
      <c r="B118" s="5">
        <v>1000</v>
      </c>
      <c r="C118" s="5">
        <v>15</v>
      </c>
      <c r="D118" s="5">
        <v>1057</v>
      </c>
      <c r="E118" s="9">
        <v>10</v>
      </c>
      <c r="F118" s="5">
        <v>300</v>
      </c>
    </row>
    <row r="119" spans="1:6">
      <c r="A119" s="5">
        <v>116</v>
      </c>
      <c r="B119" s="5">
        <v>1000</v>
      </c>
      <c r="C119" s="5">
        <v>15</v>
      </c>
      <c r="D119" s="5">
        <v>1058</v>
      </c>
      <c r="E119" s="9">
        <v>10</v>
      </c>
      <c r="F119" s="5">
        <v>300</v>
      </c>
    </row>
    <row r="120" spans="1:6">
      <c r="A120" s="5">
        <v>117</v>
      </c>
      <c r="B120" s="5">
        <v>1000</v>
      </c>
      <c r="C120" s="5">
        <v>15</v>
      </c>
      <c r="D120" s="5">
        <v>1059</v>
      </c>
      <c r="E120" s="9">
        <v>10</v>
      </c>
      <c r="F120" s="5">
        <v>300</v>
      </c>
    </row>
    <row r="121" spans="1:6">
      <c r="A121" s="5">
        <v>118</v>
      </c>
      <c r="B121" s="5">
        <v>1000</v>
      </c>
      <c r="C121" s="5">
        <v>15</v>
      </c>
      <c r="D121" s="5">
        <v>1060</v>
      </c>
      <c r="E121" s="9">
        <v>10</v>
      </c>
      <c r="F121" s="5">
        <v>300</v>
      </c>
    </row>
    <row r="122" spans="1:6">
      <c r="A122" s="5">
        <v>119</v>
      </c>
      <c r="B122" s="5">
        <v>1000</v>
      </c>
      <c r="C122" s="5">
        <v>15</v>
      </c>
      <c r="D122" s="5">
        <v>1061</v>
      </c>
      <c r="E122" s="9">
        <v>10</v>
      </c>
      <c r="F122" s="5">
        <v>300</v>
      </c>
    </row>
    <row r="123" spans="1:6">
      <c r="A123" s="5">
        <v>120</v>
      </c>
      <c r="B123" s="5">
        <v>1000</v>
      </c>
      <c r="C123" s="5">
        <v>15</v>
      </c>
      <c r="D123" s="5">
        <v>1062</v>
      </c>
      <c r="E123" s="9">
        <v>10</v>
      </c>
      <c r="F123" s="5">
        <v>300</v>
      </c>
    </row>
    <row r="124" spans="1:6">
      <c r="A124" s="5">
        <v>121</v>
      </c>
      <c r="B124" s="5">
        <v>1000</v>
      </c>
      <c r="C124" s="5">
        <v>15</v>
      </c>
      <c r="D124" s="5">
        <v>1063</v>
      </c>
      <c r="E124" s="9">
        <v>10</v>
      </c>
      <c r="F124" s="5">
        <v>300</v>
      </c>
    </row>
    <row r="125" spans="1:6">
      <c r="A125" s="5">
        <v>122</v>
      </c>
      <c r="B125" s="5">
        <v>1000</v>
      </c>
      <c r="C125" s="5">
        <v>15</v>
      </c>
      <c r="D125" s="5">
        <v>1064</v>
      </c>
      <c r="E125" s="9">
        <v>10</v>
      </c>
      <c r="F125" s="5">
        <v>300</v>
      </c>
    </row>
    <row r="126" spans="1:6">
      <c r="A126" s="5">
        <v>123</v>
      </c>
      <c r="B126" s="5">
        <v>1000</v>
      </c>
      <c r="C126" s="5">
        <v>15</v>
      </c>
      <c r="D126" s="5">
        <v>1065</v>
      </c>
      <c r="E126" s="9">
        <v>10</v>
      </c>
      <c r="F126" s="5">
        <v>300</v>
      </c>
    </row>
    <row r="127" spans="1:6">
      <c r="A127" s="5">
        <v>124</v>
      </c>
      <c r="B127" s="5">
        <v>1000</v>
      </c>
      <c r="C127" s="5">
        <v>15</v>
      </c>
      <c r="D127" s="5">
        <v>1066</v>
      </c>
      <c r="E127" s="9">
        <v>10</v>
      </c>
      <c r="F127" s="5">
        <v>300</v>
      </c>
    </row>
    <row r="128" spans="1:6">
      <c r="A128" s="5">
        <v>125</v>
      </c>
      <c r="B128" s="5">
        <v>1000</v>
      </c>
      <c r="C128" s="5">
        <v>15</v>
      </c>
      <c r="D128" s="5">
        <v>1066</v>
      </c>
      <c r="E128" s="9">
        <v>10</v>
      </c>
      <c r="F128" s="5">
        <v>300</v>
      </c>
    </row>
    <row r="129" spans="1:6">
      <c r="A129" s="5">
        <v>126</v>
      </c>
      <c r="B129" s="5">
        <v>1000</v>
      </c>
      <c r="C129" s="5">
        <v>15</v>
      </c>
      <c r="D129" s="5">
        <v>1066</v>
      </c>
      <c r="E129" s="9">
        <v>10</v>
      </c>
      <c r="F129" s="5">
        <v>300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/>
  </sheetPr>
  <dimension ref="A1:G33"/>
  <sheetViews>
    <sheetView zoomScale="85" zoomScaleNormal="85" workbookViewId="0">
      <selection activeCell="D17" sqref="D17"/>
    </sheetView>
  </sheetViews>
  <sheetFormatPr defaultRowHeight="15"/>
  <cols>
    <col min="2" max="3" width="11.140625" customWidth="1"/>
    <col min="4" max="4" width="17.42578125" bestFit="1" customWidth="1"/>
    <col min="6" max="6" width="59.5703125" customWidth="1"/>
  </cols>
  <sheetData>
    <row r="1" spans="1:7">
      <c r="A1" s="14" t="s">
        <v>42</v>
      </c>
      <c r="B1" s="14" t="s">
        <v>289</v>
      </c>
      <c r="C1" s="14" t="s">
        <v>290</v>
      </c>
      <c r="D1" s="14" t="s">
        <v>291</v>
      </c>
      <c r="E1" s="14" t="s">
        <v>86</v>
      </c>
      <c r="F1" s="14" t="s">
        <v>47</v>
      </c>
      <c r="G1" s="14" t="s">
        <v>426</v>
      </c>
    </row>
    <row r="2" spans="1:7">
      <c r="A2" s="15" t="s">
        <v>1</v>
      </c>
      <c r="B2" s="15" t="s">
        <v>1</v>
      </c>
      <c r="C2" s="16" t="s">
        <v>10</v>
      </c>
      <c r="D2" s="16" t="s">
        <v>10</v>
      </c>
      <c r="E2" s="15" t="s">
        <v>1</v>
      </c>
      <c r="F2" s="17" t="s">
        <v>48</v>
      </c>
      <c r="G2" s="17" t="s">
        <v>48</v>
      </c>
    </row>
    <row r="3" spans="1:7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</row>
    <row r="4" spans="1:7">
      <c r="A4" s="37">
        <v>1001</v>
      </c>
      <c r="B4" s="5">
        <v>1</v>
      </c>
      <c r="C4" s="5">
        <v>5000</v>
      </c>
      <c r="D4" s="5">
        <v>1000</v>
      </c>
      <c r="E4" s="5">
        <v>8</v>
      </c>
      <c r="F4" t="str">
        <f>"Projectile/"&amp;A4&amp;"_"&amp;INDEX(Unitinfo!B:B,MATCH(A4,Unitinfo!A:A,0))&amp;"_Bullet.prefab"</f>
        <v>Projectile/1001_Indian_Archer_Bullet.prefab</v>
      </c>
      <c r="G4" t="str">
        <f>A4&amp;"_"&amp;INDEX(Unitinfo!B:B,MATCH(A4,Unitinfo!A:A,0))&amp;"_Bullet"</f>
        <v>1001_Indian_Archer_Bullet</v>
      </c>
    </row>
    <row r="5" spans="1:7">
      <c r="A5" s="37">
        <v>1012</v>
      </c>
      <c r="B5" s="5">
        <v>1</v>
      </c>
      <c r="C5" s="5">
        <v>5000</v>
      </c>
      <c r="D5" s="5">
        <v>1000</v>
      </c>
      <c r="E5" s="5">
        <v>8</v>
      </c>
      <c r="F5" t="str">
        <f>"Projectile/"&amp;A5&amp;"_"&amp;INDEX(Unitinfo!B:B,MATCH(A5,Unitinfo!A:A,0))&amp;"_Bullet.prefab"</f>
        <v>Projectile/1012_Indian_Horse_Archer_Bullet.prefab</v>
      </c>
      <c r="G5" t="str">
        <f>A5&amp;"_"&amp;INDEX(Unitinfo!B:B,MATCH(A5,Unitinfo!A:A,0))&amp;"_Bullet"</f>
        <v>1012_Indian_Horse_Archer_Bullet</v>
      </c>
    </row>
    <row r="6" spans="1:7">
      <c r="A6" s="37">
        <v>1013</v>
      </c>
      <c r="B6" s="5">
        <v>1</v>
      </c>
      <c r="C6" s="5">
        <v>5000</v>
      </c>
      <c r="D6" s="5">
        <v>1000</v>
      </c>
      <c r="E6" s="5">
        <v>7</v>
      </c>
      <c r="F6" t="str">
        <f>"Projectile/"&amp;A6&amp;"_"&amp;INDEX(Unitinfo!B:B,MATCH(A6,Unitinfo!A:A,0))&amp;"_Bullet.prefab"</f>
        <v>Projectile/1013_Chicken_Black_Bullet.prefab</v>
      </c>
      <c r="G6" t="str">
        <f>A6&amp;"_"&amp;INDEX(Unitinfo!B:B,MATCH(A6,Unitinfo!A:A,0))&amp;"_Bullet"</f>
        <v>1013_Chicken_Black_Bullet</v>
      </c>
    </row>
    <row r="7" spans="1:7">
      <c r="A7" s="37">
        <v>1014</v>
      </c>
      <c r="B7" s="5">
        <v>1</v>
      </c>
      <c r="C7" s="5">
        <v>5000</v>
      </c>
      <c r="D7" s="5">
        <v>1000</v>
      </c>
      <c r="E7" s="5">
        <v>7</v>
      </c>
      <c r="F7" t="str">
        <f>"Projectile/"&amp;A7&amp;"_"&amp;INDEX(Unitinfo!B:B,MATCH(A7,Unitinfo!A:A,0))&amp;"_Bullet.prefab"</f>
        <v>Projectile/1014_Chicken_White_Bullet.prefab</v>
      </c>
      <c r="G7" t="str">
        <f>A7&amp;"_"&amp;INDEX(Unitinfo!B:B,MATCH(A7,Unitinfo!A:A,0))&amp;"_Bullet"</f>
        <v>1014_Chicken_White_Bullet</v>
      </c>
    </row>
    <row r="8" spans="1:7">
      <c r="A8" s="37">
        <v>1016</v>
      </c>
      <c r="B8" s="5">
        <v>1</v>
      </c>
      <c r="C8" s="5">
        <v>5000</v>
      </c>
      <c r="D8" s="5">
        <v>1000</v>
      </c>
      <c r="E8" s="5">
        <v>6</v>
      </c>
      <c r="F8" t="str">
        <f>"Projectile/"&amp;A8&amp;"_"&amp;INDEX(Unitinfo!B:B,MATCH(A8,Unitinfo!A:A,0))&amp;"_Bullet.prefab"</f>
        <v>Projectile/1016_Indian_Egg_Bullet.prefab</v>
      </c>
      <c r="G8" t="str">
        <f>A8&amp;"_"&amp;INDEX(Unitinfo!B:B,MATCH(A8,Unitinfo!A:A,0))&amp;"_Bullet"</f>
        <v>1016_Indian_Egg_Bullet</v>
      </c>
    </row>
    <row r="9" spans="1:7">
      <c r="A9" s="37">
        <v>1051</v>
      </c>
      <c r="B9" s="5">
        <v>1</v>
      </c>
      <c r="C9" s="5">
        <v>5000</v>
      </c>
      <c r="D9" s="5">
        <v>1000</v>
      </c>
      <c r="E9" s="5">
        <v>8</v>
      </c>
      <c r="F9" t="s">
        <v>308</v>
      </c>
      <c r="G9" t="str">
        <f>A9&amp;"_"&amp;INDEX(Unitinfo!B:B,MATCH(A9,Unitinfo!A:A,0))&amp;"_Bullet"</f>
        <v>1051_Indian_Archer_2_Bullet</v>
      </c>
    </row>
    <row r="10" spans="1:7">
      <c r="A10" s="37">
        <v>1062</v>
      </c>
      <c r="B10" s="5">
        <v>1</v>
      </c>
      <c r="C10" s="5">
        <v>5000</v>
      </c>
      <c r="D10" s="5">
        <v>1000</v>
      </c>
      <c r="E10" s="5">
        <v>8</v>
      </c>
      <c r="F10" t="s">
        <v>309</v>
      </c>
      <c r="G10" t="str">
        <f>A10&amp;"_"&amp;INDEX(Unitinfo!B:B,MATCH(A10,Unitinfo!A:A,0))&amp;"_Bullet"</f>
        <v>1062_Indian_Horse_Archer_2_Bullet</v>
      </c>
    </row>
    <row r="11" spans="1:7">
      <c r="A11" s="37">
        <v>1063</v>
      </c>
      <c r="B11" s="5">
        <v>1</v>
      </c>
      <c r="C11" s="5">
        <v>5000</v>
      </c>
      <c r="D11" s="5">
        <v>1000</v>
      </c>
      <c r="E11" s="5">
        <v>7</v>
      </c>
      <c r="F11" t="s">
        <v>310</v>
      </c>
      <c r="G11" t="str">
        <f>A11&amp;"_"&amp;INDEX(Unitinfo!B:B,MATCH(A11,Unitinfo!A:A,0))&amp;"_Bullet"</f>
        <v>1063_Chicken_Black_2_Bullet</v>
      </c>
    </row>
    <row r="12" spans="1:7">
      <c r="A12" s="37">
        <v>1064</v>
      </c>
      <c r="B12" s="5">
        <v>1</v>
      </c>
      <c r="C12" s="5">
        <v>5000</v>
      </c>
      <c r="D12" s="5">
        <v>1000</v>
      </c>
      <c r="E12" s="5">
        <v>7</v>
      </c>
      <c r="F12" t="s">
        <v>311</v>
      </c>
      <c r="G12" t="str">
        <f>A12&amp;"_"&amp;INDEX(Unitinfo!B:B,MATCH(A12,Unitinfo!A:A,0))&amp;"_Bullet"</f>
        <v>1064_Chicken_White_2_Bullet</v>
      </c>
    </row>
    <row r="13" spans="1:7">
      <c r="A13" s="37">
        <v>1066</v>
      </c>
      <c r="B13" s="5">
        <v>1</v>
      </c>
      <c r="C13" s="5">
        <v>5000</v>
      </c>
      <c r="D13" s="5">
        <v>1000</v>
      </c>
      <c r="E13" s="5">
        <v>7</v>
      </c>
      <c r="F13" t="s">
        <v>312</v>
      </c>
      <c r="G13" t="str">
        <f>A13&amp;"_"&amp;INDEX(Unitinfo!B:B,MATCH(A13,Unitinfo!A:A,0))&amp;"_Bullet"</f>
        <v>1066_Indian_Egg_2_Bullet</v>
      </c>
    </row>
    <row r="14" spans="1:7">
      <c r="A14" s="125">
        <v>11002</v>
      </c>
      <c r="B14" s="5">
        <v>1</v>
      </c>
      <c r="C14" s="5">
        <v>5000</v>
      </c>
      <c r="D14" s="5">
        <v>1000</v>
      </c>
      <c r="E14" s="5">
        <v>6</v>
      </c>
      <c r="F14" t="str">
        <f>"Projectile/"&amp;A14&amp;"_"&amp;INDEX(Unitinfo!B:B,MATCH(A14,Unitinfo!A:A,0))&amp;"_Bullet.prefab"</f>
        <v>Projectile/11002_Indian_Catapult_Bullet.prefab</v>
      </c>
      <c r="G14" t="str">
        <f>A14&amp;"_"&amp;INDEX(Unitinfo!B:B,MATCH(A14,Unitinfo!A:A,0))&amp;"_Bullet"</f>
        <v>11002_Indian_Catapult_Bullet</v>
      </c>
    </row>
    <row r="15" spans="1:7">
      <c r="A15" s="125">
        <v>11004</v>
      </c>
      <c r="B15" s="5">
        <v>0</v>
      </c>
      <c r="C15" s="5">
        <v>5000</v>
      </c>
      <c r="D15" s="5">
        <v>100</v>
      </c>
      <c r="E15" s="5">
        <v>6</v>
      </c>
      <c r="F15" t="str">
        <f>"Projectile/"&amp;A15&amp;"_"&amp;INDEX(Unitinfo!B:B,MATCH(A15,Unitinfo!A:A,0))&amp;"_Bullet.prefab"</f>
        <v>Projectile/11004_Indian_Watchtower_Bullet.prefab</v>
      </c>
      <c r="G15" t="str">
        <f>A15&amp;"_"&amp;INDEX(Unitinfo!B:B,MATCH(A15,Unitinfo!A:A,0))&amp;"_Bullet"</f>
        <v>11004_Indian_Watchtower_Bullet</v>
      </c>
    </row>
    <row r="16" spans="1:7">
      <c r="A16" s="37">
        <v>2002</v>
      </c>
      <c r="B16" s="5">
        <v>0</v>
      </c>
      <c r="C16" s="5">
        <v>5000</v>
      </c>
      <c r="D16" s="5">
        <v>1000</v>
      </c>
      <c r="E16" s="5">
        <v>6</v>
      </c>
      <c r="F16" t="str">
        <f>"Projectile/"&amp;A16&amp;"_"&amp;INDEX(Unitinfo!B:B,MATCH(A16,Unitinfo!A:A,0))&amp;"_Bullet.prefab"</f>
        <v>Projectile/2002_Slime_Archer_Bullet.prefab</v>
      </c>
      <c r="G16" t="str">
        <f>A16&amp;"_"&amp;INDEX(Unitinfo!B:B,MATCH(A16,Unitinfo!A:A,0))&amp;"_Bullet"</f>
        <v>2002_Slime_Archer_Bullet</v>
      </c>
    </row>
    <row r="17" spans="1:7">
      <c r="A17" s="37">
        <v>2004</v>
      </c>
      <c r="B17" s="5">
        <v>0</v>
      </c>
      <c r="C17" s="5">
        <v>5000</v>
      </c>
      <c r="D17" s="5">
        <v>1000</v>
      </c>
      <c r="E17" s="5">
        <v>6</v>
      </c>
      <c r="F17" t="str">
        <f>"Projectile/"&amp;A17&amp;"_"&amp;INDEX(Unitinfo!B:B,MATCH(A17,Unitinfo!A:A,0))&amp;"_Bullet.prefab"</f>
        <v>Projectile/2004_Skeleton_Archer_Bullet.prefab</v>
      </c>
      <c r="G17" t="str">
        <f>A17&amp;"_"&amp;INDEX(Unitinfo!B:B,MATCH(A17,Unitinfo!A:A,0))&amp;"_Bullet"</f>
        <v>2004_Skeleton_Archer_Bullet</v>
      </c>
    </row>
    <row r="18" spans="1:7">
      <c r="A18" s="37">
        <v>2005</v>
      </c>
      <c r="B18" s="5">
        <v>0</v>
      </c>
      <c r="C18" s="5">
        <v>5000</v>
      </c>
      <c r="D18" s="5">
        <v>1000</v>
      </c>
      <c r="E18" s="5">
        <v>6</v>
      </c>
      <c r="F18" t="str">
        <f>"Projectile/"&amp;A18&amp;"_"&amp;INDEX(Unitinfo!B:B,MATCH(A18,Unitinfo!A:A,0))&amp;"_Bullet.prefab"</f>
        <v>Projectile/2005_Skeleton_Witch_Bullet.prefab</v>
      </c>
      <c r="G18" t="str">
        <f>A18&amp;"_"&amp;INDEX(Unitinfo!B:B,MATCH(A18,Unitinfo!A:A,0))&amp;"_Bullet"</f>
        <v>2005_Skeleton_Witch_Bullet</v>
      </c>
    </row>
    <row r="19" spans="1:7">
      <c r="A19" s="37">
        <v>2009</v>
      </c>
      <c r="B19" s="5">
        <v>0</v>
      </c>
      <c r="C19" s="5">
        <v>5000</v>
      </c>
      <c r="D19" s="5">
        <v>1000</v>
      </c>
      <c r="E19" s="5">
        <v>6</v>
      </c>
      <c r="F19" t="str">
        <f>"Projectile/"&amp;A19&amp;"_"&amp;INDEX(Unitinfo!B:B,MATCH(A19,Unitinfo!A:A,0))&amp;"_Bullet.prefab"</f>
        <v>Projectile/2009_Witch_Fire_Bullet.prefab</v>
      </c>
      <c r="G19" t="str">
        <f>A19&amp;"_"&amp;INDEX(Unitinfo!B:B,MATCH(A19,Unitinfo!A:A,0))&amp;"_Bullet"</f>
        <v>2009_Witch_Fire_Bullet</v>
      </c>
    </row>
    <row r="20" spans="1:7">
      <c r="A20" s="37">
        <v>2010</v>
      </c>
      <c r="B20" s="5">
        <v>0</v>
      </c>
      <c r="C20" s="5">
        <v>5000</v>
      </c>
      <c r="D20" s="5">
        <v>1000</v>
      </c>
      <c r="E20" s="5">
        <v>6</v>
      </c>
      <c r="F20" t="str">
        <f>"Projectile/"&amp;A20&amp;"_"&amp;INDEX(Unitinfo!B:B,MATCH(A20,Unitinfo!A:A,0))&amp;"_Bullet.prefab"</f>
        <v>Projectile/2010_Witch_Thunder_Bullet.prefab</v>
      </c>
      <c r="G20" t="str">
        <f>A20&amp;"_"&amp;INDEX(Unitinfo!B:B,MATCH(A20,Unitinfo!A:A,0))&amp;"_Bullet"</f>
        <v>2010_Witch_Thunder_Bullet</v>
      </c>
    </row>
    <row r="21" spans="1:7">
      <c r="A21" s="37">
        <v>2011</v>
      </c>
      <c r="B21" s="5">
        <v>0</v>
      </c>
      <c r="C21" s="5">
        <v>5000</v>
      </c>
      <c r="D21" s="5">
        <v>1000</v>
      </c>
      <c r="E21" s="5">
        <v>6</v>
      </c>
      <c r="F21" t="str">
        <f>"Projectile/"&amp;A21&amp;"_"&amp;INDEX(Unitinfo!B:B,MATCH(A21,Unitinfo!A:A,0))&amp;"_Bullet.prefab"</f>
        <v>Projectile/2011_Witch_Poison_Bullet.prefab</v>
      </c>
      <c r="G21" t="str">
        <f>A21&amp;"_"&amp;INDEX(Unitinfo!B:B,MATCH(A21,Unitinfo!A:A,0))&amp;"_Bullet"</f>
        <v>2011_Witch_Poison_Bullet</v>
      </c>
    </row>
    <row r="22" spans="1:7">
      <c r="A22" s="37">
        <v>2012</v>
      </c>
      <c r="B22" s="5">
        <v>0</v>
      </c>
      <c r="C22" s="5">
        <v>5000</v>
      </c>
      <c r="D22" s="5">
        <v>1000</v>
      </c>
      <c r="E22" s="5">
        <v>6</v>
      </c>
      <c r="F22" t="str">
        <f>"Projectile/"&amp;A22&amp;"_"&amp;INDEX(Unitinfo!B:B,MATCH(A22,Unitinfo!A:A,0))&amp;"_Bullet.prefab"</f>
        <v>Projectile/2012_Goblin_Stone_Bullet.prefab</v>
      </c>
      <c r="G22" t="str">
        <f>A22&amp;"_"&amp;INDEX(Unitinfo!B:B,MATCH(A22,Unitinfo!A:A,0))&amp;"_Bullet"</f>
        <v>2012_Goblin_Stone_Bullet</v>
      </c>
    </row>
    <row r="23" spans="1:7">
      <c r="A23" s="37">
        <v>2015</v>
      </c>
      <c r="B23" s="5">
        <v>0</v>
      </c>
      <c r="C23" s="5">
        <v>5000</v>
      </c>
      <c r="D23" s="5">
        <v>1000</v>
      </c>
      <c r="E23" s="5">
        <v>6</v>
      </c>
      <c r="F23" t="str">
        <f>"Projectile/"&amp;A23&amp;"_"&amp;INDEX(Unitinfo!B:B,MATCH(A23,Unitinfo!A:A,0))&amp;"_Bullet.prefab"</f>
        <v>Projectile/2015_Orc_Stone_Bullet.prefab</v>
      </c>
      <c r="G23" t="str">
        <f>A23&amp;"_"&amp;INDEX(Unitinfo!B:B,MATCH(A23,Unitinfo!A:A,0))&amp;"_Bullet"</f>
        <v>2015_Orc_Stone_Bullet</v>
      </c>
    </row>
    <row r="24" spans="1:7">
      <c r="A24" s="37">
        <v>2018</v>
      </c>
      <c r="B24" s="5">
        <v>0</v>
      </c>
      <c r="C24" s="5">
        <v>5000</v>
      </c>
      <c r="D24" s="5">
        <v>1000</v>
      </c>
      <c r="E24" s="5">
        <v>6</v>
      </c>
      <c r="F24" t="str">
        <f>"Projectile/"&amp;A24&amp;"_"&amp;INDEX(Unitinfo!B:B,MATCH(A24,Unitinfo!A:A,0))&amp;"_Bullet.prefab"</f>
        <v>Projectile/2018_Dragon_Fire_Bullet.prefab</v>
      </c>
      <c r="G24" t="str">
        <f>A24&amp;"_"&amp;INDEX(Unitinfo!B:B,MATCH(A24,Unitinfo!A:A,0))&amp;"_Bullet"</f>
        <v>2018_Dragon_Fire_Bullet</v>
      </c>
    </row>
    <row r="25" spans="1:7">
      <c r="A25" s="37">
        <v>2021</v>
      </c>
      <c r="B25" s="5">
        <v>0</v>
      </c>
      <c r="C25" s="5">
        <v>5000</v>
      </c>
      <c r="D25" s="5">
        <v>1000</v>
      </c>
      <c r="E25" s="5">
        <v>6</v>
      </c>
      <c r="F25" t="str">
        <f>"Projectile/"&amp;A25&amp;"_"&amp;INDEX(Unitinfo!B:B,MATCH(A25,Unitinfo!A:A,0))&amp;"_Bullet.prefab"</f>
        <v>Projectile/2021_Slime_Archer_Red_Bullet.prefab</v>
      </c>
      <c r="G25" t="str">
        <f>A25&amp;"_"&amp;INDEX(Unitinfo!B:B,MATCH(A25,Unitinfo!A:A,0))&amp;"_Bullet"</f>
        <v>2021_Slime_Archer_Red_Bullet</v>
      </c>
    </row>
    <row r="26" spans="1:7">
      <c r="A26" s="37">
        <v>2022</v>
      </c>
      <c r="B26" s="5">
        <v>0</v>
      </c>
      <c r="C26" s="5">
        <v>5000</v>
      </c>
      <c r="D26" s="5">
        <v>1000</v>
      </c>
      <c r="E26" s="5">
        <v>6</v>
      </c>
      <c r="F26" t="str">
        <f>"Projectile/"&amp;A26&amp;"_"&amp;INDEX(Unitinfo!B:B,MATCH(A26,Unitinfo!A:A,0))&amp;"_Bullet.prefab"</f>
        <v>Projectile/2022_Slime_Archer_Yellow_Bullet.prefab</v>
      </c>
      <c r="G26" t="str">
        <f>A26&amp;"_"&amp;INDEX(Unitinfo!B:B,MATCH(A26,Unitinfo!A:A,0))&amp;"_Bullet"</f>
        <v>2022_Slime_Archer_Yellow_Bullet</v>
      </c>
    </row>
    <row r="27" spans="1:7">
      <c r="A27" s="37">
        <v>2024</v>
      </c>
      <c r="B27" s="5">
        <v>0</v>
      </c>
      <c r="C27" s="5">
        <v>5000</v>
      </c>
      <c r="D27" s="5">
        <v>1000</v>
      </c>
      <c r="E27" s="5">
        <v>6</v>
      </c>
      <c r="F27" t="str">
        <f>"Projectile/"&amp;A27&amp;"_"&amp;INDEX(Unitinfo!B:B,MATCH(A27,Unitinfo!A:A,0))&amp;"_Bullet.prefab"</f>
        <v>Projectile/2024_Soul_Skeleton_Archer_Bullet.prefab</v>
      </c>
      <c r="G27" t="str">
        <f>A27&amp;"_"&amp;INDEX(Unitinfo!B:B,MATCH(A27,Unitinfo!A:A,0))&amp;"_Bullet"</f>
        <v>2024_Soul_Skeleton_Archer_Bullet</v>
      </c>
    </row>
    <row r="28" spans="1:7">
      <c r="A28" s="37">
        <v>2025</v>
      </c>
      <c r="B28" s="5">
        <v>0</v>
      </c>
      <c r="C28" s="5">
        <v>5000</v>
      </c>
      <c r="D28" s="5">
        <v>1000</v>
      </c>
      <c r="E28" s="5">
        <v>6</v>
      </c>
      <c r="F28" t="str">
        <f>"Projectile/"&amp;A28&amp;"_"&amp;INDEX(Unitinfo!B:B,MATCH(A28,Unitinfo!A:A,0))&amp;"_Bullet.prefab"</f>
        <v>Projectile/2025_Soul_Skeleton_Witch_Bullet.prefab</v>
      </c>
      <c r="G28" t="str">
        <f>A28&amp;"_"&amp;INDEX(Unitinfo!B:B,MATCH(A28,Unitinfo!A:A,0))&amp;"_Bullet"</f>
        <v>2025_Soul_Skeleton_Witch_Bullet</v>
      </c>
    </row>
    <row r="29" spans="1:7">
      <c r="A29" s="37">
        <v>2026</v>
      </c>
      <c r="B29" s="5">
        <v>0</v>
      </c>
      <c r="C29" s="5">
        <v>5000</v>
      </c>
      <c r="D29" s="5">
        <v>1000</v>
      </c>
      <c r="E29" s="5">
        <v>6</v>
      </c>
      <c r="F29" t="str">
        <f>"Projectile/"&amp;A29&amp;"_"&amp;INDEX(Unitinfo!B:B,MATCH(A29,Unitinfo!A:A,0))&amp;"_Bullet.prefab"</f>
        <v>Projectile/2026_Golem_Stone_Bullet.prefab</v>
      </c>
      <c r="G29" t="str">
        <f>A29&amp;"_"&amp;INDEX(Unitinfo!B:B,MATCH(A29,Unitinfo!A:A,0))&amp;"_Bullet"</f>
        <v>2026_Golem_Stone_Bullet</v>
      </c>
    </row>
    <row r="30" spans="1:7">
      <c r="A30" s="37">
        <v>2027</v>
      </c>
      <c r="B30" s="5">
        <v>0</v>
      </c>
      <c r="C30" s="5">
        <v>5000</v>
      </c>
      <c r="D30" s="5">
        <v>1000</v>
      </c>
      <c r="E30" s="5">
        <v>6</v>
      </c>
      <c r="F30" t="str">
        <f>"Projectile/"&amp;A30&amp;"_"&amp;INDEX(Unitinfo!B:B,MATCH(A30,Unitinfo!A:A,0))&amp;"_Bullet.prefab"</f>
        <v>Projectile/2027_Golem_Fire_Bullet.prefab</v>
      </c>
      <c r="G30" t="str">
        <f>A30&amp;"_"&amp;INDEX(Unitinfo!B:B,MATCH(A30,Unitinfo!A:A,0))&amp;"_Bullet"</f>
        <v>2027_Golem_Fire_Bullet</v>
      </c>
    </row>
    <row r="31" spans="1:7">
      <c r="A31" s="37">
        <v>2028</v>
      </c>
      <c r="B31" s="5">
        <v>0</v>
      </c>
      <c r="C31" s="5">
        <v>5000</v>
      </c>
      <c r="D31" s="5">
        <v>1000</v>
      </c>
      <c r="E31" s="5">
        <v>6</v>
      </c>
      <c r="F31" t="str">
        <f>"Projectile/"&amp;A31&amp;"_"&amp;INDEX(Unitinfo!B:B,MATCH(A31,Unitinfo!A:A,0))&amp;"_Bullet.prefab"</f>
        <v>Projectile/2028_Golem_Ice_Bullet.prefab</v>
      </c>
      <c r="G31" t="str">
        <f>A31&amp;"_"&amp;INDEX(Unitinfo!B:B,MATCH(A31,Unitinfo!A:A,0))&amp;"_Bullet"</f>
        <v>2028_Golem_Ice_Bullet</v>
      </c>
    </row>
    <row r="32" spans="1:7">
      <c r="A32" s="37">
        <v>2030</v>
      </c>
      <c r="B32" s="5">
        <v>0</v>
      </c>
      <c r="C32" s="5">
        <v>5000</v>
      </c>
      <c r="D32" s="5">
        <v>1000</v>
      </c>
      <c r="E32" s="5">
        <v>6</v>
      </c>
      <c r="F32" t="str">
        <f>"Projectile/"&amp;A32&amp;"_"&amp;INDEX(Unitinfo!B:B,MATCH(A32,Unitinfo!A:A,0))&amp;"_Bullet.prefab"</f>
        <v>Projectile/2030_Armor_Skeleton_Archer_Bullet.prefab</v>
      </c>
      <c r="G32" t="str">
        <f>A32&amp;"_"&amp;INDEX(Unitinfo!B:B,MATCH(A32,Unitinfo!A:A,0))&amp;"_Bullet"</f>
        <v>2030_Armor_Skeleton_Archer_Bullet</v>
      </c>
    </row>
    <row r="33" spans="1:7">
      <c r="A33" s="37">
        <v>2031</v>
      </c>
      <c r="B33" s="5">
        <v>0</v>
      </c>
      <c r="C33" s="5">
        <v>5000</v>
      </c>
      <c r="D33" s="5">
        <v>1000</v>
      </c>
      <c r="E33" s="5">
        <v>6</v>
      </c>
      <c r="F33" t="str">
        <f>"Projectile/"&amp;A33&amp;"_"&amp;INDEX(Unitinfo!B:B,MATCH(A33,Unitinfo!A:A,0))&amp;"_Bullet.prefab"</f>
        <v>Projectile/2031_Armor_Skeleton_Witch_Bullet.prefab</v>
      </c>
      <c r="G33" t="str">
        <f>A33&amp;"_"&amp;INDEX(Unitinfo!B:B,MATCH(A33,Unitinfo!A:A,0))&amp;"_Bullet"</f>
        <v>2031_Armor_Skeleton_Witch_Bullet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7"/>
  </sheetPr>
  <dimension ref="A1:M82"/>
  <sheetViews>
    <sheetView tabSelected="1" topLeftCell="A34" zoomScale="115" zoomScaleNormal="115" workbookViewId="0">
      <selection activeCell="G45" sqref="G45"/>
    </sheetView>
  </sheetViews>
  <sheetFormatPr defaultColWidth="8.85546875" defaultRowHeight="13.5"/>
  <cols>
    <col min="1" max="1" width="12" style="35" customWidth="1"/>
    <col min="2" max="2" width="24.5703125" style="35" customWidth="1"/>
    <col min="3" max="3" width="24.7109375" style="35" customWidth="1"/>
    <col min="4" max="4" width="9.85546875" style="35" customWidth="1"/>
    <col min="5" max="5" width="13.28515625" style="35" customWidth="1"/>
    <col min="6" max="6" width="11.5703125" style="35" customWidth="1"/>
    <col min="7" max="7" width="12.7109375" style="35" customWidth="1"/>
    <col min="8" max="8" width="12.42578125" style="35" customWidth="1"/>
    <col min="9" max="9" width="12.28515625" style="35" customWidth="1"/>
    <col min="10" max="10" width="15.5703125" style="35" customWidth="1"/>
    <col min="11" max="11" width="25.5703125" style="35" customWidth="1"/>
    <col min="12" max="12" width="59.5703125" style="35" customWidth="1"/>
    <col min="13" max="13" width="50.42578125" style="35" customWidth="1"/>
    <col min="14" max="16384" width="8.85546875" style="35"/>
  </cols>
  <sheetData>
    <row r="1" spans="1:13" s="32" customFormat="1">
      <c r="A1" s="31" t="s">
        <v>42</v>
      </c>
      <c r="B1" s="31" t="s">
        <v>155</v>
      </c>
      <c r="C1" s="96" t="s">
        <v>157</v>
      </c>
      <c r="D1" s="96" t="s">
        <v>55</v>
      </c>
      <c r="E1" s="31" t="s">
        <v>43</v>
      </c>
      <c r="F1" s="31" t="s">
        <v>44</v>
      </c>
      <c r="G1" s="96" t="s">
        <v>45</v>
      </c>
      <c r="H1" s="96" t="s">
        <v>49</v>
      </c>
      <c r="I1" s="96" t="s">
        <v>79</v>
      </c>
      <c r="J1" s="31" t="s">
        <v>80</v>
      </c>
      <c r="K1" s="31" t="s">
        <v>46</v>
      </c>
      <c r="L1" s="31" t="s">
        <v>47</v>
      </c>
      <c r="M1" s="31" t="s">
        <v>209</v>
      </c>
    </row>
    <row r="2" spans="1:13">
      <c r="A2" s="33" t="s">
        <v>1</v>
      </c>
      <c r="B2" s="33" t="s">
        <v>159</v>
      </c>
      <c r="C2" s="33" t="s">
        <v>158</v>
      </c>
      <c r="D2" s="33" t="s">
        <v>55</v>
      </c>
      <c r="E2" s="34" t="s">
        <v>70</v>
      </c>
      <c r="F2" s="34" t="s">
        <v>70</v>
      </c>
      <c r="G2" s="34" t="s">
        <v>70</v>
      </c>
      <c r="H2" s="34" t="s">
        <v>70</v>
      </c>
      <c r="I2" s="34" t="s">
        <v>197</v>
      </c>
      <c r="J2" s="34" t="s">
        <v>81</v>
      </c>
      <c r="K2" s="34" t="s">
        <v>48</v>
      </c>
      <c r="L2" s="34" t="s">
        <v>48</v>
      </c>
      <c r="M2" s="34" t="s">
        <v>3</v>
      </c>
    </row>
    <row r="3" spans="1:13">
      <c r="A3" s="36" t="s">
        <v>2</v>
      </c>
      <c r="B3" s="36" t="s">
        <v>156</v>
      </c>
      <c r="C3" s="36" t="s">
        <v>156</v>
      </c>
      <c r="D3" s="36" t="s">
        <v>2</v>
      </c>
      <c r="E3" s="36" t="s">
        <v>2</v>
      </c>
      <c r="F3" s="36" t="s">
        <v>2</v>
      </c>
      <c r="G3" s="36" t="s">
        <v>2</v>
      </c>
      <c r="H3" s="36" t="s">
        <v>2</v>
      </c>
      <c r="I3" s="36" t="s">
        <v>78</v>
      </c>
      <c r="J3" s="36" t="s">
        <v>82</v>
      </c>
      <c r="K3" s="36" t="s">
        <v>2</v>
      </c>
      <c r="L3" s="36" t="s">
        <v>2</v>
      </c>
      <c r="M3" s="36" t="s">
        <v>2</v>
      </c>
    </row>
    <row r="4" spans="1:13">
      <c r="A4" s="37">
        <v>1001</v>
      </c>
      <c r="B4" s="38" t="str">
        <f>INDEX(ref_Unit_Balance!$C$31:$C$1048576,MATCH(A4,ref_Unit_Balance!$B$31:$B$1048576,0))</f>
        <v>Indian_Archer</v>
      </c>
      <c r="C4" s="38" t="str">
        <f>IF(D4=1,"(원거리)","(근거리)")&amp;B4</f>
        <v>(원거리)Indian_Archer</v>
      </c>
      <c r="D4" s="37">
        <f>INDEX(ref_Unit_Balance!$J$31:$J$1048576,MATCH(Unitinfo!A4,ref_Unit_Balance!$B$31:$B$1048576,0))</f>
        <v>1</v>
      </c>
      <c r="E4" s="37">
        <v>50</v>
      </c>
      <c r="F4" s="37">
        <v>1</v>
      </c>
      <c r="G4" s="37">
        <v>1</v>
      </c>
      <c r="H4" s="37">
        <v>20</v>
      </c>
      <c r="I4" s="37">
        <f>IFERROR(INDEX(ref_Unit_Balance!$D$31:$D$1048576,MATCH(Unitinfo!A4,ref_Unit_Balance!$B$31:$B$1048576,0))-1,0)</f>
        <v>0</v>
      </c>
      <c r="J4" s="37" t="str">
        <f>"name_"&amp;A4</f>
        <v>name_1001</v>
      </c>
      <c r="K4" s="37" t="str">
        <f>"unit_icon_"&amp;A4</f>
        <v>unit_icon_1001</v>
      </c>
      <c r="L4" s="43" t="str">
        <f>IF(A4&lt;1999,"Unit/Enemy/Chapter_1/"&amp;A4&amp;"_"&amp;B4&amp;".prefab",IF(A4&lt;2999,"Unit/Hero/"&amp;A4&amp;"_"&amp;B4&amp;".prefab","Unit/Enemy/Chapter_1_Object/"&amp;A4&amp;"_"&amp;B4&amp;".prefab"))</f>
        <v>Unit/Enemy/Chapter_1/1001_Indian_Archer.prefab</v>
      </c>
      <c r="M4" s="35" t="s">
        <v>210</v>
      </c>
    </row>
    <row r="5" spans="1:13">
      <c r="A5" s="37">
        <v>1002</v>
      </c>
      <c r="B5" s="38" t="str">
        <f>INDEX(ref_Unit_Balance!$C$31:$C$1048576,MATCH(A5,ref_Unit_Balance!$B$31:$B$1048576,0))</f>
        <v>Indian_Shield</v>
      </c>
      <c r="C5" s="38" t="str">
        <f t="shared" ref="C5:C43" si="0">IF(D5=1,"(원거리)","(근거리)")&amp;B5</f>
        <v>(근거리)Indian_Shield</v>
      </c>
      <c r="D5" s="37">
        <f>INDEX(ref_Unit_Balance!$J$31:$J$1048576,MATCH(Unitinfo!A5,ref_Unit_Balance!$B$31:$B$1048576,0))</f>
        <v>0</v>
      </c>
      <c r="E5" s="37">
        <v>50</v>
      </c>
      <c r="F5" s="37">
        <v>1</v>
      </c>
      <c r="G5" s="37">
        <v>1</v>
      </c>
      <c r="H5" s="37">
        <v>20</v>
      </c>
      <c r="I5" s="37">
        <f>IFERROR(INDEX(ref_Unit_Balance!$D$31:$D$1048576,MATCH(Unitinfo!A5,ref_Unit_Balance!$B$31:$B$1048576,0))-1,0)</f>
        <v>0</v>
      </c>
      <c r="J5" s="37" t="str">
        <f t="shared" ref="J5:J12" si="1">"name_"&amp;A5</f>
        <v>name_1002</v>
      </c>
      <c r="K5" s="37" t="str">
        <f t="shared" ref="K5:K12" si="2">"unit_icon_"&amp;A5</f>
        <v>unit_icon_1002</v>
      </c>
      <c r="L5" s="43" t="str">
        <f t="shared" ref="L5:L43" si="3">IF(A5&lt;1999,"Unit/Enemy/Chapter_1/"&amp;A5&amp;"_"&amp;B5&amp;".prefab",IF(A5&lt;2999,"Unit/Hero/"&amp;A5&amp;"_"&amp;B5&amp;".prefab","Unit/Enemy/Chapter_1_Object/"&amp;A5&amp;"_"&amp;B5&amp;".prefab"))</f>
        <v>Unit/Enemy/Chapter_1/1002_Indian_Shield.prefab</v>
      </c>
      <c r="M5" s="35" t="s">
        <v>210</v>
      </c>
    </row>
    <row r="6" spans="1:13">
      <c r="A6" s="37">
        <v>1003</v>
      </c>
      <c r="B6" s="38" t="str">
        <f>INDEX(ref_Unit_Balance!$C$31:$C$1048576,MATCH(A6,ref_Unit_Balance!$B$31:$B$1048576,0))</f>
        <v>Indian_Spear</v>
      </c>
      <c r="C6" s="38" t="str">
        <f t="shared" si="0"/>
        <v>(근거리)Indian_Spear</v>
      </c>
      <c r="D6" s="37">
        <f>INDEX(ref_Unit_Balance!$J$31:$J$1048576,MATCH(Unitinfo!A6,ref_Unit_Balance!$B$31:$B$1048576,0))</f>
        <v>0</v>
      </c>
      <c r="E6" s="37">
        <v>50</v>
      </c>
      <c r="F6" s="37">
        <v>1</v>
      </c>
      <c r="G6" s="37">
        <v>1</v>
      </c>
      <c r="H6" s="37">
        <v>20</v>
      </c>
      <c r="I6" s="37">
        <f>IFERROR(INDEX(ref_Unit_Balance!$D$31:$D$1048576,MATCH(Unitinfo!A6,ref_Unit_Balance!$B$31:$B$1048576,0))-1,0)</f>
        <v>0</v>
      </c>
      <c r="J6" s="37" t="str">
        <f t="shared" si="1"/>
        <v>name_1003</v>
      </c>
      <c r="K6" s="37" t="str">
        <f t="shared" si="2"/>
        <v>unit_icon_1003</v>
      </c>
      <c r="L6" s="43" t="str">
        <f t="shared" si="3"/>
        <v>Unit/Enemy/Chapter_1/1003_Indian_Spear.prefab</v>
      </c>
      <c r="M6" s="35" t="s">
        <v>210</v>
      </c>
    </row>
    <row r="7" spans="1:13">
      <c r="A7" s="37">
        <v>1004</v>
      </c>
      <c r="B7" s="38" t="str">
        <f>INDEX(ref_Unit_Balance!$C$31:$C$1048576,MATCH(A7,ref_Unit_Balance!$B$31:$B$1048576,0))</f>
        <v>Indian_Sword</v>
      </c>
      <c r="C7" s="38" t="str">
        <f t="shared" si="0"/>
        <v>(근거리)Indian_Sword</v>
      </c>
      <c r="D7" s="37">
        <f>INDEX(ref_Unit_Balance!$J$31:$J$1048576,MATCH(Unitinfo!A7,ref_Unit_Balance!$B$31:$B$1048576,0))</f>
        <v>0</v>
      </c>
      <c r="E7" s="37">
        <v>50</v>
      </c>
      <c r="F7" s="37">
        <v>1</v>
      </c>
      <c r="G7" s="37">
        <v>1</v>
      </c>
      <c r="H7" s="37">
        <v>20</v>
      </c>
      <c r="I7" s="37">
        <f>IFERROR(INDEX(ref_Unit_Balance!$D$31:$D$1048576,MATCH(Unitinfo!A7,ref_Unit_Balance!$B$31:$B$1048576,0))-1,0)</f>
        <v>0</v>
      </c>
      <c r="J7" s="37" t="str">
        <f t="shared" si="1"/>
        <v>name_1004</v>
      </c>
      <c r="K7" s="37" t="str">
        <f t="shared" si="2"/>
        <v>unit_icon_1004</v>
      </c>
      <c r="L7" s="43" t="str">
        <f t="shared" si="3"/>
        <v>Unit/Enemy/Chapter_1/1004_Indian_Sword.prefab</v>
      </c>
      <c r="M7" s="35" t="s">
        <v>210</v>
      </c>
    </row>
    <row r="8" spans="1:13">
      <c r="A8" s="37">
        <v>1005</v>
      </c>
      <c r="B8" s="38" t="str">
        <f>INDEX(ref_Unit_Balance!$C$31:$C$1048576,MATCH(A8,ref_Unit_Balance!$B$31:$B$1048576,0))</f>
        <v>Indian_Mask</v>
      </c>
      <c r="C8" s="38" t="str">
        <f t="shared" si="0"/>
        <v>(근거리)Indian_Mask</v>
      </c>
      <c r="D8" s="37">
        <f>INDEX(ref_Unit_Balance!$J$31:$J$1048576,MATCH(Unitinfo!A8,ref_Unit_Balance!$B$31:$B$1048576,0))</f>
        <v>0</v>
      </c>
      <c r="E8" s="37">
        <v>50</v>
      </c>
      <c r="F8" s="37">
        <v>1</v>
      </c>
      <c r="G8" s="37">
        <v>1</v>
      </c>
      <c r="H8" s="37">
        <v>20</v>
      </c>
      <c r="I8" s="37">
        <f>IFERROR(INDEX(ref_Unit_Balance!$D$31:$D$1048576,MATCH(Unitinfo!A8,ref_Unit_Balance!$B$31:$B$1048576,0))-1,0)</f>
        <v>0</v>
      </c>
      <c r="J8" s="37" t="str">
        <f t="shared" si="1"/>
        <v>name_1005</v>
      </c>
      <c r="K8" s="37" t="str">
        <f t="shared" si="2"/>
        <v>unit_icon_1005</v>
      </c>
      <c r="L8" s="43" t="str">
        <f t="shared" si="3"/>
        <v>Unit/Enemy/Chapter_1/1005_Indian_Mask.prefab</v>
      </c>
      <c r="M8" s="35" t="s">
        <v>210</v>
      </c>
    </row>
    <row r="9" spans="1:13">
      <c r="A9" s="37">
        <v>1006</v>
      </c>
      <c r="B9" s="38" t="str">
        <f>INDEX(ref_Unit_Balance!$C$31:$C$1048576,MATCH(A9,ref_Unit_Balance!$B$31:$B$1048576,0))</f>
        <v>Indian_Bear</v>
      </c>
      <c r="C9" s="38" t="str">
        <f t="shared" si="0"/>
        <v>(근거리)Indian_Bear</v>
      </c>
      <c r="D9" s="37">
        <f>INDEX(ref_Unit_Balance!$J$31:$J$1048576,MATCH(Unitinfo!A9,ref_Unit_Balance!$B$31:$B$1048576,0))</f>
        <v>0</v>
      </c>
      <c r="E9" s="37">
        <v>50</v>
      </c>
      <c r="F9" s="37">
        <v>1</v>
      </c>
      <c r="G9" s="37">
        <v>1</v>
      </c>
      <c r="H9" s="37">
        <v>20</v>
      </c>
      <c r="I9" s="37">
        <f>IFERROR(INDEX(ref_Unit_Balance!$D$31:$D$1048576,MATCH(Unitinfo!A9,ref_Unit_Balance!$B$31:$B$1048576,0))-1,0)</f>
        <v>0</v>
      </c>
      <c r="J9" s="37" t="str">
        <f t="shared" si="1"/>
        <v>name_1006</v>
      </c>
      <c r="K9" s="37" t="str">
        <f t="shared" si="2"/>
        <v>unit_icon_1006</v>
      </c>
      <c r="L9" s="43" t="str">
        <f t="shared" si="3"/>
        <v>Unit/Enemy/Chapter_1/1006_Indian_Bear.prefab</v>
      </c>
      <c r="M9" s="35" t="s">
        <v>210</v>
      </c>
    </row>
    <row r="10" spans="1:13">
      <c r="A10" s="37">
        <v>1007</v>
      </c>
      <c r="B10" s="38" t="str">
        <f>INDEX(ref_Unit_Balance!$C$31:$C$1048576,MATCH(A10,ref_Unit_Balance!$B$31:$B$1048576,0))</f>
        <v>Bear</v>
      </c>
      <c r="C10" s="38" t="str">
        <f t="shared" si="0"/>
        <v>(근거리)Bear</v>
      </c>
      <c r="D10" s="37">
        <f>INDEX(ref_Unit_Balance!$J$31:$J$1048576,MATCH(Unitinfo!A10,ref_Unit_Balance!$B$31:$B$1048576,0))</f>
        <v>0</v>
      </c>
      <c r="E10" s="37">
        <v>50</v>
      </c>
      <c r="F10" s="37">
        <v>1</v>
      </c>
      <c r="G10" s="37">
        <v>1</v>
      </c>
      <c r="H10" s="37">
        <v>20</v>
      </c>
      <c r="I10" s="37">
        <f>IFERROR(INDEX(ref_Unit_Balance!$D$31:$D$1048576,MATCH(Unitinfo!A10,ref_Unit_Balance!$B$31:$B$1048576,0))-1,0)</f>
        <v>0</v>
      </c>
      <c r="J10" s="37" t="str">
        <f t="shared" si="1"/>
        <v>name_1007</v>
      </c>
      <c r="K10" s="37" t="str">
        <f t="shared" si="2"/>
        <v>unit_icon_1007</v>
      </c>
      <c r="L10" s="43" t="str">
        <f t="shared" si="3"/>
        <v>Unit/Enemy/Chapter_1/1007_Bear.prefab</v>
      </c>
      <c r="M10" s="35" t="s">
        <v>210</v>
      </c>
    </row>
    <row r="11" spans="1:13">
      <c r="A11" s="37">
        <v>1008</v>
      </c>
      <c r="B11" s="38" t="str">
        <f>INDEX(ref_Unit_Balance!$C$31:$C$1048576,MATCH(A11,ref_Unit_Balance!$B$31:$B$1048576,0))</f>
        <v>Indian_Master</v>
      </c>
      <c r="C11" s="38" t="str">
        <f t="shared" si="0"/>
        <v>(근거리)Indian_Master</v>
      </c>
      <c r="D11" s="37">
        <f>INDEX(ref_Unit_Balance!$J$31:$J$1048576,MATCH(Unitinfo!A11,ref_Unit_Balance!$B$31:$B$1048576,0))</f>
        <v>0</v>
      </c>
      <c r="E11" s="37">
        <v>50</v>
      </c>
      <c r="F11" s="37">
        <v>1</v>
      </c>
      <c r="G11" s="37">
        <v>1</v>
      </c>
      <c r="H11" s="37">
        <v>20</v>
      </c>
      <c r="I11" s="37">
        <f>IFERROR(INDEX(ref_Unit_Balance!$D$31:$D$1048576,MATCH(Unitinfo!A11,ref_Unit_Balance!$B$31:$B$1048576,0))-1,0)</f>
        <v>0</v>
      </c>
      <c r="J11" s="37" t="str">
        <f t="shared" si="1"/>
        <v>name_1008</v>
      </c>
      <c r="K11" s="37" t="str">
        <f t="shared" si="2"/>
        <v>unit_icon_1008</v>
      </c>
      <c r="L11" s="43" t="str">
        <f t="shared" si="3"/>
        <v>Unit/Enemy/Chapter_1/1008_Indian_Master.prefab</v>
      </c>
      <c r="M11" s="35" t="s">
        <v>210</v>
      </c>
    </row>
    <row r="12" spans="1:13">
      <c r="A12" s="37">
        <v>1009</v>
      </c>
      <c r="B12" s="38" t="str">
        <f>INDEX(ref_Unit_Balance!$C$31:$C$1048576,MATCH(A12,ref_Unit_Balance!$B$31:$B$1048576,0))</f>
        <v>Corgi</v>
      </c>
      <c r="C12" s="38" t="str">
        <f t="shared" si="0"/>
        <v>(근거리)Corgi</v>
      </c>
      <c r="D12" s="37">
        <f>INDEX(ref_Unit_Balance!$J$31:$J$1048576,MATCH(Unitinfo!A12,ref_Unit_Balance!$B$31:$B$1048576,0))</f>
        <v>0</v>
      </c>
      <c r="E12" s="37">
        <v>50</v>
      </c>
      <c r="F12" s="37">
        <v>1</v>
      </c>
      <c r="G12" s="37">
        <v>1</v>
      </c>
      <c r="H12" s="37">
        <v>20</v>
      </c>
      <c r="I12" s="37">
        <f>IFERROR(INDEX(ref_Unit_Balance!$D$31:$D$1048576,MATCH(Unitinfo!A12,ref_Unit_Balance!$B$31:$B$1048576,0))-1,0)</f>
        <v>0</v>
      </c>
      <c r="J12" s="37" t="str">
        <f t="shared" si="1"/>
        <v>name_1009</v>
      </c>
      <c r="K12" s="37" t="str">
        <f t="shared" si="2"/>
        <v>unit_icon_1009</v>
      </c>
      <c r="L12" s="43" t="str">
        <f t="shared" si="3"/>
        <v>Unit/Enemy/Chapter_1/1009_Corgi.prefab</v>
      </c>
      <c r="M12" s="35" t="s">
        <v>210</v>
      </c>
    </row>
    <row r="13" spans="1:13">
      <c r="A13" s="37">
        <v>1010</v>
      </c>
      <c r="B13" s="38" t="str">
        <f>INDEX(ref_Unit_Balance!$C$31:$C$1048576,MATCH(A13,ref_Unit_Balance!$B$31:$B$1048576,0))</f>
        <v>Indian_Horse_Sword</v>
      </c>
      <c r="C13" s="38" t="str">
        <f t="shared" si="0"/>
        <v>(근거리)Indian_Horse_Sword</v>
      </c>
      <c r="D13" s="37">
        <f>INDEX(ref_Unit_Balance!$J$31:$J$1048576,MATCH(Unitinfo!A13,ref_Unit_Balance!$B$31:$B$1048576,0))</f>
        <v>0</v>
      </c>
      <c r="E13" s="37">
        <v>50</v>
      </c>
      <c r="F13" s="37">
        <v>1</v>
      </c>
      <c r="G13" s="37">
        <v>1</v>
      </c>
      <c r="H13" s="37">
        <v>20</v>
      </c>
      <c r="I13" s="37">
        <f>IFERROR(INDEX(ref_Unit_Balance!$D$31:$D$1048576,MATCH(Unitinfo!A13,ref_Unit_Balance!$B$31:$B$1048576,0))-1,0)</f>
        <v>1</v>
      </c>
      <c r="J13" s="37" t="str">
        <f t="shared" ref="J13:J19" si="4">"name_"&amp;A13</f>
        <v>name_1010</v>
      </c>
      <c r="K13" s="37" t="str">
        <f t="shared" ref="K13:K19" si="5">"unit_icon_"&amp;A13</f>
        <v>unit_icon_1010</v>
      </c>
      <c r="L13" s="43" t="str">
        <f t="shared" si="3"/>
        <v>Unit/Enemy/Chapter_1/1010_Indian_Horse_Sword.prefab</v>
      </c>
      <c r="M13" s="35" t="s">
        <v>210</v>
      </c>
    </row>
    <row r="14" spans="1:13">
      <c r="A14" s="37">
        <v>1011</v>
      </c>
      <c r="B14" s="38" t="str">
        <f>INDEX(ref_Unit_Balance!$C$31:$C$1048576,MATCH(A14,ref_Unit_Balance!$B$31:$B$1048576,0))</f>
        <v>Indian_Horse_Spear</v>
      </c>
      <c r="C14" s="38" t="str">
        <f t="shared" si="0"/>
        <v>(근거리)Indian_Horse_Spear</v>
      </c>
      <c r="D14" s="37">
        <f>INDEX(ref_Unit_Balance!$J$31:$J$1048576,MATCH(Unitinfo!A14,ref_Unit_Balance!$B$31:$B$1048576,0))</f>
        <v>0</v>
      </c>
      <c r="E14" s="37">
        <v>50</v>
      </c>
      <c r="F14" s="37">
        <v>1</v>
      </c>
      <c r="G14" s="37">
        <v>1</v>
      </c>
      <c r="H14" s="37">
        <v>20</v>
      </c>
      <c r="I14" s="37">
        <f>IFERROR(INDEX(ref_Unit_Balance!$D$31:$D$1048576,MATCH(Unitinfo!A14,ref_Unit_Balance!$B$31:$B$1048576,0))-1,0)</f>
        <v>1</v>
      </c>
      <c r="J14" s="37" t="str">
        <f t="shared" si="4"/>
        <v>name_1011</v>
      </c>
      <c r="K14" s="37" t="str">
        <f t="shared" si="5"/>
        <v>unit_icon_1011</v>
      </c>
      <c r="L14" s="43" t="str">
        <f t="shared" si="3"/>
        <v>Unit/Enemy/Chapter_1/1011_Indian_Horse_Spear.prefab</v>
      </c>
      <c r="M14" s="35" t="s">
        <v>210</v>
      </c>
    </row>
    <row r="15" spans="1:13">
      <c r="A15" s="37">
        <v>1012</v>
      </c>
      <c r="B15" s="38" t="str">
        <f>INDEX(ref_Unit_Balance!$C$31:$C$1048576,MATCH(A15,ref_Unit_Balance!$B$31:$B$1048576,0))</f>
        <v>Indian_Horse_Archer</v>
      </c>
      <c r="C15" s="38" t="str">
        <f t="shared" si="0"/>
        <v>(원거리)Indian_Horse_Archer</v>
      </c>
      <c r="D15" s="37">
        <f>INDEX(ref_Unit_Balance!$J$31:$J$1048576,MATCH(Unitinfo!A15,ref_Unit_Balance!$B$31:$B$1048576,0))</f>
        <v>1</v>
      </c>
      <c r="E15" s="37">
        <v>50</v>
      </c>
      <c r="F15" s="37">
        <v>1</v>
      </c>
      <c r="G15" s="37">
        <v>1</v>
      </c>
      <c r="H15" s="37">
        <v>20</v>
      </c>
      <c r="I15" s="37">
        <f>IFERROR(INDEX(ref_Unit_Balance!$D$31:$D$1048576,MATCH(Unitinfo!A15,ref_Unit_Balance!$B$31:$B$1048576,0))-1,0)</f>
        <v>1</v>
      </c>
      <c r="J15" s="37" t="str">
        <f t="shared" si="4"/>
        <v>name_1012</v>
      </c>
      <c r="K15" s="37" t="str">
        <f t="shared" si="5"/>
        <v>unit_icon_1012</v>
      </c>
      <c r="L15" s="43" t="str">
        <f t="shared" si="3"/>
        <v>Unit/Enemy/Chapter_1/1012_Indian_Horse_Archer.prefab</v>
      </c>
      <c r="M15" s="35" t="s">
        <v>210</v>
      </c>
    </row>
    <row r="16" spans="1:13">
      <c r="A16" s="37">
        <v>1013</v>
      </c>
      <c r="B16" s="38" t="str">
        <f>INDEX(ref_Unit_Balance!$C$31:$C$1048576,MATCH(A16,ref_Unit_Balance!$B$31:$B$1048576,0))</f>
        <v>Chicken_Black</v>
      </c>
      <c r="C16" s="38" t="str">
        <f t="shared" si="0"/>
        <v>(원거리)Chicken_Black</v>
      </c>
      <c r="D16" s="37">
        <f>INDEX(ref_Unit_Balance!$J$31:$J$1048576,MATCH(Unitinfo!A16,ref_Unit_Balance!$B$31:$B$1048576,0))</f>
        <v>1</v>
      </c>
      <c r="E16" s="37">
        <v>50</v>
      </c>
      <c r="F16" s="37">
        <v>1</v>
      </c>
      <c r="G16" s="37">
        <v>1</v>
      </c>
      <c r="H16" s="37">
        <v>20</v>
      </c>
      <c r="I16" s="37">
        <f>IFERROR(INDEX(ref_Unit_Balance!$D$31:$D$1048576,MATCH(Unitinfo!A16,ref_Unit_Balance!$B$31:$B$1048576,0))-1,0)</f>
        <v>1</v>
      </c>
      <c r="J16" s="37" t="str">
        <f t="shared" si="4"/>
        <v>name_1013</v>
      </c>
      <c r="K16" s="37" t="str">
        <f t="shared" si="5"/>
        <v>unit_icon_1013</v>
      </c>
      <c r="L16" s="43" t="str">
        <f t="shared" si="3"/>
        <v>Unit/Enemy/Chapter_1/1013_Chicken_Black.prefab</v>
      </c>
      <c r="M16" s="35" t="s">
        <v>210</v>
      </c>
    </row>
    <row r="17" spans="1:13">
      <c r="A17" s="37">
        <v>1014</v>
      </c>
      <c r="B17" s="38" t="str">
        <f>INDEX(ref_Unit_Balance!$C$31:$C$1048576,MATCH(A17,ref_Unit_Balance!$B$31:$B$1048576,0))</f>
        <v>Chicken_White</v>
      </c>
      <c r="C17" s="38" t="str">
        <f t="shared" si="0"/>
        <v>(원거리)Chicken_White</v>
      </c>
      <c r="D17" s="37">
        <f>INDEX(ref_Unit_Balance!$J$31:$J$1048576,MATCH(Unitinfo!A17,ref_Unit_Balance!$B$31:$B$1048576,0))</f>
        <v>1</v>
      </c>
      <c r="E17" s="37">
        <v>50</v>
      </c>
      <c r="F17" s="37">
        <v>1</v>
      </c>
      <c r="G17" s="37">
        <v>1</v>
      </c>
      <c r="H17" s="37">
        <v>20</v>
      </c>
      <c r="I17" s="37">
        <f>IFERROR(INDEX(ref_Unit_Balance!$D$31:$D$1048576,MATCH(Unitinfo!A17,ref_Unit_Balance!$B$31:$B$1048576,0))-1,0)</f>
        <v>1</v>
      </c>
      <c r="J17" s="37" t="str">
        <f t="shared" si="4"/>
        <v>name_1014</v>
      </c>
      <c r="K17" s="37" t="str">
        <f t="shared" si="5"/>
        <v>unit_icon_1014</v>
      </c>
      <c r="L17" s="43" t="str">
        <f t="shared" si="3"/>
        <v>Unit/Enemy/Chapter_1/1014_Chicken_White.prefab</v>
      </c>
      <c r="M17" s="35" t="s">
        <v>210</v>
      </c>
    </row>
    <row r="18" spans="1:13">
      <c r="A18" s="37">
        <v>1015</v>
      </c>
      <c r="B18" s="38" t="str">
        <f>INDEX(ref_Unit_Balance!$C$31:$C$1048576,MATCH(A18,ref_Unit_Balance!$B$31:$B$1048576,0))</f>
        <v>Indian_Elephant</v>
      </c>
      <c r="C18" s="38" t="str">
        <f t="shared" si="0"/>
        <v>(근거리)Indian_Elephant</v>
      </c>
      <c r="D18" s="37">
        <f>INDEX(ref_Unit_Balance!$J$31:$J$1048576,MATCH(Unitinfo!A18,ref_Unit_Balance!$B$31:$B$1048576,0))</f>
        <v>0</v>
      </c>
      <c r="E18" s="37">
        <v>50</v>
      </c>
      <c r="F18" s="37">
        <v>1</v>
      </c>
      <c r="G18" s="37">
        <v>1</v>
      </c>
      <c r="H18" s="37">
        <v>20</v>
      </c>
      <c r="I18" s="37">
        <f>IFERROR(INDEX(ref_Unit_Balance!$D$31:$D$1048576,MATCH(Unitinfo!A18,ref_Unit_Balance!$B$31:$B$1048576,0))-1,0)</f>
        <v>0</v>
      </c>
      <c r="J18" s="37" t="str">
        <f t="shared" si="4"/>
        <v>name_1015</v>
      </c>
      <c r="K18" s="37" t="str">
        <f t="shared" si="5"/>
        <v>unit_icon_1015</v>
      </c>
      <c r="L18" s="43" t="str">
        <f t="shared" si="3"/>
        <v>Unit/Enemy/Chapter_1/1015_Indian_Elephant.prefab</v>
      </c>
      <c r="M18" s="35" t="s">
        <v>210</v>
      </c>
    </row>
    <row r="19" spans="1:13">
      <c r="A19" s="37">
        <v>1016</v>
      </c>
      <c r="B19" s="38" t="str">
        <f>INDEX(ref_Unit_Balance!$C$31:$C$1048576,MATCH(A19,ref_Unit_Balance!$B$31:$B$1048576,0))</f>
        <v>Indian_Egg</v>
      </c>
      <c r="C19" s="38" t="str">
        <f t="shared" si="0"/>
        <v>(원거리)Indian_Egg</v>
      </c>
      <c r="D19" s="37">
        <f>INDEX(ref_Unit_Balance!$J$31:$J$1048576,MATCH(Unitinfo!A19,ref_Unit_Balance!$B$31:$B$1048576,0))</f>
        <v>1</v>
      </c>
      <c r="E19" s="37">
        <v>50</v>
      </c>
      <c r="F19" s="37">
        <v>1</v>
      </c>
      <c r="G19" s="37">
        <v>1</v>
      </c>
      <c r="H19" s="37">
        <v>20</v>
      </c>
      <c r="I19" s="37">
        <f>IFERROR(INDEX(ref_Unit_Balance!$D$31:$D$1048576,MATCH(Unitinfo!A19,ref_Unit_Balance!$B$31:$B$1048576,0))-1,0)</f>
        <v>1</v>
      </c>
      <c r="J19" s="37" t="str">
        <f t="shared" si="4"/>
        <v>name_1016</v>
      </c>
      <c r="K19" s="37" t="str">
        <f t="shared" si="5"/>
        <v>unit_icon_1016</v>
      </c>
      <c r="L19" s="43" t="str">
        <f t="shared" si="3"/>
        <v>Unit/Enemy/Chapter_1/1016_Indian_Egg.prefab</v>
      </c>
      <c r="M19" s="35" t="s">
        <v>210</v>
      </c>
    </row>
    <row r="20" spans="1:13">
      <c r="A20" s="37">
        <v>1051</v>
      </c>
      <c r="B20" s="38" t="str">
        <f>INDEX(ref_Unit_Balance!$C$31:$C$1048576,MATCH(A20,ref_Unit_Balance!$B$31:$B$1048576,0))</f>
        <v>Indian_Archer_2</v>
      </c>
      <c r="C20" s="38" t="str">
        <f t="shared" si="0"/>
        <v>(원거리)Indian_Archer_2</v>
      </c>
      <c r="D20" s="37">
        <f>INDEX(ref_Unit_Balance!$J$31:$J$1048576,MATCH(Unitinfo!A20,ref_Unit_Balance!$B$31:$B$1048576,0))</f>
        <v>1</v>
      </c>
      <c r="E20" s="37">
        <v>50</v>
      </c>
      <c r="F20" s="37">
        <v>1</v>
      </c>
      <c r="G20" s="37">
        <v>1</v>
      </c>
      <c r="H20" s="37">
        <v>20</v>
      </c>
      <c r="I20" s="37">
        <f>IFERROR(INDEX(ref_Unit_Balance!$D$31:$D$1048576,MATCH(Unitinfo!A20,ref_Unit_Balance!$B$31:$B$1048576,0))-1,0)</f>
        <v>2</v>
      </c>
      <c r="J20" s="37" t="str">
        <f t="shared" ref="J20:J35" si="6">"name_"&amp;A20</f>
        <v>name_1051</v>
      </c>
      <c r="K20" s="37" t="str">
        <f t="shared" ref="K20:K35" si="7">"unit_icon_"&amp;A20</f>
        <v>unit_icon_1051</v>
      </c>
      <c r="L20" s="43" t="str">
        <f t="shared" ref="L20:L35" si="8">IF(A20&lt;1999,"Unit/Enemy/Chapter_1/"&amp;A20&amp;"_"&amp;B20&amp;".prefab",IF(A20&lt;2999,"Unit/Hero/"&amp;A20&amp;"_"&amp;B20&amp;".prefab","Unit/Enemy/Chapter_1_Object/"&amp;A20&amp;"_"&amp;B20&amp;".prefab"))</f>
        <v>Unit/Enemy/Chapter_1/1051_Indian_Archer_2.prefab</v>
      </c>
      <c r="M20" s="35" t="s">
        <v>210</v>
      </c>
    </row>
    <row r="21" spans="1:13">
      <c r="A21" s="37">
        <v>1052</v>
      </c>
      <c r="B21" s="38" t="str">
        <f>INDEX(ref_Unit_Balance!$C$31:$C$1048576,MATCH(A21,ref_Unit_Balance!$B$31:$B$1048576,0))</f>
        <v>Indian_Shield_2</v>
      </c>
      <c r="C21" s="38" t="str">
        <f t="shared" si="0"/>
        <v>(근거리)Indian_Shield_2</v>
      </c>
      <c r="D21" s="37">
        <f>INDEX(ref_Unit_Balance!$J$31:$J$1048576,MATCH(Unitinfo!A21,ref_Unit_Balance!$B$31:$B$1048576,0))</f>
        <v>0</v>
      </c>
      <c r="E21" s="37">
        <v>50</v>
      </c>
      <c r="F21" s="37">
        <v>1</v>
      </c>
      <c r="G21" s="37">
        <v>1</v>
      </c>
      <c r="H21" s="37">
        <v>20</v>
      </c>
      <c r="I21" s="37">
        <f>IFERROR(INDEX(ref_Unit_Balance!$D$31:$D$1048576,MATCH(Unitinfo!A21,ref_Unit_Balance!$B$31:$B$1048576,0))-1,0)</f>
        <v>2</v>
      </c>
      <c r="J21" s="37" t="str">
        <f t="shared" si="6"/>
        <v>name_1052</v>
      </c>
      <c r="K21" s="37" t="str">
        <f t="shared" si="7"/>
        <v>unit_icon_1052</v>
      </c>
      <c r="L21" s="43" t="str">
        <f t="shared" si="8"/>
        <v>Unit/Enemy/Chapter_1/1052_Indian_Shield_2.prefab</v>
      </c>
      <c r="M21" s="35" t="s">
        <v>210</v>
      </c>
    </row>
    <row r="22" spans="1:13">
      <c r="A22" s="37">
        <v>1053</v>
      </c>
      <c r="B22" s="38" t="str">
        <f>INDEX(ref_Unit_Balance!$C$31:$C$1048576,MATCH(A22,ref_Unit_Balance!$B$31:$B$1048576,0))</f>
        <v>Indian_Spear_2</v>
      </c>
      <c r="C22" s="38" t="str">
        <f t="shared" si="0"/>
        <v>(근거리)Indian_Spear_2</v>
      </c>
      <c r="D22" s="37">
        <f>INDEX(ref_Unit_Balance!$J$31:$J$1048576,MATCH(Unitinfo!A22,ref_Unit_Balance!$B$31:$B$1048576,0))</f>
        <v>0</v>
      </c>
      <c r="E22" s="37">
        <v>50</v>
      </c>
      <c r="F22" s="37">
        <v>1</v>
      </c>
      <c r="G22" s="37">
        <v>1</v>
      </c>
      <c r="H22" s="37">
        <v>20</v>
      </c>
      <c r="I22" s="37">
        <f>IFERROR(INDEX(ref_Unit_Balance!$D$31:$D$1048576,MATCH(Unitinfo!A22,ref_Unit_Balance!$B$31:$B$1048576,0))-1,0)</f>
        <v>2</v>
      </c>
      <c r="J22" s="37" t="str">
        <f t="shared" si="6"/>
        <v>name_1053</v>
      </c>
      <c r="K22" s="37" t="str">
        <f t="shared" si="7"/>
        <v>unit_icon_1053</v>
      </c>
      <c r="L22" s="43" t="str">
        <f t="shared" si="8"/>
        <v>Unit/Enemy/Chapter_1/1053_Indian_Spear_2.prefab</v>
      </c>
      <c r="M22" s="35" t="s">
        <v>210</v>
      </c>
    </row>
    <row r="23" spans="1:13">
      <c r="A23" s="37">
        <v>1054</v>
      </c>
      <c r="B23" s="38" t="str">
        <f>INDEX(ref_Unit_Balance!$C$31:$C$1048576,MATCH(A23,ref_Unit_Balance!$B$31:$B$1048576,0))</f>
        <v>Indian_Sword_2</v>
      </c>
      <c r="C23" s="38" t="str">
        <f t="shared" si="0"/>
        <v>(근거리)Indian_Sword_2</v>
      </c>
      <c r="D23" s="37">
        <f>INDEX(ref_Unit_Balance!$J$31:$J$1048576,MATCH(Unitinfo!A23,ref_Unit_Balance!$B$31:$B$1048576,0))</f>
        <v>0</v>
      </c>
      <c r="E23" s="37">
        <v>50</v>
      </c>
      <c r="F23" s="37">
        <v>1</v>
      </c>
      <c r="G23" s="37">
        <v>1</v>
      </c>
      <c r="H23" s="37">
        <v>20</v>
      </c>
      <c r="I23" s="37">
        <f>IFERROR(INDEX(ref_Unit_Balance!$D$31:$D$1048576,MATCH(Unitinfo!A23,ref_Unit_Balance!$B$31:$B$1048576,0))-1,0)</f>
        <v>2</v>
      </c>
      <c r="J23" s="37" t="str">
        <f t="shared" si="6"/>
        <v>name_1054</v>
      </c>
      <c r="K23" s="37" t="str">
        <f t="shared" si="7"/>
        <v>unit_icon_1054</v>
      </c>
      <c r="L23" s="43" t="str">
        <f t="shared" si="8"/>
        <v>Unit/Enemy/Chapter_1/1054_Indian_Sword_2.prefab</v>
      </c>
      <c r="M23" s="35" t="s">
        <v>210</v>
      </c>
    </row>
    <row r="24" spans="1:13">
      <c r="A24" s="37">
        <v>1055</v>
      </c>
      <c r="B24" s="38" t="str">
        <f>INDEX(ref_Unit_Balance!$C$31:$C$1048576,MATCH(A24,ref_Unit_Balance!$B$31:$B$1048576,0))</f>
        <v>Indian_Mask_2</v>
      </c>
      <c r="C24" s="38" t="str">
        <f t="shared" si="0"/>
        <v>(근거리)Indian_Mask_2</v>
      </c>
      <c r="D24" s="37">
        <f>INDEX(ref_Unit_Balance!$J$31:$J$1048576,MATCH(Unitinfo!A24,ref_Unit_Balance!$B$31:$B$1048576,0))</f>
        <v>0</v>
      </c>
      <c r="E24" s="37">
        <v>50</v>
      </c>
      <c r="F24" s="37">
        <v>1</v>
      </c>
      <c r="G24" s="37">
        <v>1</v>
      </c>
      <c r="H24" s="37">
        <v>20</v>
      </c>
      <c r="I24" s="37">
        <f>IFERROR(INDEX(ref_Unit_Balance!$D$31:$D$1048576,MATCH(Unitinfo!A24,ref_Unit_Balance!$B$31:$B$1048576,0))-1,0)</f>
        <v>2</v>
      </c>
      <c r="J24" s="37" t="str">
        <f t="shared" si="6"/>
        <v>name_1055</v>
      </c>
      <c r="K24" s="37" t="str">
        <f t="shared" si="7"/>
        <v>unit_icon_1055</v>
      </c>
      <c r="L24" s="43" t="str">
        <f t="shared" si="8"/>
        <v>Unit/Enemy/Chapter_1/1055_Indian_Mask_2.prefab</v>
      </c>
      <c r="M24" s="35" t="s">
        <v>210</v>
      </c>
    </row>
    <row r="25" spans="1:13">
      <c r="A25" s="37">
        <v>1056</v>
      </c>
      <c r="B25" s="38" t="str">
        <f>INDEX(ref_Unit_Balance!$C$31:$C$1048576,MATCH(A25,ref_Unit_Balance!$B$31:$B$1048576,0))</f>
        <v>Indian_Bear_2</v>
      </c>
      <c r="C25" s="38" t="str">
        <f t="shared" si="0"/>
        <v>(근거리)Indian_Bear_2</v>
      </c>
      <c r="D25" s="37">
        <f>INDEX(ref_Unit_Balance!$J$31:$J$1048576,MATCH(Unitinfo!A25,ref_Unit_Balance!$B$31:$B$1048576,0))</f>
        <v>0</v>
      </c>
      <c r="E25" s="37">
        <v>50</v>
      </c>
      <c r="F25" s="37">
        <v>1</v>
      </c>
      <c r="G25" s="37">
        <v>1</v>
      </c>
      <c r="H25" s="37">
        <v>20</v>
      </c>
      <c r="I25" s="37">
        <f>IFERROR(INDEX(ref_Unit_Balance!$D$31:$D$1048576,MATCH(Unitinfo!A25,ref_Unit_Balance!$B$31:$B$1048576,0))-1,0)</f>
        <v>2</v>
      </c>
      <c r="J25" s="37" t="str">
        <f t="shared" si="6"/>
        <v>name_1056</v>
      </c>
      <c r="K25" s="37" t="str">
        <f t="shared" si="7"/>
        <v>unit_icon_1056</v>
      </c>
      <c r="L25" s="43" t="str">
        <f t="shared" si="8"/>
        <v>Unit/Enemy/Chapter_1/1056_Indian_Bear_2.prefab</v>
      </c>
      <c r="M25" s="35" t="s">
        <v>210</v>
      </c>
    </row>
    <row r="26" spans="1:13">
      <c r="A26" s="37">
        <v>1057</v>
      </c>
      <c r="B26" s="38" t="str">
        <f>INDEX(ref_Unit_Balance!$C$31:$C$1048576,MATCH(A26,ref_Unit_Balance!$B$31:$B$1048576,0))</f>
        <v>Bear_2</v>
      </c>
      <c r="C26" s="38" t="str">
        <f t="shared" si="0"/>
        <v>(근거리)Bear_2</v>
      </c>
      <c r="D26" s="37">
        <f>INDEX(ref_Unit_Balance!$J$31:$J$1048576,MATCH(Unitinfo!A26,ref_Unit_Balance!$B$31:$B$1048576,0))</f>
        <v>0</v>
      </c>
      <c r="E26" s="37">
        <v>50</v>
      </c>
      <c r="F26" s="37">
        <v>1</v>
      </c>
      <c r="G26" s="37">
        <v>1</v>
      </c>
      <c r="H26" s="37">
        <v>20</v>
      </c>
      <c r="I26" s="37">
        <f>IFERROR(INDEX(ref_Unit_Balance!$D$31:$D$1048576,MATCH(Unitinfo!A26,ref_Unit_Balance!$B$31:$B$1048576,0))-1,0)</f>
        <v>2</v>
      </c>
      <c r="J26" s="37" t="str">
        <f t="shared" si="6"/>
        <v>name_1057</v>
      </c>
      <c r="K26" s="37" t="str">
        <f t="shared" si="7"/>
        <v>unit_icon_1057</v>
      </c>
      <c r="L26" s="43" t="str">
        <f t="shared" si="8"/>
        <v>Unit/Enemy/Chapter_1/1057_Bear_2.prefab</v>
      </c>
      <c r="M26" s="35" t="s">
        <v>210</v>
      </c>
    </row>
    <row r="27" spans="1:13">
      <c r="A27" s="37">
        <v>1058</v>
      </c>
      <c r="B27" s="38" t="str">
        <f>INDEX(ref_Unit_Balance!$C$31:$C$1048576,MATCH(A27,ref_Unit_Balance!$B$31:$B$1048576,0))</f>
        <v>Indian_Master_2</v>
      </c>
      <c r="C27" s="38" t="str">
        <f t="shared" si="0"/>
        <v>(근거리)Indian_Master_2</v>
      </c>
      <c r="D27" s="37">
        <f>INDEX(ref_Unit_Balance!$J$31:$J$1048576,MATCH(Unitinfo!A27,ref_Unit_Balance!$B$31:$B$1048576,0))</f>
        <v>0</v>
      </c>
      <c r="E27" s="37">
        <v>50</v>
      </c>
      <c r="F27" s="37">
        <v>1</v>
      </c>
      <c r="G27" s="37">
        <v>1</v>
      </c>
      <c r="H27" s="37">
        <v>20</v>
      </c>
      <c r="I27" s="37">
        <f>IFERROR(INDEX(ref_Unit_Balance!$D$31:$D$1048576,MATCH(Unitinfo!A27,ref_Unit_Balance!$B$31:$B$1048576,0))-1,0)</f>
        <v>2</v>
      </c>
      <c r="J27" s="37" t="str">
        <f t="shared" si="6"/>
        <v>name_1058</v>
      </c>
      <c r="K27" s="37" t="str">
        <f t="shared" si="7"/>
        <v>unit_icon_1058</v>
      </c>
      <c r="L27" s="43" t="str">
        <f t="shared" si="8"/>
        <v>Unit/Enemy/Chapter_1/1058_Indian_Master_2.prefab</v>
      </c>
      <c r="M27" s="35" t="s">
        <v>210</v>
      </c>
    </row>
    <row r="28" spans="1:13">
      <c r="A28" s="37">
        <v>1059</v>
      </c>
      <c r="B28" s="38" t="str">
        <f>INDEX(ref_Unit_Balance!$C$31:$C$1048576,MATCH(A28,ref_Unit_Balance!$B$31:$B$1048576,0))</f>
        <v>Corgi_2</v>
      </c>
      <c r="C28" s="38" t="str">
        <f t="shared" si="0"/>
        <v>(근거리)Corgi_2</v>
      </c>
      <c r="D28" s="37">
        <f>INDEX(ref_Unit_Balance!$J$31:$J$1048576,MATCH(Unitinfo!A28,ref_Unit_Balance!$B$31:$B$1048576,0))</f>
        <v>0</v>
      </c>
      <c r="E28" s="37">
        <v>50</v>
      </c>
      <c r="F28" s="37">
        <v>1</v>
      </c>
      <c r="G28" s="37">
        <v>1</v>
      </c>
      <c r="H28" s="37">
        <v>20</v>
      </c>
      <c r="I28" s="37">
        <f>IFERROR(INDEX(ref_Unit_Balance!$D$31:$D$1048576,MATCH(Unitinfo!A28,ref_Unit_Balance!$B$31:$B$1048576,0))-1,0)</f>
        <v>2</v>
      </c>
      <c r="J28" s="37" t="str">
        <f t="shared" si="6"/>
        <v>name_1059</v>
      </c>
      <c r="K28" s="37" t="str">
        <f t="shared" si="7"/>
        <v>unit_icon_1059</v>
      </c>
      <c r="L28" s="43" t="str">
        <f t="shared" si="8"/>
        <v>Unit/Enemy/Chapter_1/1059_Corgi_2.prefab</v>
      </c>
      <c r="M28" s="35" t="s">
        <v>210</v>
      </c>
    </row>
    <row r="29" spans="1:13">
      <c r="A29" s="37">
        <v>1060</v>
      </c>
      <c r="B29" s="38" t="str">
        <f>INDEX(ref_Unit_Balance!$C$31:$C$1048576,MATCH(A29,ref_Unit_Balance!$B$31:$B$1048576,0))</f>
        <v>Indian_Horse_Sword_2</v>
      </c>
      <c r="C29" s="38" t="str">
        <f t="shared" si="0"/>
        <v>(근거리)Indian_Horse_Sword_2</v>
      </c>
      <c r="D29" s="37">
        <f>INDEX(ref_Unit_Balance!$J$31:$J$1048576,MATCH(Unitinfo!A29,ref_Unit_Balance!$B$31:$B$1048576,0))</f>
        <v>0</v>
      </c>
      <c r="E29" s="37">
        <v>50</v>
      </c>
      <c r="F29" s="37">
        <v>1</v>
      </c>
      <c r="G29" s="37">
        <v>1</v>
      </c>
      <c r="H29" s="37">
        <v>20</v>
      </c>
      <c r="I29" s="37">
        <f>IFERROR(INDEX(ref_Unit_Balance!$D$31:$D$1048576,MATCH(Unitinfo!A29,ref_Unit_Balance!$B$31:$B$1048576,0))-1,0)</f>
        <v>3</v>
      </c>
      <c r="J29" s="37" t="str">
        <f t="shared" si="6"/>
        <v>name_1060</v>
      </c>
      <c r="K29" s="37" t="str">
        <f t="shared" si="7"/>
        <v>unit_icon_1060</v>
      </c>
      <c r="L29" s="43" t="str">
        <f t="shared" si="8"/>
        <v>Unit/Enemy/Chapter_1/1060_Indian_Horse_Sword_2.prefab</v>
      </c>
      <c r="M29" s="35" t="s">
        <v>210</v>
      </c>
    </row>
    <row r="30" spans="1:13">
      <c r="A30" s="37">
        <v>1061</v>
      </c>
      <c r="B30" s="38" t="str">
        <f>INDEX(ref_Unit_Balance!$C$31:$C$1048576,MATCH(A30,ref_Unit_Balance!$B$31:$B$1048576,0))</f>
        <v>Indian_Horse_Spear_2</v>
      </c>
      <c r="C30" s="38" t="str">
        <f t="shared" si="0"/>
        <v>(근거리)Indian_Horse_Spear_2</v>
      </c>
      <c r="D30" s="37">
        <f>INDEX(ref_Unit_Balance!$J$31:$J$1048576,MATCH(Unitinfo!A30,ref_Unit_Balance!$B$31:$B$1048576,0))</f>
        <v>0</v>
      </c>
      <c r="E30" s="37">
        <v>50</v>
      </c>
      <c r="F30" s="37">
        <v>1</v>
      </c>
      <c r="G30" s="37">
        <v>1</v>
      </c>
      <c r="H30" s="37">
        <v>20</v>
      </c>
      <c r="I30" s="37">
        <f>IFERROR(INDEX(ref_Unit_Balance!$D$31:$D$1048576,MATCH(Unitinfo!A30,ref_Unit_Balance!$B$31:$B$1048576,0))-1,0)</f>
        <v>3</v>
      </c>
      <c r="J30" s="37" t="str">
        <f t="shared" si="6"/>
        <v>name_1061</v>
      </c>
      <c r="K30" s="37" t="str">
        <f t="shared" si="7"/>
        <v>unit_icon_1061</v>
      </c>
      <c r="L30" s="43" t="str">
        <f t="shared" si="8"/>
        <v>Unit/Enemy/Chapter_1/1061_Indian_Horse_Spear_2.prefab</v>
      </c>
      <c r="M30" s="35" t="s">
        <v>210</v>
      </c>
    </row>
    <row r="31" spans="1:13">
      <c r="A31" s="37">
        <v>1062</v>
      </c>
      <c r="B31" s="38" t="str">
        <f>INDEX(ref_Unit_Balance!$C$31:$C$1048576,MATCH(A31,ref_Unit_Balance!$B$31:$B$1048576,0))</f>
        <v>Indian_Horse_Archer_2</v>
      </c>
      <c r="C31" s="38" t="str">
        <f t="shared" si="0"/>
        <v>(원거리)Indian_Horse_Archer_2</v>
      </c>
      <c r="D31" s="37">
        <f>INDEX(ref_Unit_Balance!$J$31:$J$1048576,MATCH(Unitinfo!A31,ref_Unit_Balance!$B$31:$B$1048576,0))</f>
        <v>1</v>
      </c>
      <c r="E31" s="37">
        <v>50</v>
      </c>
      <c r="F31" s="37">
        <v>1</v>
      </c>
      <c r="G31" s="37">
        <v>1</v>
      </c>
      <c r="H31" s="37">
        <v>20</v>
      </c>
      <c r="I31" s="37">
        <f>IFERROR(INDEX(ref_Unit_Balance!$D$31:$D$1048576,MATCH(Unitinfo!A31,ref_Unit_Balance!$B$31:$B$1048576,0))-1,0)</f>
        <v>3</v>
      </c>
      <c r="J31" s="37" t="str">
        <f t="shared" si="6"/>
        <v>name_1062</v>
      </c>
      <c r="K31" s="37" t="str">
        <f t="shared" si="7"/>
        <v>unit_icon_1062</v>
      </c>
      <c r="L31" s="43" t="str">
        <f t="shared" si="8"/>
        <v>Unit/Enemy/Chapter_1/1062_Indian_Horse_Archer_2.prefab</v>
      </c>
      <c r="M31" s="35" t="s">
        <v>210</v>
      </c>
    </row>
    <row r="32" spans="1:13">
      <c r="A32" s="37">
        <v>1063</v>
      </c>
      <c r="B32" s="38" t="str">
        <f>INDEX(ref_Unit_Balance!$C$31:$C$1048576,MATCH(A32,ref_Unit_Balance!$B$31:$B$1048576,0))</f>
        <v>Chicken_Black_2</v>
      </c>
      <c r="C32" s="38" t="str">
        <f t="shared" si="0"/>
        <v>(원거리)Chicken_Black_2</v>
      </c>
      <c r="D32" s="37">
        <f>INDEX(ref_Unit_Balance!$J$31:$J$1048576,MATCH(Unitinfo!A32,ref_Unit_Balance!$B$31:$B$1048576,0))</f>
        <v>1</v>
      </c>
      <c r="E32" s="37">
        <v>50</v>
      </c>
      <c r="F32" s="37">
        <v>1</v>
      </c>
      <c r="G32" s="37">
        <v>1</v>
      </c>
      <c r="H32" s="37">
        <v>20</v>
      </c>
      <c r="I32" s="37">
        <f>IFERROR(INDEX(ref_Unit_Balance!$D$31:$D$1048576,MATCH(Unitinfo!A32,ref_Unit_Balance!$B$31:$B$1048576,0))-1,0)</f>
        <v>3</v>
      </c>
      <c r="J32" s="37" t="str">
        <f t="shared" si="6"/>
        <v>name_1063</v>
      </c>
      <c r="K32" s="37" t="str">
        <f t="shared" si="7"/>
        <v>unit_icon_1063</v>
      </c>
      <c r="L32" s="43" t="str">
        <f t="shared" si="8"/>
        <v>Unit/Enemy/Chapter_1/1063_Chicken_Black_2.prefab</v>
      </c>
      <c r="M32" s="35" t="s">
        <v>210</v>
      </c>
    </row>
    <row r="33" spans="1:13">
      <c r="A33" s="37">
        <v>1064</v>
      </c>
      <c r="B33" s="38" t="str">
        <f>INDEX(ref_Unit_Balance!$C$31:$C$1048576,MATCH(A33,ref_Unit_Balance!$B$31:$B$1048576,0))</f>
        <v>Chicken_White_2</v>
      </c>
      <c r="C33" s="38" t="str">
        <f t="shared" si="0"/>
        <v>(원거리)Chicken_White_2</v>
      </c>
      <c r="D33" s="37">
        <f>INDEX(ref_Unit_Balance!$J$31:$J$1048576,MATCH(Unitinfo!A33,ref_Unit_Balance!$B$31:$B$1048576,0))</f>
        <v>1</v>
      </c>
      <c r="E33" s="37">
        <v>50</v>
      </c>
      <c r="F33" s="37">
        <v>1</v>
      </c>
      <c r="G33" s="37">
        <v>1</v>
      </c>
      <c r="H33" s="37">
        <v>20</v>
      </c>
      <c r="I33" s="37">
        <f>IFERROR(INDEX(ref_Unit_Balance!$D$31:$D$1048576,MATCH(Unitinfo!A33,ref_Unit_Balance!$B$31:$B$1048576,0))-1,0)</f>
        <v>3</v>
      </c>
      <c r="J33" s="37" t="str">
        <f t="shared" si="6"/>
        <v>name_1064</v>
      </c>
      <c r="K33" s="37" t="str">
        <f t="shared" si="7"/>
        <v>unit_icon_1064</v>
      </c>
      <c r="L33" s="43" t="str">
        <f t="shared" si="8"/>
        <v>Unit/Enemy/Chapter_1/1064_Chicken_White_2.prefab</v>
      </c>
      <c r="M33" s="35" t="s">
        <v>210</v>
      </c>
    </row>
    <row r="34" spans="1:13">
      <c r="A34" s="37">
        <v>1065</v>
      </c>
      <c r="B34" s="38" t="str">
        <f>INDEX(ref_Unit_Balance!$C$31:$C$1048576,MATCH(A34,ref_Unit_Balance!$B$31:$B$1048576,0))</f>
        <v>Indian_Elephant_2</v>
      </c>
      <c r="C34" s="38" t="str">
        <f t="shared" si="0"/>
        <v>(근거리)Indian_Elephant_2</v>
      </c>
      <c r="D34" s="37">
        <f>INDEX(ref_Unit_Balance!$J$31:$J$1048576,MATCH(Unitinfo!A34,ref_Unit_Balance!$B$31:$B$1048576,0))</f>
        <v>0</v>
      </c>
      <c r="E34" s="37">
        <v>50</v>
      </c>
      <c r="F34" s="37">
        <v>1</v>
      </c>
      <c r="G34" s="37">
        <v>1</v>
      </c>
      <c r="H34" s="37">
        <v>20</v>
      </c>
      <c r="I34" s="37">
        <f>IFERROR(INDEX(ref_Unit_Balance!$D$31:$D$1048576,MATCH(Unitinfo!A34,ref_Unit_Balance!$B$31:$B$1048576,0))-1,0)</f>
        <v>3</v>
      </c>
      <c r="J34" s="37" t="str">
        <f t="shared" si="6"/>
        <v>name_1065</v>
      </c>
      <c r="K34" s="37" t="str">
        <f t="shared" si="7"/>
        <v>unit_icon_1065</v>
      </c>
      <c r="L34" s="43" t="str">
        <f t="shared" si="8"/>
        <v>Unit/Enemy/Chapter_1/1065_Indian_Elephant_2.prefab</v>
      </c>
      <c r="M34" s="35" t="s">
        <v>210</v>
      </c>
    </row>
    <row r="35" spans="1:13">
      <c r="A35" s="37">
        <v>1066</v>
      </c>
      <c r="B35" s="38" t="str">
        <f>INDEX(ref_Unit_Balance!$C$31:$C$1048576,MATCH(A35,ref_Unit_Balance!$B$31:$B$1048576,0))</f>
        <v>Indian_Egg_2</v>
      </c>
      <c r="C35" s="38" t="str">
        <f t="shared" si="0"/>
        <v>(원거리)Indian_Egg_2</v>
      </c>
      <c r="D35" s="37">
        <f>INDEX(ref_Unit_Balance!$J$31:$J$1048576,MATCH(Unitinfo!A35,ref_Unit_Balance!$B$31:$B$1048576,0))</f>
        <v>1</v>
      </c>
      <c r="E35" s="37">
        <v>50</v>
      </c>
      <c r="F35" s="37">
        <v>1</v>
      </c>
      <c r="G35" s="37">
        <v>1</v>
      </c>
      <c r="H35" s="37">
        <v>20</v>
      </c>
      <c r="I35" s="37">
        <f>IFERROR(INDEX(ref_Unit_Balance!$D$31:$D$1048576,MATCH(Unitinfo!A35,ref_Unit_Balance!$B$31:$B$1048576,0))-1,0)</f>
        <v>3</v>
      </c>
      <c r="J35" s="37" t="str">
        <f t="shared" si="6"/>
        <v>name_1066</v>
      </c>
      <c r="K35" s="37" t="str">
        <f t="shared" si="7"/>
        <v>unit_icon_1066</v>
      </c>
      <c r="L35" s="43" t="str">
        <f t="shared" si="8"/>
        <v>Unit/Enemy/Chapter_1/1066_Indian_Egg_2.prefab</v>
      </c>
      <c r="M35" s="35" t="s">
        <v>210</v>
      </c>
    </row>
    <row r="36" spans="1:13" s="128" customFormat="1">
      <c r="A36" s="125">
        <v>11001</v>
      </c>
      <c r="B36" s="126" t="str">
        <f>INDEX(ref_Unit_Balance!$C$31:$C$1048576,MATCH(A36,ref_Unit_Balance!$B$31:$B$1048576,0))</f>
        <v>Indian_Wagon</v>
      </c>
      <c r="C36" s="126" t="str">
        <f t="shared" si="0"/>
        <v>(근거리)Indian_Wagon</v>
      </c>
      <c r="D36" s="37">
        <f>INDEX(ref_Unit_Balance!$J$31:$J$1048576,MATCH(Unitinfo!A36,ref_Unit_Balance!$B$31:$B$1048576,0))</f>
        <v>0</v>
      </c>
      <c r="E36" s="125">
        <v>50</v>
      </c>
      <c r="F36" s="125">
        <v>-1</v>
      </c>
      <c r="G36" s="125">
        <v>1</v>
      </c>
      <c r="H36" s="37">
        <v>20</v>
      </c>
      <c r="I36" s="125">
        <f>IFERROR(INDEX(ref_Unit_Balance!$D$31:$D$1048576,MATCH(Unitinfo!A36,ref_Unit_Balance!$B$31:$B$1048576,0))-1,0)</f>
        <v>0</v>
      </c>
      <c r="J36" s="125" t="str">
        <f t="shared" ref="J36:J43" si="9">"name_"&amp;A36</f>
        <v>name_11001</v>
      </c>
      <c r="K36" s="125" t="str">
        <f t="shared" ref="K36:K43" si="10">"unit_icon_"&amp;A36</f>
        <v>unit_icon_11001</v>
      </c>
      <c r="L36" s="127" t="str">
        <f t="shared" si="3"/>
        <v>Unit/Enemy/Chapter_1_Object/11001_Indian_Wagon.prefab</v>
      </c>
      <c r="M36" s="128" t="s">
        <v>215</v>
      </c>
    </row>
    <row r="37" spans="1:13" s="128" customFormat="1">
      <c r="A37" s="125">
        <v>11002</v>
      </c>
      <c r="B37" s="126" t="str">
        <f>INDEX(ref_Unit_Balance!$C$31:$C$1048576,MATCH(A37,ref_Unit_Balance!$B$31:$B$1048576,0))</f>
        <v>Indian_Catapult</v>
      </c>
      <c r="C37" s="126" t="str">
        <f t="shared" si="0"/>
        <v>(원거리)Indian_Catapult</v>
      </c>
      <c r="D37" s="37">
        <f>INDEX(ref_Unit_Balance!$J$31:$J$1048576,MATCH(Unitinfo!A37,ref_Unit_Balance!$B$31:$B$1048576,0))</f>
        <v>1</v>
      </c>
      <c r="E37" s="125">
        <v>50</v>
      </c>
      <c r="F37" s="125">
        <v>-1</v>
      </c>
      <c r="G37" s="125">
        <v>1</v>
      </c>
      <c r="H37" s="37">
        <v>20</v>
      </c>
      <c r="I37" s="125">
        <f>IFERROR(INDEX(ref_Unit_Balance!$D$31:$D$1048576,MATCH(Unitinfo!A37,ref_Unit_Balance!$B$31:$B$1048576,0))-1,0)</f>
        <v>0</v>
      </c>
      <c r="J37" s="125" t="str">
        <f t="shared" si="9"/>
        <v>name_11002</v>
      </c>
      <c r="K37" s="125" t="str">
        <f t="shared" si="10"/>
        <v>unit_icon_11002</v>
      </c>
      <c r="L37" s="127" t="str">
        <f t="shared" si="3"/>
        <v>Unit/Enemy/Chapter_1_Object/11002_Indian_Catapult.prefab</v>
      </c>
      <c r="M37" s="128" t="s">
        <v>212</v>
      </c>
    </row>
    <row r="38" spans="1:13" s="128" customFormat="1">
      <c r="A38" s="125">
        <v>11003</v>
      </c>
      <c r="B38" s="126" t="str">
        <f>INDEX(ref_Unit_Balance!$C$31:$C$1048576,MATCH(A38,ref_Unit_Balance!$B$31:$B$1048576,0))</f>
        <v>Indian_Wall</v>
      </c>
      <c r="C38" s="126" t="str">
        <f t="shared" si="0"/>
        <v>(근거리)Indian_Wall</v>
      </c>
      <c r="D38" s="37">
        <f>INDEX(ref_Unit_Balance!$J$31:$J$1048576,MATCH(Unitinfo!A38,ref_Unit_Balance!$B$31:$B$1048576,0))</f>
        <v>0</v>
      </c>
      <c r="E38" s="125">
        <v>50</v>
      </c>
      <c r="F38" s="125">
        <v>-1</v>
      </c>
      <c r="G38" s="125">
        <v>1</v>
      </c>
      <c r="H38" s="37">
        <v>20</v>
      </c>
      <c r="I38" s="125">
        <f>IFERROR(INDEX(ref_Unit_Balance!$D$31:$D$1048576,MATCH(Unitinfo!A38,ref_Unit_Balance!$B$31:$B$1048576,0))-1,0)</f>
        <v>0</v>
      </c>
      <c r="J38" s="125" t="str">
        <f t="shared" si="9"/>
        <v>name_11003</v>
      </c>
      <c r="K38" s="125" t="str">
        <f t="shared" si="10"/>
        <v>unit_icon_11003</v>
      </c>
      <c r="L38" s="127" t="str">
        <f t="shared" si="3"/>
        <v>Unit/Enemy/Chapter_1_Object/11003_Indian_Wall.prefab</v>
      </c>
      <c r="M38" s="128" t="s">
        <v>212</v>
      </c>
    </row>
    <row r="39" spans="1:13" s="128" customFormat="1">
      <c r="A39" s="125">
        <v>11004</v>
      </c>
      <c r="B39" s="126" t="str">
        <f>INDEX(ref_Unit_Balance!$C$31:$C$1048576,MATCH(A39,ref_Unit_Balance!$B$31:$B$1048576,0))</f>
        <v>Indian_Watchtower</v>
      </c>
      <c r="C39" s="126" t="str">
        <f t="shared" si="0"/>
        <v>(원거리)Indian_Watchtower</v>
      </c>
      <c r="D39" s="37">
        <f>INDEX(ref_Unit_Balance!$J$31:$J$1048576,MATCH(Unitinfo!A39,ref_Unit_Balance!$B$31:$B$1048576,0))</f>
        <v>1</v>
      </c>
      <c r="E39" s="125">
        <v>50</v>
      </c>
      <c r="F39" s="125">
        <v>-1</v>
      </c>
      <c r="G39" s="125">
        <v>1</v>
      </c>
      <c r="H39" s="37">
        <v>20</v>
      </c>
      <c r="I39" s="125">
        <f>IFERROR(INDEX(ref_Unit_Balance!$D$31:$D$1048576,MATCH(Unitinfo!A39,ref_Unit_Balance!$B$31:$B$1048576,0))-1,0)</f>
        <v>0</v>
      </c>
      <c r="J39" s="125" t="str">
        <f t="shared" si="9"/>
        <v>name_11004</v>
      </c>
      <c r="K39" s="125" t="str">
        <f t="shared" si="10"/>
        <v>unit_icon_11004</v>
      </c>
      <c r="L39" s="127" t="str">
        <f t="shared" si="3"/>
        <v>Unit/Enemy/Chapter_1_Object/11004_Indian_Watchtower.prefab</v>
      </c>
      <c r="M39" s="128" t="s">
        <v>214</v>
      </c>
    </row>
    <row r="40" spans="1:13" s="128" customFormat="1">
      <c r="A40" s="125">
        <v>11005</v>
      </c>
      <c r="B40" s="126" t="str">
        <f>INDEX(ref_Unit_Balance!$C$31:$C$1048576,MATCH(A40,ref_Unit_Balance!$B$31:$B$1048576,0))</f>
        <v>Indian_Chicken_House</v>
      </c>
      <c r="C40" s="126" t="str">
        <f t="shared" si="0"/>
        <v>(근거리)Indian_Chicken_House</v>
      </c>
      <c r="D40" s="37">
        <f>INDEX(ref_Unit_Balance!$J$31:$J$1048576,MATCH(Unitinfo!A40,ref_Unit_Balance!$B$31:$B$1048576,0))</f>
        <v>0</v>
      </c>
      <c r="E40" s="125">
        <v>50</v>
      </c>
      <c r="F40" s="125">
        <v>-1</v>
      </c>
      <c r="G40" s="125">
        <v>1</v>
      </c>
      <c r="H40" s="37">
        <v>20</v>
      </c>
      <c r="I40" s="125">
        <f>IFERROR(INDEX(ref_Unit_Balance!$D$31:$D$1048576,MATCH(Unitinfo!A40,ref_Unit_Balance!$B$31:$B$1048576,0))-1,0)</f>
        <v>0</v>
      </c>
      <c r="J40" s="125" t="str">
        <f t="shared" si="9"/>
        <v>name_11005</v>
      </c>
      <c r="K40" s="125" t="str">
        <f t="shared" si="10"/>
        <v>unit_icon_11005</v>
      </c>
      <c r="L40" s="127" t="str">
        <f t="shared" si="3"/>
        <v>Unit/Enemy/Chapter_1_Object/11005_Indian_Chicken_House.prefab</v>
      </c>
      <c r="M40" s="128" t="s">
        <v>213</v>
      </c>
    </row>
    <row r="41" spans="1:13" s="128" customFormat="1">
      <c r="A41" s="125">
        <v>11006</v>
      </c>
      <c r="B41" s="126" t="str">
        <f>INDEX(ref_Unit_Balance!$C$31:$C$1048576,MATCH(A41,ref_Unit_Balance!$B$31:$B$1048576,0))</f>
        <v>Indian_Jar_1</v>
      </c>
      <c r="C41" s="126" t="str">
        <f t="shared" si="0"/>
        <v>(근거리)Indian_Jar_1</v>
      </c>
      <c r="D41" s="37">
        <f>INDEX(ref_Unit_Balance!$J$31:$J$1048576,MATCH(Unitinfo!A41,ref_Unit_Balance!$B$31:$B$1048576,0))</f>
        <v>0</v>
      </c>
      <c r="E41" s="125">
        <v>50</v>
      </c>
      <c r="F41" s="125">
        <v>-1</v>
      </c>
      <c r="G41" s="125">
        <v>1</v>
      </c>
      <c r="H41" s="37">
        <v>20</v>
      </c>
      <c r="I41" s="125">
        <f>IFERROR(INDEX(ref_Unit_Balance!$D$31:$D$1048576,MATCH(Unitinfo!A41,ref_Unit_Balance!$B$31:$B$1048576,0))-1,0)</f>
        <v>0</v>
      </c>
      <c r="J41" s="125" t="str">
        <f t="shared" si="9"/>
        <v>name_11006</v>
      </c>
      <c r="K41" s="125" t="str">
        <f t="shared" si="10"/>
        <v>unit_icon_11006</v>
      </c>
      <c r="L41" s="127" t="str">
        <f t="shared" si="3"/>
        <v>Unit/Enemy/Chapter_1_Object/11006_Indian_Jar_1.prefab</v>
      </c>
      <c r="M41" s="128" t="s">
        <v>212</v>
      </c>
    </row>
    <row r="42" spans="1:13" s="128" customFormat="1">
      <c r="A42" s="125">
        <v>11007</v>
      </c>
      <c r="B42" s="126" t="str">
        <f>INDEX(ref_Unit_Balance!$C$31:$C$1048576,MATCH(A42,ref_Unit_Balance!$B$31:$B$1048576,0))</f>
        <v>Indian_Jar_2</v>
      </c>
      <c r="C42" s="126" t="str">
        <f t="shared" si="0"/>
        <v>(근거리)Indian_Jar_2</v>
      </c>
      <c r="D42" s="37">
        <f>INDEX(ref_Unit_Balance!$J$31:$J$1048576,MATCH(Unitinfo!A42,ref_Unit_Balance!$B$31:$B$1048576,0))</f>
        <v>0</v>
      </c>
      <c r="E42" s="125">
        <v>50</v>
      </c>
      <c r="F42" s="125">
        <v>-1</v>
      </c>
      <c r="G42" s="125">
        <v>1</v>
      </c>
      <c r="H42" s="37">
        <v>20</v>
      </c>
      <c r="I42" s="125">
        <f>IFERROR(INDEX(ref_Unit_Balance!$D$31:$D$1048576,MATCH(Unitinfo!A42,ref_Unit_Balance!$B$31:$B$1048576,0))-1,0)</f>
        <v>0</v>
      </c>
      <c r="J42" s="125" t="str">
        <f t="shared" si="9"/>
        <v>name_11007</v>
      </c>
      <c r="K42" s="125" t="str">
        <f t="shared" si="10"/>
        <v>unit_icon_11007</v>
      </c>
      <c r="L42" s="127" t="str">
        <f t="shared" si="3"/>
        <v>Unit/Enemy/Chapter_1_Object/11007_Indian_Jar_2.prefab</v>
      </c>
      <c r="M42" s="128" t="s">
        <v>212</v>
      </c>
    </row>
    <row r="43" spans="1:13" s="128" customFormat="1">
      <c r="A43" s="125">
        <v>11008</v>
      </c>
      <c r="B43" s="126" t="str">
        <f>INDEX(ref_Unit_Balance!$C$31:$C$1048576,MATCH(A43,ref_Unit_Balance!$B$31:$B$1048576,0))</f>
        <v>Indian_Straw</v>
      </c>
      <c r="C43" s="126" t="str">
        <f t="shared" si="0"/>
        <v>(근거리)Indian_Straw</v>
      </c>
      <c r="D43" s="37">
        <f>INDEX(ref_Unit_Balance!$J$31:$J$1048576,MATCH(Unitinfo!A43,ref_Unit_Balance!$B$31:$B$1048576,0))</f>
        <v>0</v>
      </c>
      <c r="E43" s="125">
        <v>50</v>
      </c>
      <c r="F43" s="125">
        <v>-1</v>
      </c>
      <c r="G43" s="125">
        <v>1</v>
      </c>
      <c r="H43" s="37">
        <v>20</v>
      </c>
      <c r="I43" s="125">
        <f>IFERROR(INDEX(ref_Unit_Balance!$D$31:$D$1048576,MATCH(Unitinfo!A43,ref_Unit_Balance!$B$31:$B$1048576,0))-1,0)</f>
        <v>0</v>
      </c>
      <c r="J43" s="125" t="str">
        <f t="shared" si="9"/>
        <v>name_11008</v>
      </c>
      <c r="K43" s="125" t="str">
        <f t="shared" si="10"/>
        <v>unit_icon_11008</v>
      </c>
      <c r="L43" s="127" t="str">
        <f t="shared" si="3"/>
        <v>Unit/Enemy/Chapter_1_Object/11008_Indian_Straw.prefab</v>
      </c>
      <c r="M43" s="128" t="s">
        <v>212</v>
      </c>
    </row>
    <row r="44" spans="1:13" s="128" customFormat="1">
      <c r="A44" s="125">
        <v>11009</v>
      </c>
      <c r="B44" s="126" t="str">
        <f>INDEX(ref_Unit_Balance!$C$31:$C$1048576,MATCH(A44,ref_Unit_Balance!$B$31:$B$1048576,0))</f>
        <v>Indian_Flag_Alter</v>
      </c>
      <c r="C44" s="126" t="str">
        <f t="shared" ref="C44" si="11">IF(D44=1,"(원거리)","(근거리)")&amp;B44</f>
        <v>(근거리)Indian_Flag_Alter</v>
      </c>
      <c r="D44" s="37">
        <f>INDEX(ref_Unit_Balance!$J$31:$J$1048576,MATCH(Unitinfo!A44,ref_Unit_Balance!$B$31:$B$1048576,0))</f>
        <v>0</v>
      </c>
      <c r="E44" s="125">
        <v>50</v>
      </c>
      <c r="F44" s="125">
        <v>-1</v>
      </c>
      <c r="G44" s="125">
        <v>1</v>
      </c>
      <c r="H44" s="37">
        <v>20</v>
      </c>
      <c r="I44" s="125">
        <f>IFERROR(INDEX(ref_Unit_Balance!$D$31:$D$1048576,MATCH(Unitinfo!A44,ref_Unit_Balance!$B$31:$B$1048576,0))-1,0)</f>
        <v>0</v>
      </c>
      <c r="J44" s="125" t="str">
        <f t="shared" ref="J44" si="12">"name_"&amp;A44</f>
        <v>name_11009</v>
      </c>
      <c r="K44" s="125" t="str">
        <f t="shared" ref="K44" si="13">"unit_icon_"&amp;A44</f>
        <v>unit_icon_11009</v>
      </c>
      <c r="L44" s="127" t="str">
        <f t="shared" ref="L44" si="14">IF(A44&lt;1999,"Unit/Enemy/Chapter_1/"&amp;A44&amp;"_"&amp;B44&amp;".prefab",IF(A44&lt;2999,"Unit/Hero/"&amp;A44&amp;"_"&amp;B44&amp;".prefab","Unit/Enemy/Chapter_1_Object/"&amp;A44&amp;"_"&amp;B44&amp;".prefab"))</f>
        <v>Unit/Enemy/Chapter_1_Object/11009_Indian_Flag_Alter.prefab</v>
      </c>
      <c r="M44" s="128" t="s">
        <v>469</v>
      </c>
    </row>
    <row r="45" spans="1:13" s="128" customFormat="1">
      <c r="A45" s="125">
        <v>11010</v>
      </c>
      <c r="B45" s="126" t="str">
        <f>INDEX(ref_Unit_Balance!$C$31:$C$1048576,MATCH(A45,ref_Unit_Balance!$B$31:$B$1048576,0))</f>
        <v>Indian_House</v>
      </c>
      <c r="C45" s="126" t="str">
        <f t="shared" ref="C45:C48" si="15">IF(D45=1,"(원거리)","(근거리)")&amp;B45</f>
        <v>(근거리)Indian_House</v>
      </c>
      <c r="D45" s="37">
        <f>INDEX(ref_Unit_Balance!$J$31:$J$1048576,MATCH(Unitinfo!A45,ref_Unit_Balance!$B$31:$B$1048576,0))</f>
        <v>0</v>
      </c>
      <c r="E45" s="125">
        <v>50</v>
      </c>
      <c r="F45" s="125">
        <v>-1</v>
      </c>
      <c r="G45" s="125">
        <v>1</v>
      </c>
      <c r="H45" s="37">
        <v>20</v>
      </c>
      <c r="I45" s="125">
        <f>IFERROR(INDEX(ref_Unit_Balance!$D$31:$D$1048576,MATCH(Unitinfo!A45,ref_Unit_Balance!$B$31:$B$1048576,0))-1,0)</f>
        <v>0</v>
      </c>
      <c r="J45" s="125" t="str">
        <f t="shared" ref="J45:J48" si="16">"name_"&amp;A45</f>
        <v>name_11010</v>
      </c>
      <c r="K45" s="125" t="str">
        <f t="shared" ref="K45:K48" si="17">"unit_icon_"&amp;A45</f>
        <v>unit_icon_11010</v>
      </c>
      <c r="L45" s="127" t="str">
        <f t="shared" ref="L45" si="18">IF(A45&lt;1999,"Unit/Enemy/Chapter_1/"&amp;A45&amp;"_"&amp;B45&amp;".prefab",IF(A45&lt;2999,"Unit/Hero/"&amp;A45&amp;"_"&amp;B45&amp;".prefab","Unit/Enemy/Chapter_1_Object/"&amp;A45&amp;"_"&amp;B45&amp;".prefab"))</f>
        <v>Unit/Enemy/Chapter_1_Object/11010_Indian_House.prefab</v>
      </c>
      <c r="M45" s="128" t="s">
        <v>212</v>
      </c>
    </row>
    <row r="46" spans="1:13" s="128" customFormat="1">
      <c r="A46" s="125">
        <v>11011</v>
      </c>
      <c r="B46" s="126" t="str">
        <f>INDEX(ref_Unit_Balance!$C$31:$C$1048576,MATCH(A46,ref_Unit_Balance!$B$31:$B$1048576,0))</f>
        <v>Indian_Fire</v>
      </c>
      <c r="C46" s="126" t="str">
        <f t="shared" si="15"/>
        <v>(근거리)Indian_Fire</v>
      </c>
      <c r="D46" s="37">
        <f>INDEX(ref_Unit_Balance!$J$31:$J$1048576,MATCH(Unitinfo!A46,ref_Unit_Balance!$B$31:$B$1048576,0))</f>
        <v>0</v>
      </c>
      <c r="E46" s="125">
        <v>50</v>
      </c>
      <c r="F46" s="125">
        <v>-1</v>
      </c>
      <c r="G46" s="125">
        <v>1</v>
      </c>
      <c r="H46" s="37">
        <v>20</v>
      </c>
      <c r="I46" s="125">
        <f>IFERROR(INDEX(ref_Unit_Balance!$D$31:$D$1048576,MATCH(Unitinfo!A46,ref_Unit_Balance!$B$31:$B$1048576,0))-1,0)</f>
        <v>0</v>
      </c>
      <c r="J46" s="125" t="str">
        <f t="shared" si="16"/>
        <v>name_11011</v>
      </c>
      <c r="K46" s="125" t="str">
        <f t="shared" si="17"/>
        <v>unit_icon_11011</v>
      </c>
      <c r="L46" s="127" t="str">
        <f>IF(A46&lt;1999,"Unit/Enemy/Chapter_1/"&amp;A46&amp;"_"&amp;B46&amp;".prefab",IF(A46&lt;2999,"Unit/Hero/"&amp;A46&amp;"_"&amp;B46&amp;".prefab","Unit/Enemy/Chapter_1_Object/"&amp;A46&amp;"_"&amp;B46&amp;".prefab"))</f>
        <v>Unit/Enemy/Chapter_1_Object/11011_Indian_Fire.prefab</v>
      </c>
      <c r="M46" s="128" t="s">
        <v>212</v>
      </c>
    </row>
    <row r="47" spans="1:13" s="128" customFormat="1">
      <c r="A47" s="125">
        <v>11012</v>
      </c>
      <c r="B47" s="126" t="str">
        <f>INDEX(ref_Unit_Balance!$C$31:$C$1048576,MATCH(A47,ref_Unit_Balance!$B$31:$B$1048576,0))</f>
        <v>Indian_Wall_2</v>
      </c>
      <c r="C47" s="126" t="str">
        <f t="shared" si="15"/>
        <v>(근거리)Indian_Wall_2</v>
      </c>
      <c r="D47" s="37">
        <v>2</v>
      </c>
      <c r="E47" s="125">
        <v>50</v>
      </c>
      <c r="F47" s="125">
        <v>-1</v>
      </c>
      <c r="G47" s="125">
        <v>1</v>
      </c>
      <c r="H47" s="37">
        <v>20</v>
      </c>
      <c r="I47" s="125">
        <f>IFERROR(INDEX(ref_Unit_Balance!$D$31:$D$1048576,MATCH(Unitinfo!A47,ref_Unit_Balance!$B$31:$B$1048576,0))-1,0)</f>
        <v>0</v>
      </c>
      <c r="J47" s="125" t="str">
        <f t="shared" si="16"/>
        <v>name_11012</v>
      </c>
      <c r="K47" s="125" t="s">
        <v>791</v>
      </c>
      <c r="L47" s="127" t="str">
        <f t="shared" ref="L47" si="19">IF(A47&lt;1999,"Unit/Enemy/Chapter_1/"&amp;A47&amp;"_"&amp;B47&amp;".prefab",IF(A47&lt;2999,"Unit/Hero/"&amp;A47&amp;"_"&amp;B47&amp;".prefab","Unit/Enemy/Chapter_1_Object/"&amp;A47&amp;"_"&amp;B47&amp;".prefab"))</f>
        <v>Unit/Enemy/Chapter_1_Object/11012_Indian_Wall_2.prefab</v>
      </c>
      <c r="M47" s="128" t="s">
        <v>212</v>
      </c>
    </row>
    <row r="48" spans="1:13" s="132" customFormat="1">
      <c r="A48" s="129">
        <v>20001</v>
      </c>
      <c r="B48" s="130" t="str">
        <f>INDEX(ref_Unit_Balance!$C$31:$C$1048576,MATCH(A48,ref_Unit_Balance!$B$31:$B$1048576,0))</f>
        <v>DevilCastle</v>
      </c>
      <c r="C48" s="130" t="str">
        <f t="shared" si="15"/>
        <v>(근거리)DevilCastle</v>
      </c>
      <c r="D48" s="129">
        <f>INDEX(ref_Unit_Balance!$J$31:$J$1048576,MATCH(Unitinfo!A48,ref_Unit_Balance!$B$31:$B$1048576,0))</f>
        <v>0</v>
      </c>
      <c r="E48" s="129">
        <v>50</v>
      </c>
      <c r="F48" s="129">
        <v>1</v>
      </c>
      <c r="G48" s="129">
        <v>1</v>
      </c>
      <c r="H48" s="37">
        <v>20</v>
      </c>
      <c r="I48" s="129">
        <f>IFERROR(INDEX(ref_Unit_Balance!$D$31:$D$1048576,MATCH(Unitinfo!A48,ref_Unit_Balance!$B$31:$B$1048576,0))-1,0)</f>
        <v>3</v>
      </c>
      <c r="J48" s="129" t="str">
        <f t="shared" si="16"/>
        <v>name_20001</v>
      </c>
      <c r="K48" s="129" t="str">
        <f t="shared" si="17"/>
        <v>unit_icon_20001</v>
      </c>
      <c r="L48" s="131" t="s">
        <v>245</v>
      </c>
      <c r="M48" s="132" t="s">
        <v>212</v>
      </c>
    </row>
    <row r="49" spans="1:13">
      <c r="A49" s="37">
        <v>2001</v>
      </c>
      <c r="B49" s="38" t="str">
        <f>INDEX(ref_Unit_Balance!$C$31:$C$1048576,MATCH(A49,ref_Unit_Balance!$B$31:$B$1048576,0))</f>
        <v>Slime</v>
      </c>
      <c r="C49" s="38" t="str">
        <f t="shared" ref="C49:C62" si="20">IF(D49=1,"(원거리)","(근거리)")&amp;B49</f>
        <v>(근거리)Slime</v>
      </c>
      <c r="D49" s="37">
        <f>INDEX(ref_Unit_Balance!$J$31:$J$1048576,MATCH(Unitinfo!A49,ref_Unit_Balance!$B$31:$B$1048576,0))</f>
        <v>0</v>
      </c>
      <c r="E49" s="37">
        <v>50</v>
      </c>
      <c r="F49" s="37">
        <v>1</v>
      </c>
      <c r="G49" s="37">
        <v>1</v>
      </c>
      <c r="H49" s="37">
        <v>20</v>
      </c>
      <c r="I49" s="37">
        <f>IFERROR(INDEX(ref_Unit_Balance!$D$31:$D$1048576,MATCH(Unitinfo!A49,ref_Unit_Balance!$B$31:$B$1048576,0))-1,0)</f>
        <v>0</v>
      </c>
      <c r="J49" s="37" t="str">
        <f>"name_"&amp;A49</f>
        <v>name_2001</v>
      </c>
      <c r="K49" s="37" t="str">
        <f t="shared" ref="K49:K64" si="21">"unit_icon_"&amp;A49</f>
        <v>unit_icon_2001</v>
      </c>
      <c r="L49" s="43" t="str">
        <f t="shared" ref="L49:L66" si="22">IF(A49&lt;1999,"Unit/Enemy/Chapter_1/"&amp;A49&amp;"_"&amp;B49&amp;".prefab",IF(A49&lt;2999,"Unit/Hero/"&amp;A49&amp;"_"&amp;B49&amp;".prefab","Unit/Enemy/Chapter_1_Object/"&amp;A49&amp;"_"&amp;B49&amp;".prefab"))</f>
        <v>Unit/Hero/2001_Slime.prefab</v>
      </c>
      <c r="M49" s="35" t="s">
        <v>210</v>
      </c>
    </row>
    <row r="50" spans="1:13">
      <c r="A50" s="37">
        <v>2002</v>
      </c>
      <c r="B50" s="38" t="str">
        <f>INDEX(ref_Unit_Balance!$C$31:$C$1048576,MATCH(A50,ref_Unit_Balance!$B$31:$B$1048576,0))</f>
        <v>Slime_Archer</v>
      </c>
      <c r="C50" s="38" t="str">
        <f t="shared" si="20"/>
        <v>(원거리)Slime_Archer</v>
      </c>
      <c r="D50" s="37">
        <f>INDEX(ref_Unit_Balance!$J$31:$J$1048576,MATCH(Unitinfo!A50,ref_Unit_Balance!$B$31:$B$1048576,0))</f>
        <v>1</v>
      </c>
      <c r="E50" s="37">
        <v>50</v>
      </c>
      <c r="F50" s="37">
        <v>1</v>
      </c>
      <c r="G50" s="37">
        <v>1</v>
      </c>
      <c r="H50" s="37">
        <v>20</v>
      </c>
      <c r="I50" s="37">
        <f>IFERROR(INDEX(ref_Unit_Balance!$D$31:$D$1048576,MATCH(Unitinfo!A50,ref_Unit_Balance!$B$31:$B$1048576,0))-1,0)</f>
        <v>0</v>
      </c>
      <c r="J50" s="37" t="str">
        <f>"name_"&amp;A50</f>
        <v>name_2002</v>
      </c>
      <c r="K50" s="37" t="str">
        <f t="shared" si="21"/>
        <v>unit_icon_2002</v>
      </c>
      <c r="L50" s="43" t="str">
        <f t="shared" si="22"/>
        <v>Unit/Hero/2002_Slime_Archer.prefab</v>
      </c>
      <c r="M50" s="35" t="s">
        <v>210</v>
      </c>
    </row>
    <row r="51" spans="1:13">
      <c r="A51" s="37">
        <v>2003</v>
      </c>
      <c r="B51" s="38" t="str">
        <f>INDEX(ref_Unit_Balance!$C$31:$C$1048576,MATCH(A51,ref_Unit_Balance!$B$31:$B$1048576,0))</f>
        <v>Skeleton_Sword</v>
      </c>
      <c r="C51" s="38" t="str">
        <f t="shared" si="20"/>
        <v>(근거리)Skeleton_Sword</v>
      </c>
      <c r="D51" s="37">
        <v>2</v>
      </c>
      <c r="E51" s="37">
        <v>50</v>
      </c>
      <c r="F51" s="37">
        <v>1</v>
      </c>
      <c r="G51" s="37">
        <v>1</v>
      </c>
      <c r="H51" s="37">
        <v>20</v>
      </c>
      <c r="I51" s="37">
        <f>IFERROR(INDEX(ref_Unit_Balance!$D$31:$D$1048576,MATCH(Unitinfo!A51,ref_Unit_Balance!$B$31:$B$1048576,0))-1,0)</f>
        <v>0</v>
      </c>
      <c r="J51" s="37" t="str">
        <f>"name_"&amp;A51</f>
        <v>name_2003</v>
      </c>
      <c r="K51" s="37" t="str">
        <f t="shared" si="21"/>
        <v>unit_icon_2003</v>
      </c>
      <c r="L51" s="43" t="str">
        <f t="shared" si="22"/>
        <v>Unit/Hero/2003_Skeleton_Sword.prefab</v>
      </c>
      <c r="M51" s="35" t="s">
        <v>210</v>
      </c>
    </row>
    <row r="52" spans="1:13">
      <c r="A52" s="37">
        <v>2004</v>
      </c>
      <c r="B52" s="38" t="str">
        <f>INDEX(ref_Unit_Balance!$C$31:$C$1048576,MATCH(A52,ref_Unit_Balance!$B$31:$B$1048576,0))</f>
        <v>Skeleton_Archer</v>
      </c>
      <c r="C52" s="38" t="str">
        <f t="shared" si="20"/>
        <v>(원거리)Skeleton_Archer</v>
      </c>
      <c r="D52" s="37">
        <f>INDEX(ref_Unit_Balance!$J$31:$J$1048576,MATCH(Unitinfo!A52,ref_Unit_Balance!$B$31:$B$1048576,0))</f>
        <v>1</v>
      </c>
      <c r="E52" s="37">
        <v>50</v>
      </c>
      <c r="F52" s="37">
        <v>1</v>
      </c>
      <c r="G52" s="37">
        <v>1</v>
      </c>
      <c r="H52" s="37">
        <v>20</v>
      </c>
      <c r="I52" s="37">
        <f>IFERROR(INDEX(ref_Unit_Balance!$D$31:$D$1048576,MATCH(Unitinfo!A52,ref_Unit_Balance!$B$31:$B$1048576,0))-1,0)</f>
        <v>0</v>
      </c>
      <c r="J52" s="37" t="str">
        <f t="shared" ref="J52:J59" si="23">"name_"&amp;A52</f>
        <v>name_2004</v>
      </c>
      <c r="K52" s="37" t="str">
        <f t="shared" si="21"/>
        <v>unit_icon_2004</v>
      </c>
      <c r="L52" s="43" t="str">
        <f t="shared" si="22"/>
        <v>Unit/Hero/2004_Skeleton_Archer.prefab</v>
      </c>
      <c r="M52" s="35" t="s">
        <v>210</v>
      </c>
    </row>
    <row r="53" spans="1:13">
      <c r="A53" s="37">
        <v>2005</v>
      </c>
      <c r="B53" s="38" t="str">
        <f>INDEX(ref_Unit_Balance!$C$31:$C$1048576,MATCH(A53,ref_Unit_Balance!$B$31:$B$1048576,0))</f>
        <v>Skeleton_Witch</v>
      </c>
      <c r="C53" s="38" t="str">
        <f t="shared" si="20"/>
        <v>(원거리)Skeleton_Witch</v>
      </c>
      <c r="D53" s="37">
        <f>INDEX(ref_Unit_Balance!$J$31:$J$1048576,MATCH(Unitinfo!A53,ref_Unit_Balance!$B$31:$B$1048576,0))</f>
        <v>1</v>
      </c>
      <c r="E53" s="37">
        <v>50</v>
      </c>
      <c r="F53" s="37">
        <v>1</v>
      </c>
      <c r="G53" s="37">
        <v>1</v>
      </c>
      <c r="H53" s="37">
        <v>20</v>
      </c>
      <c r="I53" s="37">
        <f>IFERROR(INDEX(ref_Unit_Balance!$D$31:$D$1048576,MATCH(Unitinfo!A53,ref_Unit_Balance!$B$31:$B$1048576,0))-1,0)</f>
        <v>0</v>
      </c>
      <c r="J53" s="37" t="str">
        <f t="shared" si="23"/>
        <v>name_2005</v>
      </c>
      <c r="K53" s="37" t="str">
        <f t="shared" si="21"/>
        <v>unit_icon_2005</v>
      </c>
      <c r="L53" s="43" t="str">
        <f t="shared" si="22"/>
        <v>Unit/Hero/2005_Skeleton_Witch.prefab</v>
      </c>
      <c r="M53" s="35" t="s">
        <v>210</v>
      </c>
    </row>
    <row r="54" spans="1:13">
      <c r="A54" s="37">
        <v>2006</v>
      </c>
      <c r="B54" s="38" t="str">
        <f>INDEX(ref_Unit_Balance!$C$31:$C$1048576,MATCH(A54,ref_Unit_Balance!$B$31:$B$1048576,0))</f>
        <v>Zombie_Hand</v>
      </c>
      <c r="C54" s="38" t="str">
        <f t="shared" si="20"/>
        <v>(근거리)Zombie_Hand</v>
      </c>
      <c r="D54" s="37">
        <f>INDEX(ref_Unit_Balance!$J$31:$J$1048576,MATCH(Unitinfo!A54,ref_Unit_Balance!$B$31:$B$1048576,0))</f>
        <v>0</v>
      </c>
      <c r="E54" s="37">
        <v>50</v>
      </c>
      <c r="F54" s="37">
        <v>1</v>
      </c>
      <c r="G54" s="37">
        <v>1</v>
      </c>
      <c r="H54" s="37">
        <v>20</v>
      </c>
      <c r="I54" s="37">
        <f>IFERROR(INDEX(ref_Unit_Balance!$D$31:$D$1048576,MATCH(Unitinfo!A54,ref_Unit_Balance!$B$31:$B$1048576,0))-1,0)</f>
        <v>0</v>
      </c>
      <c r="J54" s="37" t="str">
        <f t="shared" si="23"/>
        <v>name_2006</v>
      </c>
      <c r="K54" s="37" t="str">
        <f t="shared" si="21"/>
        <v>unit_icon_2006</v>
      </c>
      <c r="L54" s="43" t="str">
        <f t="shared" si="22"/>
        <v>Unit/Hero/2006_Zombie_Hand.prefab</v>
      </c>
      <c r="M54" s="35" t="s">
        <v>210</v>
      </c>
    </row>
    <row r="55" spans="1:13">
      <c r="A55" s="37">
        <v>2007</v>
      </c>
      <c r="B55" s="38" t="str">
        <f>INDEX(ref_Unit_Balance!$C$31:$C$1048576,MATCH(A55,ref_Unit_Balance!$B$31:$B$1048576,0))</f>
        <v>Zombie_Shield</v>
      </c>
      <c r="C55" s="38" t="str">
        <f t="shared" si="20"/>
        <v>(근거리)Zombie_Shield</v>
      </c>
      <c r="D55" s="37">
        <f>INDEX(ref_Unit_Balance!$J$31:$J$1048576,MATCH(Unitinfo!A55,ref_Unit_Balance!$B$31:$B$1048576,0))</f>
        <v>0</v>
      </c>
      <c r="E55" s="37">
        <v>50</v>
      </c>
      <c r="F55" s="37">
        <v>1</v>
      </c>
      <c r="G55" s="37">
        <v>1</v>
      </c>
      <c r="H55" s="37">
        <v>20</v>
      </c>
      <c r="I55" s="37">
        <f>IFERROR(INDEX(ref_Unit_Balance!$D$31:$D$1048576,MATCH(Unitinfo!A55,ref_Unit_Balance!$B$31:$B$1048576,0))-1,0)</f>
        <v>0</v>
      </c>
      <c r="J55" s="37" t="str">
        <f t="shared" si="23"/>
        <v>name_2007</v>
      </c>
      <c r="K55" s="37" t="str">
        <f t="shared" si="21"/>
        <v>unit_icon_2007</v>
      </c>
      <c r="L55" s="43" t="str">
        <f t="shared" si="22"/>
        <v>Unit/Hero/2007_Zombie_Shield.prefab</v>
      </c>
      <c r="M55" s="35" t="s">
        <v>210</v>
      </c>
    </row>
    <row r="56" spans="1:13">
      <c r="A56" s="37">
        <v>2008</v>
      </c>
      <c r="B56" s="38" t="str">
        <f>INDEX(ref_Unit_Balance!$C$31:$C$1048576,MATCH(A56,ref_Unit_Balance!$B$31:$B$1048576,0))</f>
        <v>Zombie_Sword</v>
      </c>
      <c r="C56" s="38" t="str">
        <f t="shared" si="20"/>
        <v>(근거리)Zombie_Sword</v>
      </c>
      <c r="D56" s="37">
        <f>INDEX(ref_Unit_Balance!$J$31:$J$1048576,MATCH(Unitinfo!A56,ref_Unit_Balance!$B$31:$B$1048576,0))</f>
        <v>0</v>
      </c>
      <c r="E56" s="37">
        <v>50</v>
      </c>
      <c r="F56" s="37">
        <v>1</v>
      </c>
      <c r="G56" s="37">
        <v>1</v>
      </c>
      <c r="H56" s="37">
        <v>20</v>
      </c>
      <c r="I56" s="37">
        <f>IFERROR(INDEX(ref_Unit_Balance!$D$31:$D$1048576,MATCH(Unitinfo!A56,ref_Unit_Balance!$B$31:$B$1048576,0))-1,0)</f>
        <v>0</v>
      </c>
      <c r="J56" s="37" t="str">
        <f t="shared" si="23"/>
        <v>name_2008</v>
      </c>
      <c r="K56" s="37" t="str">
        <f t="shared" si="21"/>
        <v>unit_icon_2008</v>
      </c>
      <c r="L56" s="43" t="str">
        <f t="shared" si="22"/>
        <v>Unit/Hero/2008_Zombie_Sword.prefab</v>
      </c>
      <c r="M56" s="35" t="s">
        <v>210</v>
      </c>
    </row>
    <row r="57" spans="1:13">
      <c r="A57" s="37">
        <v>2009</v>
      </c>
      <c r="B57" s="38" t="str">
        <f>INDEX(ref_Unit_Balance!$C$31:$C$1048576,MATCH(A57,ref_Unit_Balance!$B$31:$B$1048576,0))</f>
        <v>Witch_Fire</v>
      </c>
      <c r="C57" s="38" t="str">
        <f t="shared" si="20"/>
        <v>(원거리)Witch_Fire</v>
      </c>
      <c r="D57" s="37">
        <f>INDEX(ref_Unit_Balance!$J$31:$J$1048576,MATCH(Unitinfo!A57,ref_Unit_Balance!$B$31:$B$1048576,0))</f>
        <v>1</v>
      </c>
      <c r="E57" s="37">
        <v>50</v>
      </c>
      <c r="F57" s="37">
        <v>1</v>
      </c>
      <c r="G57" s="37">
        <v>1</v>
      </c>
      <c r="H57" s="37">
        <v>20</v>
      </c>
      <c r="I57" s="37">
        <f>IFERROR(INDEX(ref_Unit_Balance!$D$31:$D$1048576,MATCH(Unitinfo!A57,ref_Unit_Balance!$B$31:$B$1048576,0))-1,0)</f>
        <v>2</v>
      </c>
      <c r="J57" s="37" t="str">
        <f t="shared" si="23"/>
        <v>name_2009</v>
      </c>
      <c r="K57" s="37" t="str">
        <f t="shared" si="21"/>
        <v>unit_icon_2009</v>
      </c>
      <c r="L57" s="43" t="str">
        <f t="shared" si="22"/>
        <v>Unit/Hero/2009_Witch_Fire.prefab</v>
      </c>
      <c r="M57" s="35" t="s">
        <v>210</v>
      </c>
    </row>
    <row r="58" spans="1:13">
      <c r="A58" s="37">
        <v>2010</v>
      </c>
      <c r="B58" s="38" t="str">
        <f>INDEX(ref_Unit_Balance!$C$31:$C$1048576,MATCH(A58,ref_Unit_Balance!$B$31:$B$1048576,0))</f>
        <v>Witch_Thunder</v>
      </c>
      <c r="C58" s="38" t="str">
        <f t="shared" si="20"/>
        <v>(원거리)Witch_Thunder</v>
      </c>
      <c r="D58" s="37">
        <f>INDEX(ref_Unit_Balance!$J$31:$J$1048576,MATCH(Unitinfo!A58,ref_Unit_Balance!$B$31:$B$1048576,0))</f>
        <v>1</v>
      </c>
      <c r="E58" s="37">
        <v>50</v>
      </c>
      <c r="F58" s="37">
        <v>1</v>
      </c>
      <c r="G58" s="37">
        <v>1</v>
      </c>
      <c r="H58" s="37">
        <v>20</v>
      </c>
      <c r="I58" s="37">
        <f>IFERROR(INDEX(ref_Unit_Balance!$D$31:$D$1048576,MATCH(Unitinfo!A58,ref_Unit_Balance!$B$31:$B$1048576,0))-1,0)</f>
        <v>2</v>
      </c>
      <c r="J58" s="37" t="str">
        <f t="shared" si="23"/>
        <v>name_2010</v>
      </c>
      <c r="K58" s="37" t="str">
        <f t="shared" si="21"/>
        <v>unit_icon_2010</v>
      </c>
      <c r="L58" s="43" t="str">
        <f t="shared" si="22"/>
        <v>Unit/Hero/2010_Witch_Thunder.prefab</v>
      </c>
      <c r="M58" s="35" t="s">
        <v>210</v>
      </c>
    </row>
    <row r="59" spans="1:13">
      <c r="A59" s="37">
        <v>2011</v>
      </c>
      <c r="B59" s="38" t="str">
        <f>INDEX(ref_Unit_Balance!$C$31:$C$1048576,MATCH(A59,ref_Unit_Balance!$B$31:$B$1048576,0))</f>
        <v>Witch_Poison</v>
      </c>
      <c r="C59" s="38" t="str">
        <f t="shared" si="20"/>
        <v>(원거리)Witch_Poison</v>
      </c>
      <c r="D59" s="37">
        <f>INDEX(ref_Unit_Balance!$J$31:$J$1048576,MATCH(Unitinfo!A59,ref_Unit_Balance!$B$31:$B$1048576,0))</f>
        <v>1</v>
      </c>
      <c r="E59" s="37">
        <v>50</v>
      </c>
      <c r="F59" s="37">
        <v>1</v>
      </c>
      <c r="G59" s="37">
        <v>1</v>
      </c>
      <c r="H59" s="37">
        <v>20</v>
      </c>
      <c r="I59" s="37">
        <f>IFERROR(INDEX(ref_Unit_Balance!$D$31:$D$1048576,MATCH(Unitinfo!A59,ref_Unit_Balance!$B$31:$B$1048576,0))-1,0)</f>
        <v>2</v>
      </c>
      <c r="J59" s="37" t="str">
        <f t="shared" si="23"/>
        <v>name_2011</v>
      </c>
      <c r="K59" s="37" t="str">
        <f t="shared" si="21"/>
        <v>unit_icon_2011</v>
      </c>
      <c r="L59" s="43" t="str">
        <f t="shared" si="22"/>
        <v>Unit/Hero/2011_Witch_Poison.prefab</v>
      </c>
      <c r="M59" s="35" t="s">
        <v>210</v>
      </c>
    </row>
    <row r="60" spans="1:13">
      <c r="A60" s="37">
        <v>2012</v>
      </c>
      <c r="B60" s="38" t="str">
        <f>INDEX(ref_Unit_Balance!$C$31:$C$1048576,MATCH(A60,ref_Unit_Balance!$B$31:$B$1048576,0))</f>
        <v>Goblin_Stone</v>
      </c>
      <c r="C60" s="38" t="str">
        <f t="shared" si="20"/>
        <v>(원거리)Goblin_Stone</v>
      </c>
      <c r="D60" s="37">
        <f>INDEX(ref_Unit_Balance!$J$31:$J$1048576,MATCH(Unitinfo!A60,ref_Unit_Balance!$B$31:$B$1048576,0))</f>
        <v>1</v>
      </c>
      <c r="E60" s="37">
        <v>50</v>
      </c>
      <c r="F60" s="37">
        <v>1</v>
      </c>
      <c r="G60" s="37">
        <v>1</v>
      </c>
      <c r="H60" s="37">
        <v>20</v>
      </c>
      <c r="I60" s="37">
        <f>IFERROR(INDEX(ref_Unit_Balance!$D$31:$D$1048576,MATCH(Unitinfo!A60,ref_Unit_Balance!$B$31:$B$1048576,0))-1,0)</f>
        <v>1</v>
      </c>
      <c r="J60" s="37" t="str">
        <f>"name_"&amp;A60</f>
        <v>name_2012</v>
      </c>
      <c r="K60" s="37" t="str">
        <f t="shared" si="21"/>
        <v>unit_icon_2012</v>
      </c>
      <c r="L60" s="43" t="str">
        <f t="shared" si="22"/>
        <v>Unit/Hero/2012_Goblin_Stone.prefab</v>
      </c>
      <c r="M60" s="35" t="s">
        <v>210</v>
      </c>
    </row>
    <row r="61" spans="1:13">
      <c r="A61" s="37">
        <v>2013</v>
      </c>
      <c r="B61" s="38" t="str">
        <f>INDEX(ref_Unit_Balance!$C$31:$C$1048576,MATCH(A61,ref_Unit_Balance!$B$31:$B$1048576,0))</f>
        <v>Goblin_Club</v>
      </c>
      <c r="C61" s="38" t="str">
        <f t="shared" si="20"/>
        <v>(근거리)Goblin_Club</v>
      </c>
      <c r="D61" s="37">
        <f>INDEX(ref_Unit_Balance!$J$31:$J$1048576,MATCH(Unitinfo!A61,ref_Unit_Balance!$B$31:$B$1048576,0))</f>
        <v>0</v>
      </c>
      <c r="E61" s="37">
        <v>50</v>
      </c>
      <c r="F61" s="37">
        <v>1</v>
      </c>
      <c r="G61" s="37">
        <v>1</v>
      </c>
      <c r="H61" s="37">
        <v>20</v>
      </c>
      <c r="I61" s="37">
        <f>IFERROR(INDEX(ref_Unit_Balance!$D$31:$D$1048576,MATCH(Unitinfo!A61,ref_Unit_Balance!$B$31:$B$1048576,0))-1,0)</f>
        <v>1</v>
      </c>
      <c r="J61" s="37" t="str">
        <f>"name_"&amp;A61</f>
        <v>name_2013</v>
      </c>
      <c r="K61" s="37" t="str">
        <f t="shared" si="21"/>
        <v>unit_icon_2013</v>
      </c>
      <c r="L61" s="43" t="str">
        <f t="shared" si="22"/>
        <v>Unit/Hero/2013_Goblin_Club.prefab</v>
      </c>
      <c r="M61" s="35" t="s">
        <v>210</v>
      </c>
    </row>
    <row r="62" spans="1:13">
      <c r="A62" s="37">
        <v>2014</v>
      </c>
      <c r="B62" s="38" t="str">
        <f>INDEX(ref_Unit_Balance!$C$31:$C$1048576,MATCH(A62,ref_Unit_Balance!$B$31:$B$1048576,0))</f>
        <v>Goblin_Baby</v>
      </c>
      <c r="C62" s="38" t="str">
        <f t="shared" si="20"/>
        <v>(근거리)Goblin_Baby</v>
      </c>
      <c r="D62" s="37">
        <f>INDEX(ref_Unit_Balance!$J$31:$J$1048576,MATCH(Unitinfo!A62,ref_Unit_Balance!$B$31:$B$1048576,0))</f>
        <v>0</v>
      </c>
      <c r="E62" s="37">
        <v>50</v>
      </c>
      <c r="F62" s="37">
        <v>1</v>
      </c>
      <c r="G62" s="37">
        <v>1</v>
      </c>
      <c r="H62" s="37">
        <v>20</v>
      </c>
      <c r="I62" s="37">
        <f>IFERROR(INDEX(ref_Unit_Balance!$D$31:$D$1048576,MATCH(Unitinfo!A62,ref_Unit_Balance!$B$31:$B$1048576,0))-1,0)</f>
        <v>1</v>
      </c>
      <c r="J62" s="37" t="str">
        <f>"name_"&amp;A62</f>
        <v>name_2014</v>
      </c>
      <c r="K62" s="37" t="str">
        <f t="shared" si="21"/>
        <v>unit_icon_2014</v>
      </c>
      <c r="L62" s="43" t="str">
        <f t="shared" si="22"/>
        <v>Unit/Hero/2014_Goblin_Baby.prefab</v>
      </c>
      <c r="M62" s="35" t="s">
        <v>210</v>
      </c>
    </row>
    <row r="63" spans="1:13">
      <c r="A63" s="37">
        <v>2015</v>
      </c>
      <c r="B63" s="38" t="str">
        <f>INDEX(ref_Unit_Balance!$C$31:$C$1048576,MATCH(A63,ref_Unit_Balance!$B$31:$B$1048576,0))</f>
        <v>Orc_Stone</v>
      </c>
      <c r="C63" s="38" t="str">
        <f t="shared" ref="C63:C79" si="24">IF(D63=1,"(원거리)","(근거리)")&amp;B63</f>
        <v>(원거리)Orc_Stone</v>
      </c>
      <c r="D63" s="37">
        <f>INDEX(ref_Unit_Balance!$J$31:$J$1048576,MATCH(Unitinfo!A63,ref_Unit_Balance!$B$31:$B$1048576,0))</f>
        <v>1</v>
      </c>
      <c r="E63" s="37">
        <v>50</v>
      </c>
      <c r="F63" s="37">
        <v>1</v>
      </c>
      <c r="G63" s="37">
        <v>1</v>
      </c>
      <c r="H63" s="37">
        <v>20</v>
      </c>
      <c r="I63" s="37">
        <f>IFERROR(INDEX(ref_Unit_Balance!$D$31:$D$1048576,MATCH(Unitinfo!A63,ref_Unit_Balance!$B$31:$B$1048576,0))-1,0)</f>
        <v>2</v>
      </c>
      <c r="J63" s="37" t="str">
        <f>"name_"&amp;A63</f>
        <v>name_2015</v>
      </c>
      <c r="K63" s="37" t="str">
        <f t="shared" si="21"/>
        <v>unit_icon_2015</v>
      </c>
      <c r="L63" s="43" t="str">
        <f t="shared" si="22"/>
        <v>Unit/Hero/2015_Orc_Stone.prefab</v>
      </c>
      <c r="M63" s="35" t="s">
        <v>210</v>
      </c>
    </row>
    <row r="64" spans="1:13">
      <c r="A64" s="37">
        <v>2016</v>
      </c>
      <c r="B64" s="38" t="str">
        <f>INDEX(ref_Unit_Balance!$C$31:$C$1048576,MATCH(A64,ref_Unit_Balance!$B$31:$B$1048576,0))</f>
        <v>Orc_Club</v>
      </c>
      <c r="C64" s="38" t="str">
        <f t="shared" si="24"/>
        <v>(근거리)Orc_Club</v>
      </c>
      <c r="D64" s="37">
        <f>INDEX(ref_Unit_Balance!$J$31:$J$1048576,MATCH(Unitinfo!A64,ref_Unit_Balance!$B$31:$B$1048576,0))</f>
        <v>0</v>
      </c>
      <c r="E64" s="37">
        <v>50</v>
      </c>
      <c r="F64" s="37">
        <v>1</v>
      </c>
      <c r="G64" s="37">
        <v>1</v>
      </c>
      <c r="H64" s="37">
        <v>20</v>
      </c>
      <c r="I64" s="37">
        <f>IFERROR(INDEX(ref_Unit_Balance!$D$31:$D$1048576,MATCH(Unitinfo!A64,ref_Unit_Balance!$B$31:$B$1048576,0))-1,0)</f>
        <v>2</v>
      </c>
      <c r="J64" s="37" t="str">
        <f>"name_"&amp;A64</f>
        <v>name_2016</v>
      </c>
      <c r="K64" s="37" t="str">
        <f t="shared" si="21"/>
        <v>unit_icon_2016</v>
      </c>
      <c r="L64" s="43" t="str">
        <f t="shared" si="22"/>
        <v>Unit/Hero/2016_Orc_Club.prefab</v>
      </c>
      <c r="M64" s="35" t="s">
        <v>210</v>
      </c>
    </row>
    <row r="65" spans="1:13">
      <c r="A65" s="37">
        <v>2017</v>
      </c>
      <c r="B65" s="38" t="str">
        <f>INDEX(ref_Unit_Balance!$C$31:$C$1048576,MATCH(A65,ref_Unit_Balance!$B$31:$B$1048576,0))</f>
        <v>Dragon</v>
      </c>
      <c r="C65" s="38" t="str">
        <f t="shared" si="24"/>
        <v>(근거리)Dragon</v>
      </c>
      <c r="D65" s="37">
        <f>INDEX(ref_Unit_Balance!$J$31:$J$1048576,MATCH(Unitinfo!A65,ref_Unit_Balance!$B$31:$B$1048576,0))</f>
        <v>0</v>
      </c>
      <c r="E65" s="37">
        <v>50</v>
      </c>
      <c r="F65" s="37">
        <v>1</v>
      </c>
      <c r="G65" s="37">
        <v>1</v>
      </c>
      <c r="H65" s="37">
        <v>20</v>
      </c>
      <c r="I65" s="37">
        <f>IFERROR(INDEX(ref_Unit_Balance!$D$31:$D$1048576,MATCH(Unitinfo!A65,ref_Unit_Balance!$B$31:$B$1048576,0))-1,0)</f>
        <v>3</v>
      </c>
      <c r="J65" s="37" t="str">
        <f t="shared" ref="J65:J75" si="25">"name_"&amp;A65</f>
        <v>name_2017</v>
      </c>
      <c r="K65" s="37" t="str">
        <f t="shared" ref="K65:K75" si="26">"unit_icon_"&amp;A65</f>
        <v>unit_icon_2017</v>
      </c>
      <c r="L65" s="43" t="str">
        <f t="shared" si="22"/>
        <v>Unit/Hero/2017_Dragon.prefab</v>
      </c>
      <c r="M65" s="35" t="s">
        <v>210</v>
      </c>
    </row>
    <row r="66" spans="1:13">
      <c r="A66" s="37">
        <v>2018</v>
      </c>
      <c r="B66" s="38" t="str">
        <f>INDEX(ref_Unit_Balance!$C$31:$C$1048576,MATCH(A66,ref_Unit_Balance!$B$31:$B$1048576,0))</f>
        <v>Dragon_Fire</v>
      </c>
      <c r="C66" s="38" t="str">
        <f t="shared" si="24"/>
        <v>(원거리)Dragon_Fire</v>
      </c>
      <c r="D66" s="37">
        <f>INDEX(ref_Unit_Balance!$J$31:$J$1048576,MATCH(Unitinfo!A66,ref_Unit_Balance!$B$31:$B$1048576,0))</f>
        <v>1</v>
      </c>
      <c r="E66" s="37">
        <v>50</v>
      </c>
      <c r="F66" s="37">
        <v>1</v>
      </c>
      <c r="G66" s="37">
        <v>1</v>
      </c>
      <c r="H66" s="37">
        <v>20</v>
      </c>
      <c r="I66" s="37">
        <f>IFERROR(INDEX(ref_Unit_Balance!$D$31:$D$1048576,MATCH(Unitinfo!A66,ref_Unit_Balance!$B$31:$B$1048576,0))-1,0)</f>
        <v>3</v>
      </c>
      <c r="J66" s="37" t="str">
        <f t="shared" si="25"/>
        <v>name_2018</v>
      </c>
      <c r="K66" s="37" t="str">
        <f t="shared" si="26"/>
        <v>unit_icon_2018</v>
      </c>
      <c r="L66" s="43" t="str">
        <f t="shared" si="22"/>
        <v>Unit/Hero/2018_Dragon_Fire.prefab</v>
      </c>
      <c r="M66" s="35" t="s">
        <v>210</v>
      </c>
    </row>
    <row r="67" spans="1:13">
      <c r="A67" s="37">
        <v>2019</v>
      </c>
      <c r="B67" s="38" t="str">
        <f>INDEX(ref_Unit_Balance!$C$31:$C$1048576,MATCH(A67,ref_Unit_Balance!$B$31:$B$1048576,0))</f>
        <v>Slime_Red</v>
      </c>
      <c r="C67" s="38" t="str">
        <f t="shared" si="24"/>
        <v>(근거리)Slime_Red</v>
      </c>
      <c r="D67" s="37">
        <f>INDEX(ref_Unit_Balance!$J$31:$J$1048576,MATCH(Unitinfo!A67,ref_Unit_Balance!$B$31:$B$1048576,0))</f>
        <v>0</v>
      </c>
      <c r="E67" s="37">
        <v>50</v>
      </c>
      <c r="F67" s="37">
        <v>1</v>
      </c>
      <c r="G67" s="37">
        <v>1</v>
      </c>
      <c r="H67" s="37">
        <v>20</v>
      </c>
      <c r="I67" s="37">
        <f>IFERROR(INDEX(ref_Unit_Balance!$D$31:$D$1048576,MATCH(Unitinfo!A67,ref_Unit_Balance!$B$31:$B$1048576,0))-1,0)</f>
        <v>0</v>
      </c>
      <c r="J67" s="37" t="str">
        <f t="shared" si="25"/>
        <v>name_2019</v>
      </c>
      <c r="K67" s="37" t="str">
        <f t="shared" si="26"/>
        <v>unit_icon_2019</v>
      </c>
      <c r="L67" s="43" t="str">
        <f t="shared" ref="L67:L75" si="27">IF(A67&lt;1999,"Unit/Enemy/Chapter_1/"&amp;A67&amp;"_"&amp;B67&amp;".prefab",IF(A67&lt;2999,"Unit/Hero/"&amp;A67&amp;"_"&amp;B67&amp;".prefab","Unit/Enemy/Chapter_1_Object/"&amp;A67&amp;"_"&amp;B67&amp;".prefab"))</f>
        <v>Unit/Hero/2019_Slime_Red.prefab</v>
      </c>
      <c r="M67" s="35" t="s">
        <v>210</v>
      </c>
    </row>
    <row r="68" spans="1:13">
      <c r="A68" s="37">
        <v>2020</v>
      </c>
      <c r="B68" s="38" t="str">
        <f>INDEX(ref_Unit_Balance!$C$31:$C$1048576,MATCH(A68,ref_Unit_Balance!$B$31:$B$1048576,0))</f>
        <v>Slime_Yellow</v>
      </c>
      <c r="C68" s="38" t="str">
        <f t="shared" si="24"/>
        <v>(근거리)Slime_Yellow</v>
      </c>
      <c r="D68" s="37">
        <f>INDEX(ref_Unit_Balance!$J$31:$J$1048576,MATCH(Unitinfo!A68,ref_Unit_Balance!$B$31:$B$1048576,0))</f>
        <v>0</v>
      </c>
      <c r="E68" s="37">
        <v>50</v>
      </c>
      <c r="F68" s="37">
        <v>1</v>
      </c>
      <c r="G68" s="37">
        <v>1</v>
      </c>
      <c r="H68" s="37">
        <v>20</v>
      </c>
      <c r="I68" s="37">
        <f>IFERROR(INDEX(ref_Unit_Balance!$D$31:$D$1048576,MATCH(Unitinfo!A68,ref_Unit_Balance!$B$31:$B$1048576,0))-1,0)</f>
        <v>0</v>
      </c>
      <c r="J68" s="37" t="str">
        <f t="shared" si="25"/>
        <v>name_2020</v>
      </c>
      <c r="K68" s="37" t="str">
        <f t="shared" si="26"/>
        <v>unit_icon_2020</v>
      </c>
      <c r="L68" s="43" t="str">
        <f t="shared" si="27"/>
        <v>Unit/Hero/2020_Slime_Yellow.prefab</v>
      </c>
      <c r="M68" s="35" t="s">
        <v>210</v>
      </c>
    </row>
    <row r="69" spans="1:13">
      <c r="A69" s="37">
        <v>2021</v>
      </c>
      <c r="B69" s="38" t="str">
        <f>INDEX(ref_Unit_Balance!$C$31:$C$1048576,MATCH(A69,ref_Unit_Balance!$B$31:$B$1048576,0))</f>
        <v>Slime_Archer_Red</v>
      </c>
      <c r="C69" s="38" t="str">
        <f t="shared" si="24"/>
        <v>(원거리)Slime_Archer_Red</v>
      </c>
      <c r="D69" s="37">
        <f>INDEX(ref_Unit_Balance!$J$31:$J$1048576,MATCH(Unitinfo!A69,ref_Unit_Balance!$B$31:$B$1048576,0))</f>
        <v>1</v>
      </c>
      <c r="E69" s="37">
        <v>50</v>
      </c>
      <c r="F69" s="37">
        <v>1</v>
      </c>
      <c r="G69" s="37">
        <v>1</v>
      </c>
      <c r="H69" s="37">
        <v>20</v>
      </c>
      <c r="I69" s="37">
        <f>IFERROR(INDEX(ref_Unit_Balance!$D$31:$D$1048576,MATCH(Unitinfo!A69,ref_Unit_Balance!$B$31:$B$1048576,0))-1,0)</f>
        <v>0</v>
      </c>
      <c r="J69" s="37" t="str">
        <f t="shared" si="25"/>
        <v>name_2021</v>
      </c>
      <c r="K69" s="37" t="str">
        <f t="shared" si="26"/>
        <v>unit_icon_2021</v>
      </c>
      <c r="L69" s="43" t="str">
        <f t="shared" si="27"/>
        <v>Unit/Hero/2021_Slime_Archer_Red.prefab</v>
      </c>
      <c r="M69" s="35" t="s">
        <v>210</v>
      </c>
    </row>
    <row r="70" spans="1:13">
      <c r="A70" s="37">
        <v>2022</v>
      </c>
      <c r="B70" s="38" t="str">
        <f>INDEX(ref_Unit_Balance!$C$31:$C$1048576,MATCH(A70,ref_Unit_Balance!$B$31:$B$1048576,0))</f>
        <v>Slime_Archer_Yellow</v>
      </c>
      <c r="C70" s="38" t="str">
        <f t="shared" si="24"/>
        <v>(원거리)Slime_Archer_Yellow</v>
      </c>
      <c r="D70" s="37">
        <f>INDEX(ref_Unit_Balance!$J$31:$J$1048576,MATCH(Unitinfo!A70,ref_Unit_Balance!$B$31:$B$1048576,0))</f>
        <v>1</v>
      </c>
      <c r="E70" s="37">
        <v>50</v>
      </c>
      <c r="F70" s="37">
        <v>1</v>
      </c>
      <c r="G70" s="37">
        <v>1</v>
      </c>
      <c r="H70" s="37">
        <v>20</v>
      </c>
      <c r="I70" s="37">
        <f>IFERROR(INDEX(ref_Unit_Balance!$D$31:$D$1048576,MATCH(Unitinfo!A70,ref_Unit_Balance!$B$31:$B$1048576,0))-1,0)</f>
        <v>0</v>
      </c>
      <c r="J70" s="37" t="str">
        <f t="shared" si="25"/>
        <v>name_2022</v>
      </c>
      <c r="K70" s="37" t="str">
        <f t="shared" si="26"/>
        <v>unit_icon_2022</v>
      </c>
      <c r="L70" s="43" t="str">
        <f t="shared" si="27"/>
        <v>Unit/Hero/2022_Slime_Archer_Yellow.prefab</v>
      </c>
      <c r="M70" s="35" t="s">
        <v>210</v>
      </c>
    </row>
    <row r="71" spans="1:13">
      <c r="A71" s="37">
        <v>2023</v>
      </c>
      <c r="B71" s="38" t="str">
        <f>INDEX(ref_Unit_Balance!$C$31:$C$1048576,MATCH(A71,ref_Unit_Balance!$B$31:$B$1048576,0))</f>
        <v>Soul_Skeleton_Sword</v>
      </c>
      <c r="C71" s="38" t="str">
        <f t="shared" si="24"/>
        <v>(근거리)Soul_Skeleton_Sword</v>
      </c>
      <c r="D71" s="37">
        <f>INDEX(ref_Unit_Balance!$J$31:$J$1048576,MATCH(Unitinfo!A71,ref_Unit_Balance!$B$31:$B$1048576,0))</f>
        <v>0</v>
      </c>
      <c r="E71" s="37">
        <v>50</v>
      </c>
      <c r="F71" s="37">
        <v>1</v>
      </c>
      <c r="G71" s="37">
        <v>1</v>
      </c>
      <c r="H71" s="37">
        <v>20</v>
      </c>
      <c r="I71" s="37">
        <f>IFERROR(INDEX(ref_Unit_Balance!$D$31:$D$1048576,MATCH(Unitinfo!A71,ref_Unit_Balance!$B$31:$B$1048576,0))-1,0)</f>
        <v>2</v>
      </c>
      <c r="J71" s="37" t="str">
        <f t="shared" si="25"/>
        <v>name_2023</v>
      </c>
      <c r="K71" s="37" t="str">
        <f t="shared" si="26"/>
        <v>unit_icon_2023</v>
      </c>
      <c r="L71" s="43" t="str">
        <f t="shared" si="27"/>
        <v>Unit/Hero/2023_Soul_Skeleton_Sword.prefab</v>
      </c>
      <c r="M71" s="35" t="s">
        <v>210</v>
      </c>
    </row>
    <row r="72" spans="1:13">
      <c r="A72" s="37">
        <v>2024</v>
      </c>
      <c r="B72" s="38" t="str">
        <f>INDEX(ref_Unit_Balance!$C$31:$C$1048576,MATCH(A72,ref_Unit_Balance!$B$31:$B$1048576,0))</f>
        <v>Soul_Skeleton_Archer</v>
      </c>
      <c r="C72" s="38" t="str">
        <f t="shared" si="24"/>
        <v>(원거리)Soul_Skeleton_Archer</v>
      </c>
      <c r="D72" s="37">
        <f>INDEX(ref_Unit_Balance!$J$31:$J$1048576,MATCH(Unitinfo!A72,ref_Unit_Balance!$B$31:$B$1048576,0))</f>
        <v>1</v>
      </c>
      <c r="E72" s="37">
        <v>50</v>
      </c>
      <c r="F72" s="37">
        <v>1</v>
      </c>
      <c r="G72" s="37">
        <v>1</v>
      </c>
      <c r="H72" s="37">
        <v>20</v>
      </c>
      <c r="I72" s="37">
        <f>IFERROR(INDEX(ref_Unit_Balance!$D$31:$D$1048576,MATCH(Unitinfo!A72,ref_Unit_Balance!$B$31:$B$1048576,0))-1,0)</f>
        <v>2</v>
      </c>
      <c r="J72" s="37" t="str">
        <f t="shared" si="25"/>
        <v>name_2024</v>
      </c>
      <c r="K72" s="37" t="str">
        <f t="shared" si="26"/>
        <v>unit_icon_2024</v>
      </c>
      <c r="L72" s="43" t="str">
        <f t="shared" si="27"/>
        <v>Unit/Hero/2024_Soul_Skeleton_Archer.prefab</v>
      </c>
      <c r="M72" s="35" t="s">
        <v>210</v>
      </c>
    </row>
    <row r="73" spans="1:13">
      <c r="A73" s="37">
        <v>2025</v>
      </c>
      <c r="B73" s="38" t="str">
        <f>INDEX(ref_Unit_Balance!$C$31:$C$1048576,MATCH(A73,ref_Unit_Balance!$B$31:$B$1048576,0))</f>
        <v>Soul_Skeleton_Witch</v>
      </c>
      <c r="C73" s="38" t="str">
        <f t="shared" si="24"/>
        <v>(원거리)Soul_Skeleton_Witch</v>
      </c>
      <c r="D73" s="37">
        <f>INDEX(ref_Unit_Balance!$J$31:$J$1048576,MATCH(Unitinfo!A73,ref_Unit_Balance!$B$31:$B$1048576,0))</f>
        <v>1</v>
      </c>
      <c r="E73" s="37">
        <v>50</v>
      </c>
      <c r="F73" s="37">
        <v>1</v>
      </c>
      <c r="G73" s="37">
        <v>1</v>
      </c>
      <c r="H73" s="37">
        <v>20</v>
      </c>
      <c r="I73" s="37">
        <f>IFERROR(INDEX(ref_Unit_Balance!$D$31:$D$1048576,MATCH(Unitinfo!A73,ref_Unit_Balance!$B$31:$B$1048576,0))-1,0)</f>
        <v>2</v>
      </c>
      <c r="J73" s="37" t="str">
        <f t="shared" si="25"/>
        <v>name_2025</v>
      </c>
      <c r="K73" s="37" t="str">
        <f t="shared" si="26"/>
        <v>unit_icon_2025</v>
      </c>
      <c r="L73" s="43" t="str">
        <f t="shared" si="27"/>
        <v>Unit/Hero/2025_Soul_Skeleton_Witch.prefab</v>
      </c>
      <c r="M73" s="35" t="s">
        <v>210</v>
      </c>
    </row>
    <row r="74" spans="1:13">
      <c r="A74" s="37">
        <v>2026</v>
      </c>
      <c r="B74" s="38" t="str">
        <f>INDEX(ref_Unit_Balance!$C$31:$C$1048576,MATCH(A74,ref_Unit_Balance!$B$31:$B$1048576,0))</f>
        <v>Golem_Stone</v>
      </c>
      <c r="C74" s="38" t="str">
        <f t="shared" si="24"/>
        <v>(원거리)Golem_Stone</v>
      </c>
      <c r="D74" s="37">
        <f>INDEX(ref_Unit_Balance!$J$31:$J$1048576,MATCH(Unitinfo!A74,ref_Unit_Balance!$B$31:$B$1048576,0))</f>
        <v>1</v>
      </c>
      <c r="E74" s="37">
        <v>50</v>
      </c>
      <c r="F74" s="37">
        <v>1</v>
      </c>
      <c r="G74" s="37">
        <v>1</v>
      </c>
      <c r="H74" s="37">
        <v>20</v>
      </c>
      <c r="I74" s="37">
        <f>IFERROR(INDEX(ref_Unit_Balance!$D$31:$D$1048576,MATCH(Unitinfo!A74,ref_Unit_Balance!$B$31:$B$1048576,0))-1,0)</f>
        <v>1</v>
      </c>
      <c r="J74" s="37" t="str">
        <f t="shared" si="25"/>
        <v>name_2026</v>
      </c>
      <c r="K74" s="37" t="str">
        <f t="shared" si="26"/>
        <v>unit_icon_2026</v>
      </c>
      <c r="L74" s="43" t="str">
        <f t="shared" si="27"/>
        <v>Unit/Hero/2026_Golem_Stone.prefab</v>
      </c>
      <c r="M74" s="35" t="s">
        <v>210</v>
      </c>
    </row>
    <row r="75" spans="1:13">
      <c r="A75" s="37">
        <v>2027</v>
      </c>
      <c r="B75" s="38" t="str">
        <f>INDEX(ref_Unit_Balance!$C$31:$C$1048576,MATCH(A75,ref_Unit_Balance!$B$31:$B$1048576,0))</f>
        <v>Golem_Fire</v>
      </c>
      <c r="C75" s="38" t="str">
        <f t="shared" si="24"/>
        <v>(원거리)Golem_Fire</v>
      </c>
      <c r="D75" s="37">
        <f>INDEX(ref_Unit_Balance!$J$31:$J$1048576,MATCH(Unitinfo!A75,ref_Unit_Balance!$B$31:$B$1048576,0))</f>
        <v>1</v>
      </c>
      <c r="E75" s="37">
        <v>50</v>
      </c>
      <c r="F75" s="37">
        <v>1</v>
      </c>
      <c r="G75" s="37">
        <v>1</v>
      </c>
      <c r="H75" s="37">
        <v>20</v>
      </c>
      <c r="I75" s="37">
        <f>IFERROR(INDEX(ref_Unit_Balance!$D$31:$D$1048576,MATCH(Unitinfo!A75,ref_Unit_Balance!$B$31:$B$1048576,0))-1,0)</f>
        <v>1</v>
      </c>
      <c r="J75" s="37" t="str">
        <f t="shared" si="25"/>
        <v>name_2027</v>
      </c>
      <c r="K75" s="37" t="str">
        <f t="shared" si="26"/>
        <v>unit_icon_2027</v>
      </c>
      <c r="L75" s="43" t="str">
        <f t="shared" si="27"/>
        <v>Unit/Hero/2027_Golem_Fire.prefab</v>
      </c>
      <c r="M75" s="35" t="s">
        <v>210</v>
      </c>
    </row>
    <row r="76" spans="1:13">
      <c r="A76" s="37">
        <v>2028</v>
      </c>
      <c r="B76" s="38" t="str">
        <f>INDEX(ref_Unit_Balance!$C$31:$C$1048576,MATCH(A76,ref_Unit_Balance!$B$31:$B$1048576,0))</f>
        <v>Golem_Ice</v>
      </c>
      <c r="C76" s="38" t="str">
        <f t="shared" si="24"/>
        <v>(원거리)Golem_Ice</v>
      </c>
      <c r="D76" s="37">
        <f>INDEX(ref_Unit_Balance!$J$31:$J$1048576,MATCH(Unitinfo!A76,ref_Unit_Balance!$B$31:$B$1048576,0))</f>
        <v>1</v>
      </c>
      <c r="E76" s="37">
        <v>50</v>
      </c>
      <c r="F76" s="37">
        <v>1</v>
      </c>
      <c r="G76" s="37">
        <v>1</v>
      </c>
      <c r="H76" s="37">
        <v>20</v>
      </c>
      <c r="I76" s="37">
        <f>IFERROR(INDEX(ref_Unit_Balance!$D$31:$D$1048576,MATCH(Unitinfo!A76,ref_Unit_Balance!$B$31:$B$1048576,0))-1,0)</f>
        <v>1</v>
      </c>
      <c r="J76" s="37" t="str">
        <f t="shared" ref="J76:J80" si="28">"name_"&amp;A76</f>
        <v>name_2028</v>
      </c>
      <c r="K76" s="37" t="str">
        <f t="shared" ref="K76:K79" si="29">"unit_icon_"&amp;A76</f>
        <v>unit_icon_2028</v>
      </c>
      <c r="L76" s="43" t="str">
        <f t="shared" ref="L76:L79" si="30">IF(A76&lt;1999,"Unit/Enemy/Chapter_1/"&amp;A76&amp;"_"&amp;B76&amp;".prefab",IF(A76&lt;2999,"Unit/Hero/"&amp;A76&amp;"_"&amp;B76&amp;".prefab","Unit/Enemy/Chapter_1_Object/"&amp;A76&amp;"_"&amp;B76&amp;".prefab"))</f>
        <v>Unit/Hero/2028_Golem_Ice.prefab</v>
      </c>
      <c r="M76" s="35" t="s">
        <v>210</v>
      </c>
    </row>
    <row r="77" spans="1:13">
      <c r="A77" s="37">
        <v>2029</v>
      </c>
      <c r="B77" s="38" t="str">
        <f>INDEX(ref_Unit_Balance!$C$31:$C$1048576,MATCH(A77,ref_Unit_Balance!$B$31:$B$1048576,0))</f>
        <v>Armor_Skeleton_Sword</v>
      </c>
      <c r="C77" s="38" t="str">
        <f t="shared" si="24"/>
        <v>(근거리)Armor_Skeleton_Sword</v>
      </c>
      <c r="D77" s="37">
        <f>INDEX(ref_Unit_Balance!$J$31:$J$1048576,MATCH(Unitinfo!A77,ref_Unit_Balance!$B$31:$B$1048576,0))</f>
        <v>0</v>
      </c>
      <c r="E77" s="37">
        <v>50</v>
      </c>
      <c r="F77" s="37">
        <v>1</v>
      </c>
      <c r="G77" s="37">
        <v>1</v>
      </c>
      <c r="H77" s="37">
        <v>20</v>
      </c>
      <c r="I77" s="37">
        <f>IFERROR(INDEX(ref_Unit_Balance!$D$31:$D$1048576,MATCH(Unitinfo!A77,ref_Unit_Balance!$B$31:$B$1048576,0))-1,0)</f>
        <v>1</v>
      </c>
      <c r="J77" s="37" t="str">
        <f t="shared" si="28"/>
        <v>name_2029</v>
      </c>
      <c r="K77" s="37" t="str">
        <f t="shared" si="29"/>
        <v>unit_icon_2029</v>
      </c>
      <c r="L77" s="43" t="str">
        <f>IF(A77&lt;1999,"Unit/Enemy/Chapter_1/"&amp;A77&amp;"_"&amp;B77&amp;".prefab",IF(A77&lt;2999,"Unit/Hero/"&amp;A77&amp;"_"&amp;B77&amp;".prefab","Unit/Enemy/Chapter_1_Object/"&amp;A77&amp;"_"&amp;B77&amp;".prefab"))</f>
        <v>Unit/Hero/2029_Armor_Skeleton_Sword.prefab</v>
      </c>
      <c r="M77" s="35" t="s">
        <v>210</v>
      </c>
    </row>
    <row r="78" spans="1:13">
      <c r="A78" s="37">
        <v>2030</v>
      </c>
      <c r="B78" s="38" t="str">
        <f>INDEX(ref_Unit_Balance!$C$31:$C$1048576,MATCH(A78,ref_Unit_Balance!$B$31:$B$1048576,0))</f>
        <v>Armor_Skeleton_Archer</v>
      </c>
      <c r="C78" s="38" t="str">
        <f t="shared" si="24"/>
        <v>(원거리)Armor_Skeleton_Archer</v>
      </c>
      <c r="D78" s="37">
        <f>INDEX(ref_Unit_Balance!$J$31:$J$1048576,MATCH(Unitinfo!A78,ref_Unit_Balance!$B$31:$B$1048576,0))</f>
        <v>1</v>
      </c>
      <c r="E78" s="37">
        <v>50</v>
      </c>
      <c r="F78" s="37">
        <v>1</v>
      </c>
      <c r="G78" s="37">
        <v>1</v>
      </c>
      <c r="H78" s="37">
        <v>20</v>
      </c>
      <c r="I78" s="37">
        <f>IFERROR(INDEX(ref_Unit_Balance!$D$31:$D$1048576,MATCH(Unitinfo!A78,ref_Unit_Balance!$B$31:$B$1048576,0))-1,0)</f>
        <v>1</v>
      </c>
      <c r="J78" s="37" t="str">
        <f t="shared" si="28"/>
        <v>name_2030</v>
      </c>
      <c r="K78" s="37" t="str">
        <f t="shared" si="29"/>
        <v>unit_icon_2030</v>
      </c>
      <c r="L78" s="43" t="str">
        <f t="shared" si="30"/>
        <v>Unit/Hero/2030_Armor_Skeleton_Archer.prefab</v>
      </c>
      <c r="M78" s="35" t="s">
        <v>210</v>
      </c>
    </row>
    <row r="79" spans="1:13">
      <c r="A79" s="37">
        <v>2031</v>
      </c>
      <c r="B79" s="38" t="str">
        <f>INDEX(ref_Unit_Balance!$C$31:$C$1048576,MATCH(A79,ref_Unit_Balance!$B$31:$B$1048576,0))</f>
        <v>Armor_Skeleton_Witch</v>
      </c>
      <c r="C79" s="38" t="str">
        <f t="shared" si="24"/>
        <v>(원거리)Armor_Skeleton_Witch</v>
      </c>
      <c r="D79" s="37">
        <f>INDEX(ref_Unit_Balance!$J$31:$J$1048576,MATCH(Unitinfo!A79,ref_Unit_Balance!$B$31:$B$1048576,0))</f>
        <v>1</v>
      </c>
      <c r="E79" s="37">
        <v>50</v>
      </c>
      <c r="F79" s="37">
        <v>1</v>
      </c>
      <c r="G79" s="37">
        <v>1</v>
      </c>
      <c r="H79" s="37">
        <v>20</v>
      </c>
      <c r="I79" s="37">
        <f>IFERROR(INDEX(ref_Unit_Balance!$D$31:$D$1048576,MATCH(Unitinfo!A79,ref_Unit_Balance!$B$31:$B$1048576,0))-1,0)</f>
        <v>1</v>
      </c>
      <c r="J79" s="37" t="str">
        <f t="shared" si="28"/>
        <v>name_2031</v>
      </c>
      <c r="K79" s="37" t="str">
        <f t="shared" si="29"/>
        <v>unit_icon_2031</v>
      </c>
      <c r="L79" s="43" t="str">
        <f t="shared" si="30"/>
        <v>Unit/Hero/2031_Armor_Skeleton_Witch.prefab</v>
      </c>
      <c r="M79" s="35" t="s">
        <v>210</v>
      </c>
    </row>
    <row r="80" spans="1:13">
      <c r="A80" s="37">
        <v>10001</v>
      </c>
      <c r="B80" s="35" t="s">
        <v>603</v>
      </c>
      <c r="C80" s="35" t="s">
        <v>603</v>
      </c>
      <c r="D80" s="37">
        <v>1</v>
      </c>
      <c r="E80" s="37">
        <v>50</v>
      </c>
      <c r="F80" s="37">
        <v>1</v>
      </c>
      <c r="G80" s="37">
        <v>1</v>
      </c>
      <c r="H80" s="37">
        <v>20</v>
      </c>
      <c r="I80" s="37">
        <f>IFERROR(INDEX(ref_Unit_Balance!$D$31:$D$1048576,MATCH(Unitinfo!A80,ref_Unit_Balance!$B$31:$B$1048576,0))-1,0)</f>
        <v>0</v>
      </c>
      <c r="J80" s="37" t="str">
        <f t="shared" si="28"/>
        <v>name_10001</v>
      </c>
      <c r="K80" s="37"/>
      <c r="L80" s="43"/>
    </row>
    <row r="81" spans="1:1">
      <c r="A81" s="37"/>
    </row>
    <row r="82" spans="1:1">
      <c r="A82" s="37"/>
    </row>
  </sheetData>
  <autoFilter ref="A3:M79" xr:uid="{00000000-0009-0000-0000-00000B000000}"/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7"/>
  </sheetPr>
  <dimension ref="A1:W772"/>
  <sheetViews>
    <sheetView zoomScaleNormal="100" workbookViewId="0">
      <pane ySplit="3" topLeftCell="A40" activePane="bottomLeft" state="frozen"/>
      <selection activeCell="A77" sqref="A77:A84"/>
      <selection pane="bottomLeft" activeCell="N65" sqref="N65"/>
    </sheetView>
  </sheetViews>
  <sheetFormatPr defaultRowHeight="15"/>
  <cols>
    <col min="2" max="2" width="6.85546875" style="95" bestFit="1" customWidth="1"/>
    <col min="3" max="3" width="23.5703125" customWidth="1"/>
    <col min="4" max="4" width="9.85546875" customWidth="1"/>
    <col min="5" max="5" width="15.5703125" customWidth="1"/>
    <col min="6" max="6" width="10.140625" customWidth="1"/>
    <col min="7" max="7" width="12.85546875" customWidth="1"/>
    <col min="8" max="8" width="15.5703125" customWidth="1"/>
    <col min="9" max="9" width="17.28515625" customWidth="1"/>
    <col min="10" max="10" width="18.7109375" customWidth="1"/>
    <col min="11" max="12" width="12.28515625" customWidth="1"/>
    <col min="13" max="14" width="16.28515625" customWidth="1"/>
    <col min="15" max="15" width="19.28515625" customWidth="1"/>
    <col min="16" max="16" width="11.42578125" bestFit="1" customWidth="1"/>
    <col min="17" max="17" width="12.28515625" bestFit="1" customWidth="1"/>
    <col min="18" max="18" width="28.42578125" bestFit="1" customWidth="1"/>
    <col min="19" max="19" width="27.5703125" style="20" customWidth="1"/>
    <col min="20" max="20" width="18.7109375" customWidth="1"/>
    <col min="21" max="21" width="15.5703125" customWidth="1"/>
    <col min="22" max="22" width="18.140625" customWidth="1"/>
    <col min="23" max="23" width="12.140625" customWidth="1"/>
  </cols>
  <sheetData>
    <row r="1" spans="1:23" s="13" customFormat="1">
      <c r="A1" s="14" t="s">
        <v>42</v>
      </c>
      <c r="B1" s="90" t="s">
        <v>50</v>
      </c>
      <c r="C1" s="97" t="s">
        <v>160</v>
      </c>
      <c r="D1" s="97" t="s">
        <v>51</v>
      </c>
      <c r="E1" s="97" t="s">
        <v>111</v>
      </c>
      <c r="F1" s="123" t="s">
        <v>52</v>
      </c>
      <c r="G1" s="123" t="s">
        <v>53</v>
      </c>
      <c r="H1" s="124" t="s">
        <v>145</v>
      </c>
      <c r="I1" s="124" t="s">
        <v>58</v>
      </c>
      <c r="J1" s="124" t="s">
        <v>56</v>
      </c>
      <c r="K1" s="14" t="s">
        <v>85</v>
      </c>
      <c r="L1" s="97" t="s">
        <v>114</v>
      </c>
      <c r="M1" s="97" t="s">
        <v>115</v>
      </c>
      <c r="N1" s="14" t="s">
        <v>116</v>
      </c>
      <c r="O1" s="14" t="s">
        <v>232</v>
      </c>
      <c r="P1" s="98" t="s">
        <v>57</v>
      </c>
      <c r="Q1" s="98" t="s">
        <v>59</v>
      </c>
      <c r="R1" s="98" t="s">
        <v>122</v>
      </c>
      <c r="S1" s="99" t="s">
        <v>61</v>
      </c>
      <c r="T1" s="99" t="s">
        <v>60</v>
      </c>
      <c r="U1" s="100" t="s">
        <v>54</v>
      </c>
      <c r="V1" s="100" t="s">
        <v>143</v>
      </c>
      <c r="W1" s="99" t="s">
        <v>144</v>
      </c>
    </row>
    <row r="2" spans="1:23">
      <c r="A2" s="15" t="s">
        <v>1</v>
      </c>
      <c r="B2" s="91" t="s">
        <v>1</v>
      </c>
      <c r="C2" s="16" t="s">
        <v>161</v>
      </c>
      <c r="D2" s="15" t="s">
        <v>1</v>
      </c>
      <c r="E2" s="16" t="s">
        <v>112</v>
      </c>
      <c r="F2" s="121" t="s">
        <v>1</v>
      </c>
      <c r="G2" s="121" t="s">
        <v>1</v>
      </c>
      <c r="H2" s="29" t="s">
        <v>1</v>
      </c>
      <c r="I2" s="29" t="s">
        <v>1</v>
      </c>
      <c r="J2" s="29" t="s">
        <v>1</v>
      </c>
      <c r="K2" s="16" t="s">
        <v>10</v>
      </c>
      <c r="L2" s="15" t="s">
        <v>1</v>
      </c>
      <c r="M2" s="15" t="s">
        <v>1</v>
      </c>
      <c r="N2" s="15" t="s">
        <v>1</v>
      </c>
      <c r="O2" s="15" t="s">
        <v>1</v>
      </c>
      <c r="P2" s="26" t="s">
        <v>1</v>
      </c>
      <c r="Q2" s="26" t="s">
        <v>1</v>
      </c>
      <c r="R2" s="28" t="s">
        <v>3</v>
      </c>
      <c r="S2" s="16" t="s">
        <v>3</v>
      </c>
      <c r="T2" s="15" t="s">
        <v>1</v>
      </c>
      <c r="U2" s="29" t="s">
        <v>1</v>
      </c>
      <c r="V2" s="29" t="s">
        <v>1</v>
      </c>
      <c r="W2" s="15" t="s">
        <v>1</v>
      </c>
    </row>
    <row r="3" spans="1:23">
      <c r="A3" s="18" t="s">
        <v>2</v>
      </c>
      <c r="B3" s="92" t="s">
        <v>2</v>
      </c>
      <c r="C3" s="18" t="s">
        <v>162</v>
      </c>
      <c r="D3" s="18" t="s">
        <v>2</v>
      </c>
      <c r="E3" s="18" t="s">
        <v>113</v>
      </c>
      <c r="F3" s="122" t="s">
        <v>2</v>
      </c>
      <c r="G3" s="122" t="s">
        <v>2</v>
      </c>
      <c r="H3" s="30" t="s">
        <v>2</v>
      </c>
      <c r="I3" s="30" t="s">
        <v>2</v>
      </c>
      <c r="J3" s="30" t="s">
        <v>2</v>
      </c>
      <c r="K3" s="18" t="s">
        <v>2</v>
      </c>
      <c r="L3" s="18" t="s">
        <v>2</v>
      </c>
      <c r="M3" s="18" t="s">
        <v>2</v>
      </c>
      <c r="N3" s="18" t="s">
        <v>2</v>
      </c>
      <c r="O3" s="18" t="s">
        <v>2</v>
      </c>
      <c r="P3" s="27" t="s">
        <v>2</v>
      </c>
      <c r="Q3" s="27" t="s">
        <v>2</v>
      </c>
      <c r="R3" s="27" t="s">
        <v>2</v>
      </c>
      <c r="S3" s="18" t="s">
        <v>2</v>
      </c>
      <c r="T3" s="18" t="s">
        <v>2</v>
      </c>
      <c r="U3" s="30" t="s">
        <v>2</v>
      </c>
      <c r="V3" s="30" t="s">
        <v>2</v>
      </c>
      <c r="W3" s="18" t="s">
        <v>2</v>
      </c>
    </row>
    <row r="4" spans="1:23">
      <c r="A4" s="5">
        <v>1</v>
      </c>
      <c r="B4" s="93">
        <v>1001</v>
      </c>
      <c r="C4" s="20" t="str">
        <f>INDEX(Unitinfo!C:C,MATCH(UnitGradeInfo!B4,Unitinfo!A:A,0))</f>
        <v>(원거리)Indian_Archer</v>
      </c>
      <c r="D4" s="5">
        <f>COUNTIF($B$4:B4,B4)</f>
        <v>1</v>
      </c>
      <c r="E4" s="5">
        <f>ROUNDDOWN(INDEX(ref_Unit_Balance!$G$31:$G$106,MATCH(UnitGradeInfo!B4,ref_Unit_Balance!$B$31:$B$1048576,0))+INDEX(ref_Unit_Balance!$G$20:$G$23,MATCH(Unitinfo!I4+1,ref_Unit_Balance!$B$20:$B$23,0))*ref_Unit_Balance!$C$25,0)</f>
        <v>75</v>
      </c>
      <c r="F4" s="5">
        <f>INDEX(ref_Unit_Balance!$V$31:$V$106,MATCH(UnitGradeInfo!B4,ref_Unit_Balance!$B$31:$B$1048576,0))
+
INDEX(ref_Unit_Balance!$AB$31:$AB$106,MATCH(UnitGradeInfo!B4,ref_Unit_Balance!$B$31:$B$1048576,0))*(D4-1)</f>
        <v>450</v>
      </c>
      <c r="G4" s="5">
        <f>INDEX(ref_Unit_Balance!$R$31:$R$106,MATCH(UnitGradeInfo!B4,ref_Unit_Balance!$B$31:$B$1048576,0))
+
INDEX(ref_Unit_Balance!$AA$31:$AA$106,MATCH(UnitGradeInfo!B4,ref_Unit_Balance!$B$31:$B$1048576,0))*(D4-1)</f>
        <v>140</v>
      </c>
      <c r="H4" s="39">
        <f>IF(INDEX(Unitinfo!D:D,MATCH(UnitGradeInfo!B4,Unitinfo!A:A,0))=1,50,5)</f>
        <v>50</v>
      </c>
      <c r="I4" s="5">
        <f>IF(INDEX(ref_Unit_Balance!$T$31:$T$106,MATCH(UnitGradeInfo!B4,ref_Unit_Balance!$B$31:$B$1048576,0))=0,1,INDEX(ref_Unit_Balance!$T$31:$T$106,MATCH(UnitGradeInfo!B4,ref_Unit_Balance!$B$31:$B$1048576,0)))</f>
        <v>1</v>
      </c>
      <c r="J4" s="5">
        <f>INDEX(ref_Unit_Balance!$S$31:$S$106,MATCH(UnitGradeInfo!B4,ref_Unit_Balance!$B$31:$B$1048576,0))</f>
        <v>1000</v>
      </c>
      <c r="K4" s="5">
        <v>0</v>
      </c>
      <c r="L4" s="5">
        <f>INDEX(ref_Unit_Balance!$I$31:$I$106,MATCH(UnitGradeInfo!B4,ref_Unit_Balance!$B$31:$B$1048576,0))</f>
        <v>1</v>
      </c>
      <c r="M4" s="5">
        <f>D4*2</f>
        <v>2</v>
      </c>
      <c r="N4" s="5">
        <f>D4*20</f>
        <v>20</v>
      </c>
      <c r="O4" s="5">
        <f>(INDEX(Unitinfo!I:I,MATCH(B4,Unitinfo!A:A,0))+1)*2</f>
        <v>2</v>
      </c>
      <c r="P4" s="5">
        <v>0</v>
      </c>
      <c r="Q4" s="5">
        <v>0</v>
      </c>
      <c r="R4" s="19" t="s">
        <v>121</v>
      </c>
      <c r="S4" s="19" t="s">
        <v>121</v>
      </c>
      <c r="T4" s="5">
        <f t="shared" ref="T4:T48" si="0">B4</f>
        <v>1001</v>
      </c>
      <c r="U4" s="5">
        <f>IF(B4&gt;10000,0,1)</f>
        <v>1</v>
      </c>
      <c r="V4" s="5">
        <v>0</v>
      </c>
      <c r="W4" s="5">
        <f>10</f>
        <v>10</v>
      </c>
    </row>
    <row r="5" spans="1:23">
      <c r="A5" s="5">
        <f>A4+1</f>
        <v>2</v>
      </c>
      <c r="B5" s="93">
        <v>1002</v>
      </c>
      <c r="C5" s="20" t="str">
        <f>INDEX(Unitinfo!C:C,MATCH(UnitGradeInfo!B5,Unitinfo!A:A,0))</f>
        <v>(근거리)Indian_Shield</v>
      </c>
      <c r="D5" s="5">
        <f>COUNTIF($B$4:B5,B5)</f>
        <v>1</v>
      </c>
      <c r="E5" s="5">
        <f>ROUNDDOWN(INDEX(ref_Unit_Balance!$G$31:$G$106,MATCH(UnitGradeInfo!B5,ref_Unit_Balance!$B$31:$B$1048576,0))+INDEX(ref_Unit_Balance!$G$20:$G$23,MATCH(Unitinfo!I5+1,ref_Unit_Balance!$B$20:$B$23,0))*ref_Unit_Balance!$C$25,0)</f>
        <v>75</v>
      </c>
      <c r="F5" s="5">
        <f>INDEX(ref_Unit_Balance!$V$31:$V$106,MATCH(UnitGradeInfo!B5,ref_Unit_Balance!$B$31:$B$1048576,0))
+
INDEX(ref_Unit_Balance!$AB$31:$AB$106,MATCH(UnitGradeInfo!B5,ref_Unit_Balance!$B$31:$B$1048576,0))*(D5-1)</f>
        <v>2000</v>
      </c>
      <c r="G5" s="5">
        <f>INDEX(ref_Unit_Balance!$R$31:$R$106,MATCH(UnitGradeInfo!B5,ref_Unit_Balance!$B$31:$B$1048576,0))
+
INDEX(ref_Unit_Balance!$AA$31:$AA$106,MATCH(UnitGradeInfo!B5,ref_Unit_Balance!$B$31:$B$1048576,0))*(D5-1)</f>
        <v>60</v>
      </c>
      <c r="H5" s="39">
        <f>IF(INDEX(Unitinfo!D:D,MATCH(UnitGradeInfo!B5,Unitinfo!A:A,0))=1,50,5)</f>
        <v>5</v>
      </c>
      <c r="I5" s="5">
        <f>IF(INDEX(ref_Unit_Balance!$T$31:$T$106,MATCH(UnitGradeInfo!B5,ref_Unit_Balance!$B$31:$B$1048576,0))=0,1,INDEX(ref_Unit_Balance!$T$31:$T$106,MATCH(UnitGradeInfo!B5,ref_Unit_Balance!$B$31:$B$1048576,0)))</f>
        <v>1</v>
      </c>
      <c r="J5" s="5">
        <f>INDEX(ref_Unit_Balance!$S$31:$S$106,MATCH(UnitGradeInfo!B5,ref_Unit_Balance!$B$31:$B$1048576,0))</f>
        <v>1000</v>
      </c>
      <c r="K5" s="5">
        <v>0</v>
      </c>
      <c r="L5" s="5">
        <f>INDEX(ref_Unit_Balance!$I$31:$I$106,MATCH(UnitGradeInfo!B5,ref_Unit_Balance!$B$31:$B$1048576,0))</f>
        <v>1</v>
      </c>
      <c r="M5" s="5">
        <f t="shared" ref="M5:M68" si="1">D5*2</f>
        <v>2</v>
      </c>
      <c r="N5" s="5">
        <f t="shared" ref="N5:N68" si="2">D5*20</f>
        <v>20</v>
      </c>
      <c r="O5" s="5">
        <f>(INDEX(Unitinfo!I:I,MATCH(B5,Unitinfo!A:A,0))+1)*2</f>
        <v>2</v>
      </c>
      <c r="P5" s="5">
        <v>0</v>
      </c>
      <c r="Q5" s="5">
        <v>0</v>
      </c>
      <c r="R5" s="19" t="s">
        <v>121</v>
      </c>
      <c r="S5" s="19" t="s">
        <v>121</v>
      </c>
      <c r="T5" s="5">
        <f t="shared" si="0"/>
        <v>1002</v>
      </c>
      <c r="U5" s="5">
        <f t="shared" ref="U5:U59" si="3">IF(B5&gt;10000,0,1)</f>
        <v>1</v>
      </c>
      <c r="V5" s="5">
        <v>0</v>
      </c>
      <c r="W5" s="5">
        <f>10</f>
        <v>10</v>
      </c>
    </row>
    <row r="6" spans="1:23">
      <c r="A6" s="5">
        <f t="shared" ref="A6:A103" si="4">A5+1</f>
        <v>3</v>
      </c>
      <c r="B6" s="93">
        <v>1003</v>
      </c>
      <c r="C6" s="20" t="str">
        <f>INDEX(Unitinfo!C:C,MATCH(UnitGradeInfo!B6,Unitinfo!A:A,0))</f>
        <v>(근거리)Indian_Spear</v>
      </c>
      <c r="D6" s="5">
        <f>COUNTIF($B$4:B6,B6)</f>
        <v>1</v>
      </c>
      <c r="E6" s="5">
        <f>ROUNDDOWN(INDEX(ref_Unit_Balance!$G$31:$G$106,MATCH(UnitGradeInfo!B6,ref_Unit_Balance!$B$31:$B$1048576,0))+INDEX(ref_Unit_Balance!$G$20:$G$23,MATCH(Unitinfo!I6+1,ref_Unit_Balance!$B$20:$B$23,0))*ref_Unit_Balance!$C$25,0)</f>
        <v>75</v>
      </c>
      <c r="F6" s="5">
        <f>INDEX(ref_Unit_Balance!$V$31:$V$106,MATCH(UnitGradeInfo!B6,ref_Unit_Balance!$B$31:$B$1048576,0))
+
INDEX(ref_Unit_Balance!$AB$31:$AB$106,MATCH(UnitGradeInfo!B6,ref_Unit_Balance!$B$31:$B$1048576,0))*(D6-1)</f>
        <v>1250</v>
      </c>
      <c r="G6" s="5">
        <f>INDEX(ref_Unit_Balance!$R$31:$R$106,MATCH(UnitGradeInfo!B6,ref_Unit_Balance!$B$31:$B$1048576,0))
+
INDEX(ref_Unit_Balance!$AA$31:$AA$106,MATCH(UnitGradeInfo!B6,ref_Unit_Balance!$B$31:$B$1048576,0))*(D6-1)</f>
        <v>150</v>
      </c>
      <c r="H6" s="39">
        <f>IF(INDEX(Unitinfo!D:D,MATCH(UnitGradeInfo!B6,Unitinfo!A:A,0))=1,50,5)</f>
        <v>5</v>
      </c>
      <c r="I6" s="5">
        <f>IF(INDEX(ref_Unit_Balance!$T$31:$T$106,MATCH(UnitGradeInfo!B6,ref_Unit_Balance!$B$31:$B$1048576,0))=0,1,INDEX(ref_Unit_Balance!$T$31:$T$106,MATCH(UnitGradeInfo!B6,ref_Unit_Balance!$B$31:$B$1048576,0)))</f>
        <v>1</v>
      </c>
      <c r="J6" s="5">
        <f>INDEX(ref_Unit_Balance!$S$31:$S$106,MATCH(UnitGradeInfo!B6,ref_Unit_Balance!$B$31:$B$1048576,0))</f>
        <v>1000</v>
      </c>
      <c r="K6" s="5">
        <v>0</v>
      </c>
      <c r="L6" s="5">
        <f>INDEX(ref_Unit_Balance!$I$31:$I$106,MATCH(UnitGradeInfo!B6,ref_Unit_Balance!$B$31:$B$1048576,0))</f>
        <v>1</v>
      </c>
      <c r="M6" s="5">
        <f t="shared" si="1"/>
        <v>2</v>
      </c>
      <c r="N6" s="5">
        <f t="shared" si="2"/>
        <v>20</v>
      </c>
      <c r="O6" s="5">
        <f>(INDEX(Unitinfo!I:I,MATCH(B6,Unitinfo!A:A,0))+1)*2</f>
        <v>2</v>
      </c>
      <c r="P6" s="5">
        <v>0</v>
      </c>
      <c r="Q6" s="5">
        <v>0</v>
      </c>
      <c r="R6" s="19" t="s">
        <v>121</v>
      </c>
      <c r="S6" s="19" t="s">
        <v>121</v>
      </c>
      <c r="T6" s="5">
        <f t="shared" si="0"/>
        <v>1003</v>
      </c>
      <c r="U6" s="5">
        <f t="shared" si="3"/>
        <v>1</v>
      </c>
      <c r="V6" s="5">
        <v>0</v>
      </c>
      <c r="W6" s="5">
        <f>10</f>
        <v>10</v>
      </c>
    </row>
    <row r="7" spans="1:23">
      <c r="A7" s="5">
        <f t="shared" si="4"/>
        <v>4</v>
      </c>
      <c r="B7" s="93">
        <v>1004</v>
      </c>
      <c r="C7" s="20" t="str">
        <f>INDEX(Unitinfo!C:C,MATCH(UnitGradeInfo!B7,Unitinfo!A:A,0))</f>
        <v>(근거리)Indian_Sword</v>
      </c>
      <c r="D7" s="5">
        <f>COUNTIF($B$4:B7,B7)</f>
        <v>1</v>
      </c>
      <c r="E7" s="5">
        <f>ROUNDDOWN(INDEX(ref_Unit_Balance!$G$31:$G$106,MATCH(UnitGradeInfo!B7,ref_Unit_Balance!$B$31:$B$1048576,0))+INDEX(ref_Unit_Balance!$G$20:$G$23,MATCH(Unitinfo!I7+1,ref_Unit_Balance!$B$20:$B$23,0))*ref_Unit_Balance!$C$25,0)</f>
        <v>75</v>
      </c>
      <c r="F7" s="5">
        <f>INDEX(ref_Unit_Balance!$V$31:$V$106,MATCH(UnitGradeInfo!B7,ref_Unit_Balance!$B$31:$B$1048576,0))
+
INDEX(ref_Unit_Balance!$AB$31:$AB$106,MATCH(UnitGradeInfo!B7,ref_Unit_Balance!$B$31:$B$1048576,0))*(D7-1)</f>
        <v>1250</v>
      </c>
      <c r="G7" s="5">
        <f>INDEX(ref_Unit_Balance!$R$31:$R$106,MATCH(UnitGradeInfo!B7,ref_Unit_Balance!$B$31:$B$1048576,0))
+
INDEX(ref_Unit_Balance!$AA$31:$AA$106,MATCH(UnitGradeInfo!B7,ref_Unit_Balance!$B$31:$B$1048576,0))*(D7-1)</f>
        <v>150</v>
      </c>
      <c r="H7" s="39">
        <f>IF(INDEX(Unitinfo!D:D,MATCH(UnitGradeInfo!B7,Unitinfo!A:A,0))=1,50,5)</f>
        <v>5</v>
      </c>
      <c r="I7" s="5">
        <f>IF(INDEX(ref_Unit_Balance!$T$31:$T$106,MATCH(UnitGradeInfo!B7,ref_Unit_Balance!$B$31:$B$1048576,0))=0,1,INDEX(ref_Unit_Balance!$T$31:$T$106,MATCH(UnitGradeInfo!B7,ref_Unit_Balance!$B$31:$B$1048576,0)))</f>
        <v>1</v>
      </c>
      <c r="J7" s="5">
        <f>INDEX(ref_Unit_Balance!$S$31:$S$106,MATCH(UnitGradeInfo!B7,ref_Unit_Balance!$B$31:$B$1048576,0))</f>
        <v>1000</v>
      </c>
      <c r="K7" s="5">
        <v>0</v>
      </c>
      <c r="L7" s="5">
        <f>INDEX(ref_Unit_Balance!$I$31:$I$106,MATCH(UnitGradeInfo!B7,ref_Unit_Balance!$B$31:$B$1048576,0))</f>
        <v>1</v>
      </c>
      <c r="M7" s="5">
        <f t="shared" si="1"/>
        <v>2</v>
      </c>
      <c r="N7" s="5">
        <f t="shared" si="2"/>
        <v>20</v>
      </c>
      <c r="O7" s="5">
        <f>(INDEX(Unitinfo!I:I,MATCH(B7,Unitinfo!A:A,0))+1)*2</f>
        <v>2</v>
      </c>
      <c r="P7" s="5">
        <v>0</v>
      </c>
      <c r="Q7" s="5">
        <v>0</v>
      </c>
      <c r="R7" s="19" t="s">
        <v>121</v>
      </c>
      <c r="S7" s="19" t="s">
        <v>121</v>
      </c>
      <c r="T7" s="5">
        <f t="shared" si="0"/>
        <v>1004</v>
      </c>
      <c r="U7" s="5">
        <f t="shared" si="3"/>
        <v>1</v>
      </c>
      <c r="V7" s="5">
        <v>0</v>
      </c>
      <c r="W7" s="5">
        <f>10</f>
        <v>10</v>
      </c>
    </row>
    <row r="8" spans="1:23">
      <c r="A8" s="5">
        <f t="shared" si="4"/>
        <v>5</v>
      </c>
      <c r="B8" s="93">
        <v>1005</v>
      </c>
      <c r="C8" s="20" t="str">
        <f>INDEX(Unitinfo!C:C,MATCH(UnitGradeInfo!B8,Unitinfo!A:A,0))</f>
        <v>(근거리)Indian_Mask</v>
      </c>
      <c r="D8" s="5">
        <f>COUNTIF($B$4:B8,B8)</f>
        <v>1</v>
      </c>
      <c r="E8" s="5">
        <f>ROUNDDOWN(INDEX(ref_Unit_Balance!$G$31:$G$106,MATCH(UnitGradeInfo!B8,ref_Unit_Balance!$B$31:$B$1048576,0))+INDEX(ref_Unit_Balance!$G$20:$G$23,MATCH(Unitinfo!I8+1,ref_Unit_Balance!$B$20:$B$23,0))*ref_Unit_Balance!$C$25,0)</f>
        <v>100</v>
      </c>
      <c r="F8" s="5">
        <f>INDEX(ref_Unit_Balance!$V$31:$V$106,MATCH(UnitGradeInfo!B8,ref_Unit_Balance!$B$31:$B$1048576,0))
+
INDEX(ref_Unit_Balance!$AB$31:$AB$106,MATCH(UnitGradeInfo!B8,ref_Unit_Balance!$B$31:$B$1048576,0))*(D8-1)</f>
        <v>2000</v>
      </c>
      <c r="G8" s="5">
        <f>INDEX(ref_Unit_Balance!$R$31:$R$106,MATCH(UnitGradeInfo!B8,ref_Unit_Balance!$B$31:$B$1048576,0))
+
INDEX(ref_Unit_Balance!$AA$31:$AA$106,MATCH(UnitGradeInfo!B8,ref_Unit_Balance!$B$31:$B$1048576,0))*(D8-1)</f>
        <v>360</v>
      </c>
      <c r="H8" s="39">
        <f>IF(INDEX(Unitinfo!D:D,MATCH(UnitGradeInfo!B8,Unitinfo!A:A,0))=1,50,5)</f>
        <v>5</v>
      </c>
      <c r="I8" s="5">
        <f>IF(INDEX(ref_Unit_Balance!$T$31:$T$106,MATCH(UnitGradeInfo!B8,ref_Unit_Balance!$B$31:$B$1048576,0))=0,1,INDEX(ref_Unit_Balance!$T$31:$T$106,MATCH(UnitGradeInfo!B8,ref_Unit_Balance!$B$31:$B$1048576,0)))</f>
        <v>1</v>
      </c>
      <c r="J8" s="5">
        <f>INDEX(ref_Unit_Balance!$S$31:$S$106,MATCH(UnitGradeInfo!B8,ref_Unit_Balance!$B$31:$B$1048576,0))</f>
        <v>1000</v>
      </c>
      <c r="K8" s="5">
        <v>0</v>
      </c>
      <c r="L8" s="5">
        <f>INDEX(ref_Unit_Balance!$I$31:$I$106,MATCH(UnitGradeInfo!B8,ref_Unit_Balance!$B$31:$B$1048576,0))</f>
        <v>1</v>
      </c>
      <c r="M8" s="5">
        <f t="shared" si="1"/>
        <v>2</v>
      </c>
      <c r="N8" s="5">
        <f t="shared" si="2"/>
        <v>20</v>
      </c>
      <c r="O8" s="5">
        <f>(INDEX(Unitinfo!I:I,MATCH(B8,Unitinfo!A:A,0))+1)*2</f>
        <v>2</v>
      </c>
      <c r="P8" s="5">
        <v>0</v>
      </c>
      <c r="Q8" s="5">
        <v>0</v>
      </c>
      <c r="R8" s="19" t="s">
        <v>121</v>
      </c>
      <c r="S8" s="19" t="s">
        <v>121</v>
      </c>
      <c r="T8" s="5">
        <f t="shared" si="0"/>
        <v>1005</v>
      </c>
      <c r="U8" s="5">
        <f t="shared" si="3"/>
        <v>1</v>
      </c>
      <c r="V8" s="5">
        <v>0</v>
      </c>
      <c r="W8" s="5">
        <f>10</f>
        <v>10</v>
      </c>
    </row>
    <row r="9" spans="1:23">
      <c r="A9" s="5">
        <f t="shared" si="4"/>
        <v>6</v>
      </c>
      <c r="B9" s="93">
        <v>1006</v>
      </c>
      <c r="C9" s="20" t="str">
        <f>INDEX(Unitinfo!C:C,MATCH(UnitGradeInfo!B9,Unitinfo!A:A,0))</f>
        <v>(근거리)Indian_Bear</v>
      </c>
      <c r="D9" s="5">
        <f>COUNTIF($B$4:B9,B9)</f>
        <v>1</v>
      </c>
      <c r="E9" s="5">
        <f>ROUNDDOWN(INDEX(ref_Unit_Balance!$G$31:$G$106,MATCH(UnitGradeInfo!B9,ref_Unit_Balance!$B$31:$B$1048576,0))+INDEX(ref_Unit_Balance!$G$20:$G$23,MATCH(Unitinfo!I9+1,ref_Unit_Balance!$B$20:$B$23,0))*ref_Unit_Balance!$C$25,0)</f>
        <v>100</v>
      </c>
      <c r="F9" s="5">
        <f>INDEX(ref_Unit_Balance!$V$31:$V$106,MATCH(UnitGradeInfo!B9,ref_Unit_Balance!$B$31:$B$1048576,0))
+
INDEX(ref_Unit_Balance!$AB$31:$AB$106,MATCH(UnitGradeInfo!B9,ref_Unit_Balance!$B$31:$B$1048576,0))*(D9-1)</f>
        <v>1500</v>
      </c>
      <c r="G9" s="5">
        <f>INDEX(ref_Unit_Balance!$R$31:$R$106,MATCH(UnitGradeInfo!B9,ref_Unit_Balance!$B$31:$B$1048576,0))
+
INDEX(ref_Unit_Balance!$AA$31:$AA$106,MATCH(UnitGradeInfo!B9,ref_Unit_Balance!$B$31:$B$1048576,0))*(D9-1)</f>
        <v>420</v>
      </c>
      <c r="H9" s="39">
        <f>IF(INDEX(Unitinfo!D:D,MATCH(UnitGradeInfo!B9,Unitinfo!A:A,0))=1,50,5)</f>
        <v>5</v>
      </c>
      <c r="I9" s="5">
        <f>IF(INDEX(ref_Unit_Balance!$T$31:$T$106,MATCH(UnitGradeInfo!B9,ref_Unit_Balance!$B$31:$B$1048576,0))=0,1,INDEX(ref_Unit_Balance!$T$31:$T$106,MATCH(UnitGradeInfo!B9,ref_Unit_Balance!$B$31:$B$1048576,0)))</f>
        <v>1</v>
      </c>
      <c r="J9" s="5">
        <f>INDEX(ref_Unit_Balance!$S$31:$S$106,MATCH(UnitGradeInfo!B9,ref_Unit_Balance!$B$31:$B$1048576,0))</f>
        <v>1000</v>
      </c>
      <c r="K9" s="5">
        <v>0</v>
      </c>
      <c r="L9" s="5">
        <f>INDEX(ref_Unit_Balance!$I$31:$I$106,MATCH(UnitGradeInfo!B9,ref_Unit_Balance!$B$31:$B$1048576,0))</f>
        <v>1</v>
      </c>
      <c r="M9" s="5">
        <f t="shared" si="1"/>
        <v>2</v>
      </c>
      <c r="N9" s="5">
        <f t="shared" si="2"/>
        <v>20</v>
      </c>
      <c r="O9" s="5">
        <f>(INDEX(Unitinfo!I:I,MATCH(B9,Unitinfo!A:A,0))+1)*2</f>
        <v>2</v>
      </c>
      <c r="P9" s="5">
        <v>0</v>
      </c>
      <c r="Q9" s="5">
        <v>0</v>
      </c>
      <c r="R9" s="19" t="s">
        <v>121</v>
      </c>
      <c r="S9" s="19" t="s">
        <v>121</v>
      </c>
      <c r="T9" s="5">
        <f t="shared" si="0"/>
        <v>1006</v>
      </c>
      <c r="U9" s="5">
        <f t="shared" si="3"/>
        <v>1</v>
      </c>
      <c r="V9" s="5">
        <v>0</v>
      </c>
      <c r="W9" s="5">
        <f>10</f>
        <v>10</v>
      </c>
    </row>
    <row r="10" spans="1:23">
      <c r="A10" s="5">
        <f t="shared" si="4"/>
        <v>7</v>
      </c>
      <c r="B10" s="93">
        <v>1007</v>
      </c>
      <c r="C10" s="20" t="str">
        <f>INDEX(Unitinfo!C:C,MATCH(UnitGradeInfo!B10,Unitinfo!A:A,0))</f>
        <v>(근거리)Bear</v>
      </c>
      <c r="D10" s="5">
        <f>COUNTIF($B$4:B10,B10)</f>
        <v>1</v>
      </c>
      <c r="E10" s="5">
        <f>ROUNDDOWN(INDEX(ref_Unit_Balance!$G$31:$G$106,MATCH(UnitGradeInfo!B10,ref_Unit_Balance!$B$31:$B$1048576,0))+INDEX(ref_Unit_Balance!$G$20:$G$23,MATCH(Unitinfo!I10+1,ref_Unit_Balance!$B$20:$B$23,0))*ref_Unit_Balance!$C$25,0)</f>
        <v>100</v>
      </c>
      <c r="F10" s="5">
        <f>INDEX(ref_Unit_Balance!$V$31:$V$106,MATCH(UnitGradeInfo!B10,ref_Unit_Balance!$B$31:$B$1048576,0))
+
INDEX(ref_Unit_Balance!$AB$31:$AB$106,MATCH(UnitGradeInfo!B10,ref_Unit_Balance!$B$31:$B$1048576,0))*(D10-1)</f>
        <v>3500</v>
      </c>
      <c r="G10" s="5">
        <f>INDEX(ref_Unit_Balance!$R$31:$R$106,MATCH(UnitGradeInfo!B10,ref_Unit_Balance!$B$31:$B$1048576,0))
+
INDEX(ref_Unit_Balance!$AA$31:$AA$106,MATCH(UnitGradeInfo!B10,ref_Unit_Balance!$B$31:$B$1048576,0))*(D10-1)</f>
        <v>180</v>
      </c>
      <c r="H10" s="39">
        <f>IF(INDEX(Unitinfo!D:D,MATCH(UnitGradeInfo!B10,Unitinfo!A:A,0))=1,50,5)</f>
        <v>5</v>
      </c>
      <c r="I10" s="5">
        <f>IF(INDEX(ref_Unit_Balance!$T$31:$T$106,MATCH(UnitGradeInfo!B10,ref_Unit_Balance!$B$31:$B$1048576,0))=0,1,INDEX(ref_Unit_Balance!$T$31:$T$106,MATCH(UnitGradeInfo!B10,ref_Unit_Balance!$B$31:$B$1048576,0)))</f>
        <v>1</v>
      </c>
      <c r="J10" s="5">
        <f>INDEX(ref_Unit_Balance!$S$31:$S$106,MATCH(UnitGradeInfo!B10,ref_Unit_Balance!$B$31:$B$1048576,0))</f>
        <v>1000</v>
      </c>
      <c r="K10" s="5">
        <v>0</v>
      </c>
      <c r="L10" s="5">
        <f>INDEX(ref_Unit_Balance!$I$31:$I$106,MATCH(UnitGradeInfo!B10,ref_Unit_Balance!$B$31:$B$1048576,0))</f>
        <v>1</v>
      </c>
      <c r="M10" s="5">
        <f t="shared" si="1"/>
        <v>2</v>
      </c>
      <c r="N10" s="5">
        <f t="shared" si="2"/>
        <v>20</v>
      </c>
      <c r="O10" s="5">
        <f>(INDEX(Unitinfo!I:I,MATCH(B10,Unitinfo!A:A,0))+1)*2</f>
        <v>2</v>
      </c>
      <c r="P10" s="5">
        <v>0</v>
      </c>
      <c r="Q10" s="5">
        <v>0</v>
      </c>
      <c r="R10" s="19" t="s">
        <v>121</v>
      </c>
      <c r="S10" s="19" t="s">
        <v>121</v>
      </c>
      <c r="T10" s="5">
        <f t="shared" si="0"/>
        <v>1007</v>
      </c>
      <c r="U10" s="5">
        <f t="shared" si="3"/>
        <v>1</v>
      </c>
      <c r="V10" s="5">
        <v>0</v>
      </c>
      <c r="W10" s="5">
        <f>10</f>
        <v>10</v>
      </c>
    </row>
    <row r="11" spans="1:23">
      <c r="A11" s="5">
        <f t="shared" si="4"/>
        <v>8</v>
      </c>
      <c r="B11" s="93">
        <v>1008</v>
      </c>
      <c r="C11" s="20" t="str">
        <f>INDEX(Unitinfo!C:C,MATCH(UnitGradeInfo!B11,Unitinfo!A:A,0))</f>
        <v>(근거리)Indian_Master</v>
      </c>
      <c r="D11" s="5">
        <f>COUNTIF($B$4:B11,B11)</f>
        <v>1</v>
      </c>
      <c r="E11" s="5">
        <f>ROUNDDOWN(INDEX(ref_Unit_Balance!$G$31:$G$106,MATCH(UnitGradeInfo!B11,ref_Unit_Balance!$B$31:$B$1048576,0))+INDEX(ref_Unit_Balance!$G$20:$G$23,MATCH(Unitinfo!I11+1,ref_Unit_Balance!$B$20:$B$23,0))*ref_Unit_Balance!$C$25,0)</f>
        <v>100</v>
      </c>
      <c r="F11" s="5">
        <f>INDEX(ref_Unit_Balance!$V$31:$V$106,MATCH(UnitGradeInfo!B11,ref_Unit_Balance!$B$31:$B$1048576,0))
+
INDEX(ref_Unit_Balance!$AB$31:$AB$106,MATCH(UnitGradeInfo!B11,ref_Unit_Balance!$B$31:$B$1048576,0))*(D11-1)</f>
        <v>1500</v>
      </c>
      <c r="G11" s="5">
        <f>INDEX(ref_Unit_Balance!$R$31:$R$106,MATCH(UnitGradeInfo!B11,ref_Unit_Balance!$B$31:$B$1048576,0))
+
INDEX(ref_Unit_Balance!$AA$31:$AA$106,MATCH(UnitGradeInfo!B11,ref_Unit_Balance!$B$31:$B$1048576,0))*(D11-1)</f>
        <v>360</v>
      </c>
      <c r="H11" s="39">
        <f>IF(INDEX(Unitinfo!D:D,MATCH(UnitGradeInfo!B11,Unitinfo!A:A,0))=1,50,5)</f>
        <v>5</v>
      </c>
      <c r="I11" s="5">
        <f>IF(INDEX(ref_Unit_Balance!$T$31:$T$106,MATCH(UnitGradeInfo!B11,ref_Unit_Balance!$B$31:$B$1048576,0))=0,1,INDEX(ref_Unit_Balance!$T$31:$T$106,MATCH(UnitGradeInfo!B11,ref_Unit_Balance!$B$31:$B$1048576,0)))</f>
        <v>5</v>
      </c>
      <c r="J11" s="5">
        <f>INDEX(ref_Unit_Balance!$S$31:$S$106,MATCH(UnitGradeInfo!B11,ref_Unit_Balance!$B$31:$B$1048576,0))</f>
        <v>1000</v>
      </c>
      <c r="K11" s="5">
        <v>0</v>
      </c>
      <c r="L11" s="5">
        <f>INDEX(ref_Unit_Balance!$I$31:$I$106,MATCH(UnitGradeInfo!B11,ref_Unit_Balance!$B$31:$B$1048576,0))</f>
        <v>1</v>
      </c>
      <c r="M11" s="5">
        <f t="shared" si="1"/>
        <v>2</v>
      </c>
      <c r="N11" s="5">
        <f t="shared" si="2"/>
        <v>20</v>
      </c>
      <c r="O11" s="5">
        <f>(INDEX(Unitinfo!I:I,MATCH(B11,Unitinfo!A:A,0))+1)*2</f>
        <v>2</v>
      </c>
      <c r="P11" s="5">
        <v>0</v>
      </c>
      <c r="Q11" s="5">
        <v>0</v>
      </c>
      <c r="R11" s="19" t="s">
        <v>121</v>
      </c>
      <c r="S11" s="19" t="s">
        <v>121</v>
      </c>
      <c r="T11" s="5">
        <f t="shared" si="0"/>
        <v>1008</v>
      </c>
      <c r="U11" s="5">
        <f t="shared" si="3"/>
        <v>1</v>
      </c>
      <c r="V11" s="5">
        <v>0</v>
      </c>
      <c r="W11" s="5">
        <f>10</f>
        <v>10</v>
      </c>
    </row>
    <row r="12" spans="1:23">
      <c r="A12" s="5">
        <f t="shared" si="4"/>
        <v>9</v>
      </c>
      <c r="B12" s="93">
        <v>1009</v>
      </c>
      <c r="C12" s="20" t="str">
        <f>INDEX(Unitinfo!C:C,MATCH(UnitGradeInfo!B12,Unitinfo!A:A,0))</f>
        <v>(근거리)Corgi</v>
      </c>
      <c r="D12" s="5">
        <f>COUNTIF($B$4:B12,B12)</f>
        <v>1</v>
      </c>
      <c r="E12" s="5">
        <f>ROUNDDOWN(INDEX(ref_Unit_Balance!$G$31:$G$106,MATCH(UnitGradeInfo!B12,ref_Unit_Balance!$B$31:$B$1048576,0))+INDEX(ref_Unit_Balance!$G$20:$G$23,MATCH(Unitinfo!I12+1,ref_Unit_Balance!$B$20:$B$23,0))*ref_Unit_Balance!$C$25,0)</f>
        <v>100</v>
      </c>
      <c r="F12" s="5">
        <f>INDEX(ref_Unit_Balance!$V$31:$V$106,MATCH(UnitGradeInfo!B12,ref_Unit_Balance!$B$31:$B$1048576,0))
+
INDEX(ref_Unit_Balance!$AB$31:$AB$106,MATCH(UnitGradeInfo!B12,ref_Unit_Balance!$B$31:$B$1048576,0))*(D12-1)</f>
        <v>2000</v>
      </c>
      <c r="G12" s="5">
        <f>INDEX(ref_Unit_Balance!$R$31:$R$106,MATCH(UnitGradeInfo!B12,ref_Unit_Balance!$B$31:$B$1048576,0))
+
INDEX(ref_Unit_Balance!$AA$31:$AA$106,MATCH(UnitGradeInfo!B12,ref_Unit_Balance!$B$31:$B$1048576,0))*(D12-1)</f>
        <v>360</v>
      </c>
      <c r="H12" s="39">
        <f>IF(INDEX(Unitinfo!D:D,MATCH(UnitGradeInfo!B12,Unitinfo!A:A,0))=1,50,5)</f>
        <v>5</v>
      </c>
      <c r="I12" s="5">
        <f>IF(INDEX(ref_Unit_Balance!$T$31:$T$106,MATCH(UnitGradeInfo!B12,ref_Unit_Balance!$B$31:$B$1048576,0))=0,1,INDEX(ref_Unit_Balance!$T$31:$T$106,MATCH(UnitGradeInfo!B12,ref_Unit_Balance!$B$31:$B$1048576,0)))</f>
        <v>1</v>
      </c>
      <c r="J12" s="5">
        <f>INDEX(ref_Unit_Balance!$S$31:$S$106,MATCH(UnitGradeInfo!B12,ref_Unit_Balance!$B$31:$B$1048576,0))</f>
        <v>1000</v>
      </c>
      <c r="K12" s="5">
        <v>0</v>
      </c>
      <c r="L12" s="5">
        <f>INDEX(ref_Unit_Balance!$I$31:$I$106,MATCH(UnitGradeInfo!B12,ref_Unit_Balance!$B$31:$B$1048576,0))</f>
        <v>1</v>
      </c>
      <c r="M12" s="5">
        <f t="shared" si="1"/>
        <v>2</v>
      </c>
      <c r="N12" s="5">
        <f t="shared" si="2"/>
        <v>20</v>
      </c>
      <c r="O12" s="5">
        <f>(INDEX(Unitinfo!I:I,MATCH(B12,Unitinfo!A:A,0))+1)*2</f>
        <v>2</v>
      </c>
      <c r="P12" s="5">
        <v>0</v>
      </c>
      <c r="Q12" s="5">
        <v>0</v>
      </c>
      <c r="R12" s="19" t="s">
        <v>121</v>
      </c>
      <c r="S12" s="19" t="s">
        <v>121</v>
      </c>
      <c r="T12" s="5">
        <f t="shared" si="0"/>
        <v>1009</v>
      </c>
      <c r="U12" s="5">
        <f t="shared" si="3"/>
        <v>1</v>
      </c>
      <c r="V12" s="5">
        <v>0</v>
      </c>
      <c r="W12" s="5">
        <f>10</f>
        <v>10</v>
      </c>
    </row>
    <row r="13" spans="1:23">
      <c r="A13" s="5">
        <f t="shared" si="4"/>
        <v>10</v>
      </c>
      <c r="B13" s="93">
        <v>1010</v>
      </c>
      <c r="C13" s="20" t="str">
        <f>INDEX(Unitinfo!C:C,MATCH(UnitGradeInfo!B13,Unitinfo!A:A,0))</f>
        <v>(근거리)Indian_Horse_Sword</v>
      </c>
      <c r="D13" s="5">
        <f>COUNTIF($B$4:B13,B13)</f>
        <v>1</v>
      </c>
      <c r="E13" s="5">
        <f>ROUNDDOWN(INDEX(ref_Unit_Balance!$G$31:$G$106,MATCH(UnitGradeInfo!B13,ref_Unit_Balance!$B$31:$B$1048576,0))+INDEX(ref_Unit_Balance!$G$20:$G$23,MATCH(Unitinfo!I13+1,ref_Unit_Balance!$B$20:$B$23,0))*ref_Unit_Balance!$C$25,0)</f>
        <v>112</v>
      </c>
      <c r="F13" s="5">
        <f>INDEX(ref_Unit_Balance!$V$31:$V$106,MATCH(UnitGradeInfo!B13,ref_Unit_Balance!$B$31:$B$1048576,0))
+
INDEX(ref_Unit_Balance!$AB$31:$AB$106,MATCH(UnitGradeInfo!B13,ref_Unit_Balance!$B$31:$B$1048576,0))*(D13-1)</f>
        <v>3000</v>
      </c>
      <c r="G13" s="5">
        <f>INDEX(ref_Unit_Balance!$R$31:$R$106,MATCH(UnitGradeInfo!B13,ref_Unit_Balance!$B$31:$B$1048576,0))
+
INDEX(ref_Unit_Balance!$AA$31:$AA$106,MATCH(UnitGradeInfo!B13,ref_Unit_Balance!$B$31:$B$1048576,0))*(D13-1)</f>
        <v>240</v>
      </c>
      <c r="H13" s="39">
        <f>IF(INDEX(Unitinfo!D:D,MATCH(UnitGradeInfo!B13,Unitinfo!A:A,0))=1,50,5)</f>
        <v>5</v>
      </c>
      <c r="I13" s="5">
        <f>IF(INDEX(ref_Unit_Balance!$T$31:$T$106,MATCH(UnitGradeInfo!B13,ref_Unit_Balance!$B$31:$B$1048576,0))=0,1,INDEX(ref_Unit_Balance!$T$31:$T$106,MATCH(UnitGradeInfo!B13,ref_Unit_Balance!$B$31:$B$1048576,0)))</f>
        <v>1</v>
      </c>
      <c r="J13" s="5">
        <f>INDEX(ref_Unit_Balance!$S$31:$S$106,MATCH(UnitGradeInfo!B13,ref_Unit_Balance!$B$31:$B$1048576,0))</f>
        <v>1000</v>
      </c>
      <c r="K13" s="5">
        <v>0</v>
      </c>
      <c r="L13" s="5">
        <f>INDEX(ref_Unit_Balance!$I$31:$I$106,MATCH(UnitGradeInfo!B13,ref_Unit_Balance!$B$31:$B$1048576,0))</f>
        <v>1</v>
      </c>
      <c r="M13" s="5">
        <f t="shared" si="1"/>
        <v>2</v>
      </c>
      <c r="N13" s="5">
        <f t="shared" si="2"/>
        <v>20</v>
      </c>
      <c r="O13" s="5">
        <f>(INDEX(Unitinfo!I:I,MATCH(B13,Unitinfo!A:A,0))+1)*2</f>
        <v>4</v>
      </c>
      <c r="P13" s="5">
        <v>0</v>
      </c>
      <c r="Q13" s="5">
        <v>0</v>
      </c>
      <c r="R13" s="19" t="s">
        <v>121</v>
      </c>
      <c r="S13" s="19" t="s">
        <v>121</v>
      </c>
      <c r="T13" s="5">
        <f t="shared" si="0"/>
        <v>1010</v>
      </c>
      <c r="U13" s="5">
        <f t="shared" si="3"/>
        <v>1</v>
      </c>
      <c r="V13" s="5">
        <v>0</v>
      </c>
      <c r="W13" s="5">
        <f>10</f>
        <v>10</v>
      </c>
    </row>
    <row r="14" spans="1:23">
      <c r="A14" s="5">
        <f t="shared" si="4"/>
        <v>11</v>
      </c>
      <c r="B14" s="93">
        <v>1011</v>
      </c>
      <c r="C14" s="20" t="str">
        <f>INDEX(Unitinfo!C:C,MATCH(UnitGradeInfo!B14,Unitinfo!A:A,0))</f>
        <v>(근거리)Indian_Horse_Spear</v>
      </c>
      <c r="D14" s="5">
        <f>COUNTIF($B$4:B14,B14)</f>
        <v>1</v>
      </c>
      <c r="E14" s="5">
        <f>ROUNDDOWN(INDEX(ref_Unit_Balance!$G$31:$G$106,MATCH(UnitGradeInfo!B14,ref_Unit_Balance!$B$31:$B$1048576,0))
+INDEX(ref_Unit_Balance!$G$20:$G$23,MATCH(IFERROR(INDEX(ref_Unit_Balance!$D$31:$D$1048576,MATCH(B14,ref_Unit_Balance!$B$31:$B$1048576,0)),0),ref_Unit_Balance!$B$20:$B$23,0))*D14*ref_Unit_Balance!$C$25,0)</f>
        <v>112</v>
      </c>
      <c r="F14" s="5">
        <f>INDEX(ref_Unit_Balance!$V$31:$V$106,MATCH(UnitGradeInfo!B14,ref_Unit_Balance!$B$31:$B$1048576,0))
+
INDEX(ref_Unit_Balance!$AB$31:$AB$106,MATCH(UnitGradeInfo!B14,ref_Unit_Balance!$B$31:$B$1048576,0))*(D14-1)</f>
        <v>2000</v>
      </c>
      <c r="G14" s="5">
        <f>INDEX(ref_Unit_Balance!$R$31:$R$106,MATCH(UnitGradeInfo!B14,ref_Unit_Balance!$B$31:$B$1048576,0))
+
INDEX(ref_Unit_Balance!$AA$31:$AA$106,MATCH(UnitGradeInfo!B14,ref_Unit_Balance!$B$31:$B$1048576,0))*(D14-1)</f>
        <v>360</v>
      </c>
      <c r="H14" s="39">
        <f>IF(INDEX(Unitinfo!D:D,MATCH(UnitGradeInfo!B14,Unitinfo!A:A,0))=1,50,5)</f>
        <v>5</v>
      </c>
      <c r="I14" s="5">
        <f>IF(INDEX(ref_Unit_Balance!$T$31:$T$106,MATCH(UnitGradeInfo!B14,ref_Unit_Balance!$B$31:$B$1048576,0))=0,1,INDEX(ref_Unit_Balance!$T$31:$T$106,MATCH(UnitGradeInfo!B14,ref_Unit_Balance!$B$31:$B$1048576,0)))</f>
        <v>1</v>
      </c>
      <c r="J14" s="5">
        <f>INDEX(ref_Unit_Balance!$S$31:$S$106,MATCH(UnitGradeInfo!B14,ref_Unit_Balance!$B$31:$B$1048576,0))</f>
        <v>1000</v>
      </c>
      <c r="K14" s="5">
        <v>0</v>
      </c>
      <c r="L14" s="5">
        <f>INDEX(ref_Unit_Balance!$I$31:$I$106,MATCH(UnitGradeInfo!B14,ref_Unit_Balance!$B$31:$B$1048576,0))</f>
        <v>1</v>
      </c>
      <c r="M14" s="5">
        <f t="shared" si="1"/>
        <v>2</v>
      </c>
      <c r="N14" s="5">
        <f t="shared" si="2"/>
        <v>20</v>
      </c>
      <c r="O14" s="5">
        <f>(INDEX(Unitinfo!I:I,MATCH(B14,Unitinfo!A:A,0))+1)*2</f>
        <v>4</v>
      </c>
      <c r="P14" s="5">
        <v>0</v>
      </c>
      <c r="Q14" s="5">
        <v>0</v>
      </c>
      <c r="R14" s="19" t="s">
        <v>121</v>
      </c>
      <c r="S14" s="19" t="s">
        <v>121</v>
      </c>
      <c r="T14" s="5">
        <f t="shared" si="0"/>
        <v>1011</v>
      </c>
      <c r="U14" s="5">
        <f t="shared" si="3"/>
        <v>1</v>
      </c>
      <c r="V14" s="5">
        <v>0</v>
      </c>
      <c r="W14" s="5">
        <f>10</f>
        <v>10</v>
      </c>
    </row>
    <row r="15" spans="1:23">
      <c r="A15" s="5">
        <f t="shared" si="4"/>
        <v>12</v>
      </c>
      <c r="B15" s="93">
        <v>1012</v>
      </c>
      <c r="C15" s="20" t="str">
        <f>INDEX(Unitinfo!C:C,MATCH(UnitGradeInfo!B15,Unitinfo!A:A,0))</f>
        <v>(원거리)Indian_Horse_Archer</v>
      </c>
      <c r="D15" s="5">
        <f>COUNTIF($B$4:B15,B15)</f>
        <v>1</v>
      </c>
      <c r="E15" s="5">
        <f>ROUNDDOWN(INDEX(ref_Unit_Balance!$G$31:$G$106,MATCH(UnitGradeInfo!B15,ref_Unit_Balance!$B$31:$B$1048576,0))
+INDEX(ref_Unit_Balance!$G$20:$G$23,MATCH(IFERROR(INDEX(ref_Unit_Balance!$D$31:$D$1048576,MATCH(B15,ref_Unit_Balance!$B$31:$B$1048576,0)),0),ref_Unit_Balance!$B$20:$B$23,0))*D15*ref_Unit_Balance!$C$25,0)</f>
        <v>112</v>
      </c>
      <c r="F15" s="5">
        <f>INDEX(ref_Unit_Balance!$V$31:$V$106,MATCH(UnitGradeInfo!B15,ref_Unit_Balance!$B$31:$B$1048576,0))
+
INDEX(ref_Unit_Balance!$AB$31:$AB$106,MATCH(UnitGradeInfo!B15,ref_Unit_Balance!$B$31:$B$1048576,0))*(D15-1)</f>
        <v>1500</v>
      </c>
      <c r="G15" s="5">
        <f>INDEX(ref_Unit_Balance!$R$31:$R$106,MATCH(UnitGradeInfo!B15,ref_Unit_Balance!$B$31:$B$1048576,0))
+
INDEX(ref_Unit_Balance!$AA$31:$AA$106,MATCH(UnitGradeInfo!B15,ref_Unit_Balance!$B$31:$B$1048576,0))*(D15-1)</f>
        <v>200</v>
      </c>
      <c r="H15" s="39">
        <f>IF(INDEX(Unitinfo!D:D,MATCH(UnitGradeInfo!B15,Unitinfo!A:A,0))=1,50,5)</f>
        <v>50</v>
      </c>
      <c r="I15" s="5">
        <f>IF(INDEX(ref_Unit_Balance!$T$31:$T$106,MATCH(UnitGradeInfo!B15,ref_Unit_Balance!$B$31:$B$1048576,0))=0,1,INDEX(ref_Unit_Balance!$T$31:$T$106,MATCH(UnitGradeInfo!B15,ref_Unit_Balance!$B$31:$B$1048576,0)))</f>
        <v>1</v>
      </c>
      <c r="J15" s="5">
        <f>INDEX(ref_Unit_Balance!$S$31:$S$106,MATCH(UnitGradeInfo!B15,ref_Unit_Balance!$B$31:$B$1048576,0))</f>
        <v>1000</v>
      </c>
      <c r="K15" s="5">
        <v>0</v>
      </c>
      <c r="L15" s="5">
        <f>INDEX(ref_Unit_Balance!$I$31:$I$106,MATCH(UnitGradeInfo!B15,ref_Unit_Balance!$B$31:$B$1048576,0))</f>
        <v>1</v>
      </c>
      <c r="M15" s="5">
        <f t="shared" si="1"/>
        <v>2</v>
      </c>
      <c r="N15" s="5">
        <f t="shared" si="2"/>
        <v>20</v>
      </c>
      <c r="O15" s="5">
        <f>(INDEX(Unitinfo!I:I,MATCH(B15,Unitinfo!A:A,0))+1)*2</f>
        <v>4</v>
      </c>
      <c r="P15" s="5">
        <v>0</v>
      </c>
      <c r="Q15" s="5">
        <v>0</v>
      </c>
      <c r="R15" s="19" t="s">
        <v>121</v>
      </c>
      <c r="S15" s="19" t="s">
        <v>121</v>
      </c>
      <c r="T15" s="5">
        <f t="shared" si="0"/>
        <v>1012</v>
      </c>
      <c r="U15" s="5">
        <f t="shared" si="3"/>
        <v>1</v>
      </c>
      <c r="V15" s="5">
        <v>0</v>
      </c>
      <c r="W15" s="5">
        <f>10</f>
        <v>10</v>
      </c>
    </row>
    <row r="16" spans="1:23">
      <c r="A16" s="5">
        <f t="shared" si="4"/>
        <v>13</v>
      </c>
      <c r="B16" s="93">
        <v>1013</v>
      </c>
      <c r="C16" s="20" t="str">
        <f>INDEX(Unitinfo!C:C,MATCH(UnitGradeInfo!B16,Unitinfo!A:A,0))</f>
        <v>(원거리)Chicken_Black</v>
      </c>
      <c r="D16" s="5">
        <f>COUNTIF($B$4:B16,B16)</f>
        <v>1</v>
      </c>
      <c r="E16" s="5">
        <f>ROUNDDOWN(INDEX(ref_Unit_Balance!$G$31:$G$106,MATCH(UnitGradeInfo!B16,ref_Unit_Balance!$B$31:$B$1048576,0))
+INDEX(ref_Unit_Balance!$G$20:$G$23,MATCH(IFERROR(INDEX(ref_Unit_Balance!$D$31:$D$1048576,MATCH(B16,ref_Unit_Balance!$B$31:$B$1048576,0)),0),ref_Unit_Balance!$B$20:$B$23,0))*D16*ref_Unit_Balance!$C$25,0)</f>
        <v>112</v>
      </c>
      <c r="F16" s="5">
        <f>INDEX(ref_Unit_Balance!$V$31:$V$106,MATCH(UnitGradeInfo!B16,ref_Unit_Balance!$B$31:$B$1048576,0))
+
INDEX(ref_Unit_Balance!$AB$31:$AB$106,MATCH(UnitGradeInfo!B16,ref_Unit_Balance!$B$31:$B$1048576,0))*(D16-1)</f>
        <v>1200</v>
      </c>
      <c r="G16" s="5">
        <f>INDEX(ref_Unit_Balance!$R$31:$R$106,MATCH(UnitGradeInfo!B16,ref_Unit_Balance!$B$31:$B$1048576,0))
+
INDEX(ref_Unit_Balance!$AA$31:$AA$106,MATCH(UnitGradeInfo!B16,ref_Unit_Balance!$B$31:$B$1048576,0))*(D16-1)</f>
        <v>240</v>
      </c>
      <c r="H16" s="39">
        <f>IF(INDEX(Unitinfo!D:D,MATCH(UnitGradeInfo!B16,Unitinfo!A:A,0))=1,50,5)</f>
        <v>50</v>
      </c>
      <c r="I16" s="5">
        <f>IF(INDEX(ref_Unit_Balance!$T$31:$T$106,MATCH(UnitGradeInfo!B16,ref_Unit_Balance!$B$31:$B$1048576,0))=0,1,INDEX(ref_Unit_Balance!$T$31:$T$106,MATCH(UnitGradeInfo!B16,ref_Unit_Balance!$B$31:$B$1048576,0)))</f>
        <v>1</v>
      </c>
      <c r="J16" s="5">
        <f>INDEX(ref_Unit_Balance!$S$31:$S$106,MATCH(UnitGradeInfo!B16,ref_Unit_Balance!$B$31:$B$1048576,0))</f>
        <v>1000</v>
      </c>
      <c r="K16" s="5">
        <v>0</v>
      </c>
      <c r="L16" s="5">
        <f>INDEX(ref_Unit_Balance!$I$31:$I$106,MATCH(UnitGradeInfo!B16,ref_Unit_Balance!$B$31:$B$1048576,0))</f>
        <v>1</v>
      </c>
      <c r="M16" s="5">
        <f t="shared" si="1"/>
        <v>2</v>
      </c>
      <c r="N16" s="5">
        <f t="shared" si="2"/>
        <v>20</v>
      </c>
      <c r="O16" s="5">
        <f>(INDEX(Unitinfo!I:I,MATCH(B16,Unitinfo!A:A,0))+1)*2</f>
        <v>4</v>
      </c>
      <c r="P16" s="5">
        <v>0</v>
      </c>
      <c r="Q16" s="5">
        <v>0</v>
      </c>
      <c r="R16" s="19" t="s">
        <v>121</v>
      </c>
      <c r="S16" s="19" t="s">
        <v>121</v>
      </c>
      <c r="T16" s="5">
        <f t="shared" si="0"/>
        <v>1013</v>
      </c>
      <c r="U16" s="5">
        <f t="shared" si="3"/>
        <v>1</v>
      </c>
      <c r="V16" s="5">
        <v>0</v>
      </c>
      <c r="W16" s="5">
        <f>10</f>
        <v>10</v>
      </c>
    </row>
    <row r="17" spans="1:23">
      <c r="A17" s="5">
        <f t="shared" si="4"/>
        <v>14</v>
      </c>
      <c r="B17" s="93">
        <v>1014</v>
      </c>
      <c r="C17" s="20" t="str">
        <f>INDEX(Unitinfo!C:C,MATCH(UnitGradeInfo!B17,Unitinfo!A:A,0))</f>
        <v>(원거리)Chicken_White</v>
      </c>
      <c r="D17" s="5">
        <f>COUNTIF($B$4:B17,B17)</f>
        <v>1</v>
      </c>
      <c r="E17" s="5">
        <f>ROUNDDOWN(INDEX(ref_Unit_Balance!$G$31:$G$106,MATCH(UnitGradeInfo!B17,ref_Unit_Balance!$B$31:$B$1048576,0))
+INDEX(ref_Unit_Balance!$G$20:$G$23,MATCH(IFERROR(INDEX(ref_Unit_Balance!$D$31:$D$1048576,MATCH(B17,ref_Unit_Balance!$B$31:$B$1048576,0)),0),ref_Unit_Balance!$B$20:$B$23,0))*D17*ref_Unit_Balance!$C$25,0)</f>
        <v>112</v>
      </c>
      <c r="F17" s="5">
        <f>INDEX(ref_Unit_Balance!$V$31:$V$106,MATCH(UnitGradeInfo!B17,ref_Unit_Balance!$B$31:$B$1048576,0))
+
INDEX(ref_Unit_Balance!$AB$31:$AB$106,MATCH(UnitGradeInfo!B17,ref_Unit_Balance!$B$31:$B$1048576,0))*(D17-1)</f>
        <v>1200</v>
      </c>
      <c r="G17" s="5">
        <f>INDEX(ref_Unit_Balance!$R$31:$R$106,MATCH(UnitGradeInfo!B17,ref_Unit_Balance!$B$31:$B$1048576,0))
+
INDEX(ref_Unit_Balance!$AA$31:$AA$106,MATCH(UnitGradeInfo!B17,ref_Unit_Balance!$B$31:$B$1048576,0))*(D17-1)</f>
        <v>240</v>
      </c>
      <c r="H17" s="39">
        <f>IF(INDEX(Unitinfo!D:D,MATCH(UnitGradeInfo!B17,Unitinfo!A:A,0))=1,50,5)</f>
        <v>50</v>
      </c>
      <c r="I17" s="5">
        <f>IF(INDEX(ref_Unit_Balance!$T$31:$T$106,MATCH(UnitGradeInfo!B17,ref_Unit_Balance!$B$31:$B$1048576,0))=0,1,INDEX(ref_Unit_Balance!$T$31:$T$106,MATCH(UnitGradeInfo!B17,ref_Unit_Balance!$B$31:$B$1048576,0)))</f>
        <v>1</v>
      </c>
      <c r="J17" s="5">
        <f>INDEX(ref_Unit_Balance!$S$31:$S$106,MATCH(UnitGradeInfo!B17,ref_Unit_Balance!$B$31:$B$1048576,0))</f>
        <v>1000</v>
      </c>
      <c r="K17" s="5">
        <v>0</v>
      </c>
      <c r="L17" s="5">
        <f>INDEX(ref_Unit_Balance!$I$31:$I$106,MATCH(UnitGradeInfo!B17,ref_Unit_Balance!$B$31:$B$1048576,0))</f>
        <v>1</v>
      </c>
      <c r="M17" s="5">
        <f t="shared" si="1"/>
        <v>2</v>
      </c>
      <c r="N17" s="5">
        <f t="shared" si="2"/>
        <v>20</v>
      </c>
      <c r="O17" s="5">
        <f>(INDEX(Unitinfo!I:I,MATCH(B17,Unitinfo!A:A,0))+1)*2</f>
        <v>4</v>
      </c>
      <c r="P17" s="5">
        <v>0</v>
      </c>
      <c r="Q17" s="5">
        <v>0</v>
      </c>
      <c r="R17" s="19" t="s">
        <v>121</v>
      </c>
      <c r="S17" s="19" t="s">
        <v>121</v>
      </c>
      <c r="T17" s="5">
        <f t="shared" si="0"/>
        <v>1014</v>
      </c>
      <c r="U17" s="5">
        <f t="shared" si="3"/>
        <v>1</v>
      </c>
      <c r="V17" s="5">
        <v>0</v>
      </c>
      <c r="W17" s="5">
        <f>10</f>
        <v>10</v>
      </c>
    </row>
    <row r="18" spans="1:23">
      <c r="A18" s="5">
        <f t="shared" si="4"/>
        <v>15</v>
      </c>
      <c r="B18" s="93">
        <v>1015</v>
      </c>
      <c r="C18" s="20" t="str">
        <f>INDEX(Unitinfo!C:C,MATCH(UnitGradeInfo!B18,Unitinfo!A:A,0))</f>
        <v>(근거리)Indian_Elephant</v>
      </c>
      <c r="D18" s="5">
        <f>COUNTIF($B$4:B18,B18)</f>
        <v>1</v>
      </c>
      <c r="E18" s="5">
        <f>ROUNDDOWN(INDEX(ref_Unit_Balance!$G$31:$G$106,MATCH(UnitGradeInfo!B18,ref_Unit_Balance!$B$31:$B$1048576,0))
+INDEX(ref_Unit_Balance!$G$20:$G$23,MATCH(IFERROR(INDEX(ref_Unit_Balance!$D$31:$D$1048576,MATCH(B18,ref_Unit_Balance!$B$31:$B$1048576,0)),0),ref_Unit_Balance!$B$20:$B$23,0))*D18*ref_Unit_Balance!$C$25,0)</f>
        <v>100</v>
      </c>
      <c r="F18" s="5">
        <f>INDEX(ref_Unit_Balance!$V$31:$V$106,MATCH(UnitGradeInfo!B18,ref_Unit_Balance!$B$31:$B$1048576,0))
+
INDEX(ref_Unit_Balance!$AB$31:$AB$106,MATCH(UnitGradeInfo!B18,ref_Unit_Balance!$B$31:$B$1048576,0))*(D18-1)</f>
        <v>2000</v>
      </c>
      <c r="G18" s="5">
        <f>INDEX(ref_Unit_Balance!$R$31:$R$106,MATCH(UnitGradeInfo!B18,ref_Unit_Balance!$B$31:$B$1048576,0))
+
INDEX(ref_Unit_Balance!$AA$31:$AA$106,MATCH(UnitGradeInfo!B18,ref_Unit_Balance!$B$31:$B$1048576,0))*(D18-1)</f>
        <v>360</v>
      </c>
      <c r="H18" s="39">
        <f>IF(INDEX(Unitinfo!D:D,MATCH(UnitGradeInfo!B18,Unitinfo!A:A,0))=1,50,5)</f>
        <v>5</v>
      </c>
      <c r="I18" s="5">
        <f>IF(INDEX(ref_Unit_Balance!$T$31:$T$106,MATCH(UnitGradeInfo!B18,ref_Unit_Balance!$B$31:$B$1048576,0))=0,1,INDEX(ref_Unit_Balance!$T$31:$T$106,MATCH(UnitGradeInfo!B18,ref_Unit_Balance!$B$31:$B$1048576,0)))</f>
        <v>1</v>
      </c>
      <c r="J18" s="5">
        <f>INDEX(ref_Unit_Balance!$S$31:$S$106,MATCH(UnitGradeInfo!B18,ref_Unit_Balance!$B$31:$B$1048576,0))</f>
        <v>1000</v>
      </c>
      <c r="K18" s="5">
        <v>0</v>
      </c>
      <c r="L18" s="5">
        <f>INDEX(ref_Unit_Balance!$I$31:$I$106,MATCH(UnitGradeInfo!B18,ref_Unit_Balance!$B$31:$B$1048576,0))</f>
        <v>1</v>
      </c>
      <c r="M18" s="5">
        <f t="shared" si="1"/>
        <v>2</v>
      </c>
      <c r="N18" s="5">
        <f t="shared" si="2"/>
        <v>20</v>
      </c>
      <c r="O18" s="5">
        <f>(INDEX(Unitinfo!I:I,MATCH(B18,Unitinfo!A:A,0))+1)*2</f>
        <v>2</v>
      </c>
      <c r="P18" s="5">
        <v>0</v>
      </c>
      <c r="Q18" s="5">
        <v>0</v>
      </c>
      <c r="R18" s="19" t="s">
        <v>121</v>
      </c>
      <c r="S18" s="19" t="s">
        <v>121</v>
      </c>
      <c r="T18" s="5">
        <f t="shared" si="0"/>
        <v>1015</v>
      </c>
      <c r="U18" s="5">
        <f t="shared" si="3"/>
        <v>1</v>
      </c>
      <c r="V18" s="5">
        <v>0</v>
      </c>
      <c r="W18" s="5">
        <f>10</f>
        <v>10</v>
      </c>
    </row>
    <row r="19" spans="1:23">
      <c r="A19" s="5">
        <f t="shared" si="4"/>
        <v>16</v>
      </c>
      <c r="B19" s="93">
        <v>1016</v>
      </c>
      <c r="C19" s="20" t="str">
        <f>INDEX(Unitinfo!C:C,MATCH(UnitGradeInfo!B19,Unitinfo!A:A,0))</f>
        <v>(원거리)Indian_Egg</v>
      </c>
      <c r="D19" s="5">
        <f>COUNTIF($B$4:B19,B19)</f>
        <v>1</v>
      </c>
      <c r="E19" s="5">
        <f>ROUNDDOWN(INDEX(ref_Unit_Balance!$G$31:$G$106,MATCH(UnitGradeInfo!B19,ref_Unit_Balance!$B$31:$B$1048576,0))
+INDEX(ref_Unit_Balance!$G$20:$G$23,MATCH(IFERROR(INDEX(ref_Unit_Balance!$D$31:$D$1048576,MATCH(B19,ref_Unit_Balance!$B$31:$B$1048576,0)),0),ref_Unit_Balance!$B$20:$B$23,0))*D19*ref_Unit_Balance!$C$25,0)</f>
        <v>137</v>
      </c>
      <c r="F19" s="5">
        <f>INDEX(ref_Unit_Balance!$V$31:$V$106,MATCH(UnitGradeInfo!B19,ref_Unit_Balance!$B$31:$B$1048576,0))
+
INDEX(ref_Unit_Balance!$AB$31:$AB$106,MATCH(UnitGradeInfo!B19,ref_Unit_Balance!$B$31:$B$1048576,0))*(D19-1)</f>
        <v>2250</v>
      </c>
      <c r="G19" s="5">
        <f>INDEX(ref_Unit_Balance!$R$31:$R$106,MATCH(UnitGradeInfo!B19,ref_Unit_Balance!$B$31:$B$1048576,0))
+
INDEX(ref_Unit_Balance!$AA$31:$AA$106,MATCH(UnitGradeInfo!B19,ref_Unit_Balance!$B$31:$B$1048576,0))*(D19-1)</f>
        <v>300</v>
      </c>
      <c r="H19" s="39">
        <f>IF(INDEX(Unitinfo!D:D,MATCH(UnitGradeInfo!B19,Unitinfo!A:A,0))=1,50,5)</f>
        <v>50</v>
      </c>
      <c r="I19" s="5">
        <f>IF(INDEX(ref_Unit_Balance!$T$31:$T$106,MATCH(UnitGradeInfo!B19,ref_Unit_Balance!$B$31:$B$1048576,0))=0,1,INDEX(ref_Unit_Balance!$T$31:$T$106,MATCH(UnitGradeInfo!B19,ref_Unit_Balance!$B$31:$B$1048576,0)))</f>
        <v>1</v>
      </c>
      <c r="J19" s="5">
        <f>INDEX(ref_Unit_Balance!$S$31:$S$106,MATCH(UnitGradeInfo!B19,ref_Unit_Balance!$B$31:$B$1048576,0))</f>
        <v>1000</v>
      </c>
      <c r="K19" s="5">
        <v>0</v>
      </c>
      <c r="L19" s="5">
        <f>INDEX(ref_Unit_Balance!$I$31:$I$106,MATCH(UnitGradeInfo!B19,ref_Unit_Balance!$B$31:$B$1048576,0))</f>
        <v>1</v>
      </c>
      <c r="M19" s="5">
        <f t="shared" si="1"/>
        <v>2</v>
      </c>
      <c r="N19" s="5">
        <f t="shared" si="2"/>
        <v>20</v>
      </c>
      <c r="O19" s="5">
        <f>(INDEX(Unitinfo!I:I,MATCH(B19,Unitinfo!A:A,0))+1)*2</f>
        <v>4</v>
      </c>
      <c r="P19" s="5">
        <v>0</v>
      </c>
      <c r="Q19" s="5">
        <v>0</v>
      </c>
      <c r="R19" s="19" t="s">
        <v>121</v>
      </c>
      <c r="S19" s="19" t="s">
        <v>121</v>
      </c>
      <c r="T19" s="5">
        <f t="shared" si="0"/>
        <v>1016</v>
      </c>
      <c r="U19" s="5">
        <f t="shared" si="3"/>
        <v>1</v>
      </c>
      <c r="V19" s="5">
        <v>0</v>
      </c>
      <c r="W19" s="5">
        <f>10</f>
        <v>10</v>
      </c>
    </row>
    <row r="20" spans="1:23">
      <c r="A20" s="5">
        <f t="shared" si="4"/>
        <v>17</v>
      </c>
      <c r="B20" s="93">
        <v>1051</v>
      </c>
      <c r="C20" s="20" t="str">
        <f>INDEX(Unitinfo!C:C,MATCH(UnitGradeInfo!B20,Unitinfo!A:A,0))</f>
        <v>(원거리)Indian_Archer_2</v>
      </c>
      <c r="D20" s="5">
        <f>COUNTIF($B$4:B20,B20)</f>
        <v>1</v>
      </c>
      <c r="E20" s="5">
        <f>ROUNDDOWN(INDEX(ref_Unit_Balance!$G$31:$G$106,MATCH(UnitGradeInfo!B20,ref_Unit_Balance!$B$31:$B$1048576,0))
+INDEX(ref_Unit_Balance!$G$20:$G$23,MATCH(IFERROR(INDEX(ref_Unit_Balance!$D$31:$D$1048576,MATCH(B20,ref_Unit_Balance!$B$31:$B$1048576,0)),0),ref_Unit_Balance!$B$20:$B$23,0))*D20*ref_Unit_Balance!$C$25,0)</f>
        <v>143</v>
      </c>
      <c r="F20" s="5">
        <f>INDEX(ref_Unit_Balance!$V$31:$V$106,MATCH(UnitGradeInfo!B20,ref_Unit_Balance!$B$31:$B$1048576,0))
+
INDEX(ref_Unit_Balance!$AB$31:$AB$106,MATCH(UnitGradeInfo!B20,ref_Unit_Balance!$B$31:$B$1048576,0))*(D20-1)</f>
        <v>1220</v>
      </c>
      <c r="G20" s="5">
        <f>INDEX(ref_Unit_Balance!$R$31:$R$106,MATCH(UnitGradeInfo!B20,ref_Unit_Balance!$B$31:$B$1048576,0))
+
INDEX(ref_Unit_Balance!$AA$31:$AA$106,MATCH(UnitGradeInfo!B20,ref_Unit_Balance!$B$31:$B$1048576,0))*(D20-1)</f>
        <v>380</v>
      </c>
      <c r="H20" s="39">
        <f>IF(INDEX(Unitinfo!D:D,MATCH(UnitGradeInfo!B20,Unitinfo!A:A,0))=1,50,5)</f>
        <v>50</v>
      </c>
      <c r="I20" s="5">
        <f>IF(INDEX(ref_Unit_Balance!$T$31:$T$106,MATCH(UnitGradeInfo!B20,ref_Unit_Balance!$B$31:$B$1048576,0))=0,1,INDEX(ref_Unit_Balance!$T$31:$T$106,MATCH(UnitGradeInfo!B20,ref_Unit_Balance!$B$31:$B$1048576,0)))</f>
        <v>1</v>
      </c>
      <c r="J20" s="5">
        <f>INDEX(ref_Unit_Balance!$S$31:$S$106,MATCH(UnitGradeInfo!B20,ref_Unit_Balance!$B$31:$B$1048576,0))</f>
        <v>1000</v>
      </c>
      <c r="K20" s="5">
        <v>0</v>
      </c>
      <c r="L20" s="5">
        <f>INDEX(ref_Unit_Balance!$I$31:$I$106,MATCH(UnitGradeInfo!B20,ref_Unit_Balance!$B$31:$B$1048576,0))</f>
        <v>1</v>
      </c>
      <c r="M20" s="5">
        <f t="shared" si="1"/>
        <v>2</v>
      </c>
      <c r="N20" s="5">
        <f t="shared" si="2"/>
        <v>20</v>
      </c>
      <c r="O20" s="5">
        <f>(INDEX(Unitinfo!I:I,MATCH(B20,Unitinfo!A:A,0))+1)*2</f>
        <v>6</v>
      </c>
      <c r="P20" s="5">
        <v>0</v>
      </c>
      <c r="Q20" s="5">
        <v>0</v>
      </c>
      <c r="R20" s="19" t="s">
        <v>121</v>
      </c>
      <c r="S20" s="19" t="s">
        <v>121</v>
      </c>
      <c r="T20" s="5">
        <f t="shared" si="0"/>
        <v>1051</v>
      </c>
      <c r="U20" s="5">
        <f t="shared" si="3"/>
        <v>1</v>
      </c>
      <c r="V20" s="5">
        <v>0</v>
      </c>
      <c r="W20" s="5">
        <f>10</f>
        <v>10</v>
      </c>
    </row>
    <row r="21" spans="1:23">
      <c r="A21" s="5">
        <f t="shared" si="4"/>
        <v>18</v>
      </c>
      <c r="B21" s="93">
        <v>1052</v>
      </c>
      <c r="C21" s="20" t="str">
        <f>INDEX(Unitinfo!C:C,MATCH(UnitGradeInfo!B21,Unitinfo!A:A,0))</f>
        <v>(근거리)Indian_Shield_2</v>
      </c>
      <c r="D21" s="5">
        <f>COUNTIF($B$4:B21,B21)</f>
        <v>1</v>
      </c>
      <c r="E21" s="5">
        <f>ROUNDDOWN(INDEX(ref_Unit_Balance!$G$31:$G$106,MATCH(UnitGradeInfo!B21,ref_Unit_Balance!$B$31:$B$1048576,0))
+INDEX(ref_Unit_Balance!$G$20:$G$23,MATCH(IFERROR(INDEX(ref_Unit_Balance!$D$31:$D$1048576,MATCH(B21,ref_Unit_Balance!$B$31:$B$1048576,0)),0),ref_Unit_Balance!$B$20:$B$23,0))*D21*ref_Unit_Balance!$C$25,0)</f>
        <v>143</v>
      </c>
      <c r="F21" s="5">
        <f>INDEX(ref_Unit_Balance!$V$31:$V$106,MATCH(UnitGradeInfo!B21,ref_Unit_Balance!$B$31:$B$1048576,0))
+
INDEX(ref_Unit_Balance!$AB$31:$AB$106,MATCH(UnitGradeInfo!B21,ref_Unit_Balance!$B$31:$B$1048576,0))*(D21-1)</f>
        <v>5400</v>
      </c>
      <c r="G21" s="5">
        <f>INDEX(ref_Unit_Balance!$R$31:$R$106,MATCH(UnitGradeInfo!B21,ref_Unit_Balance!$B$31:$B$1048576,0))
+
INDEX(ref_Unit_Balance!$AA$31:$AA$106,MATCH(UnitGradeInfo!B21,ref_Unit_Balance!$B$31:$B$1048576,0))*(D21-1)</f>
        <v>170</v>
      </c>
      <c r="H21" s="39">
        <f>IF(INDEX(Unitinfo!D:D,MATCH(UnitGradeInfo!B21,Unitinfo!A:A,0))=1,50,5)</f>
        <v>5</v>
      </c>
      <c r="I21" s="5">
        <f>IF(INDEX(ref_Unit_Balance!$T$31:$T$106,MATCH(UnitGradeInfo!B21,ref_Unit_Balance!$B$31:$B$1048576,0))=0,1,INDEX(ref_Unit_Balance!$T$31:$T$106,MATCH(UnitGradeInfo!B21,ref_Unit_Balance!$B$31:$B$1048576,0)))</f>
        <v>1</v>
      </c>
      <c r="J21" s="5">
        <f>INDEX(ref_Unit_Balance!$S$31:$S$106,MATCH(UnitGradeInfo!B21,ref_Unit_Balance!$B$31:$B$1048576,0))</f>
        <v>1000</v>
      </c>
      <c r="K21" s="5">
        <v>0</v>
      </c>
      <c r="L21" s="5">
        <f>INDEX(ref_Unit_Balance!$I$31:$I$106,MATCH(UnitGradeInfo!B21,ref_Unit_Balance!$B$31:$B$1048576,0))</f>
        <v>1</v>
      </c>
      <c r="M21" s="5">
        <f t="shared" si="1"/>
        <v>2</v>
      </c>
      <c r="N21" s="5">
        <f t="shared" si="2"/>
        <v>20</v>
      </c>
      <c r="O21" s="5">
        <f>(INDEX(Unitinfo!I:I,MATCH(B21,Unitinfo!A:A,0))+1)*2</f>
        <v>6</v>
      </c>
      <c r="P21" s="5">
        <v>0</v>
      </c>
      <c r="Q21" s="5">
        <v>0</v>
      </c>
      <c r="R21" s="19" t="s">
        <v>121</v>
      </c>
      <c r="S21" s="19" t="s">
        <v>121</v>
      </c>
      <c r="T21" s="5">
        <f t="shared" si="0"/>
        <v>1052</v>
      </c>
      <c r="U21" s="5">
        <f t="shared" si="3"/>
        <v>1</v>
      </c>
      <c r="V21" s="5">
        <v>0</v>
      </c>
      <c r="W21" s="5">
        <f>10</f>
        <v>10</v>
      </c>
    </row>
    <row r="22" spans="1:23">
      <c r="A22" s="5">
        <f t="shared" si="4"/>
        <v>19</v>
      </c>
      <c r="B22" s="93">
        <v>1053</v>
      </c>
      <c r="C22" s="20" t="str">
        <f>INDEX(Unitinfo!C:C,MATCH(UnitGradeInfo!B22,Unitinfo!A:A,0))</f>
        <v>(근거리)Indian_Spear_2</v>
      </c>
      <c r="D22" s="5">
        <f>COUNTIF($B$4:B22,B22)</f>
        <v>1</v>
      </c>
      <c r="E22" s="5">
        <f>ROUNDDOWN(INDEX(ref_Unit_Balance!$G$31:$G$106,MATCH(UnitGradeInfo!B22,ref_Unit_Balance!$B$31:$B$1048576,0))
+INDEX(ref_Unit_Balance!$G$20:$G$23,MATCH(IFERROR(INDEX(ref_Unit_Balance!$D$31:$D$1048576,MATCH(B22,ref_Unit_Balance!$B$31:$B$1048576,0)),0),ref_Unit_Balance!$B$20:$B$23,0))*D22*ref_Unit_Balance!$C$25,0)</f>
        <v>143</v>
      </c>
      <c r="F22" s="5">
        <f>INDEX(ref_Unit_Balance!$V$31:$V$106,MATCH(UnitGradeInfo!B22,ref_Unit_Balance!$B$31:$B$1048576,0))
+
INDEX(ref_Unit_Balance!$AB$31:$AB$106,MATCH(UnitGradeInfo!B22,ref_Unit_Balance!$B$31:$B$1048576,0))*(D22-1)</f>
        <v>3380</v>
      </c>
      <c r="G22" s="5">
        <f>INDEX(ref_Unit_Balance!$R$31:$R$106,MATCH(UnitGradeInfo!B22,ref_Unit_Balance!$B$31:$B$1048576,0))
+
INDEX(ref_Unit_Balance!$AA$31:$AA$106,MATCH(UnitGradeInfo!B22,ref_Unit_Balance!$B$31:$B$1048576,0))*(D22-1)</f>
        <v>410</v>
      </c>
      <c r="H22" s="39">
        <f>IF(INDEX(Unitinfo!D:D,MATCH(UnitGradeInfo!B22,Unitinfo!A:A,0))=1,50,5)</f>
        <v>5</v>
      </c>
      <c r="I22" s="5">
        <f>IF(INDEX(ref_Unit_Balance!$T$31:$T$106,MATCH(UnitGradeInfo!B22,ref_Unit_Balance!$B$31:$B$1048576,0))=0,1,INDEX(ref_Unit_Balance!$T$31:$T$106,MATCH(UnitGradeInfo!B22,ref_Unit_Balance!$B$31:$B$1048576,0)))</f>
        <v>1</v>
      </c>
      <c r="J22" s="5">
        <f>INDEX(ref_Unit_Balance!$S$31:$S$106,MATCH(UnitGradeInfo!B22,ref_Unit_Balance!$B$31:$B$1048576,0))</f>
        <v>1000</v>
      </c>
      <c r="K22" s="5">
        <v>0</v>
      </c>
      <c r="L22" s="5">
        <f>INDEX(ref_Unit_Balance!$I$31:$I$106,MATCH(UnitGradeInfo!B22,ref_Unit_Balance!$B$31:$B$1048576,0))</f>
        <v>1</v>
      </c>
      <c r="M22" s="5">
        <f t="shared" si="1"/>
        <v>2</v>
      </c>
      <c r="N22" s="5">
        <f t="shared" si="2"/>
        <v>20</v>
      </c>
      <c r="O22" s="5">
        <f>(INDEX(Unitinfo!I:I,MATCH(B22,Unitinfo!A:A,0))+1)*2</f>
        <v>6</v>
      </c>
      <c r="P22" s="5">
        <v>0</v>
      </c>
      <c r="Q22" s="5">
        <v>0</v>
      </c>
      <c r="R22" s="19" t="s">
        <v>121</v>
      </c>
      <c r="S22" s="19" t="s">
        <v>121</v>
      </c>
      <c r="T22" s="5">
        <f t="shared" si="0"/>
        <v>1053</v>
      </c>
      <c r="U22" s="5">
        <f t="shared" si="3"/>
        <v>1</v>
      </c>
      <c r="V22" s="5">
        <v>0</v>
      </c>
      <c r="W22" s="5">
        <f>10</f>
        <v>10</v>
      </c>
    </row>
    <row r="23" spans="1:23">
      <c r="A23" s="5">
        <f t="shared" si="4"/>
        <v>20</v>
      </c>
      <c r="B23" s="93">
        <v>1054</v>
      </c>
      <c r="C23" s="20" t="str">
        <f>INDEX(Unitinfo!C:C,MATCH(UnitGradeInfo!B23,Unitinfo!A:A,0))</f>
        <v>(근거리)Indian_Sword_2</v>
      </c>
      <c r="D23" s="5">
        <f>COUNTIF($B$4:B23,B23)</f>
        <v>1</v>
      </c>
      <c r="E23" s="5">
        <f>ROUNDDOWN(INDEX(ref_Unit_Balance!$G$31:$G$106,MATCH(UnitGradeInfo!B23,ref_Unit_Balance!$B$31:$B$1048576,0))
+INDEX(ref_Unit_Balance!$G$20:$G$23,MATCH(IFERROR(INDEX(ref_Unit_Balance!$D$31:$D$1048576,MATCH(B23,ref_Unit_Balance!$B$31:$B$1048576,0)),0),ref_Unit_Balance!$B$20:$B$23,0))*D23*ref_Unit_Balance!$C$25,0)</f>
        <v>143</v>
      </c>
      <c r="F23" s="5">
        <f>INDEX(ref_Unit_Balance!$V$31:$V$106,MATCH(UnitGradeInfo!B23,ref_Unit_Balance!$B$31:$B$1048576,0))
+
INDEX(ref_Unit_Balance!$AB$31:$AB$106,MATCH(UnitGradeInfo!B23,ref_Unit_Balance!$B$31:$B$1048576,0))*(D23-1)</f>
        <v>3380</v>
      </c>
      <c r="G23" s="5">
        <f>INDEX(ref_Unit_Balance!$R$31:$R$106,MATCH(UnitGradeInfo!B23,ref_Unit_Balance!$B$31:$B$1048576,0))
+
INDEX(ref_Unit_Balance!$AA$31:$AA$106,MATCH(UnitGradeInfo!B23,ref_Unit_Balance!$B$31:$B$1048576,0))*(D23-1)</f>
        <v>410</v>
      </c>
      <c r="H23" s="39">
        <f>IF(INDEX(Unitinfo!D:D,MATCH(UnitGradeInfo!B23,Unitinfo!A:A,0))=1,50,5)</f>
        <v>5</v>
      </c>
      <c r="I23" s="5">
        <f>IF(INDEX(ref_Unit_Balance!$T$31:$T$106,MATCH(UnitGradeInfo!B23,ref_Unit_Balance!$B$31:$B$1048576,0))=0,1,INDEX(ref_Unit_Balance!$T$31:$T$106,MATCH(UnitGradeInfo!B23,ref_Unit_Balance!$B$31:$B$1048576,0)))</f>
        <v>1</v>
      </c>
      <c r="J23" s="5">
        <f>INDEX(ref_Unit_Balance!$S$31:$S$106,MATCH(UnitGradeInfo!B23,ref_Unit_Balance!$B$31:$B$1048576,0))</f>
        <v>1000</v>
      </c>
      <c r="K23" s="5">
        <v>0</v>
      </c>
      <c r="L23" s="5">
        <f>INDEX(ref_Unit_Balance!$I$31:$I$106,MATCH(UnitGradeInfo!B23,ref_Unit_Balance!$B$31:$B$1048576,0))</f>
        <v>1</v>
      </c>
      <c r="M23" s="5">
        <f t="shared" si="1"/>
        <v>2</v>
      </c>
      <c r="N23" s="5">
        <f t="shared" si="2"/>
        <v>20</v>
      </c>
      <c r="O23" s="5">
        <f>(INDEX(Unitinfo!I:I,MATCH(B23,Unitinfo!A:A,0))+1)*2</f>
        <v>6</v>
      </c>
      <c r="P23" s="5">
        <v>0</v>
      </c>
      <c r="Q23" s="5">
        <v>0</v>
      </c>
      <c r="R23" s="19" t="s">
        <v>121</v>
      </c>
      <c r="S23" s="19" t="s">
        <v>121</v>
      </c>
      <c r="T23" s="5">
        <f t="shared" si="0"/>
        <v>1054</v>
      </c>
      <c r="U23" s="5">
        <f t="shared" si="3"/>
        <v>1</v>
      </c>
      <c r="V23" s="5">
        <v>0</v>
      </c>
      <c r="W23" s="5">
        <f>10</f>
        <v>10</v>
      </c>
    </row>
    <row r="24" spans="1:23">
      <c r="A24" s="5">
        <f t="shared" si="4"/>
        <v>21</v>
      </c>
      <c r="B24" s="93">
        <v>1055</v>
      </c>
      <c r="C24" s="20" t="str">
        <f>INDEX(Unitinfo!C:C,MATCH(UnitGradeInfo!B24,Unitinfo!A:A,0))</f>
        <v>(근거리)Indian_Mask_2</v>
      </c>
      <c r="D24" s="5">
        <f>COUNTIF($B$4:B24,B24)</f>
        <v>1</v>
      </c>
      <c r="E24" s="5">
        <f>ROUNDDOWN(INDEX(ref_Unit_Balance!$G$31:$G$106,MATCH(UnitGradeInfo!B24,ref_Unit_Balance!$B$31:$B$1048576,0))
+INDEX(ref_Unit_Balance!$G$20:$G$23,MATCH(IFERROR(INDEX(ref_Unit_Balance!$D$31:$D$1048576,MATCH(B24,ref_Unit_Balance!$B$31:$B$1048576,0)),0),ref_Unit_Balance!$B$20:$B$23,0))*D24*ref_Unit_Balance!$C$25,0)</f>
        <v>168</v>
      </c>
      <c r="F24" s="5">
        <f>INDEX(ref_Unit_Balance!$V$31:$V$106,MATCH(UnitGradeInfo!B24,ref_Unit_Balance!$B$31:$B$1048576,0))
+
INDEX(ref_Unit_Balance!$AB$31:$AB$106,MATCH(UnitGradeInfo!B24,ref_Unit_Balance!$B$31:$B$1048576,0))*(D24-1)</f>
        <v>3700</v>
      </c>
      <c r="G24" s="5">
        <f>INDEX(ref_Unit_Balance!$R$31:$R$106,MATCH(UnitGradeInfo!B24,ref_Unit_Balance!$B$31:$B$1048576,0))
+
INDEX(ref_Unit_Balance!$AA$31:$AA$106,MATCH(UnitGradeInfo!B24,ref_Unit_Balance!$B$31:$B$1048576,0))*(D24-1)</f>
        <v>670</v>
      </c>
      <c r="H24" s="39">
        <f>IF(INDEX(Unitinfo!D:D,MATCH(UnitGradeInfo!B24,Unitinfo!A:A,0))=1,50,5)</f>
        <v>5</v>
      </c>
      <c r="I24" s="5">
        <f>IF(INDEX(ref_Unit_Balance!$T$31:$T$106,MATCH(UnitGradeInfo!B24,ref_Unit_Balance!$B$31:$B$1048576,0))=0,1,INDEX(ref_Unit_Balance!$T$31:$T$106,MATCH(UnitGradeInfo!B24,ref_Unit_Balance!$B$31:$B$1048576,0)))</f>
        <v>1</v>
      </c>
      <c r="J24" s="5">
        <f>INDEX(ref_Unit_Balance!$S$31:$S$106,MATCH(UnitGradeInfo!B24,ref_Unit_Balance!$B$31:$B$1048576,0))</f>
        <v>1000</v>
      </c>
      <c r="K24" s="5">
        <v>0</v>
      </c>
      <c r="L24" s="5">
        <f>INDEX(ref_Unit_Balance!$I$31:$I$106,MATCH(UnitGradeInfo!B24,ref_Unit_Balance!$B$31:$B$1048576,0))</f>
        <v>1</v>
      </c>
      <c r="M24" s="5">
        <f t="shared" si="1"/>
        <v>2</v>
      </c>
      <c r="N24" s="5">
        <f t="shared" si="2"/>
        <v>20</v>
      </c>
      <c r="O24" s="5">
        <f>(INDEX(Unitinfo!I:I,MATCH(B24,Unitinfo!A:A,0))+1)*2</f>
        <v>6</v>
      </c>
      <c r="P24" s="5">
        <v>0</v>
      </c>
      <c r="Q24" s="5">
        <v>0</v>
      </c>
      <c r="R24" s="19" t="s">
        <v>121</v>
      </c>
      <c r="S24" s="19" t="s">
        <v>121</v>
      </c>
      <c r="T24" s="5">
        <f t="shared" si="0"/>
        <v>1055</v>
      </c>
      <c r="U24" s="5">
        <f t="shared" si="3"/>
        <v>1</v>
      </c>
      <c r="V24" s="5">
        <v>0</v>
      </c>
      <c r="W24" s="5">
        <f>10</f>
        <v>10</v>
      </c>
    </row>
    <row r="25" spans="1:23">
      <c r="A25" s="5">
        <f t="shared" si="4"/>
        <v>22</v>
      </c>
      <c r="B25" s="93">
        <v>1056</v>
      </c>
      <c r="C25" s="20" t="str">
        <f>INDEX(Unitinfo!C:C,MATCH(UnitGradeInfo!B25,Unitinfo!A:A,0))</f>
        <v>(근거리)Indian_Bear_2</v>
      </c>
      <c r="D25" s="5">
        <f>COUNTIF($B$4:B25,B25)</f>
        <v>1</v>
      </c>
      <c r="E25" s="5">
        <f>ROUNDDOWN(INDEX(ref_Unit_Balance!$G$31:$G$106,MATCH(UnitGradeInfo!B25,ref_Unit_Balance!$B$31:$B$1048576,0))
+INDEX(ref_Unit_Balance!$G$20:$G$23,MATCH(IFERROR(INDEX(ref_Unit_Balance!$D$31:$D$1048576,MATCH(B25,ref_Unit_Balance!$B$31:$B$1048576,0)),0),ref_Unit_Balance!$B$20:$B$23,0))*D25*ref_Unit_Balance!$C$25,0)</f>
        <v>168</v>
      </c>
      <c r="F25" s="5">
        <f>INDEX(ref_Unit_Balance!$V$31:$V$106,MATCH(UnitGradeInfo!B25,ref_Unit_Balance!$B$31:$B$1048576,0))
+
INDEX(ref_Unit_Balance!$AB$31:$AB$106,MATCH(UnitGradeInfo!B25,ref_Unit_Balance!$B$31:$B$1048576,0))*(D25-1)</f>
        <v>2780</v>
      </c>
      <c r="G25" s="5">
        <f>INDEX(ref_Unit_Balance!$R$31:$R$106,MATCH(UnitGradeInfo!B25,ref_Unit_Balance!$B$31:$B$1048576,0))
+
INDEX(ref_Unit_Balance!$AA$31:$AA$106,MATCH(UnitGradeInfo!B25,ref_Unit_Balance!$B$31:$B$1048576,0))*(D25-1)</f>
        <v>780</v>
      </c>
      <c r="H25" s="39">
        <f>IF(INDEX(Unitinfo!D:D,MATCH(UnitGradeInfo!B25,Unitinfo!A:A,0))=1,50,5)</f>
        <v>5</v>
      </c>
      <c r="I25" s="5">
        <f>IF(INDEX(ref_Unit_Balance!$T$31:$T$106,MATCH(UnitGradeInfo!B25,ref_Unit_Balance!$B$31:$B$1048576,0))=0,1,INDEX(ref_Unit_Balance!$T$31:$T$106,MATCH(UnitGradeInfo!B25,ref_Unit_Balance!$B$31:$B$1048576,0)))</f>
        <v>1</v>
      </c>
      <c r="J25" s="5">
        <f>INDEX(ref_Unit_Balance!$S$31:$S$106,MATCH(UnitGradeInfo!B25,ref_Unit_Balance!$B$31:$B$1048576,0))</f>
        <v>1000</v>
      </c>
      <c r="K25" s="5">
        <v>0</v>
      </c>
      <c r="L25" s="5">
        <f>INDEX(ref_Unit_Balance!$I$31:$I$106,MATCH(UnitGradeInfo!B25,ref_Unit_Balance!$B$31:$B$1048576,0))</f>
        <v>1</v>
      </c>
      <c r="M25" s="5">
        <f t="shared" si="1"/>
        <v>2</v>
      </c>
      <c r="N25" s="5">
        <f t="shared" si="2"/>
        <v>20</v>
      </c>
      <c r="O25" s="5">
        <f>(INDEX(Unitinfo!I:I,MATCH(B25,Unitinfo!A:A,0))+1)*2</f>
        <v>6</v>
      </c>
      <c r="P25" s="5">
        <v>0</v>
      </c>
      <c r="Q25" s="5">
        <v>0</v>
      </c>
      <c r="R25" s="19" t="s">
        <v>121</v>
      </c>
      <c r="S25" s="19" t="s">
        <v>121</v>
      </c>
      <c r="T25" s="5">
        <f t="shared" si="0"/>
        <v>1056</v>
      </c>
      <c r="U25" s="5">
        <f t="shared" si="3"/>
        <v>1</v>
      </c>
      <c r="V25" s="5">
        <v>0</v>
      </c>
      <c r="W25" s="5">
        <f>10</f>
        <v>10</v>
      </c>
    </row>
    <row r="26" spans="1:23">
      <c r="A26" s="5">
        <f t="shared" si="4"/>
        <v>23</v>
      </c>
      <c r="B26" s="93">
        <v>1057</v>
      </c>
      <c r="C26" s="20" t="str">
        <f>INDEX(Unitinfo!C:C,MATCH(UnitGradeInfo!B26,Unitinfo!A:A,0))</f>
        <v>(근거리)Bear_2</v>
      </c>
      <c r="D26" s="5">
        <f>COUNTIF($B$4:B26,B26)</f>
        <v>1</v>
      </c>
      <c r="E26" s="5">
        <f>ROUNDDOWN(INDEX(ref_Unit_Balance!$G$31:$G$106,MATCH(UnitGradeInfo!B26,ref_Unit_Balance!$B$31:$B$1048576,0))
+INDEX(ref_Unit_Balance!$G$20:$G$23,MATCH(IFERROR(INDEX(ref_Unit_Balance!$D$31:$D$1048576,MATCH(B26,ref_Unit_Balance!$B$31:$B$1048576,0)),0),ref_Unit_Balance!$B$20:$B$23,0))*D26*ref_Unit_Balance!$C$25,0)</f>
        <v>168</v>
      </c>
      <c r="F26" s="5">
        <f>INDEX(ref_Unit_Balance!$V$31:$V$106,MATCH(UnitGradeInfo!B26,ref_Unit_Balance!$B$31:$B$1048576,0))
+
INDEX(ref_Unit_Balance!$AB$31:$AB$106,MATCH(UnitGradeInfo!B26,ref_Unit_Balance!$B$31:$B$1048576,0))*(D26-1)</f>
        <v>6480</v>
      </c>
      <c r="G26" s="5">
        <f>INDEX(ref_Unit_Balance!$R$31:$R$106,MATCH(UnitGradeInfo!B26,ref_Unit_Balance!$B$31:$B$1048576,0))
+
INDEX(ref_Unit_Balance!$AA$31:$AA$106,MATCH(UnitGradeInfo!B26,ref_Unit_Balance!$B$31:$B$1048576,0))*(D26-1)</f>
        <v>340</v>
      </c>
      <c r="H26" s="39">
        <f>IF(INDEX(Unitinfo!D:D,MATCH(UnitGradeInfo!B26,Unitinfo!A:A,0))=1,50,5)</f>
        <v>5</v>
      </c>
      <c r="I26" s="5">
        <f>IF(INDEX(ref_Unit_Balance!$T$31:$T$106,MATCH(UnitGradeInfo!B26,ref_Unit_Balance!$B$31:$B$1048576,0))=0,1,INDEX(ref_Unit_Balance!$T$31:$T$106,MATCH(UnitGradeInfo!B26,ref_Unit_Balance!$B$31:$B$1048576,0)))</f>
        <v>1</v>
      </c>
      <c r="J26" s="5">
        <f>INDEX(ref_Unit_Balance!$S$31:$S$106,MATCH(UnitGradeInfo!B26,ref_Unit_Balance!$B$31:$B$1048576,0))</f>
        <v>1000</v>
      </c>
      <c r="K26" s="5">
        <v>0</v>
      </c>
      <c r="L26" s="5">
        <f>INDEX(ref_Unit_Balance!$I$31:$I$106,MATCH(UnitGradeInfo!B26,ref_Unit_Balance!$B$31:$B$1048576,0))</f>
        <v>1</v>
      </c>
      <c r="M26" s="5">
        <f t="shared" si="1"/>
        <v>2</v>
      </c>
      <c r="N26" s="5">
        <f t="shared" si="2"/>
        <v>20</v>
      </c>
      <c r="O26" s="5">
        <f>(INDEX(Unitinfo!I:I,MATCH(B26,Unitinfo!A:A,0))+1)*2</f>
        <v>6</v>
      </c>
      <c r="P26" s="5">
        <v>0</v>
      </c>
      <c r="Q26" s="5">
        <v>0</v>
      </c>
      <c r="R26" s="19" t="s">
        <v>121</v>
      </c>
      <c r="S26" s="19" t="s">
        <v>121</v>
      </c>
      <c r="T26" s="5">
        <f t="shared" si="0"/>
        <v>1057</v>
      </c>
      <c r="U26" s="5">
        <f t="shared" si="3"/>
        <v>1</v>
      </c>
      <c r="V26" s="5">
        <v>0</v>
      </c>
      <c r="W26" s="5">
        <f>10</f>
        <v>10</v>
      </c>
    </row>
    <row r="27" spans="1:23">
      <c r="A27" s="5">
        <f t="shared" si="4"/>
        <v>24</v>
      </c>
      <c r="B27" s="93">
        <v>1058</v>
      </c>
      <c r="C27" s="20" t="str">
        <f>INDEX(Unitinfo!C:C,MATCH(UnitGradeInfo!B27,Unitinfo!A:A,0))</f>
        <v>(근거리)Indian_Master_2</v>
      </c>
      <c r="D27" s="5">
        <f>COUNTIF($B$4:B27,B27)</f>
        <v>1</v>
      </c>
      <c r="E27" s="5">
        <f>ROUNDDOWN(INDEX(ref_Unit_Balance!$G$31:$G$106,MATCH(UnitGradeInfo!B27,ref_Unit_Balance!$B$31:$B$1048576,0))
+INDEX(ref_Unit_Balance!$G$20:$G$23,MATCH(IFERROR(INDEX(ref_Unit_Balance!$D$31:$D$1048576,MATCH(B27,ref_Unit_Balance!$B$31:$B$1048576,0)),0),ref_Unit_Balance!$B$20:$B$23,0))*D27*ref_Unit_Balance!$C$25,0)</f>
        <v>168</v>
      </c>
      <c r="F27" s="5">
        <f>INDEX(ref_Unit_Balance!$V$31:$V$106,MATCH(UnitGradeInfo!B27,ref_Unit_Balance!$B$31:$B$1048576,0))
+
INDEX(ref_Unit_Balance!$AB$31:$AB$106,MATCH(UnitGradeInfo!B27,ref_Unit_Balance!$B$31:$B$1048576,0))*(D27-1)</f>
        <v>2780</v>
      </c>
      <c r="G27" s="5">
        <f>INDEX(ref_Unit_Balance!$R$31:$R$106,MATCH(UnitGradeInfo!B27,ref_Unit_Balance!$B$31:$B$1048576,0))
+
INDEX(ref_Unit_Balance!$AA$31:$AA$106,MATCH(UnitGradeInfo!B27,ref_Unit_Balance!$B$31:$B$1048576,0))*(D27-1)</f>
        <v>670</v>
      </c>
      <c r="H27" s="39">
        <f>IF(INDEX(Unitinfo!D:D,MATCH(UnitGradeInfo!B27,Unitinfo!A:A,0))=1,50,5)</f>
        <v>5</v>
      </c>
      <c r="I27" s="5">
        <f>IF(INDEX(ref_Unit_Balance!$T$31:$T$106,MATCH(UnitGradeInfo!B27,ref_Unit_Balance!$B$31:$B$1048576,0))=0,1,INDEX(ref_Unit_Balance!$T$31:$T$106,MATCH(UnitGradeInfo!B27,ref_Unit_Balance!$B$31:$B$1048576,0)))</f>
        <v>5</v>
      </c>
      <c r="J27" s="5">
        <f>INDEX(ref_Unit_Balance!$S$31:$S$106,MATCH(UnitGradeInfo!B27,ref_Unit_Balance!$B$31:$B$1048576,0))</f>
        <v>1000</v>
      </c>
      <c r="K27" s="5">
        <v>0</v>
      </c>
      <c r="L27" s="5">
        <f>INDEX(ref_Unit_Balance!$I$31:$I$106,MATCH(UnitGradeInfo!B27,ref_Unit_Balance!$B$31:$B$1048576,0))</f>
        <v>1</v>
      </c>
      <c r="M27" s="5">
        <f t="shared" si="1"/>
        <v>2</v>
      </c>
      <c r="N27" s="5">
        <f t="shared" si="2"/>
        <v>20</v>
      </c>
      <c r="O27" s="5">
        <f>(INDEX(Unitinfo!I:I,MATCH(B27,Unitinfo!A:A,0))+1)*2</f>
        <v>6</v>
      </c>
      <c r="P27" s="5">
        <v>0</v>
      </c>
      <c r="Q27" s="5">
        <v>0</v>
      </c>
      <c r="R27" s="19" t="s">
        <v>121</v>
      </c>
      <c r="S27" s="19" t="s">
        <v>121</v>
      </c>
      <c r="T27" s="5">
        <f t="shared" si="0"/>
        <v>1058</v>
      </c>
      <c r="U27" s="5">
        <f t="shared" si="3"/>
        <v>1</v>
      </c>
      <c r="V27" s="5">
        <v>0</v>
      </c>
      <c r="W27" s="5">
        <f>10</f>
        <v>10</v>
      </c>
    </row>
    <row r="28" spans="1:23">
      <c r="A28" s="5">
        <f t="shared" si="4"/>
        <v>25</v>
      </c>
      <c r="B28" s="93">
        <v>1059</v>
      </c>
      <c r="C28" s="20" t="str">
        <f>INDEX(Unitinfo!C:C,MATCH(UnitGradeInfo!B28,Unitinfo!A:A,0))</f>
        <v>(근거리)Corgi_2</v>
      </c>
      <c r="D28" s="5">
        <f>COUNTIF($B$4:B28,B28)</f>
        <v>1</v>
      </c>
      <c r="E28" s="5">
        <f>ROUNDDOWN(INDEX(ref_Unit_Balance!$G$31:$G$106,MATCH(UnitGradeInfo!B28,ref_Unit_Balance!$B$31:$B$1048576,0))
+INDEX(ref_Unit_Balance!$G$20:$G$23,MATCH(IFERROR(INDEX(ref_Unit_Balance!$D$31:$D$1048576,MATCH(B28,ref_Unit_Balance!$B$31:$B$1048576,0)),0),ref_Unit_Balance!$B$20:$B$23,0))*D28*ref_Unit_Balance!$C$25,0)</f>
        <v>168</v>
      </c>
      <c r="F28" s="5">
        <f>INDEX(ref_Unit_Balance!$V$31:$V$106,MATCH(UnitGradeInfo!B28,ref_Unit_Balance!$B$31:$B$1048576,0))
+
INDEX(ref_Unit_Balance!$AB$31:$AB$106,MATCH(UnitGradeInfo!B28,ref_Unit_Balance!$B$31:$B$1048576,0))*(D28-1)</f>
        <v>3700</v>
      </c>
      <c r="G28" s="5">
        <f>INDEX(ref_Unit_Balance!$R$31:$R$106,MATCH(UnitGradeInfo!B28,ref_Unit_Balance!$B$31:$B$1048576,0))
+
INDEX(ref_Unit_Balance!$AA$31:$AA$106,MATCH(UnitGradeInfo!B28,ref_Unit_Balance!$B$31:$B$1048576,0))*(D28-1)</f>
        <v>670</v>
      </c>
      <c r="H28" s="39">
        <f>IF(INDEX(Unitinfo!D:D,MATCH(UnitGradeInfo!B28,Unitinfo!A:A,0))=1,50,5)</f>
        <v>5</v>
      </c>
      <c r="I28" s="5">
        <f>IF(INDEX(ref_Unit_Balance!$T$31:$T$106,MATCH(UnitGradeInfo!B28,ref_Unit_Balance!$B$31:$B$1048576,0))=0,1,INDEX(ref_Unit_Balance!$T$31:$T$106,MATCH(UnitGradeInfo!B28,ref_Unit_Balance!$B$31:$B$1048576,0)))</f>
        <v>1</v>
      </c>
      <c r="J28" s="5">
        <f>INDEX(ref_Unit_Balance!$S$31:$S$106,MATCH(UnitGradeInfo!B28,ref_Unit_Balance!$B$31:$B$1048576,0))</f>
        <v>1000</v>
      </c>
      <c r="K28" s="5">
        <v>0</v>
      </c>
      <c r="L28" s="5">
        <f>INDEX(ref_Unit_Balance!$I$31:$I$106,MATCH(UnitGradeInfo!B28,ref_Unit_Balance!$B$31:$B$1048576,0))</f>
        <v>1</v>
      </c>
      <c r="M28" s="5">
        <f t="shared" si="1"/>
        <v>2</v>
      </c>
      <c r="N28" s="5">
        <f t="shared" si="2"/>
        <v>20</v>
      </c>
      <c r="O28" s="5">
        <f>(INDEX(Unitinfo!I:I,MATCH(B28,Unitinfo!A:A,0))+1)*2</f>
        <v>6</v>
      </c>
      <c r="P28" s="5">
        <v>0</v>
      </c>
      <c r="Q28" s="5">
        <v>0</v>
      </c>
      <c r="R28" s="19" t="s">
        <v>121</v>
      </c>
      <c r="S28" s="19" t="s">
        <v>121</v>
      </c>
      <c r="T28" s="5">
        <f t="shared" si="0"/>
        <v>1059</v>
      </c>
      <c r="U28" s="5">
        <f t="shared" si="3"/>
        <v>1</v>
      </c>
      <c r="V28" s="5">
        <v>0</v>
      </c>
      <c r="W28" s="5">
        <f>10</f>
        <v>10</v>
      </c>
    </row>
    <row r="29" spans="1:23">
      <c r="A29" s="5">
        <f t="shared" si="4"/>
        <v>26</v>
      </c>
      <c r="B29" s="93">
        <v>1060</v>
      </c>
      <c r="C29" s="20" t="str">
        <f>INDEX(Unitinfo!C:C,MATCH(UnitGradeInfo!B29,Unitinfo!A:A,0))</f>
        <v>(근거리)Indian_Horse_Sword_2</v>
      </c>
      <c r="D29" s="5">
        <f>COUNTIF($B$4:B29,B29)</f>
        <v>1</v>
      </c>
      <c r="E29" s="5">
        <f>ROUNDDOWN(INDEX(ref_Unit_Balance!$G$31:$G$106,MATCH(UnitGradeInfo!B29,ref_Unit_Balance!$B$31:$B$1048576,0))
+INDEX(ref_Unit_Balance!$G$20:$G$23,MATCH(IFERROR(INDEX(ref_Unit_Balance!$D$31:$D$1048576,MATCH(B29,ref_Unit_Balance!$B$31:$B$1048576,0)),0),ref_Unit_Balance!$B$20:$B$23,0))*D29*ref_Unit_Balance!$C$25,0)</f>
        <v>175</v>
      </c>
      <c r="F29" s="5">
        <f>INDEX(ref_Unit_Balance!$V$31:$V$106,MATCH(UnitGradeInfo!B29,ref_Unit_Balance!$B$31:$B$1048576,0))
+
INDEX(ref_Unit_Balance!$AB$31:$AB$106,MATCH(UnitGradeInfo!B29,ref_Unit_Balance!$B$31:$B$1048576,0))*(D29-1)</f>
        <v>5250</v>
      </c>
      <c r="G29" s="5">
        <f>INDEX(ref_Unit_Balance!$R$31:$R$106,MATCH(UnitGradeInfo!B29,ref_Unit_Balance!$B$31:$B$1048576,0))
+
INDEX(ref_Unit_Balance!$AA$31:$AA$106,MATCH(UnitGradeInfo!B29,ref_Unit_Balance!$B$31:$B$1048576,0))*(D29-1)</f>
        <v>420</v>
      </c>
      <c r="H29" s="39">
        <f>IF(INDEX(Unitinfo!D:D,MATCH(UnitGradeInfo!B29,Unitinfo!A:A,0))=1,50,5)</f>
        <v>5</v>
      </c>
      <c r="I29" s="5">
        <f>IF(INDEX(ref_Unit_Balance!$T$31:$T$106,MATCH(UnitGradeInfo!B29,ref_Unit_Balance!$B$31:$B$1048576,0))=0,1,INDEX(ref_Unit_Balance!$T$31:$T$106,MATCH(UnitGradeInfo!B29,ref_Unit_Balance!$B$31:$B$1048576,0)))</f>
        <v>1</v>
      </c>
      <c r="J29" s="5">
        <f>INDEX(ref_Unit_Balance!$S$31:$S$106,MATCH(UnitGradeInfo!B29,ref_Unit_Balance!$B$31:$B$1048576,0))</f>
        <v>1000</v>
      </c>
      <c r="K29" s="5">
        <v>0</v>
      </c>
      <c r="L29" s="5">
        <f>INDEX(ref_Unit_Balance!$I$31:$I$106,MATCH(UnitGradeInfo!B29,ref_Unit_Balance!$B$31:$B$1048576,0))</f>
        <v>1</v>
      </c>
      <c r="M29" s="5">
        <f t="shared" si="1"/>
        <v>2</v>
      </c>
      <c r="N29" s="5">
        <f t="shared" si="2"/>
        <v>20</v>
      </c>
      <c r="O29" s="5">
        <f>(INDEX(Unitinfo!I:I,MATCH(B29,Unitinfo!A:A,0))+1)*2</f>
        <v>8</v>
      </c>
      <c r="P29" s="5">
        <v>0</v>
      </c>
      <c r="Q29" s="5">
        <v>0</v>
      </c>
      <c r="R29" s="19" t="s">
        <v>121</v>
      </c>
      <c r="S29" s="19" t="s">
        <v>121</v>
      </c>
      <c r="T29" s="5">
        <f t="shared" si="0"/>
        <v>1060</v>
      </c>
      <c r="U29" s="5">
        <f t="shared" si="3"/>
        <v>1</v>
      </c>
      <c r="V29" s="5">
        <v>0</v>
      </c>
      <c r="W29" s="5">
        <f>10</f>
        <v>10</v>
      </c>
    </row>
    <row r="30" spans="1:23">
      <c r="A30" s="5">
        <f t="shared" si="4"/>
        <v>27</v>
      </c>
      <c r="B30" s="93">
        <v>1061</v>
      </c>
      <c r="C30" s="20" t="str">
        <f>INDEX(Unitinfo!C:C,MATCH(UnitGradeInfo!B30,Unitinfo!A:A,0))</f>
        <v>(근거리)Indian_Horse_Spear_2</v>
      </c>
      <c r="D30" s="5">
        <f>COUNTIF($B$4:B30,B30)</f>
        <v>1</v>
      </c>
      <c r="E30" s="5">
        <f>ROUNDDOWN(INDEX(ref_Unit_Balance!$G$31:$G$106,MATCH(UnitGradeInfo!B30,ref_Unit_Balance!$B$31:$B$1048576,0))
+INDEX(ref_Unit_Balance!$G$20:$G$23,MATCH(IFERROR(INDEX(ref_Unit_Balance!$D$31:$D$1048576,MATCH(B30,ref_Unit_Balance!$B$31:$B$1048576,0)),0),ref_Unit_Balance!$B$20:$B$23,0))*D30*ref_Unit_Balance!$C$25,0)</f>
        <v>175</v>
      </c>
      <c r="F30" s="5">
        <f>INDEX(ref_Unit_Balance!$V$31:$V$106,MATCH(UnitGradeInfo!B30,ref_Unit_Balance!$B$31:$B$1048576,0))
+
INDEX(ref_Unit_Balance!$AB$31:$AB$106,MATCH(UnitGradeInfo!B30,ref_Unit_Balance!$B$31:$B$1048576,0))*(D30-1)</f>
        <v>3500</v>
      </c>
      <c r="G30" s="5">
        <f>INDEX(ref_Unit_Balance!$R$31:$R$106,MATCH(UnitGradeInfo!B30,ref_Unit_Balance!$B$31:$B$1048576,0))
+
INDEX(ref_Unit_Balance!$AA$31:$AA$106,MATCH(UnitGradeInfo!B30,ref_Unit_Balance!$B$31:$B$1048576,0))*(D30-1)</f>
        <v>630</v>
      </c>
      <c r="H30" s="39">
        <f>IF(INDEX(Unitinfo!D:D,MATCH(UnitGradeInfo!B30,Unitinfo!A:A,0))=1,50,5)</f>
        <v>5</v>
      </c>
      <c r="I30" s="5">
        <f>IF(INDEX(ref_Unit_Balance!$T$31:$T$106,MATCH(UnitGradeInfo!B30,ref_Unit_Balance!$B$31:$B$1048576,0))=0,1,INDEX(ref_Unit_Balance!$T$31:$T$106,MATCH(UnitGradeInfo!B30,ref_Unit_Balance!$B$31:$B$1048576,0)))</f>
        <v>1</v>
      </c>
      <c r="J30" s="5">
        <f>INDEX(ref_Unit_Balance!$S$31:$S$106,MATCH(UnitGradeInfo!B30,ref_Unit_Balance!$B$31:$B$1048576,0))</f>
        <v>1000</v>
      </c>
      <c r="K30" s="5">
        <v>0</v>
      </c>
      <c r="L30" s="5">
        <f>INDEX(ref_Unit_Balance!$I$31:$I$106,MATCH(UnitGradeInfo!B30,ref_Unit_Balance!$B$31:$B$1048576,0))</f>
        <v>1</v>
      </c>
      <c r="M30" s="5">
        <f t="shared" si="1"/>
        <v>2</v>
      </c>
      <c r="N30" s="5">
        <f t="shared" si="2"/>
        <v>20</v>
      </c>
      <c r="O30" s="5">
        <f>(INDEX(Unitinfo!I:I,MATCH(B30,Unitinfo!A:A,0))+1)*2</f>
        <v>8</v>
      </c>
      <c r="P30" s="5">
        <v>0</v>
      </c>
      <c r="Q30" s="5">
        <v>0</v>
      </c>
      <c r="R30" s="19" t="s">
        <v>121</v>
      </c>
      <c r="S30" s="19" t="s">
        <v>121</v>
      </c>
      <c r="T30" s="5">
        <f t="shared" si="0"/>
        <v>1061</v>
      </c>
      <c r="U30" s="5">
        <f t="shared" si="3"/>
        <v>1</v>
      </c>
      <c r="V30" s="5">
        <v>0</v>
      </c>
      <c r="W30" s="5">
        <f>10</f>
        <v>10</v>
      </c>
    </row>
    <row r="31" spans="1:23">
      <c r="A31" s="5">
        <f t="shared" si="4"/>
        <v>28</v>
      </c>
      <c r="B31" s="93">
        <v>1062</v>
      </c>
      <c r="C31" s="20" t="str">
        <f>INDEX(Unitinfo!C:C,MATCH(UnitGradeInfo!B31,Unitinfo!A:A,0))</f>
        <v>(원거리)Indian_Horse_Archer_2</v>
      </c>
      <c r="D31" s="5">
        <f>COUNTIF($B$4:B31,B31)</f>
        <v>1</v>
      </c>
      <c r="E31" s="5">
        <f>ROUNDDOWN(INDEX(ref_Unit_Balance!$G$31:$G$106,MATCH(UnitGradeInfo!B31,ref_Unit_Balance!$B$31:$B$1048576,0))
+INDEX(ref_Unit_Balance!$G$20:$G$23,MATCH(IFERROR(INDEX(ref_Unit_Balance!$D$31:$D$1048576,MATCH(B31,ref_Unit_Balance!$B$31:$B$1048576,0)),0),ref_Unit_Balance!$B$20:$B$23,0))*D31*ref_Unit_Balance!$C$25,0)</f>
        <v>175</v>
      </c>
      <c r="F31" s="5">
        <f>INDEX(ref_Unit_Balance!$V$31:$V$106,MATCH(UnitGradeInfo!B31,ref_Unit_Balance!$B$31:$B$1048576,0))
+
INDEX(ref_Unit_Balance!$AB$31:$AB$106,MATCH(UnitGradeInfo!B31,ref_Unit_Balance!$B$31:$B$1048576,0))*(D31-1)</f>
        <v>2630</v>
      </c>
      <c r="G31" s="5">
        <f>INDEX(ref_Unit_Balance!$R$31:$R$106,MATCH(UnitGradeInfo!B31,ref_Unit_Balance!$B$31:$B$1048576,0))
+
INDEX(ref_Unit_Balance!$AA$31:$AA$106,MATCH(UnitGradeInfo!B31,ref_Unit_Balance!$B$31:$B$1048576,0))*(D31-1)</f>
        <v>350</v>
      </c>
      <c r="H31" s="39">
        <f>IF(INDEX(Unitinfo!D:D,MATCH(UnitGradeInfo!B31,Unitinfo!A:A,0))=1,50,5)</f>
        <v>50</v>
      </c>
      <c r="I31" s="5">
        <f>IF(INDEX(ref_Unit_Balance!$T$31:$T$106,MATCH(UnitGradeInfo!B31,ref_Unit_Balance!$B$31:$B$1048576,0))=0,1,INDEX(ref_Unit_Balance!$T$31:$T$106,MATCH(UnitGradeInfo!B31,ref_Unit_Balance!$B$31:$B$1048576,0)))</f>
        <v>1</v>
      </c>
      <c r="J31" s="5">
        <f>INDEX(ref_Unit_Balance!$S$31:$S$106,MATCH(UnitGradeInfo!B31,ref_Unit_Balance!$B$31:$B$1048576,0))</f>
        <v>1000</v>
      </c>
      <c r="K31" s="5">
        <v>0</v>
      </c>
      <c r="L31" s="5">
        <f>INDEX(ref_Unit_Balance!$I$31:$I$106,MATCH(UnitGradeInfo!B31,ref_Unit_Balance!$B$31:$B$1048576,0))</f>
        <v>1</v>
      </c>
      <c r="M31" s="5">
        <f t="shared" si="1"/>
        <v>2</v>
      </c>
      <c r="N31" s="5">
        <f t="shared" si="2"/>
        <v>20</v>
      </c>
      <c r="O31" s="5">
        <f>(INDEX(Unitinfo!I:I,MATCH(B31,Unitinfo!A:A,0))+1)*2</f>
        <v>8</v>
      </c>
      <c r="P31" s="5">
        <v>0</v>
      </c>
      <c r="Q31" s="5">
        <v>0</v>
      </c>
      <c r="R31" s="19" t="s">
        <v>121</v>
      </c>
      <c r="S31" s="19" t="s">
        <v>121</v>
      </c>
      <c r="T31" s="5">
        <f t="shared" si="0"/>
        <v>1062</v>
      </c>
      <c r="U31" s="5">
        <f t="shared" si="3"/>
        <v>1</v>
      </c>
      <c r="V31" s="5">
        <v>0</v>
      </c>
      <c r="W31" s="5">
        <f>10</f>
        <v>10</v>
      </c>
    </row>
    <row r="32" spans="1:23">
      <c r="A32" s="5">
        <f t="shared" si="4"/>
        <v>29</v>
      </c>
      <c r="B32" s="93">
        <v>1063</v>
      </c>
      <c r="C32" s="20" t="str">
        <f>INDEX(Unitinfo!C:C,MATCH(UnitGradeInfo!B32,Unitinfo!A:A,0))</f>
        <v>(원거리)Chicken_Black_2</v>
      </c>
      <c r="D32" s="5">
        <f>COUNTIF($B$4:B32,B32)</f>
        <v>1</v>
      </c>
      <c r="E32" s="5">
        <f>ROUNDDOWN(INDEX(ref_Unit_Balance!$G$31:$G$106,MATCH(UnitGradeInfo!B32,ref_Unit_Balance!$B$31:$B$1048576,0))
+INDEX(ref_Unit_Balance!$G$20:$G$23,MATCH(IFERROR(INDEX(ref_Unit_Balance!$D$31:$D$1048576,MATCH(B32,ref_Unit_Balance!$B$31:$B$1048576,0)),0),ref_Unit_Balance!$B$20:$B$23,0))*D32*ref_Unit_Balance!$C$25,0)</f>
        <v>175</v>
      </c>
      <c r="F32" s="5">
        <f>INDEX(ref_Unit_Balance!$V$31:$V$106,MATCH(UnitGradeInfo!B32,ref_Unit_Balance!$B$31:$B$1048576,0))
+
INDEX(ref_Unit_Balance!$AB$31:$AB$106,MATCH(UnitGradeInfo!B32,ref_Unit_Balance!$B$31:$B$1048576,0))*(D32-1)</f>
        <v>2100</v>
      </c>
      <c r="G32" s="5">
        <f>INDEX(ref_Unit_Balance!$R$31:$R$106,MATCH(UnitGradeInfo!B32,ref_Unit_Balance!$B$31:$B$1048576,0))
+
INDEX(ref_Unit_Balance!$AA$31:$AA$106,MATCH(UnitGradeInfo!B32,ref_Unit_Balance!$B$31:$B$1048576,0))*(D32-1)</f>
        <v>420</v>
      </c>
      <c r="H32" s="39">
        <f>IF(INDEX(Unitinfo!D:D,MATCH(UnitGradeInfo!B32,Unitinfo!A:A,0))=1,50,5)</f>
        <v>50</v>
      </c>
      <c r="I32" s="5">
        <f>IF(INDEX(ref_Unit_Balance!$T$31:$T$106,MATCH(UnitGradeInfo!B32,ref_Unit_Balance!$B$31:$B$1048576,0))=0,1,INDEX(ref_Unit_Balance!$T$31:$T$106,MATCH(UnitGradeInfo!B32,ref_Unit_Balance!$B$31:$B$1048576,0)))</f>
        <v>1</v>
      </c>
      <c r="J32" s="5">
        <f>INDEX(ref_Unit_Balance!$S$31:$S$106,MATCH(UnitGradeInfo!B32,ref_Unit_Balance!$B$31:$B$1048576,0))</f>
        <v>1000</v>
      </c>
      <c r="K32" s="5">
        <v>0</v>
      </c>
      <c r="L32" s="5">
        <f>INDEX(ref_Unit_Balance!$I$31:$I$106,MATCH(UnitGradeInfo!B32,ref_Unit_Balance!$B$31:$B$1048576,0))</f>
        <v>1</v>
      </c>
      <c r="M32" s="5">
        <f t="shared" si="1"/>
        <v>2</v>
      </c>
      <c r="N32" s="5">
        <f t="shared" si="2"/>
        <v>20</v>
      </c>
      <c r="O32" s="5">
        <f>(INDEX(Unitinfo!I:I,MATCH(B32,Unitinfo!A:A,0))+1)*2</f>
        <v>8</v>
      </c>
      <c r="P32" s="5">
        <v>0</v>
      </c>
      <c r="Q32" s="5">
        <v>0</v>
      </c>
      <c r="R32" s="19" t="s">
        <v>121</v>
      </c>
      <c r="S32" s="19" t="s">
        <v>121</v>
      </c>
      <c r="T32" s="5">
        <f t="shared" si="0"/>
        <v>1063</v>
      </c>
      <c r="U32" s="5">
        <f t="shared" si="3"/>
        <v>1</v>
      </c>
      <c r="V32" s="5">
        <v>0</v>
      </c>
      <c r="W32" s="5">
        <f>10</f>
        <v>10</v>
      </c>
    </row>
    <row r="33" spans="1:23">
      <c r="A33" s="5">
        <f t="shared" si="4"/>
        <v>30</v>
      </c>
      <c r="B33" s="93">
        <v>1064</v>
      </c>
      <c r="C33" s="20" t="str">
        <f>INDEX(Unitinfo!C:C,MATCH(UnitGradeInfo!B33,Unitinfo!A:A,0))</f>
        <v>(원거리)Chicken_White_2</v>
      </c>
      <c r="D33" s="5">
        <f>COUNTIF($B$4:B33,B33)</f>
        <v>1</v>
      </c>
      <c r="E33" s="5">
        <f>ROUNDDOWN(INDEX(ref_Unit_Balance!$G$31:$G$106,MATCH(UnitGradeInfo!B33,ref_Unit_Balance!$B$31:$B$1048576,0))
+INDEX(ref_Unit_Balance!$G$20:$G$23,MATCH(IFERROR(INDEX(ref_Unit_Balance!$D$31:$D$1048576,MATCH(B33,ref_Unit_Balance!$B$31:$B$1048576,0)),0),ref_Unit_Balance!$B$20:$B$23,0))*D33*ref_Unit_Balance!$C$25,0)</f>
        <v>200</v>
      </c>
      <c r="F33" s="5">
        <f>INDEX(ref_Unit_Balance!$V$31:$V$106,MATCH(UnitGradeInfo!B33,ref_Unit_Balance!$B$31:$B$1048576,0))
+
INDEX(ref_Unit_Balance!$AB$31:$AB$106,MATCH(UnitGradeInfo!B33,ref_Unit_Balance!$B$31:$B$1048576,0))*(D33-1)</f>
        <v>2700</v>
      </c>
      <c r="G33" s="5">
        <f>INDEX(ref_Unit_Balance!$R$31:$R$106,MATCH(UnitGradeInfo!B33,ref_Unit_Balance!$B$31:$B$1048576,0))
+
INDEX(ref_Unit_Balance!$AA$31:$AA$106,MATCH(UnitGradeInfo!B33,ref_Unit_Balance!$B$31:$B$1048576,0))*(D33-1)</f>
        <v>540</v>
      </c>
      <c r="H33" s="39">
        <f>IF(INDEX(Unitinfo!D:D,MATCH(UnitGradeInfo!B33,Unitinfo!A:A,0))=1,50,5)</f>
        <v>50</v>
      </c>
      <c r="I33" s="5">
        <f>IF(INDEX(ref_Unit_Balance!$T$31:$T$106,MATCH(UnitGradeInfo!B33,ref_Unit_Balance!$B$31:$B$1048576,0))=0,1,INDEX(ref_Unit_Balance!$T$31:$T$106,MATCH(UnitGradeInfo!B33,ref_Unit_Balance!$B$31:$B$1048576,0)))</f>
        <v>1</v>
      </c>
      <c r="J33" s="5">
        <f>INDEX(ref_Unit_Balance!$S$31:$S$106,MATCH(UnitGradeInfo!B33,ref_Unit_Balance!$B$31:$B$1048576,0))</f>
        <v>1000</v>
      </c>
      <c r="K33" s="5">
        <v>0</v>
      </c>
      <c r="L33" s="5">
        <f>INDEX(ref_Unit_Balance!$I$31:$I$106,MATCH(UnitGradeInfo!B33,ref_Unit_Balance!$B$31:$B$1048576,0))</f>
        <v>1</v>
      </c>
      <c r="M33" s="5">
        <f t="shared" si="1"/>
        <v>2</v>
      </c>
      <c r="N33" s="5">
        <f t="shared" si="2"/>
        <v>20</v>
      </c>
      <c r="O33" s="5">
        <f>(INDEX(Unitinfo!I:I,MATCH(B33,Unitinfo!A:A,0))+1)*2</f>
        <v>8</v>
      </c>
      <c r="P33" s="5">
        <v>0</v>
      </c>
      <c r="Q33" s="5">
        <v>0</v>
      </c>
      <c r="R33" s="19" t="s">
        <v>121</v>
      </c>
      <c r="S33" s="19" t="s">
        <v>121</v>
      </c>
      <c r="T33" s="5">
        <f t="shared" si="0"/>
        <v>1064</v>
      </c>
      <c r="U33" s="5">
        <f t="shared" si="3"/>
        <v>1</v>
      </c>
      <c r="V33" s="5">
        <v>0</v>
      </c>
      <c r="W33" s="5">
        <f>10</f>
        <v>10</v>
      </c>
    </row>
    <row r="34" spans="1:23">
      <c r="A34" s="5">
        <f t="shared" si="4"/>
        <v>31</v>
      </c>
      <c r="B34" s="93">
        <v>1065</v>
      </c>
      <c r="C34" s="20" t="str">
        <f>INDEX(Unitinfo!C:C,MATCH(UnitGradeInfo!B34,Unitinfo!A:A,0))</f>
        <v>(근거리)Indian_Elephant_2</v>
      </c>
      <c r="D34" s="5">
        <f>COUNTIF($B$4:B34,B34)</f>
        <v>1</v>
      </c>
      <c r="E34" s="5">
        <f>ROUNDDOWN(INDEX(ref_Unit_Balance!$G$31:$G$106,MATCH(UnitGradeInfo!B34,ref_Unit_Balance!$B$31:$B$1048576,0))
+INDEX(ref_Unit_Balance!$G$20:$G$23,MATCH(IFERROR(INDEX(ref_Unit_Balance!$D$31:$D$1048576,MATCH(B34,ref_Unit_Balance!$B$31:$B$1048576,0)),0),ref_Unit_Balance!$B$20:$B$23,0))*D34*ref_Unit_Balance!$C$25,0)</f>
        <v>200</v>
      </c>
      <c r="F34" s="5">
        <f>INDEX(ref_Unit_Balance!$V$31:$V$106,MATCH(UnitGradeInfo!B34,ref_Unit_Balance!$B$31:$B$1048576,0))
+
INDEX(ref_Unit_Balance!$AB$31:$AB$106,MATCH(UnitGradeInfo!B34,ref_Unit_Balance!$B$31:$B$1048576,0))*(D34-1)</f>
        <v>4500</v>
      </c>
      <c r="G34" s="5">
        <f>INDEX(ref_Unit_Balance!$R$31:$R$106,MATCH(UnitGradeInfo!B34,ref_Unit_Balance!$B$31:$B$1048576,0))
+
INDEX(ref_Unit_Balance!$AA$31:$AA$106,MATCH(UnitGradeInfo!B34,ref_Unit_Balance!$B$31:$B$1048576,0))*(D34-1)</f>
        <v>540</v>
      </c>
      <c r="H34" s="39">
        <f>IF(INDEX(Unitinfo!D:D,MATCH(UnitGradeInfo!B34,Unitinfo!A:A,0))=1,50,5)</f>
        <v>5</v>
      </c>
      <c r="I34" s="5">
        <f>IF(INDEX(ref_Unit_Balance!$T$31:$T$106,MATCH(UnitGradeInfo!B34,ref_Unit_Balance!$B$31:$B$1048576,0))=0,1,INDEX(ref_Unit_Balance!$T$31:$T$106,MATCH(UnitGradeInfo!B34,ref_Unit_Balance!$B$31:$B$1048576,0)))</f>
        <v>10</v>
      </c>
      <c r="J34" s="5">
        <f>INDEX(ref_Unit_Balance!$S$31:$S$106,MATCH(UnitGradeInfo!B34,ref_Unit_Balance!$B$31:$B$1048576,0))</f>
        <v>1000</v>
      </c>
      <c r="K34" s="5">
        <v>0</v>
      </c>
      <c r="L34" s="5">
        <f>INDEX(ref_Unit_Balance!$I$31:$I$106,MATCH(UnitGradeInfo!B34,ref_Unit_Balance!$B$31:$B$1048576,0))</f>
        <v>1</v>
      </c>
      <c r="M34" s="5">
        <f t="shared" si="1"/>
        <v>2</v>
      </c>
      <c r="N34" s="5">
        <f t="shared" si="2"/>
        <v>20</v>
      </c>
      <c r="O34" s="5">
        <f>(INDEX(Unitinfo!I:I,MATCH(B34,Unitinfo!A:A,0))+1)*2</f>
        <v>8</v>
      </c>
      <c r="P34" s="5">
        <v>0</v>
      </c>
      <c r="Q34" s="5">
        <v>0</v>
      </c>
      <c r="R34" s="19" t="s">
        <v>121</v>
      </c>
      <c r="S34" s="19" t="s">
        <v>121</v>
      </c>
      <c r="T34" s="5">
        <f t="shared" si="0"/>
        <v>1065</v>
      </c>
      <c r="U34" s="5">
        <f t="shared" si="3"/>
        <v>1</v>
      </c>
      <c r="V34" s="5">
        <v>0</v>
      </c>
      <c r="W34" s="5">
        <f>10</f>
        <v>10</v>
      </c>
    </row>
    <row r="35" spans="1:23">
      <c r="A35" s="5">
        <f t="shared" si="4"/>
        <v>32</v>
      </c>
      <c r="B35" s="93">
        <v>1066</v>
      </c>
      <c r="C35" s="20" t="str">
        <f>INDEX(Unitinfo!C:C,MATCH(UnitGradeInfo!B35,Unitinfo!A:A,0))</f>
        <v>(원거리)Indian_Egg_2</v>
      </c>
      <c r="D35" s="5">
        <f>COUNTIF($B$4:B35,B35)</f>
        <v>1</v>
      </c>
      <c r="E35" s="5">
        <f>ROUNDDOWN(INDEX(ref_Unit_Balance!$G$31:$G$106,MATCH(UnitGradeInfo!B35,ref_Unit_Balance!$B$31:$B$1048576,0))
+INDEX(ref_Unit_Balance!$G$20:$G$23,MATCH(IFERROR(INDEX(ref_Unit_Balance!$D$31:$D$1048576,MATCH(B35,ref_Unit_Balance!$B$31:$B$1048576,0)),0),ref_Unit_Balance!$B$20:$B$23,0))*D35*ref_Unit_Balance!$C$25,0)</f>
        <v>200</v>
      </c>
      <c r="F35" s="5">
        <f>INDEX(ref_Unit_Balance!$V$31:$V$106,MATCH(UnitGradeInfo!B35,ref_Unit_Balance!$B$31:$B$1048576,0))
+
INDEX(ref_Unit_Balance!$AB$31:$AB$106,MATCH(UnitGradeInfo!B35,ref_Unit_Balance!$B$31:$B$1048576,0))*(D35-1)</f>
        <v>3380</v>
      </c>
      <c r="G35" s="5">
        <f>INDEX(ref_Unit_Balance!$R$31:$R$106,MATCH(UnitGradeInfo!B35,ref_Unit_Balance!$B$31:$B$1048576,0))
+
INDEX(ref_Unit_Balance!$AA$31:$AA$106,MATCH(UnitGradeInfo!B35,ref_Unit_Balance!$B$31:$B$1048576,0))*(D35-1)</f>
        <v>270</v>
      </c>
      <c r="H35" s="39">
        <f>IF(INDEX(Unitinfo!D:D,MATCH(UnitGradeInfo!B35,Unitinfo!A:A,0))=1,50,5)</f>
        <v>50</v>
      </c>
      <c r="I35" s="5">
        <f>IF(INDEX(ref_Unit_Balance!$T$31:$T$106,MATCH(UnitGradeInfo!B35,ref_Unit_Balance!$B$31:$B$1048576,0))=0,1,INDEX(ref_Unit_Balance!$T$31:$T$106,MATCH(UnitGradeInfo!B35,ref_Unit_Balance!$B$31:$B$1048576,0)))</f>
        <v>10</v>
      </c>
      <c r="J35" s="5">
        <f>INDEX(ref_Unit_Balance!$S$31:$S$106,MATCH(UnitGradeInfo!B35,ref_Unit_Balance!$B$31:$B$1048576,0))</f>
        <v>1000</v>
      </c>
      <c r="K35" s="5">
        <v>0</v>
      </c>
      <c r="L35" s="5">
        <f>INDEX(ref_Unit_Balance!$I$31:$I$106,MATCH(UnitGradeInfo!B35,ref_Unit_Balance!$B$31:$B$1048576,0))</f>
        <v>1</v>
      </c>
      <c r="M35" s="5">
        <f t="shared" si="1"/>
        <v>2</v>
      </c>
      <c r="N35" s="5">
        <f t="shared" si="2"/>
        <v>20</v>
      </c>
      <c r="O35" s="5">
        <f>(INDEX(Unitinfo!I:I,MATCH(B35,Unitinfo!A:A,0))+1)*2</f>
        <v>8</v>
      </c>
      <c r="P35" s="5">
        <v>0</v>
      </c>
      <c r="Q35" s="5">
        <v>0</v>
      </c>
      <c r="R35" s="19" t="s">
        <v>121</v>
      </c>
      <c r="S35" s="19" t="s">
        <v>121</v>
      </c>
      <c r="T35" s="5">
        <f t="shared" si="0"/>
        <v>1066</v>
      </c>
      <c r="U35" s="5">
        <f t="shared" si="3"/>
        <v>1</v>
      </c>
      <c r="V35" s="5">
        <v>0</v>
      </c>
      <c r="W35" s="5">
        <f>10</f>
        <v>10</v>
      </c>
    </row>
    <row r="36" spans="1:23">
      <c r="A36" s="5">
        <f t="shared" si="4"/>
        <v>33</v>
      </c>
      <c r="B36" s="94">
        <v>11001</v>
      </c>
      <c r="C36" s="20" t="str">
        <f>INDEX(Unitinfo!C:C,MATCH(UnitGradeInfo!B36,Unitinfo!A:A,0))</f>
        <v>(근거리)Indian_Wagon</v>
      </c>
      <c r="D36" s="5">
        <f>COUNTIF($B$4:B36,B36)</f>
        <v>1</v>
      </c>
      <c r="E36" s="5">
        <f>ROUNDDOWN(INDEX(ref_Unit_Balance!$G$31:$G$106,MATCH(UnitGradeInfo!B36,ref_Unit_Balance!$B$31:$B$1048576,0))
+INDEX(ref_Unit_Balance!$G$20:$G$23,MATCH(IFERROR(INDEX(ref_Unit_Balance!$D$31:$D$1048576,MATCH(B36,ref_Unit_Balance!$B$31:$B$1048576,0)),0),ref_Unit_Balance!$B$20:$B$23,0))*D36*ref_Unit_Balance!$C$25,0)</f>
        <v>75</v>
      </c>
      <c r="F36" s="5">
        <f>INDEX(ref_Unit_Balance!$V$31:$V$106,MATCH(UnitGradeInfo!B36,ref_Unit_Balance!$B$31:$B$1048576,0))
+
INDEX(ref_Unit_Balance!$AB$31:$AB$106,MATCH(UnitGradeInfo!B36,ref_Unit_Balance!$B$31:$B$1048576,0))*(D36-1)</f>
        <v>1000</v>
      </c>
      <c r="G36" s="5">
        <f>INDEX(ref_Unit_Balance!$R$31:$R$106,MATCH(UnitGradeInfo!B36,ref_Unit_Balance!$B$31:$B$1048576,0))
+
INDEX(ref_Unit_Balance!$AA$31:$AA$106,MATCH(UnitGradeInfo!B36,ref_Unit_Balance!$B$31:$B$1048576,0))*(D36-1)</f>
        <v>180</v>
      </c>
      <c r="H36" s="39">
        <f>IF(INDEX(Unitinfo!D:D,MATCH(UnitGradeInfo!B36,Unitinfo!A:A,0))=1,50,5)</f>
        <v>5</v>
      </c>
      <c r="I36" s="5">
        <f>IF(INDEX(ref_Unit_Balance!$T$31:$T$106,MATCH(UnitGradeInfo!B36,ref_Unit_Balance!$B$31:$B$1048576,0))=0,1,INDEX(ref_Unit_Balance!$T$31:$T$106,MATCH(UnitGradeInfo!B36,ref_Unit_Balance!$B$31:$B$1048576,0)))</f>
        <v>1</v>
      </c>
      <c r="J36" s="5">
        <f>INDEX(ref_Unit_Balance!$S$31:$S$106,MATCH(UnitGradeInfo!B36,ref_Unit_Balance!$B$31:$B$1048576,0))</f>
        <v>1000</v>
      </c>
      <c r="K36" s="5">
        <v>0</v>
      </c>
      <c r="L36" s="5">
        <f>INDEX(ref_Unit_Balance!$I$31:$I$106,MATCH(UnitGradeInfo!B36,ref_Unit_Balance!$B$31:$B$1048576,0))</f>
        <v>1</v>
      </c>
      <c r="M36" s="5">
        <f t="shared" si="1"/>
        <v>2</v>
      </c>
      <c r="N36" s="5">
        <f t="shared" si="2"/>
        <v>20</v>
      </c>
      <c r="O36" s="5">
        <f>(INDEX(Unitinfo!I:I,MATCH(B36,Unitinfo!A:A,0))+1)*2</f>
        <v>2</v>
      </c>
      <c r="P36" s="5">
        <v>0</v>
      </c>
      <c r="Q36" s="5">
        <v>0</v>
      </c>
      <c r="R36" s="19" t="s">
        <v>121</v>
      </c>
      <c r="S36" s="19" t="s">
        <v>121</v>
      </c>
      <c r="T36" s="5">
        <f t="shared" si="0"/>
        <v>11001</v>
      </c>
      <c r="U36" s="5">
        <f t="shared" si="3"/>
        <v>0</v>
      </c>
      <c r="V36" s="5">
        <v>0</v>
      </c>
      <c r="W36" s="5">
        <f>10</f>
        <v>10</v>
      </c>
    </row>
    <row r="37" spans="1:23">
      <c r="A37" s="5">
        <f t="shared" si="4"/>
        <v>34</v>
      </c>
      <c r="B37" s="94">
        <v>11002</v>
      </c>
      <c r="C37" s="20" t="str">
        <f>INDEX(Unitinfo!C:C,MATCH(UnitGradeInfo!B37,Unitinfo!A:A,0))</f>
        <v>(원거리)Indian_Catapult</v>
      </c>
      <c r="D37" s="5">
        <f>COUNTIF($B$4:B37,B37)</f>
        <v>1</v>
      </c>
      <c r="E37" s="5">
        <f>ROUNDDOWN(INDEX(ref_Unit_Balance!$G$31:$G$106,MATCH(UnitGradeInfo!B37,ref_Unit_Balance!$B$31:$B$1048576,0))
+INDEX(ref_Unit_Balance!$G$20:$G$23,MATCH(IFERROR(INDEX(ref_Unit_Balance!$D$31:$D$1048576,MATCH(B37,ref_Unit_Balance!$B$31:$B$1048576,0)),0),ref_Unit_Balance!$B$20:$B$23,0))*D37*ref_Unit_Balance!$C$25,0)</f>
        <v>75</v>
      </c>
      <c r="F37" s="5">
        <f>INDEX(ref_Unit_Balance!$V$31:$V$106,MATCH(UnitGradeInfo!B37,ref_Unit_Balance!$B$31:$B$1048576,0))
+
INDEX(ref_Unit_Balance!$AB$31:$AB$106,MATCH(UnitGradeInfo!B37,ref_Unit_Balance!$B$31:$B$1048576,0))*(D37-1)</f>
        <v>300</v>
      </c>
      <c r="G37" s="5">
        <f>INDEX(ref_Unit_Balance!$R$31:$R$106,MATCH(UnitGradeInfo!B37,ref_Unit_Balance!$B$31:$B$1048576,0))
+
INDEX(ref_Unit_Balance!$AA$31:$AA$106,MATCH(UnitGradeInfo!B37,ref_Unit_Balance!$B$31:$B$1048576,0))*(D37-1)</f>
        <v>140</v>
      </c>
      <c r="H37" s="39">
        <v>300</v>
      </c>
      <c r="I37" s="5">
        <f>IF(INDEX(ref_Unit_Balance!$T$31:$T$106,MATCH(UnitGradeInfo!B37,ref_Unit_Balance!$B$31:$B$1048576,0))=0,1,INDEX(ref_Unit_Balance!$T$31:$T$106,MATCH(UnitGradeInfo!B37,ref_Unit_Balance!$B$31:$B$1048576,0)))</f>
        <v>5</v>
      </c>
      <c r="J37" s="5">
        <f>INDEX(ref_Unit_Balance!$S$31:$S$106,MATCH(UnitGradeInfo!B37,ref_Unit_Balance!$B$31:$B$1048576,0))</f>
        <v>1000</v>
      </c>
      <c r="K37" s="5">
        <v>0</v>
      </c>
      <c r="L37" s="5">
        <f>INDEX(ref_Unit_Balance!$I$31:$I$106,MATCH(UnitGradeInfo!B37,ref_Unit_Balance!$B$31:$B$1048576,0))</f>
        <v>1</v>
      </c>
      <c r="M37" s="5">
        <f t="shared" si="1"/>
        <v>2</v>
      </c>
      <c r="N37" s="5">
        <f t="shared" si="2"/>
        <v>20</v>
      </c>
      <c r="O37" s="5">
        <f>(INDEX(Unitinfo!I:I,MATCH(B37,Unitinfo!A:A,0))+1)*2</f>
        <v>2</v>
      </c>
      <c r="P37" s="5">
        <v>0</v>
      </c>
      <c r="Q37" s="5">
        <v>0</v>
      </c>
      <c r="R37" s="19" t="s">
        <v>121</v>
      </c>
      <c r="S37" s="19" t="s">
        <v>598</v>
      </c>
      <c r="T37" s="5">
        <f t="shared" si="0"/>
        <v>11002</v>
      </c>
      <c r="U37" s="5">
        <f t="shared" si="3"/>
        <v>0</v>
      </c>
      <c r="V37" s="5">
        <v>0</v>
      </c>
      <c r="W37" s="5">
        <f>10</f>
        <v>10</v>
      </c>
    </row>
    <row r="38" spans="1:23">
      <c r="A38" s="5">
        <f t="shared" si="4"/>
        <v>35</v>
      </c>
      <c r="B38" s="94">
        <v>11003</v>
      </c>
      <c r="C38" s="20" t="str">
        <f>INDEX(Unitinfo!C:C,MATCH(UnitGradeInfo!B38,Unitinfo!A:A,0))</f>
        <v>(근거리)Indian_Wall</v>
      </c>
      <c r="D38" s="5">
        <f>COUNTIF($B$4:B38,B38)</f>
        <v>1</v>
      </c>
      <c r="E38" s="5">
        <f>ROUNDDOWN(INDEX(ref_Unit_Balance!$G$31:$G$106,MATCH(UnitGradeInfo!B38,ref_Unit_Balance!$B$31:$B$1048576,0))
+INDEX(ref_Unit_Balance!$G$20:$G$23,MATCH(IFERROR(INDEX(ref_Unit_Balance!$D$31:$D$1048576,MATCH(B38,ref_Unit_Balance!$B$31:$B$1048576,0)),0),ref_Unit_Balance!$B$20:$B$23,0))*D38*ref_Unit_Balance!$C$25,0)</f>
        <v>75</v>
      </c>
      <c r="F38" s="5">
        <f>INDEX(ref_Unit_Balance!$V$31:$V$106,MATCH(UnitGradeInfo!B38,ref_Unit_Balance!$B$31:$B$1048576,0))
+
INDEX(ref_Unit_Balance!$AB$31:$AB$106,MATCH(UnitGradeInfo!B38,ref_Unit_Balance!$B$31:$B$1048576,0))*(D38-1)</f>
        <v>1000</v>
      </c>
      <c r="G38" s="5">
        <f>INDEX(ref_Unit_Balance!$R$31:$R$106,MATCH(UnitGradeInfo!B38,ref_Unit_Balance!$B$31:$B$1048576,0))
+
INDEX(ref_Unit_Balance!$AA$31:$AA$106,MATCH(UnitGradeInfo!B38,ref_Unit_Balance!$B$31:$B$1048576,0))*(D38-1)</f>
        <v>180</v>
      </c>
      <c r="H38" s="39">
        <f>IF(INDEX(Unitinfo!D:D,MATCH(UnitGradeInfo!B38,Unitinfo!A:A,0))=1,50,5)</f>
        <v>5</v>
      </c>
      <c r="I38" s="5">
        <f>IF(INDEX(ref_Unit_Balance!$T$31:$T$106,MATCH(UnitGradeInfo!B38,ref_Unit_Balance!$B$31:$B$1048576,0))=0,1,INDEX(ref_Unit_Balance!$T$31:$T$106,MATCH(UnitGradeInfo!B38,ref_Unit_Balance!$B$31:$B$1048576,0)))</f>
        <v>1</v>
      </c>
      <c r="J38" s="5">
        <f>INDEX(ref_Unit_Balance!$S$31:$S$106,MATCH(UnitGradeInfo!B38,ref_Unit_Balance!$B$31:$B$1048576,0))</f>
        <v>1000</v>
      </c>
      <c r="K38" s="5">
        <v>0</v>
      </c>
      <c r="L38" s="5">
        <f>INDEX(ref_Unit_Balance!$I$31:$I$106,MATCH(UnitGradeInfo!B38,ref_Unit_Balance!$B$31:$B$1048576,0))</f>
        <v>1</v>
      </c>
      <c r="M38" s="5">
        <f t="shared" si="1"/>
        <v>2</v>
      </c>
      <c r="N38" s="5">
        <f t="shared" si="2"/>
        <v>20</v>
      </c>
      <c r="O38" s="5">
        <f>(INDEX(Unitinfo!I:I,MATCH(B38,Unitinfo!A:A,0))+1)*2</f>
        <v>2</v>
      </c>
      <c r="P38" s="5">
        <v>0</v>
      </c>
      <c r="Q38" s="5">
        <v>0</v>
      </c>
      <c r="R38" s="19" t="s">
        <v>121</v>
      </c>
      <c r="S38" s="19" t="s">
        <v>121</v>
      </c>
      <c r="T38" s="5">
        <f t="shared" si="0"/>
        <v>11003</v>
      </c>
      <c r="U38" s="5">
        <f t="shared" si="3"/>
        <v>0</v>
      </c>
      <c r="V38" s="5">
        <v>0</v>
      </c>
      <c r="W38" s="5">
        <f>10</f>
        <v>10</v>
      </c>
    </row>
    <row r="39" spans="1:23">
      <c r="A39" s="5">
        <f t="shared" si="4"/>
        <v>36</v>
      </c>
      <c r="B39" s="94">
        <v>11004</v>
      </c>
      <c r="C39" s="20" t="str">
        <f>INDEX(Unitinfo!C:C,MATCH(UnitGradeInfo!B39,Unitinfo!A:A,0))</f>
        <v>(원거리)Indian_Watchtower</v>
      </c>
      <c r="D39" s="5">
        <f>COUNTIF($B$4:B39,B39)</f>
        <v>1</v>
      </c>
      <c r="E39" s="5">
        <f>ROUNDDOWN(INDEX(ref_Unit_Balance!$G$31:$G$106,MATCH(UnitGradeInfo!B39,ref_Unit_Balance!$B$31:$B$1048576,0))
+INDEX(ref_Unit_Balance!$G$20:$G$23,MATCH(IFERROR(INDEX(ref_Unit_Balance!$D$31:$D$1048576,MATCH(B39,ref_Unit_Balance!$B$31:$B$1048576,0)),0),ref_Unit_Balance!$B$20:$B$23,0))*D39*ref_Unit_Balance!$C$25,0)</f>
        <v>100</v>
      </c>
      <c r="F39" s="5">
        <f>INDEX(ref_Unit_Balance!$V$31:$V$106,MATCH(UnitGradeInfo!B39,ref_Unit_Balance!$B$31:$B$1048576,0))
+
INDEX(ref_Unit_Balance!$AB$31:$AB$106,MATCH(UnitGradeInfo!B39,ref_Unit_Balance!$B$31:$B$1048576,0))*(D39-1)</f>
        <v>1200</v>
      </c>
      <c r="G39" s="5">
        <f>INDEX(ref_Unit_Balance!$R$31:$R$106,MATCH(UnitGradeInfo!B39,ref_Unit_Balance!$B$31:$B$1048576,0))
+
INDEX(ref_Unit_Balance!$AA$31:$AA$106,MATCH(UnitGradeInfo!B39,ref_Unit_Balance!$B$31:$B$1048576,0))*(D39-1)</f>
        <v>240</v>
      </c>
      <c r="H39" s="39">
        <f>IF(INDEX(Unitinfo!D:D,MATCH(UnitGradeInfo!B39,Unitinfo!A:A,0))=1,50,5)</f>
        <v>50</v>
      </c>
      <c r="I39" s="5">
        <f>IF(INDEX(ref_Unit_Balance!$T$31:$T$106,MATCH(UnitGradeInfo!B39,ref_Unit_Balance!$B$31:$B$1048576,0))=0,1,INDEX(ref_Unit_Balance!$T$31:$T$106,MATCH(UnitGradeInfo!B39,ref_Unit_Balance!$B$31:$B$1048576,0)))</f>
        <v>1</v>
      </c>
      <c r="J39" s="5">
        <f>INDEX(ref_Unit_Balance!$S$31:$S$106,MATCH(UnitGradeInfo!B39,ref_Unit_Balance!$B$31:$B$1048576,0))</f>
        <v>1000</v>
      </c>
      <c r="K39" s="5">
        <v>0</v>
      </c>
      <c r="L39" s="5">
        <f>INDEX(ref_Unit_Balance!$I$31:$I$106,MATCH(UnitGradeInfo!B39,ref_Unit_Balance!$B$31:$B$1048576,0))</f>
        <v>1</v>
      </c>
      <c r="M39" s="5">
        <f t="shared" si="1"/>
        <v>2</v>
      </c>
      <c r="N39" s="5">
        <f t="shared" si="2"/>
        <v>20</v>
      </c>
      <c r="O39" s="5">
        <f>(INDEX(Unitinfo!I:I,MATCH(B39,Unitinfo!A:A,0))+1)*2</f>
        <v>2</v>
      </c>
      <c r="P39" s="5">
        <v>0</v>
      </c>
      <c r="Q39" s="5">
        <v>0</v>
      </c>
      <c r="R39" s="19" t="s">
        <v>121</v>
      </c>
      <c r="S39" s="19" t="s">
        <v>121</v>
      </c>
      <c r="T39" s="5">
        <f t="shared" si="0"/>
        <v>11004</v>
      </c>
      <c r="U39" s="5">
        <f t="shared" si="3"/>
        <v>0</v>
      </c>
      <c r="V39" s="5">
        <v>0</v>
      </c>
      <c r="W39" s="5">
        <f>10</f>
        <v>10</v>
      </c>
    </row>
    <row r="40" spans="1:23">
      <c r="A40" s="5">
        <f t="shared" si="4"/>
        <v>37</v>
      </c>
      <c r="B40" s="94">
        <v>11005</v>
      </c>
      <c r="C40" s="20" t="str">
        <f>INDEX(Unitinfo!C:C,MATCH(UnitGradeInfo!B40,Unitinfo!A:A,0))</f>
        <v>(근거리)Indian_Chicken_House</v>
      </c>
      <c r="D40" s="5">
        <f>COUNTIF($B$4:B40,B40)</f>
        <v>1</v>
      </c>
      <c r="E40" s="5">
        <f>ROUNDDOWN(INDEX(ref_Unit_Balance!$G$31:$G$106,MATCH(UnitGradeInfo!B40,ref_Unit_Balance!$B$31:$B$1048576,0))
+INDEX(ref_Unit_Balance!$G$20:$G$23,MATCH(IFERROR(INDEX(ref_Unit_Balance!$D$31:$D$1048576,MATCH(B40,ref_Unit_Balance!$B$31:$B$1048576,0)),0),ref_Unit_Balance!$B$20:$B$23,0))*D40*ref_Unit_Balance!$C$25,0)</f>
        <v>75</v>
      </c>
      <c r="F40" s="5">
        <f>INDEX(ref_Unit_Balance!$V$31:$V$106,MATCH(UnitGradeInfo!B40,ref_Unit_Balance!$B$31:$B$1048576,0))
+
INDEX(ref_Unit_Balance!$AB$31:$AB$106,MATCH(UnitGradeInfo!B40,ref_Unit_Balance!$B$31:$B$1048576,0))*(D40-1)</f>
        <v>1000</v>
      </c>
      <c r="G40" s="5">
        <f>INDEX(ref_Unit_Balance!$R$31:$R$106,MATCH(UnitGradeInfo!B40,ref_Unit_Balance!$B$31:$B$1048576,0))
+
INDEX(ref_Unit_Balance!$AA$31:$AA$106,MATCH(UnitGradeInfo!B40,ref_Unit_Balance!$B$31:$B$1048576,0))*(D40-1)</f>
        <v>180</v>
      </c>
      <c r="H40" s="39">
        <f>IF(INDEX(Unitinfo!D:D,MATCH(UnitGradeInfo!B40,Unitinfo!A:A,0))=1,50,5)</f>
        <v>5</v>
      </c>
      <c r="I40" s="5">
        <f>IF(INDEX(ref_Unit_Balance!$T$31:$T$106,MATCH(UnitGradeInfo!B40,ref_Unit_Balance!$B$31:$B$1048576,0))=0,1,INDEX(ref_Unit_Balance!$T$31:$T$106,MATCH(UnitGradeInfo!B40,ref_Unit_Balance!$B$31:$B$1048576,0)))</f>
        <v>1</v>
      </c>
      <c r="J40" s="5">
        <f>INDEX(ref_Unit_Balance!$S$31:$S$106,MATCH(UnitGradeInfo!B40,ref_Unit_Balance!$B$31:$B$1048576,0))</f>
        <v>1000</v>
      </c>
      <c r="K40" s="5">
        <v>0</v>
      </c>
      <c r="L40" s="5">
        <f>INDEX(ref_Unit_Balance!$I$31:$I$106,MATCH(UnitGradeInfo!B40,ref_Unit_Balance!$B$31:$B$1048576,0))</f>
        <v>1</v>
      </c>
      <c r="M40" s="5">
        <f t="shared" si="1"/>
        <v>2</v>
      </c>
      <c r="N40" s="5">
        <f t="shared" si="2"/>
        <v>20</v>
      </c>
      <c r="O40" s="5">
        <f>(INDEX(Unitinfo!I:I,MATCH(B40,Unitinfo!A:A,0))+1)*2</f>
        <v>2</v>
      </c>
      <c r="P40" s="5">
        <v>0</v>
      </c>
      <c r="Q40" s="5">
        <v>0</v>
      </c>
      <c r="R40" s="19" t="s">
        <v>121</v>
      </c>
      <c r="S40" s="19" t="s">
        <v>121</v>
      </c>
      <c r="T40" s="5">
        <f t="shared" si="0"/>
        <v>11005</v>
      </c>
      <c r="U40" s="5">
        <f t="shared" si="3"/>
        <v>0</v>
      </c>
      <c r="V40" s="5">
        <v>0</v>
      </c>
      <c r="W40" s="5">
        <f>10</f>
        <v>10</v>
      </c>
    </row>
    <row r="41" spans="1:23">
      <c r="A41" s="5">
        <f t="shared" si="4"/>
        <v>38</v>
      </c>
      <c r="B41" s="94">
        <v>11006</v>
      </c>
      <c r="C41" s="20" t="str">
        <f>INDEX(Unitinfo!C:C,MATCH(UnitGradeInfo!B41,Unitinfo!A:A,0))</f>
        <v>(근거리)Indian_Jar_1</v>
      </c>
      <c r="D41" s="5">
        <f>COUNTIF($B$4:B41,B41)</f>
        <v>1</v>
      </c>
      <c r="E41" s="5">
        <f>ROUNDDOWN(INDEX(ref_Unit_Balance!$G$31:$G$106,MATCH(UnitGradeInfo!B41,ref_Unit_Balance!$B$31:$B$1048576,0))
+INDEX(ref_Unit_Balance!$G$20:$G$23,MATCH(IFERROR(INDEX(ref_Unit_Balance!$D$31:$D$1048576,MATCH(B41,ref_Unit_Balance!$B$31:$B$1048576,0)),0),ref_Unit_Balance!$B$20:$B$23,0))*D41*ref_Unit_Balance!$C$25,0)</f>
        <v>75</v>
      </c>
      <c r="F41" s="5">
        <f>INDEX(ref_Unit_Balance!$V$31:$V$106,MATCH(UnitGradeInfo!B41,ref_Unit_Balance!$B$31:$B$1048576,0))
+
INDEX(ref_Unit_Balance!$AB$31:$AB$106,MATCH(UnitGradeInfo!B41,ref_Unit_Balance!$B$31:$B$1048576,0))*(D41-1)</f>
        <v>1000</v>
      </c>
      <c r="G41" s="5">
        <f>INDEX(ref_Unit_Balance!$R$31:$R$106,MATCH(UnitGradeInfo!B41,ref_Unit_Balance!$B$31:$B$1048576,0))
+
INDEX(ref_Unit_Balance!$AA$31:$AA$106,MATCH(UnitGradeInfo!B41,ref_Unit_Balance!$B$31:$B$1048576,0))*(D41-1)</f>
        <v>180</v>
      </c>
      <c r="H41" s="39">
        <f>IF(INDEX(Unitinfo!D:D,MATCH(UnitGradeInfo!B41,Unitinfo!A:A,0))=1,50,5)</f>
        <v>5</v>
      </c>
      <c r="I41" s="5">
        <f>IF(INDEX(ref_Unit_Balance!$T$31:$T$106,MATCH(UnitGradeInfo!B41,ref_Unit_Balance!$B$31:$B$1048576,0))=0,1,INDEX(ref_Unit_Balance!$T$31:$T$106,MATCH(UnitGradeInfo!B41,ref_Unit_Balance!$B$31:$B$1048576,0)))</f>
        <v>1</v>
      </c>
      <c r="J41" s="5">
        <f>INDEX(ref_Unit_Balance!$S$31:$S$106,MATCH(UnitGradeInfo!B41,ref_Unit_Balance!$B$31:$B$1048576,0))</f>
        <v>1000</v>
      </c>
      <c r="K41" s="5">
        <v>0</v>
      </c>
      <c r="L41" s="5">
        <f>INDEX(ref_Unit_Balance!$I$31:$I$106,MATCH(UnitGradeInfo!B41,ref_Unit_Balance!$B$31:$B$1048576,0))</f>
        <v>1</v>
      </c>
      <c r="M41" s="5">
        <f t="shared" si="1"/>
        <v>2</v>
      </c>
      <c r="N41" s="5">
        <f t="shared" si="2"/>
        <v>20</v>
      </c>
      <c r="O41" s="5">
        <f>(INDEX(Unitinfo!I:I,MATCH(B41,Unitinfo!A:A,0))+1)*2</f>
        <v>2</v>
      </c>
      <c r="P41" s="5">
        <v>0</v>
      </c>
      <c r="Q41" s="5">
        <v>0</v>
      </c>
      <c r="R41" s="19" t="s">
        <v>121</v>
      </c>
      <c r="S41" s="19" t="s">
        <v>121</v>
      </c>
      <c r="T41" s="5">
        <f t="shared" si="0"/>
        <v>11006</v>
      </c>
      <c r="U41" s="5">
        <f t="shared" si="3"/>
        <v>0</v>
      </c>
      <c r="V41" s="5">
        <v>0</v>
      </c>
      <c r="W41" s="5">
        <f>10</f>
        <v>10</v>
      </c>
    </row>
    <row r="42" spans="1:23">
      <c r="A42" s="5">
        <f t="shared" si="4"/>
        <v>39</v>
      </c>
      <c r="B42" s="94">
        <v>11007</v>
      </c>
      <c r="C42" s="20" t="str">
        <f>INDEX(Unitinfo!C:C,MATCH(UnitGradeInfo!B42,Unitinfo!A:A,0))</f>
        <v>(근거리)Indian_Jar_2</v>
      </c>
      <c r="D42" s="5">
        <f>COUNTIF($B$4:B42,B42)</f>
        <v>1</v>
      </c>
      <c r="E42" s="5">
        <f>ROUNDDOWN(INDEX(ref_Unit_Balance!$G$31:$G$106,MATCH(UnitGradeInfo!B42,ref_Unit_Balance!$B$31:$B$1048576,0))
+INDEX(ref_Unit_Balance!$G$20:$G$23,MATCH(IFERROR(INDEX(ref_Unit_Balance!$D$31:$D$1048576,MATCH(B42,ref_Unit_Balance!$B$31:$B$1048576,0)),0),ref_Unit_Balance!$B$20:$B$23,0))*D42*ref_Unit_Balance!$C$25,0)</f>
        <v>75</v>
      </c>
      <c r="F42" s="5">
        <f>INDEX(ref_Unit_Balance!$V$31:$V$106,MATCH(UnitGradeInfo!B42,ref_Unit_Balance!$B$31:$B$1048576,0))
+
INDEX(ref_Unit_Balance!$AB$31:$AB$106,MATCH(UnitGradeInfo!B42,ref_Unit_Balance!$B$31:$B$1048576,0))*(D42-1)</f>
        <v>1000</v>
      </c>
      <c r="G42" s="5">
        <f>INDEX(ref_Unit_Balance!$R$31:$R$106,MATCH(UnitGradeInfo!B42,ref_Unit_Balance!$B$31:$B$1048576,0))
+
INDEX(ref_Unit_Balance!$AA$31:$AA$106,MATCH(UnitGradeInfo!B42,ref_Unit_Balance!$B$31:$B$1048576,0))*(D42-1)</f>
        <v>180</v>
      </c>
      <c r="H42" s="39">
        <f>IF(INDEX(Unitinfo!D:D,MATCH(UnitGradeInfo!B42,Unitinfo!A:A,0))=1,50,5)</f>
        <v>5</v>
      </c>
      <c r="I42" s="5">
        <f>IF(INDEX(ref_Unit_Balance!$T$31:$T$106,MATCH(UnitGradeInfo!B42,ref_Unit_Balance!$B$31:$B$1048576,0))=0,1,INDEX(ref_Unit_Balance!$T$31:$T$106,MATCH(UnitGradeInfo!B42,ref_Unit_Balance!$B$31:$B$1048576,0)))</f>
        <v>1</v>
      </c>
      <c r="J42" s="5">
        <f>INDEX(ref_Unit_Balance!$S$31:$S$106,MATCH(UnitGradeInfo!B42,ref_Unit_Balance!$B$31:$B$1048576,0))</f>
        <v>1000</v>
      </c>
      <c r="K42" s="5">
        <v>0</v>
      </c>
      <c r="L42" s="5">
        <f>INDEX(ref_Unit_Balance!$I$31:$I$106,MATCH(UnitGradeInfo!B42,ref_Unit_Balance!$B$31:$B$1048576,0))</f>
        <v>1</v>
      </c>
      <c r="M42" s="5">
        <f t="shared" si="1"/>
        <v>2</v>
      </c>
      <c r="N42" s="5">
        <f t="shared" si="2"/>
        <v>20</v>
      </c>
      <c r="O42" s="5">
        <f>(INDEX(Unitinfo!I:I,MATCH(B42,Unitinfo!A:A,0))+1)*2</f>
        <v>2</v>
      </c>
      <c r="P42" s="5">
        <v>0</v>
      </c>
      <c r="Q42" s="5">
        <v>0</v>
      </c>
      <c r="R42" s="19" t="s">
        <v>121</v>
      </c>
      <c r="S42" s="19" t="s">
        <v>121</v>
      </c>
      <c r="T42" s="5">
        <f t="shared" si="0"/>
        <v>11007</v>
      </c>
      <c r="U42" s="5">
        <f t="shared" si="3"/>
        <v>0</v>
      </c>
      <c r="V42" s="5">
        <v>0</v>
      </c>
      <c r="W42" s="5">
        <f>10</f>
        <v>10</v>
      </c>
    </row>
    <row r="43" spans="1:23">
      <c r="A43" s="5">
        <f t="shared" si="4"/>
        <v>40</v>
      </c>
      <c r="B43" s="94">
        <v>11008</v>
      </c>
      <c r="C43" s="20" t="str">
        <f>INDEX(Unitinfo!C:C,MATCH(UnitGradeInfo!B43,Unitinfo!A:A,0))</f>
        <v>(근거리)Indian_Straw</v>
      </c>
      <c r="D43" s="5">
        <f>COUNTIF($B$4:B43,B43)</f>
        <v>1</v>
      </c>
      <c r="E43" s="5">
        <f>ROUNDDOWN(INDEX(ref_Unit_Balance!$G$31:$G$106,MATCH(UnitGradeInfo!B43,ref_Unit_Balance!$B$31:$B$1048576,0))
+INDEX(ref_Unit_Balance!$G$20:$G$23,MATCH(IFERROR(INDEX(ref_Unit_Balance!$D$31:$D$1048576,MATCH(B43,ref_Unit_Balance!$B$31:$B$1048576,0)),0),ref_Unit_Balance!$B$20:$B$23,0))*D43*ref_Unit_Balance!$C$25,0)</f>
        <v>75</v>
      </c>
      <c r="F43" s="5">
        <f>INDEX(ref_Unit_Balance!$V$31:$V$106,MATCH(UnitGradeInfo!B43,ref_Unit_Balance!$B$31:$B$1048576,0))
+
INDEX(ref_Unit_Balance!$AB$31:$AB$106,MATCH(UnitGradeInfo!B43,ref_Unit_Balance!$B$31:$B$1048576,0))*(D43-1)</f>
        <v>1000</v>
      </c>
      <c r="G43" s="5">
        <f>INDEX(ref_Unit_Balance!$R$31:$R$106,MATCH(UnitGradeInfo!B43,ref_Unit_Balance!$B$31:$B$1048576,0))
+
INDEX(ref_Unit_Balance!$AA$31:$AA$106,MATCH(UnitGradeInfo!B43,ref_Unit_Balance!$B$31:$B$1048576,0))*(D43-1)</f>
        <v>180</v>
      </c>
      <c r="H43" s="39">
        <f>IF(INDEX(Unitinfo!D:D,MATCH(UnitGradeInfo!B43,Unitinfo!A:A,0))=1,50,5)</f>
        <v>5</v>
      </c>
      <c r="I43" s="5">
        <f>IF(INDEX(ref_Unit_Balance!$T$31:$T$106,MATCH(UnitGradeInfo!B43,ref_Unit_Balance!$B$31:$B$1048576,0))=0,1,INDEX(ref_Unit_Balance!$T$31:$T$106,MATCH(UnitGradeInfo!B43,ref_Unit_Balance!$B$31:$B$1048576,0)))</f>
        <v>1</v>
      </c>
      <c r="J43" s="5">
        <f>INDEX(ref_Unit_Balance!$S$31:$S$106,MATCH(UnitGradeInfo!B43,ref_Unit_Balance!$B$31:$B$1048576,0))</f>
        <v>1000</v>
      </c>
      <c r="K43" s="5">
        <v>0</v>
      </c>
      <c r="L43" s="5">
        <f>INDEX(ref_Unit_Balance!$I$31:$I$106,MATCH(UnitGradeInfo!B43,ref_Unit_Balance!$B$31:$B$1048576,0))</f>
        <v>1</v>
      </c>
      <c r="M43" s="5">
        <f t="shared" si="1"/>
        <v>2</v>
      </c>
      <c r="N43" s="5">
        <f t="shared" si="2"/>
        <v>20</v>
      </c>
      <c r="O43" s="5">
        <f>(INDEX(Unitinfo!I:I,MATCH(B43,Unitinfo!A:A,0))+1)*2</f>
        <v>2</v>
      </c>
      <c r="P43" s="5">
        <v>0</v>
      </c>
      <c r="Q43" s="5">
        <v>0</v>
      </c>
      <c r="R43" s="19" t="s">
        <v>121</v>
      </c>
      <c r="S43" s="19" t="s">
        <v>121</v>
      </c>
      <c r="T43" s="5">
        <f t="shared" si="0"/>
        <v>11008</v>
      </c>
      <c r="U43" s="5">
        <f t="shared" si="3"/>
        <v>0</v>
      </c>
      <c r="V43" s="5">
        <v>0</v>
      </c>
      <c r="W43" s="5">
        <f>10</f>
        <v>10</v>
      </c>
    </row>
    <row r="44" spans="1:23">
      <c r="A44" s="5">
        <f t="shared" si="4"/>
        <v>41</v>
      </c>
      <c r="B44" s="94">
        <v>11009</v>
      </c>
      <c r="C44" s="20" t="str">
        <f>INDEX(Unitinfo!C:C,MATCH(UnitGradeInfo!B44,Unitinfo!A:A,0))</f>
        <v>(근거리)Indian_Flag_Alter</v>
      </c>
      <c r="D44" s="5">
        <f>COUNTIF($B$4:B44,B44)</f>
        <v>1</v>
      </c>
      <c r="E44" s="5">
        <f>ROUNDDOWN(INDEX(ref_Unit_Balance!$G$31:$G$106,MATCH(UnitGradeInfo!B44,ref_Unit_Balance!$B$31:$B$1048576,0))
+INDEX(ref_Unit_Balance!$G$20:$G$23,MATCH(IFERROR(INDEX(ref_Unit_Balance!$D$31:$D$1048576,MATCH(B44,ref_Unit_Balance!$B$31:$B$1048576,0)),0),ref_Unit_Balance!$B$20:$B$23,0))*D44*ref_Unit_Balance!$C$25,0)</f>
        <v>75</v>
      </c>
      <c r="F44" s="5">
        <f>INDEX(ref_Unit_Balance!$V$31:$V$106,MATCH(UnitGradeInfo!B44,ref_Unit_Balance!$B$31:$B$1048576,0))
+
INDEX(ref_Unit_Balance!$AB$31:$AB$106,MATCH(UnitGradeInfo!B44,ref_Unit_Balance!$B$31:$B$1048576,0))*(D44-1)</f>
        <v>1000</v>
      </c>
      <c r="G44" s="5">
        <f>INDEX(ref_Unit_Balance!$R$31:$R$106,MATCH(UnitGradeInfo!B44,ref_Unit_Balance!$B$31:$B$1048576,0))
+
INDEX(ref_Unit_Balance!$AA$31:$AA$106,MATCH(UnitGradeInfo!B44,ref_Unit_Balance!$B$31:$B$1048576,0))*(D44-1)</f>
        <v>180</v>
      </c>
      <c r="H44" s="39">
        <f>IF(INDEX(Unitinfo!D:D,MATCH(UnitGradeInfo!B44,Unitinfo!A:A,0))=1,50,5)</f>
        <v>5</v>
      </c>
      <c r="I44" s="5">
        <f>IF(INDEX(ref_Unit_Balance!$T$31:$T$106,MATCH(UnitGradeInfo!B44,ref_Unit_Balance!$B$31:$B$1048576,0))=0,1,INDEX(ref_Unit_Balance!$T$31:$T$106,MATCH(UnitGradeInfo!B44,ref_Unit_Balance!$B$31:$B$1048576,0)))</f>
        <v>1</v>
      </c>
      <c r="J44" s="5">
        <f>INDEX(ref_Unit_Balance!$S$31:$S$106,MATCH(UnitGradeInfo!B44,ref_Unit_Balance!$B$31:$B$1048576,0))</f>
        <v>1000</v>
      </c>
      <c r="K44" s="5">
        <v>0</v>
      </c>
      <c r="L44" s="5">
        <f>INDEX(ref_Unit_Balance!$I$31:$I$106,MATCH(UnitGradeInfo!B44,ref_Unit_Balance!$B$31:$B$1048576,0))</f>
        <v>1</v>
      </c>
      <c r="M44" s="5">
        <f t="shared" si="1"/>
        <v>2</v>
      </c>
      <c r="N44" s="5">
        <f t="shared" si="2"/>
        <v>20</v>
      </c>
      <c r="O44" s="5">
        <f>(INDEX(Unitinfo!I:I,MATCH(B44,Unitinfo!A:A,0))+1)*2</f>
        <v>2</v>
      </c>
      <c r="P44" s="5">
        <v>0</v>
      </c>
      <c r="Q44" s="5">
        <v>0</v>
      </c>
      <c r="R44" s="19" t="s">
        <v>121</v>
      </c>
      <c r="S44" s="19" t="s">
        <v>121</v>
      </c>
      <c r="T44" s="5">
        <f t="shared" si="0"/>
        <v>11009</v>
      </c>
      <c r="U44" s="5">
        <f t="shared" si="3"/>
        <v>0</v>
      </c>
      <c r="V44" s="5">
        <v>0</v>
      </c>
      <c r="W44" s="5">
        <f>10</f>
        <v>10</v>
      </c>
    </row>
    <row r="45" spans="1:23">
      <c r="A45" s="5">
        <f t="shared" si="4"/>
        <v>42</v>
      </c>
      <c r="B45" s="94">
        <v>11010</v>
      </c>
      <c r="C45" s="20" t="str">
        <f>INDEX(Unitinfo!C:C,MATCH(UnitGradeInfo!B45,Unitinfo!A:A,0))</f>
        <v>(근거리)Indian_House</v>
      </c>
      <c r="D45" s="5">
        <f>COUNTIF($B$4:B45,B45)</f>
        <v>1</v>
      </c>
      <c r="E45" s="5">
        <f>ROUNDDOWN(INDEX(ref_Unit_Balance!$G$31:$G$106,MATCH(UnitGradeInfo!B45,ref_Unit_Balance!$B$31:$B$1048576,0))
+INDEX(ref_Unit_Balance!$G$20:$G$23,MATCH(IFERROR(INDEX(ref_Unit_Balance!$D$31:$D$1048576,MATCH(B45,ref_Unit_Balance!$B$31:$B$1048576,0)),0),ref_Unit_Balance!$B$20:$B$23,0))*D45*ref_Unit_Balance!$C$25,0)</f>
        <v>75</v>
      </c>
      <c r="F45" s="5">
        <f>INDEX(ref_Unit_Balance!$V$31:$V$106,MATCH(UnitGradeInfo!B45,ref_Unit_Balance!$B$31:$B$1048576,0))
+
INDEX(ref_Unit_Balance!$AB$31:$AB$106,MATCH(UnitGradeInfo!B45,ref_Unit_Balance!$B$31:$B$1048576,0))*(D45-1)</f>
        <v>1000</v>
      </c>
      <c r="G45" s="5">
        <f>INDEX(ref_Unit_Balance!$R$31:$R$106,MATCH(UnitGradeInfo!B45,ref_Unit_Balance!$B$31:$B$1048576,0))
+
INDEX(ref_Unit_Balance!$AA$31:$AA$106,MATCH(UnitGradeInfo!B45,ref_Unit_Balance!$B$31:$B$1048576,0))*(D45-1)</f>
        <v>180</v>
      </c>
      <c r="H45" s="39">
        <f>IF(INDEX(Unitinfo!D:D,MATCH(UnitGradeInfo!B45,Unitinfo!A:A,0))=1,50,5)</f>
        <v>5</v>
      </c>
      <c r="I45" s="5">
        <f>IF(INDEX(ref_Unit_Balance!$T$31:$T$106,MATCH(UnitGradeInfo!B45,ref_Unit_Balance!$B$31:$B$1048576,0))=0,1,INDEX(ref_Unit_Balance!$T$31:$T$106,MATCH(UnitGradeInfo!B45,ref_Unit_Balance!$B$31:$B$1048576,0)))</f>
        <v>1</v>
      </c>
      <c r="J45" s="5">
        <f>INDEX(ref_Unit_Balance!$S$31:$S$106,MATCH(UnitGradeInfo!B45,ref_Unit_Balance!$B$31:$B$1048576,0))</f>
        <v>1000</v>
      </c>
      <c r="K45" s="5">
        <v>0</v>
      </c>
      <c r="L45" s="5">
        <f>INDEX(ref_Unit_Balance!$I$31:$I$106,MATCH(UnitGradeInfo!B45,ref_Unit_Balance!$B$31:$B$1048576,0))</f>
        <v>1</v>
      </c>
      <c r="M45" s="5">
        <f t="shared" si="1"/>
        <v>2</v>
      </c>
      <c r="N45" s="5">
        <f t="shared" si="2"/>
        <v>20</v>
      </c>
      <c r="O45" s="5">
        <f>(INDEX(Unitinfo!I:I,MATCH(B45,Unitinfo!A:A,0))+1)*2</f>
        <v>2</v>
      </c>
      <c r="P45" s="5">
        <v>0</v>
      </c>
      <c r="Q45" s="5">
        <v>0</v>
      </c>
      <c r="R45" s="19" t="s">
        <v>121</v>
      </c>
      <c r="S45" s="19" t="s">
        <v>121</v>
      </c>
      <c r="T45" s="5">
        <f t="shared" si="0"/>
        <v>11010</v>
      </c>
      <c r="U45" s="5">
        <f t="shared" si="3"/>
        <v>0</v>
      </c>
      <c r="V45" s="5">
        <v>0</v>
      </c>
      <c r="W45" s="5">
        <f>10</f>
        <v>10</v>
      </c>
    </row>
    <row r="46" spans="1:23">
      <c r="A46" s="5">
        <f t="shared" si="4"/>
        <v>43</v>
      </c>
      <c r="B46" s="94">
        <v>11011</v>
      </c>
      <c r="C46" s="20" t="str">
        <f>INDEX(Unitinfo!C:C,MATCH(UnitGradeInfo!B46,Unitinfo!A:A,0))</f>
        <v>(근거리)Indian_Fire</v>
      </c>
      <c r="D46" s="5">
        <f>COUNTIF($B$4:B46,B46)</f>
        <v>1</v>
      </c>
      <c r="E46" s="5">
        <f>ROUNDDOWN(INDEX(ref_Unit_Balance!$G$31:$G$106,MATCH(UnitGradeInfo!B46,ref_Unit_Balance!$B$31:$B$1048576,0))
+INDEX(ref_Unit_Balance!$G$20:$G$23,MATCH(IFERROR(INDEX(ref_Unit_Balance!$D$31:$D$1048576,MATCH(B46,ref_Unit_Balance!$B$31:$B$1048576,0)),0),ref_Unit_Balance!$B$20:$B$23,0))*D46*ref_Unit_Balance!$C$25,0)</f>
        <v>75</v>
      </c>
      <c r="F46" s="5">
        <f>INDEX(ref_Unit_Balance!$V$31:$V$106,MATCH(UnitGradeInfo!B46,ref_Unit_Balance!$B$31:$B$1048576,0))
+
INDEX(ref_Unit_Balance!$AB$31:$AB$106,MATCH(UnitGradeInfo!B46,ref_Unit_Balance!$B$31:$B$1048576,0))*(D46-1)</f>
        <v>1000</v>
      </c>
      <c r="G46" s="5">
        <f>INDEX(ref_Unit_Balance!$R$31:$R$106,MATCH(UnitGradeInfo!B46,ref_Unit_Balance!$B$31:$B$1048576,0))
+
INDEX(ref_Unit_Balance!$AA$31:$AA$106,MATCH(UnitGradeInfo!B46,ref_Unit_Balance!$B$31:$B$1048576,0))*(D46-1)</f>
        <v>180</v>
      </c>
      <c r="H46" s="39">
        <f>IF(INDEX(Unitinfo!D:D,MATCH(UnitGradeInfo!B46,Unitinfo!A:A,0))=1,50,5)</f>
        <v>5</v>
      </c>
      <c r="I46" s="5">
        <f>IF(INDEX(ref_Unit_Balance!$T$31:$T$106,MATCH(UnitGradeInfo!B46,ref_Unit_Balance!$B$31:$B$1048576,0))=0,1,INDEX(ref_Unit_Balance!$T$31:$T$106,MATCH(UnitGradeInfo!B46,ref_Unit_Balance!$B$31:$B$1048576,0)))</f>
        <v>1</v>
      </c>
      <c r="J46" s="5">
        <f>INDEX(ref_Unit_Balance!$S$31:$S$106,MATCH(UnitGradeInfo!B46,ref_Unit_Balance!$B$31:$B$1048576,0))</f>
        <v>1000</v>
      </c>
      <c r="K46" s="5">
        <v>0</v>
      </c>
      <c r="L46" s="5">
        <f>INDEX(ref_Unit_Balance!$I$31:$I$106,MATCH(UnitGradeInfo!B46,ref_Unit_Balance!$B$31:$B$1048576,0))</f>
        <v>1</v>
      </c>
      <c r="M46" s="5">
        <f t="shared" si="1"/>
        <v>2</v>
      </c>
      <c r="N46" s="5">
        <f t="shared" si="2"/>
        <v>20</v>
      </c>
      <c r="O46" s="5">
        <f>(INDEX(Unitinfo!I:I,MATCH(B46,Unitinfo!A:A,0))+1)*2</f>
        <v>2</v>
      </c>
      <c r="P46" s="5">
        <v>0</v>
      </c>
      <c r="Q46" s="5">
        <v>0</v>
      </c>
      <c r="R46" s="19" t="s">
        <v>121</v>
      </c>
      <c r="S46" s="19" t="s">
        <v>121</v>
      </c>
      <c r="T46" s="5">
        <f t="shared" si="0"/>
        <v>11011</v>
      </c>
      <c r="U46" s="5">
        <f t="shared" si="3"/>
        <v>0</v>
      </c>
      <c r="V46" s="5">
        <v>0</v>
      </c>
      <c r="W46" s="5">
        <f>10</f>
        <v>10</v>
      </c>
    </row>
    <row r="47" spans="1:23">
      <c r="A47" s="5">
        <f t="shared" si="4"/>
        <v>44</v>
      </c>
      <c r="B47" s="94">
        <v>11012</v>
      </c>
      <c r="C47" s="20" t="str">
        <f>INDEX(Unitinfo!C:C,MATCH(UnitGradeInfo!B47,Unitinfo!A:A,0))</f>
        <v>(근거리)Indian_Wall_2</v>
      </c>
      <c r="D47" s="5">
        <f>COUNTIF($B$4:B47,B47)</f>
        <v>1</v>
      </c>
      <c r="E47" s="5">
        <f>ROUNDDOWN(INDEX(ref_Unit_Balance!$G$31:$G$106,MATCH(UnitGradeInfo!B47,ref_Unit_Balance!$B$31:$B$1048576,0))
+INDEX(ref_Unit_Balance!$G$20:$G$23,MATCH(IFERROR(INDEX(ref_Unit_Balance!$D$31:$D$1048576,MATCH(B47,ref_Unit_Balance!$B$31:$B$1048576,0)),0),ref_Unit_Balance!$B$20:$B$23,0))*D47*ref_Unit_Balance!$C$25,0)</f>
        <v>75</v>
      </c>
      <c r="F47" s="5">
        <f>INDEX(ref_Unit_Balance!$V$31:$V$106,MATCH(UnitGradeInfo!B47,ref_Unit_Balance!$B$31:$B$1048576,0))
+
INDEX(ref_Unit_Balance!$AB$31:$AB$106,MATCH(UnitGradeInfo!B47,ref_Unit_Balance!$B$31:$B$1048576,0))*(D47-1)</f>
        <v>1000</v>
      </c>
      <c r="G47" s="5">
        <f>INDEX(ref_Unit_Balance!$R$31:$R$106,MATCH(UnitGradeInfo!B47,ref_Unit_Balance!$B$31:$B$1048576,0))
+
INDEX(ref_Unit_Balance!$AA$31:$AA$106,MATCH(UnitGradeInfo!B47,ref_Unit_Balance!$B$31:$B$1048576,0))*(D47-1)</f>
        <v>180</v>
      </c>
      <c r="H47" s="39">
        <f>IF(INDEX(Unitinfo!D:D,MATCH(UnitGradeInfo!B47,Unitinfo!A:A,0))=1,50,5)</f>
        <v>5</v>
      </c>
      <c r="I47" s="5">
        <f>IF(INDEX(ref_Unit_Balance!$T$31:$T$106,MATCH(UnitGradeInfo!B47,ref_Unit_Balance!$B$31:$B$1048576,0))=0,1,INDEX(ref_Unit_Balance!$T$31:$T$106,MATCH(UnitGradeInfo!B47,ref_Unit_Balance!$B$31:$B$1048576,0)))</f>
        <v>1</v>
      </c>
      <c r="J47" s="5">
        <f>INDEX(ref_Unit_Balance!$S$31:$S$106,MATCH(UnitGradeInfo!B47,ref_Unit_Balance!$B$31:$B$1048576,0))</f>
        <v>1000</v>
      </c>
      <c r="K47" s="5">
        <v>0</v>
      </c>
      <c r="L47" s="5">
        <f>INDEX(ref_Unit_Balance!$I$31:$I$106,MATCH(UnitGradeInfo!B47,ref_Unit_Balance!$B$31:$B$1048576,0))</f>
        <v>1</v>
      </c>
      <c r="M47" s="5">
        <f t="shared" si="1"/>
        <v>2</v>
      </c>
      <c r="N47" s="5">
        <f t="shared" si="2"/>
        <v>20</v>
      </c>
      <c r="O47" s="5">
        <f>(INDEX(Unitinfo!I:I,MATCH(B47,Unitinfo!A:A,0))+1)*2</f>
        <v>2</v>
      </c>
      <c r="P47" s="5">
        <v>0</v>
      </c>
      <c r="Q47" s="5">
        <v>0</v>
      </c>
      <c r="R47" s="19" t="s">
        <v>121</v>
      </c>
      <c r="S47" s="19" t="s">
        <v>121</v>
      </c>
      <c r="T47" s="5">
        <f t="shared" si="0"/>
        <v>11012</v>
      </c>
      <c r="U47" s="5">
        <f t="shared" si="3"/>
        <v>0</v>
      </c>
      <c r="V47" s="5">
        <v>0</v>
      </c>
      <c r="W47" s="5">
        <f>10</f>
        <v>10</v>
      </c>
    </row>
    <row r="48" spans="1:23">
      <c r="A48" s="5">
        <f t="shared" si="4"/>
        <v>45</v>
      </c>
      <c r="B48" s="94">
        <v>20001</v>
      </c>
      <c r="C48" s="20" t="str">
        <f>INDEX(Unitinfo!C:C,MATCH(UnitGradeInfo!B48,Unitinfo!A:A,0))</f>
        <v>(근거리)DevilCastle</v>
      </c>
      <c r="D48" s="5">
        <f>COUNTIF($B$4:B48,B48)</f>
        <v>1</v>
      </c>
      <c r="E48" s="5">
        <f>ROUNDDOWN(INDEX(ref_Unit_Balance!$G$31:$G$106,MATCH(UnitGradeInfo!B48,ref_Unit_Balance!$B$31:$B$1048576,0))
+INDEX(ref_Unit_Balance!$G$20:$G$23,MATCH(IFERROR(INDEX(ref_Unit_Balance!$D$31:$D$1048576,MATCH(B48,ref_Unit_Balance!$B$31:$B$1048576,0)),0),ref_Unit_Balance!$B$20:$B$23,0))*D48*ref_Unit_Balance!$C$25,0)</f>
        <v>175</v>
      </c>
      <c r="F48" s="5">
        <f>INDEX(ref_Unit_Balance!$V$31:$V$106,MATCH(UnitGradeInfo!B48,ref_Unit_Balance!$B$31:$B$1048576,0))
+
INDEX(ref_Unit_Balance!$AB$31:$AB$106,MATCH(UnitGradeInfo!B48,ref_Unit_Balance!$B$31:$B$1048576,0))*(D48-1)</f>
        <v>4380</v>
      </c>
      <c r="G48" s="5">
        <f>INDEX(ref_Unit_Balance!$R$31:$R$106,MATCH(UnitGradeInfo!B48,ref_Unit_Balance!$B$31:$B$1048576,0))
+
INDEX(ref_Unit_Balance!$AA$31:$AA$106,MATCH(UnitGradeInfo!B48,ref_Unit_Balance!$B$31:$B$1048576,0))*(D48-1)</f>
        <v>530</v>
      </c>
      <c r="H48" s="39">
        <v>1</v>
      </c>
      <c r="I48" s="5">
        <f>IF(INDEX(ref_Unit_Balance!$T$31:$T$106,MATCH(UnitGradeInfo!B48,ref_Unit_Balance!$B$31:$B$1048576,0))=0,1,INDEX(ref_Unit_Balance!$T$31:$T$106,MATCH(UnitGradeInfo!B48,ref_Unit_Balance!$B$31:$B$1048576,0)))</f>
        <v>1</v>
      </c>
      <c r="J48" s="5">
        <f>INDEX(ref_Unit_Balance!$S$31:$S$106,MATCH(UnitGradeInfo!B48,ref_Unit_Balance!$B$31:$B$1048576,0))</f>
        <v>1000</v>
      </c>
      <c r="K48" s="5">
        <v>0</v>
      </c>
      <c r="L48" s="5">
        <f>INDEX(ref_Unit_Balance!$I$31:$I$106,MATCH(UnitGradeInfo!B48,ref_Unit_Balance!$B$31:$B$1048576,0))</f>
        <v>1</v>
      </c>
      <c r="M48" s="5">
        <f t="shared" si="1"/>
        <v>2</v>
      </c>
      <c r="N48" s="5">
        <f t="shared" si="2"/>
        <v>20</v>
      </c>
      <c r="O48" s="5">
        <f>(INDEX(Unitinfo!I:I,MATCH(B48,Unitinfo!A:A,0))+1)*2</f>
        <v>8</v>
      </c>
      <c r="P48" s="5">
        <v>0</v>
      </c>
      <c r="Q48" s="5">
        <v>0</v>
      </c>
      <c r="R48" s="19" t="s">
        <v>121</v>
      </c>
      <c r="S48" s="19" t="s">
        <v>121</v>
      </c>
      <c r="T48" s="5">
        <f t="shared" si="0"/>
        <v>20001</v>
      </c>
      <c r="U48" s="5">
        <f t="shared" si="3"/>
        <v>0</v>
      </c>
      <c r="V48" s="5">
        <v>0</v>
      </c>
      <c r="W48" s="5">
        <f>10</f>
        <v>10</v>
      </c>
    </row>
    <row r="49" spans="1:23">
      <c r="A49" s="5">
        <f t="shared" si="4"/>
        <v>46</v>
      </c>
      <c r="B49" s="93">
        <f>QUOTIENT(A49-45-1,20)+2001</f>
        <v>2001</v>
      </c>
      <c r="C49" s="20" t="str">
        <f>INDEX(Unitinfo!C:C,MATCH(UnitGradeInfo!B49,Unitinfo!A:A,0))</f>
        <v>(근거리)Slime</v>
      </c>
      <c r="D49" s="5">
        <f>COUNTIF($B$4:B49,B49)</f>
        <v>1</v>
      </c>
      <c r="E49" s="5">
        <f>ROUNDDOWN(INDEX(ref_Unit_Balance!$G$31:$G$106,MATCH(UnitGradeInfo!B49,ref_Unit_Balance!$B$31:$B$1048576,0))
+INDEX(ref_Unit_Balance!$G$20:$G$23,MATCH(IFERROR(INDEX(ref_Unit_Balance!$D$31:$D$1048576,MATCH(B49,ref_Unit_Balance!$B$31:$B$1048576,0)),0),ref_Unit_Balance!$B$20:$B$23,0))*D49*ref_Unit_Balance!$C$25,0)</f>
        <v>200</v>
      </c>
      <c r="F49" s="5">
        <f>INDEX(ref_Unit_Balance!$V$31:$V$106,MATCH(UnitGradeInfo!B49,ref_Unit_Balance!$B$31:$B$1048576,0))
+
INDEX(ref_Unit_Balance!$AB$31:$AB$106,MATCH(UnitGradeInfo!B49,ref_Unit_Balance!$B$31:$B$1048576,0))*(D49-1)</f>
        <v>1500</v>
      </c>
      <c r="G49" s="5">
        <f>INDEX(ref_Unit_Balance!$R$31:$R$106,MATCH(UnitGradeInfo!B49,ref_Unit_Balance!$B$31:$B$1048576,0))
+
INDEX(ref_Unit_Balance!$AA$31:$AA$106,MATCH(UnitGradeInfo!B49,ref_Unit_Balance!$B$31:$B$1048576,0))*(D49-1)</f>
        <v>150</v>
      </c>
      <c r="H49" s="39">
        <f>IF(INDEX(Unitinfo!D:D,MATCH(UnitGradeInfo!B49,Unitinfo!A:A,0))=1,50,5)</f>
        <v>5</v>
      </c>
      <c r="I49" s="5">
        <f>IF(INDEX(ref_Unit_Balance!$T$31:$T$106,MATCH(UnitGradeInfo!B49,ref_Unit_Balance!$B$31:$B$1048576,0))=0,1,INDEX(ref_Unit_Balance!$T$31:$T$106,MATCH(UnitGradeInfo!B49,ref_Unit_Balance!$B$31:$B$1048576,0)))</f>
        <v>5</v>
      </c>
      <c r="J49" s="5">
        <f>INDEX(ref_Unit_Balance!$S$31:$S$106,MATCH(UnitGradeInfo!B49,ref_Unit_Balance!$B$31:$B$1048576,0))</f>
        <v>1000</v>
      </c>
      <c r="K49" s="5">
        <v>0</v>
      </c>
      <c r="L49" s="5">
        <f>INDEX(ref_Unit_Balance!$I$31:$I$106,MATCH(UnitGradeInfo!B49,ref_Unit_Balance!$B$31:$B$1048576,0))</f>
        <v>5</v>
      </c>
      <c r="M49" s="5">
        <f t="shared" si="1"/>
        <v>2</v>
      </c>
      <c r="N49" s="5">
        <f t="shared" si="2"/>
        <v>20</v>
      </c>
      <c r="O49" s="5">
        <f>(INDEX(Unitinfo!I:I,MATCH(B49,Unitinfo!A:A,0))+1)*2</f>
        <v>2</v>
      </c>
      <c r="P49" s="5">
        <v>0</v>
      </c>
      <c r="Q49" s="5">
        <v>0</v>
      </c>
      <c r="R49" s="19" t="s">
        <v>121</v>
      </c>
      <c r="S49" s="19" t="s">
        <v>121</v>
      </c>
      <c r="T49" s="5">
        <f t="shared" ref="T49:T57" si="5">B49</f>
        <v>2001</v>
      </c>
      <c r="U49" s="5">
        <f t="shared" si="3"/>
        <v>1</v>
      </c>
      <c r="V49" s="5">
        <v>0</v>
      </c>
      <c r="W49" s="5">
        <f>10</f>
        <v>10</v>
      </c>
    </row>
    <row r="50" spans="1:23">
      <c r="A50" s="5">
        <f t="shared" si="4"/>
        <v>47</v>
      </c>
      <c r="B50" s="93">
        <f t="shared" ref="B50:B113" si="6">QUOTIENT(A50-45-1,20)+2001</f>
        <v>2001</v>
      </c>
      <c r="C50" s="20" t="str">
        <f>INDEX(Unitinfo!C:C,MATCH(UnitGradeInfo!B50,Unitinfo!A:A,0))</f>
        <v>(근거리)Slime</v>
      </c>
      <c r="D50" s="5">
        <f>COUNTIF($B$4:B50,B50)</f>
        <v>2</v>
      </c>
      <c r="E50" s="5">
        <f>ROUNDDOWN(INDEX(ref_Unit_Balance!$G$31:$G$106,MATCH(UnitGradeInfo!B50,ref_Unit_Balance!$B$31:$B$1048576,0))
+INDEX(ref_Unit_Balance!$G$20:$G$23,MATCH(IFERROR(INDEX(ref_Unit_Balance!$D$31:$D$1048576,MATCH(B50,ref_Unit_Balance!$B$31:$B$1048576,0)),0),ref_Unit_Balance!$B$20:$B$23,0))*D50*ref_Unit_Balance!$C$25,0)</f>
        <v>250</v>
      </c>
      <c r="F50" s="5">
        <f>INDEX(ref_Unit_Balance!$V$31:$V$106,MATCH(UnitGradeInfo!B50,ref_Unit_Balance!$B$31:$B$1048576,0))
+
INDEX(ref_Unit_Balance!$AB$31:$AB$106,MATCH(UnitGradeInfo!B50,ref_Unit_Balance!$B$31:$B$1048576,0))*(D50-1)</f>
        <v>1700</v>
      </c>
      <c r="G50" s="5">
        <f>INDEX(ref_Unit_Balance!$R$31:$R$106,MATCH(UnitGradeInfo!B50,ref_Unit_Balance!$B$31:$B$1048576,0))
+
INDEX(ref_Unit_Balance!$AA$31:$AA$106,MATCH(UnitGradeInfo!B50,ref_Unit_Balance!$B$31:$B$1048576,0))*(D50-1)</f>
        <v>157</v>
      </c>
      <c r="H50" s="39">
        <f>IF(INDEX(Unitinfo!D:D,MATCH(UnitGradeInfo!B50,Unitinfo!A:A,0))=1,50,5)</f>
        <v>5</v>
      </c>
      <c r="I50" s="5">
        <f>IF(INDEX(ref_Unit_Balance!$T$31:$T$106,MATCH(UnitGradeInfo!B50,ref_Unit_Balance!$B$31:$B$1048576,0))=0,1,INDEX(ref_Unit_Balance!$T$31:$T$106,MATCH(UnitGradeInfo!B50,ref_Unit_Balance!$B$31:$B$1048576,0)))</f>
        <v>5</v>
      </c>
      <c r="J50" s="5">
        <f>INDEX(ref_Unit_Balance!$S$31:$S$106,MATCH(UnitGradeInfo!B50,ref_Unit_Balance!$B$31:$B$1048576,0))</f>
        <v>1000</v>
      </c>
      <c r="K50" s="5">
        <v>0</v>
      </c>
      <c r="L50" s="5">
        <f>INDEX(ref_Unit_Balance!$I$31:$I$106,MATCH(UnitGradeInfo!B50,ref_Unit_Balance!$B$31:$B$1048576,0))</f>
        <v>5</v>
      </c>
      <c r="M50" s="5">
        <f t="shared" si="1"/>
        <v>4</v>
      </c>
      <c r="N50" s="5">
        <f t="shared" si="2"/>
        <v>40</v>
      </c>
      <c r="O50" s="5">
        <f>(INDEX(Unitinfo!I:I,MATCH(B50,Unitinfo!A:A,0))+1)*2</f>
        <v>2</v>
      </c>
      <c r="P50" s="5">
        <v>0</v>
      </c>
      <c r="Q50" s="5">
        <v>0</v>
      </c>
      <c r="R50" s="19" t="s">
        <v>121</v>
      </c>
      <c r="S50" s="19" t="s">
        <v>121</v>
      </c>
      <c r="T50" s="5">
        <f t="shared" si="5"/>
        <v>2001</v>
      </c>
      <c r="U50" s="5">
        <f t="shared" si="3"/>
        <v>1</v>
      </c>
      <c r="V50" s="5">
        <v>0</v>
      </c>
      <c r="W50" s="5">
        <f>10</f>
        <v>10</v>
      </c>
    </row>
    <row r="51" spans="1:23">
      <c r="A51" s="5">
        <f t="shared" si="4"/>
        <v>48</v>
      </c>
      <c r="B51" s="93">
        <f t="shared" si="6"/>
        <v>2001</v>
      </c>
      <c r="C51" s="20" t="str">
        <f>INDEX(Unitinfo!C:C,MATCH(UnitGradeInfo!B51,Unitinfo!A:A,0))</f>
        <v>(근거리)Slime</v>
      </c>
      <c r="D51" s="5">
        <f>COUNTIF($B$4:B51,B51)</f>
        <v>3</v>
      </c>
      <c r="E51" s="5">
        <f>ROUNDDOWN(INDEX(ref_Unit_Balance!$G$31:$G$106,MATCH(UnitGradeInfo!B51,ref_Unit_Balance!$B$31:$B$1048576,0))
+INDEX(ref_Unit_Balance!$G$20:$G$23,MATCH(IFERROR(INDEX(ref_Unit_Balance!$D$31:$D$1048576,MATCH(B51,ref_Unit_Balance!$B$31:$B$1048576,0)),0),ref_Unit_Balance!$B$20:$B$23,0))*D51*ref_Unit_Balance!$C$25,0)</f>
        <v>300</v>
      </c>
      <c r="F51" s="5">
        <f>INDEX(ref_Unit_Balance!$V$31:$V$106,MATCH(UnitGradeInfo!B51,ref_Unit_Balance!$B$31:$B$1048576,0))
+
INDEX(ref_Unit_Balance!$AB$31:$AB$106,MATCH(UnitGradeInfo!B51,ref_Unit_Balance!$B$31:$B$1048576,0))*(D51-1)</f>
        <v>1900</v>
      </c>
      <c r="G51" s="5">
        <f>INDEX(ref_Unit_Balance!$R$31:$R$106,MATCH(UnitGradeInfo!B51,ref_Unit_Balance!$B$31:$B$1048576,0))
+
INDEX(ref_Unit_Balance!$AA$31:$AA$106,MATCH(UnitGradeInfo!B51,ref_Unit_Balance!$B$31:$B$1048576,0))*(D51-1)</f>
        <v>164</v>
      </c>
      <c r="H51" s="39">
        <f>IF(INDEX(Unitinfo!D:D,MATCH(UnitGradeInfo!B51,Unitinfo!A:A,0))=1,50,5)</f>
        <v>5</v>
      </c>
      <c r="I51" s="5">
        <f>IF(INDEX(ref_Unit_Balance!$T$31:$T$106,MATCH(UnitGradeInfo!B51,ref_Unit_Balance!$B$31:$B$1048576,0))=0,1,INDEX(ref_Unit_Balance!$T$31:$T$106,MATCH(UnitGradeInfo!B51,ref_Unit_Balance!$B$31:$B$1048576,0)))</f>
        <v>5</v>
      </c>
      <c r="J51" s="5">
        <f>INDEX(ref_Unit_Balance!$S$31:$S$106,MATCH(UnitGradeInfo!B51,ref_Unit_Balance!$B$31:$B$1048576,0))</f>
        <v>1000</v>
      </c>
      <c r="K51" s="5">
        <v>0</v>
      </c>
      <c r="L51" s="5">
        <f>INDEX(ref_Unit_Balance!$I$31:$I$106,MATCH(UnitGradeInfo!B51,ref_Unit_Balance!$B$31:$B$1048576,0))</f>
        <v>5</v>
      </c>
      <c r="M51" s="5">
        <f t="shared" si="1"/>
        <v>6</v>
      </c>
      <c r="N51" s="5">
        <f t="shared" si="2"/>
        <v>60</v>
      </c>
      <c r="O51" s="5">
        <f>(INDEX(Unitinfo!I:I,MATCH(B51,Unitinfo!A:A,0))+1)*2</f>
        <v>2</v>
      </c>
      <c r="P51" s="5">
        <v>0</v>
      </c>
      <c r="Q51" s="5">
        <v>0</v>
      </c>
      <c r="R51" s="19" t="s">
        <v>121</v>
      </c>
      <c r="S51" s="19" t="s">
        <v>121</v>
      </c>
      <c r="T51" s="5">
        <f t="shared" si="5"/>
        <v>2001</v>
      </c>
      <c r="U51" s="5">
        <f t="shared" si="3"/>
        <v>1</v>
      </c>
      <c r="V51" s="5">
        <v>0</v>
      </c>
      <c r="W51" s="5">
        <f>10</f>
        <v>10</v>
      </c>
    </row>
    <row r="52" spans="1:23">
      <c r="A52" s="5">
        <f t="shared" si="4"/>
        <v>49</v>
      </c>
      <c r="B52" s="93">
        <f t="shared" si="6"/>
        <v>2001</v>
      </c>
      <c r="C52" s="20" t="str">
        <f>INDEX(Unitinfo!C:C,MATCH(UnitGradeInfo!B52,Unitinfo!A:A,0))</f>
        <v>(근거리)Slime</v>
      </c>
      <c r="D52" s="5">
        <f>COUNTIF($B$4:B52,B52)</f>
        <v>4</v>
      </c>
      <c r="E52" s="5">
        <f>ROUNDDOWN(INDEX(ref_Unit_Balance!$G$31:$G$106,MATCH(UnitGradeInfo!B52,ref_Unit_Balance!$B$31:$B$1048576,0))
+INDEX(ref_Unit_Balance!$G$20:$G$23,MATCH(IFERROR(INDEX(ref_Unit_Balance!$D$31:$D$1048576,MATCH(B52,ref_Unit_Balance!$B$31:$B$1048576,0)),0),ref_Unit_Balance!$B$20:$B$23,0))*D52*ref_Unit_Balance!$C$25,0)</f>
        <v>350</v>
      </c>
      <c r="F52" s="5">
        <f>INDEX(ref_Unit_Balance!$V$31:$V$106,MATCH(UnitGradeInfo!B52,ref_Unit_Balance!$B$31:$B$1048576,0))
+
INDEX(ref_Unit_Balance!$AB$31:$AB$106,MATCH(UnitGradeInfo!B52,ref_Unit_Balance!$B$31:$B$1048576,0))*(D52-1)</f>
        <v>2100</v>
      </c>
      <c r="G52" s="5">
        <f>INDEX(ref_Unit_Balance!$R$31:$R$106,MATCH(UnitGradeInfo!B52,ref_Unit_Balance!$B$31:$B$1048576,0))
+
INDEX(ref_Unit_Balance!$AA$31:$AA$106,MATCH(UnitGradeInfo!B52,ref_Unit_Balance!$B$31:$B$1048576,0))*(D52-1)</f>
        <v>171</v>
      </c>
      <c r="H52" s="39">
        <f>IF(INDEX(Unitinfo!D:D,MATCH(UnitGradeInfo!B52,Unitinfo!A:A,0))=1,50,5)</f>
        <v>5</v>
      </c>
      <c r="I52" s="5">
        <f>IF(INDEX(ref_Unit_Balance!$T$31:$T$106,MATCH(UnitGradeInfo!B52,ref_Unit_Balance!$B$31:$B$1048576,0))=0,1,INDEX(ref_Unit_Balance!$T$31:$T$106,MATCH(UnitGradeInfo!B52,ref_Unit_Balance!$B$31:$B$1048576,0)))</f>
        <v>5</v>
      </c>
      <c r="J52" s="5">
        <f>INDEX(ref_Unit_Balance!$S$31:$S$106,MATCH(UnitGradeInfo!B52,ref_Unit_Balance!$B$31:$B$1048576,0))</f>
        <v>1000</v>
      </c>
      <c r="K52" s="5">
        <v>0</v>
      </c>
      <c r="L52" s="5">
        <f>INDEX(ref_Unit_Balance!$I$31:$I$106,MATCH(UnitGradeInfo!B52,ref_Unit_Balance!$B$31:$B$1048576,0))</f>
        <v>5</v>
      </c>
      <c r="M52" s="5">
        <f t="shared" si="1"/>
        <v>8</v>
      </c>
      <c r="N52" s="5">
        <f t="shared" si="2"/>
        <v>80</v>
      </c>
      <c r="O52" s="5">
        <f>(INDEX(Unitinfo!I:I,MATCH(B52,Unitinfo!A:A,0))+1)*2</f>
        <v>2</v>
      </c>
      <c r="P52" s="5">
        <v>0</v>
      </c>
      <c r="Q52" s="5">
        <v>0</v>
      </c>
      <c r="R52" s="19" t="s">
        <v>121</v>
      </c>
      <c r="S52" s="19" t="s">
        <v>121</v>
      </c>
      <c r="T52" s="5">
        <f t="shared" si="5"/>
        <v>2001</v>
      </c>
      <c r="U52" s="5">
        <f t="shared" si="3"/>
        <v>1</v>
      </c>
      <c r="V52" s="5">
        <v>0</v>
      </c>
      <c r="W52" s="5">
        <f>10</f>
        <v>10</v>
      </c>
    </row>
    <row r="53" spans="1:23">
      <c r="A53" s="5">
        <f t="shared" si="4"/>
        <v>50</v>
      </c>
      <c r="B53" s="93">
        <f t="shared" si="6"/>
        <v>2001</v>
      </c>
      <c r="C53" s="20" t="str">
        <f>INDEX(Unitinfo!C:C,MATCH(UnitGradeInfo!B53,Unitinfo!A:A,0))</f>
        <v>(근거리)Slime</v>
      </c>
      <c r="D53" s="5">
        <f>COUNTIF($B$4:B53,B53)</f>
        <v>5</v>
      </c>
      <c r="E53" s="5">
        <f>ROUNDDOWN(INDEX(ref_Unit_Balance!$G$31:$G$106,MATCH(UnitGradeInfo!B53,ref_Unit_Balance!$B$31:$B$1048576,0))
+INDEX(ref_Unit_Balance!$G$20:$G$23,MATCH(IFERROR(INDEX(ref_Unit_Balance!$D$31:$D$1048576,MATCH(B53,ref_Unit_Balance!$B$31:$B$1048576,0)),0),ref_Unit_Balance!$B$20:$B$23,0))*D53*ref_Unit_Balance!$C$25,0)</f>
        <v>400</v>
      </c>
      <c r="F53" s="5">
        <f>INDEX(ref_Unit_Balance!$V$31:$V$106,MATCH(UnitGradeInfo!B53,ref_Unit_Balance!$B$31:$B$1048576,0))
+
INDEX(ref_Unit_Balance!$AB$31:$AB$106,MATCH(UnitGradeInfo!B53,ref_Unit_Balance!$B$31:$B$1048576,0))*(D53-1)</f>
        <v>2300</v>
      </c>
      <c r="G53" s="5">
        <f>INDEX(ref_Unit_Balance!$R$31:$R$106,MATCH(UnitGradeInfo!B53,ref_Unit_Balance!$B$31:$B$1048576,0))
+
INDEX(ref_Unit_Balance!$AA$31:$AA$106,MATCH(UnitGradeInfo!B53,ref_Unit_Balance!$B$31:$B$1048576,0))*(D53-1)</f>
        <v>178</v>
      </c>
      <c r="H53" s="39">
        <f>IF(INDEX(Unitinfo!D:D,MATCH(UnitGradeInfo!B53,Unitinfo!A:A,0))=1,50,5)</f>
        <v>5</v>
      </c>
      <c r="I53" s="5">
        <f>IF(INDEX(ref_Unit_Balance!$T$31:$T$106,MATCH(UnitGradeInfo!B53,ref_Unit_Balance!$B$31:$B$1048576,0))=0,1,INDEX(ref_Unit_Balance!$T$31:$T$106,MATCH(UnitGradeInfo!B53,ref_Unit_Balance!$B$31:$B$1048576,0)))</f>
        <v>5</v>
      </c>
      <c r="J53" s="5">
        <f>INDEX(ref_Unit_Balance!$S$31:$S$106,MATCH(UnitGradeInfo!B53,ref_Unit_Balance!$B$31:$B$1048576,0))</f>
        <v>1000</v>
      </c>
      <c r="K53" s="5">
        <v>0</v>
      </c>
      <c r="L53" s="5">
        <f>INDEX(ref_Unit_Balance!$I$31:$I$106,MATCH(UnitGradeInfo!B53,ref_Unit_Balance!$B$31:$B$1048576,0))</f>
        <v>5</v>
      </c>
      <c r="M53" s="5">
        <f t="shared" si="1"/>
        <v>10</v>
      </c>
      <c r="N53" s="5">
        <f t="shared" si="2"/>
        <v>100</v>
      </c>
      <c r="O53" s="5">
        <f>(INDEX(Unitinfo!I:I,MATCH(B53,Unitinfo!A:A,0))+1)*2</f>
        <v>2</v>
      </c>
      <c r="P53" s="5">
        <v>0</v>
      </c>
      <c r="Q53" s="5">
        <v>0</v>
      </c>
      <c r="R53" s="19" t="s">
        <v>121</v>
      </c>
      <c r="S53" s="19" t="s">
        <v>121</v>
      </c>
      <c r="T53" s="5">
        <f t="shared" si="5"/>
        <v>2001</v>
      </c>
      <c r="U53" s="5">
        <f t="shared" si="3"/>
        <v>1</v>
      </c>
      <c r="V53" s="5">
        <v>0</v>
      </c>
      <c r="W53" s="5">
        <f>10</f>
        <v>10</v>
      </c>
    </row>
    <row r="54" spans="1:23">
      <c r="A54" s="5">
        <f t="shared" si="4"/>
        <v>51</v>
      </c>
      <c r="B54" s="93">
        <f t="shared" si="6"/>
        <v>2001</v>
      </c>
      <c r="C54" s="20" t="str">
        <f>INDEX(Unitinfo!C:C,MATCH(UnitGradeInfo!B54,Unitinfo!A:A,0))</f>
        <v>(근거리)Slime</v>
      </c>
      <c r="D54" s="5">
        <f>COUNTIF($B$4:B54,B54)</f>
        <v>6</v>
      </c>
      <c r="E54" s="5">
        <f>ROUNDDOWN(INDEX(ref_Unit_Balance!$G$31:$G$106,MATCH(UnitGradeInfo!B54,ref_Unit_Balance!$B$31:$B$1048576,0))
+INDEX(ref_Unit_Balance!$G$20:$G$23,MATCH(IFERROR(INDEX(ref_Unit_Balance!$D$31:$D$1048576,MATCH(B54,ref_Unit_Balance!$B$31:$B$1048576,0)),0),ref_Unit_Balance!$B$20:$B$23,0))*D54*ref_Unit_Balance!$C$25,0)</f>
        <v>450</v>
      </c>
      <c r="F54" s="5">
        <f>INDEX(ref_Unit_Balance!$V$31:$V$106,MATCH(UnitGradeInfo!B54,ref_Unit_Balance!$B$31:$B$1048576,0))
+
INDEX(ref_Unit_Balance!$AB$31:$AB$106,MATCH(UnitGradeInfo!B54,ref_Unit_Balance!$B$31:$B$1048576,0))*(D54-1)</f>
        <v>2500</v>
      </c>
      <c r="G54" s="5">
        <f>INDEX(ref_Unit_Balance!$R$31:$R$106,MATCH(UnitGradeInfo!B54,ref_Unit_Balance!$B$31:$B$1048576,0))
+
INDEX(ref_Unit_Balance!$AA$31:$AA$106,MATCH(UnitGradeInfo!B54,ref_Unit_Balance!$B$31:$B$1048576,0))*(D54-1)</f>
        <v>185</v>
      </c>
      <c r="H54" s="39">
        <f>IF(INDEX(Unitinfo!D:D,MATCH(UnitGradeInfo!B54,Unitinfo!A:A,0))=1,50,5)</f>
        <v>5</v>
      </c>
      <c r="I54" s="5">
        <f>IF(INDEX(ref_Unit_Balance!$T$31:$T$106,MATCH(UnitGradeInfo!B54,ref_Unit_Balance!$B$31:$B$1048576,0))=0,1,INDEX(ref_Unit_Balance!$T$31:$T$106,MATCH(UnitGradeInfo!B54,ref_Unit_Balance!$B$31:$B$1048576,0)))</f>
        <v>5</v>
      </c>
      <c r="J54" s="5">
        <f>INDEX(ref_Unit_Balance!$S$31:$S$106,MATCH(UnitGradeInfo!B54,ref_Unit_Balance!$B$31:$B$1048576,0))</f>
        <v>1000</v>
      </c>
      <c r="K54" s="5">
        <v>0</v>
      </c>
      <c r="L54" s="5">
        <f>INDEX(ref_Unit_Balance!$I$31:$I$106,MATCH(UnitGradeInfo!B54,ref_Unit_Balance!$B$31:$B$1048576,0))</f>
        <v>5</v>
      </c>
      <c r="M54" s="5">
        <f t="shared" si="1"/>
        <v>12</v>
      </c>
      <c r="N54" s="5">
        <f t="shared" si="2"/>
        <v>120</v>
      </c>
      <c r="O54" s="5">
        <f>(INDEX(Unitinfo!I:I,MATCH(B54,Unitinfo!A:A,0))+1)*2</f>
        <v>2</v>
      </c>
      <c r="P54" s="5">
        <v>0</v>
      </c>
      <c r="Q54" s="5">
        <v>0</v>
      </c>
      <c r="R54" s="19" t="s">
        <v>121</v>
      </c>
      <c r="S54" s="19" t="s">
        <v>121</v>
      </c>
      <c r="T54" s="5">
        <f t="shared" si="5"/>
        <v>2001</v>
      </c>
      <c r="U54" s="5">
        <f t="shared" si="3"/>
        <v>1</v>
      </c>
      <c r="V54" s="5">
        <v>0</v>
      </c>
      <c r="W54" s="5">
        <f>10</f>
        <v>10</v>
      </c>
    </row>
    <row r="55" spans="1:23">
      <c r="A55" s="5">
        <f t="shared" si="4"/>
        <v>52</v>
      </c>
      <c r="B55" s="93">
        <f t="shared" si="6"/>
        <v>2001</v>
      </c>
      <c r="C55" s="20" t="str">
        <f>INDEX(Unitinfo!C:C,MATCH(UnitGradeInfo!B55,Unitinfo!A:A,0))</f>
        <v>(근거리)Slime</v>
      </c>
      <c r="D55" s="5">
        <f>COUNTIF($B$4:B55,B55)</f>
        <v>7</v>
      </c>
      <c r="E55" s="5">
        <f>ROUNDDOWN(INDEX(ref_Unit_Balance!$G$31:$G$106,MATCH(UnitGradeInfo!B55,ref_Unit_Balance!$B$31:$B$1048576,0))
+INDEX(ref_Unit_Balance!$G$20:$G$23,MATCH(IFERROR(INDEX(ref_Unit_Balance!$D$31:$D$1048576,MATCH(B55,ref_Unit_Balance!$B$31:$B$1048576,0)),0),ref_Unit_Balance!$B$20:$B$23,0))*D55*ref_Unit_Balance!$C$25,0)</f>
        <v>500</v>
      </c>
      <c r="F55" s="5">
        <f>INDEX(ref_Unit_Balance!$V$31:$V$106,MATCH(UnitGradeInfo!B55,ref_Unit_Balance!$B$31:$B$1048576,0))
+
INDEX(ref_Unit_Balance!$AB$31:$AB$106,MATCH(UnitGradeInfo!B55,ref_Unit_Balance!$B$31:$B$1048576,0))*(D55-1)</f>
        <v>2700</v>
      </c>
      <c r="G55" s="5">
        <f>INDEX(ref_Unit_Balance!$R$31:$R$106,MATCH(UnitGradeInfo!B55,ref_Unit_Balance!$B$31:$B$1048576,0))
+
INDEX(ref_Unit_Balance!$AA$31:$AA$106,MATCH(UnitGradeInfo!B55,ref_Unit_Balance!$B$31:$B$1048576,0))*(D55-1)</f>
        <v>192</v>
      </c>
      <c r="H55" s="39">
        <f>IF(INDEX(Unitinfo!D:D,MATCH(UnitGradeInfo!B55,Unitinfo!A:A,0))=1,50,5)</f>
        <v>5</v>
      </c>
      <c r="I55" s="5">
        <f>IF(INDEX(ref_Unit_Balance!$T$31:$T$106,MATCH(UnitGradeInfo!B55,ref_Unit_Balance!$B$31:$B$1048576,0))=0,1,INDEX(ref_Unit_Balance!$T$31:$T$106,MATCH(UnitGradeInfo!B55,ref_Unit_Balance!$B$31:$B$1048576,0)))</f>
        <v>5</v>
      </c>
      <c r="J55" s="5">
        <f>INDEX(ref_Unit_Balance!$S$31:$S$106,MATCH(UnitGradeInfo!B55,ref_Unit_Balance!$B$31:$B$1048576,0))</f>
        <v>1000</v>
      </c>
      <c r="K55" s="5">
        <v>0</v>
      </c>
      <c r="L55" s="5">
        <f>INDEX(ref_Unit_Balance!$I$31:$I$106,MATCH(UnitGradeInfo!B55,ref_Unit_Balance!$B$31:$B$1048576,0))</f>
        <v>5</v>
      </c>
      <c r="M55" s="5">
        <f t="shared" si="1"/>
        <v>14</v>
      </c>
      <c r="N55" s="5">
        <f t="shared" si="2"/>
        <v>140</v>
      </c>
      <c r="O55" s="5">
        <f>(INDEX(Unitinfo!I:I,MATCH(B55,Unitinfo!A:A,0))+1)*2</f>
        <v>2</v>
      </c>
      <c r="P55" s="5">
        <v>0</v>
      </c>
      <c r="Q55" s="5">
        <v>0</v>
      </c>
      <c r="R55" s="19" t="s">
        <v>121</v>
      </c>
      <c r="S55" s="19" t="s">
        <v>121</v>
      </c>
      <c r="T55" s="5">
        <f t="shared" si="5"/>
        <v>2001</v>
      </c>
      <c r="U55" s="5">
        <f t="shared" si="3"/>
        <v>1</v>
      </c>
      <c r="V55" s="5">
        <v>0</v>
      </c>
      <c r="W55" s="5">
        <f>10</f>
        <v>10</v>
      </c>
    </row>
    <row r="56" spans="1:23">
      <c r="A56" s="5">
        <f t="shared" si="4"/>
        <v>53</v>
      </c>
      <c r="B56" s="93">
        <f t="shared" si="6"/>
        <v>2001</v>
      </c>
      <c r="C56" s="20" t="str">
        <f>INDEX(Unitinfo!C:C,MATCH(UnitGradeInfo!B56,Unitinfo!A:A,0))</f>
        <v>(근거리)Slime</v>
      </c>
      <c r="D56" s="5">
        <f>COUNTIF($B$4:B56,B56)</f>
        <v>8</v>
      </c>
      <c r="E56" s="5">
        <f>ROUNDDOWN(INDEX(ref_Unit_Balance!$G$31:$G$106,MATCH(UnitGradeInfo!B56,ref_Unit_Balance!$B$31:$B$1048576,0))
+INDEX(ref_Unit_Balance!$G$20:$G$23,MATCH(IFERROR(INDEX(ref_Unit_Balance!$D$31:$D$1048576,MATCH(B56,ref_Unit_Balance!$B$31:$B$1048576,0)),0),ref_Unit_Balance!$B$20:$B$23,0))*D56*ref_Unit_Balance!$C$25,0)</f>
        <v>550</v>
      </c>
      <c r="F56" s="5">
        <f>INDEX(ref_Unit_Balance!$V$31:$V$106,MATCH(UnitGradeInfo!B56,ref_Unit_Balance!$B$31:$B$1048576,0))
+
INDEX(ref_Unit_Balance!$AB$31:$AB$106,MATCH(UnitGradeInfo!B56,ref_Unit_Balance!$B$31:$B$1048576,0))*(D56-1)</f>
        <v>2900</v>
      </c>
      <c r="G56" s="5">
        <f>INDEX(ref_Unit_Balance!$R$31:$R$106,MATCH(UnitGradeInfo!B56,ref_Unit_Balance!$B$31:$B$1048576,0))
+
INDEX(ref_Unit_Balance!$AA$31:$AA$106,MATCH(UnitGradeInfo!B56,ref_Unit_Balance!$B$31:$B$1048576,0))*(D56-1)</f>
        <v>199</v>
      </c>
      <c r="H56" s="39">
        <f>IF(INDEX(Unitinfo!D:D,MATCH(UnitGradeInfo!B56,Unitinfo!A:A,0))=1,50,5)</f>
        <v>5</v>
      </c>
      <c r="I56" s="5">
        <f>IF(INDEX(ref_Unit_Balance!$T$31:$T$106,MATCH(UnitGradeInfo!B56,ref_Unit_Balance!$B$31:$B$1048576,0))=0,1,INDEX(ref_Unit_Balance!$T$31:$T$106,MATCH(UnitGradeInfo!B56,ref_Unit_Balance!$B$31:$B$1048576,0)))</f>
        <v>5</v>
      </c>
      <c r="J56" s="5">
        <f>INDEX(ref_Unit_Balance!$S$31:$S$106,MATCH(UnitGradeInfo!B56,ref_Unit_Balance!$B$31:$B$1048576,0))</f>
        <v>1000</v>
      </c>
      <c r="K56" s="5">
        <v>0</v>
      </c>
      <c r="L56" s="5">
        <f>INDEX(ref_Unit_Balance!$I$31:$I$106,MATCH(UnitGradeInfo!B56,ref_Unit_Balance!$B$31:$B$1048576,0))</f>
        <v>5</v>
      </c>
      <c r="M56" s="5">
        <f t="shared" si="1"/>
        <v>16</v>
      </c>
      <c r="N56" s="5">
        <f t="shared" si="2"/>
        <v>160</v>
      </c>
      <c r="O56" s="5">
        <f>(INDEX(Unitinfo!I:I,MATCH(B56,Unitinfo!A:A,0))+1)*2</f>
        <v>2</v>
      </c>
      <c r="P56" s="5">
        <v>0</v>
      </c>
      <c r="Q56" s="5">
        <v>0</v>
      </c>
      <c r="R56" s="19" t="s">
        <v>121</v>
      </c>
      <c r="S56" s="19" t="s">
        <v>121</v>
      </c>
      <c r="T56" s="5">
        <f t="shared" si="5"/>
        <v>2001</v>
      </c>
      <c r="U56" s="5">
        <f t="shared" si="3"/>
        <v>1</v>
      </c>
      <c r="V56" s="5">
        <v>0</v>
      </c>
      <c r="W56" s="5">
        <f>10</f>
        <v>10</v>
      </c>
    </row>
    <row r="57" spans="1:23">
      <c r="A57" s="5">
        <f t="shared" si="4"/>
        <v>54</v>
      </c>
      <c r="B57" s="93">
        <f t="shared" si="6"/>
        <v>2001</v>
      </c>
      <c r="C57" s="20" t="str">
        <f>INDEX(Unitinfo!C:C,MATCH(UnitGradeInfo!B57,Unitinfo!A:A,0))</f>
        <v>(근거리)Slime</v>
      </c>
      <c r="D57" s="5">
        <f>COUNTIF($B$4:B57,B57)</f>
        <v>9</v>
      </c>
      <c r="E57" s="5">
        <f>ROUNDDOWN(INDEX(ref_Unit_Balance!$G$31:$G$106,MATCH(UnitGradeInfo!B57,ref_Unit_Balance!$B$31:$B$1048576,0))
+INDEX(ref_Unit_Balance!$G$20:$G$23,MATCH(IFERROR(INDEX(ref_Unit_Balance!$D$31:$D$1048576,MATCH(B57,ref_Unit_Balance!$B$31:$B$1048576,0)),0),ref_Unit_Balance!$B$20:$B$23,0))*D57*ref_Unit_Balance!$C$25,0)</f>
        <v>600</v>
      </c>
      <c r="F57" s="5">
        <f>INDEX(ref_Unit_Balance!$V$31:$V$106,MATCH(UnitGradeInfo!B57,ref_Unit_Balance!$B$31:$B$1048576,0))
+
INDEX(ref_Unit_Balance!$AB$31:$AB$106,MATCH(UnitGradeInfo!B57,ref_Unit_Balance!$B$31:$B$1048576,0))*(D57-1)</f>
        <v>3100</v>
      </c>
      <c r="G57" s="5">
        <f>INDEX(ref_Unit_Balance!$R$31:$R$106,MATCH(UnitGradeInfo!B57,ref_Unit_Balance!$B$31:$B$1048576,0))
+
INDEX(ref_Unit_Balance!$AA$31:$AA$106,MATCH(UnitGradeInfo!B57,ref_Unit_Balance!$B$31:$B$1048576,0))*(D57-1)</f>
        <v>206</v>
      </c>
      <c r="H57" s="39">
        <f>IF(INDEX(Unitinfo!D:D,MATCH(UnitGradeInfo!B57,Unitinfo!A:A,0))=1,50,5)</f>
        <v>5</v>
      </c>
      <c r="I57" s="5">
        <f>IF(INDEX(ref_Unit_Balance!$T$31:$T$106,MATCH(UnitGradeInfo!B57,ref_Unit_Balance!$B$31:$B$1048576,0))=0,1,INDEX(ref_Unit_Balance!$T$31:$T$106,MATCH(UnitGradeInfo!B57,ref_Unit_Balance!$B$31:$B$1048576,0)))</f>
        <v>5</v>
      </c>
      <c r="J57" s="5">
        <f>INDEX(ref_Unit_Balance!$S$31:$S$106,MATCH(UnitGradeInfo!B57,ref_Unit_Balance!$B$31:$B$1048576,0))</f>
        <v>1000</v>
      </c>
      <c r="K57" s="5">
        <v>0</v>
      </c>
      <c r="L57" s="5">
        <f>INDEX(ref_Unit_Balance!$I$31:$I$106,MATCH(UnitGradeInfo!B57,ref_Unit_Balance!$B$31:$B$1048576,0))</f>
        <v>5</v>
      </c>
      <c r="M57" s="5">
        <f t="shared" si="1"/>
        <v>18</v>
      </c>
      <c r="N57" s="5">
        <f t="shared" si="2"/>
        <v>180</v>
      </c>
      <c r="O57" s="5">
        <f>(INDEX(Unitinfo!I:I,MATCH(B57,Unitinfo!A:A,0))+1)*2</f>
        <v>2</v>
      </c>
      <c r="P57" s="5">
        <v>0</v>
      </c>
      <c r="Q57" s="5">
        <v>0</v>
      </c>
      <c r="R57" s="19" t="s">
        <v>121</v>
      </c>
      <c r="S57" s="19" t="s">
        <v>121</v>
      </c>
      <c r="T57" s="5">
        <f t="shared" si="5"/>
        <v>2001</v>
      </c>
      <c r="U57" s="5">
        <f t="shared" si="3"/>
        <v>1</v>
      </c>
      <c r="V57" s="5">
        <v>0</v>
      </c>
      <c r="W57" s="5">
        <f>10</f>
        <v>10</v>
      </c>
    </row>
    <row r="58" spans="1:23">
      <c r="A58" s="5">
        <f t="shared" si="4"/>
        <v>55</v>
      </c>
      <c r="B58" s="93">
        <f t="shared" si="6"/>
        <v>2001</v>
      </c>
      <c r="C58" s="20" t="str">
        <f>INDEX(Unitinfo!C:C,MATCH(UnitGradeInfo!B58,Unitinfo!A:A,0))</f>
        <v>(근거리)Slime</v>
      </c>
      <c r="D58" s="5">
        <f>COUNTIF($B$4:B58,B58)</f>
        <v>10</v>
      </c>
      <c r="E58" s="5">
        <f>ROUNDDOWN(INDEX(ref_Unit_Balance!$G$31:$G$106,MATCH(UnitGradeInfo!B58,ref_Unit_Balance!$B$31:$B$1048576,0))
+INDEX(ref_Unit_Balance!$G$20:$G$23,MATCH(IFERROR(INDEX(ref_Unit_Balance!$D$31:$D$1048576,MATCH(B58,ref_Unit_Balance!$B$31:$B$1048576,0)),0),ref_Unit_Balance!$B$20:$B$23,0))*D58*ref_Unit_Balance!$C$25,0)</f>
        <v>650</v>
      </c>
      <c r="F58" s="5">
        <f>INDEX(ref_Unit_Balance!$V$31:$V$106,MATCH(UnitGradeInfo!B58,ref_Unit_Balance!$B$31:$B$1048576,0))
+
INDEX(ref_Unit_Balance!$AB$31:$AB$106,MATCH(UnitGradeInfo!B58,ref_Unit_Balance!$B$31:$B$1048576,0))*(D58-1)</f>
        <v>3300</v>
      </c>
      <c r="G58" s="5">
        <f>INDEX(ref_Unit_Balance!$R$31:$R$106,MATCH(UnitGradeInfo!B58,ref_Unit_Balance!$B$31:$B$1048576,0))
+
INDEX(ref_Unit_Balance!$AA$31:$AA$106,MATCH(UnitGradeInfo!B58,ref_Unit_Balance!$B$31:$B$1048576,0))*(D58-1)</f>
        <v>213</v>
      </c>
      <c r="H58" s="39">
        <f>IF(INDEX(Unitinfo!D:D,MATCH(UnitGradeInfo!B58,Unitinfo!A:A,0))=1,50,5)</f>
        <v>5</v>
      </c>
      <c r="I58" s="5">
        <f>IF(INDEX(ref_Unit_Balance!$T$31:$T$106,MATCH(UnitGradeInfo!B58,ref_Unit_Balance!$B$31:$B$1048576,0))=0,1,INDEX(ref_Unit_Balance!$T$31:$T$106,MATCH(UnitGradeInfo!B58,ref_Unit_Balance!$B$31:$B$1048576,0)))</f>
        <v>5</v>
      </c>
      <c r="J58" s="5">
        <f>INDEX(ref_Unit_Balance!$S$31:$S$106,MATCH(UnitGradeInfo!B58,ref_Unit_Balance!$B$31:$B$1048576,0))</f>
        <v>1000</v>
      </c>
      <c r="K58" s="5">
        <v>0</v>
      </c>
      <c r="L58" s="5">
        <f>INDEX(ref_Unit_Balance!$I$31:$I$106,MATCH(UnitGradeInfo!B58,ref_Unit_Balance!$B$31:$B$1048576,0))</f>
        <v>5</v>
      </c>
      <c r="M58" s="5">
        <f t="shared" si="1"/>
        <v>20</v>
      </c>
      <c r="N58" s="5">
        <f t="shared" si="2"/>
        <v>200</v>
      </c>
      <c r="O58" s="5">
        <f>(INDEX(Unitinfo!I:I,MATCH(B58,Unitinfo!A:A,0))+1)*2</f>
        <v>2</v>
      </c>
      <c r="P58" s="5">
        <v>0</v>
      </c>
      <c r="Q58" s="5">
        <v>0</v>
      </c>
      <c r="R58" s="19" t="s">
        <v>121</v>
      </c>
      <c r="S58" s="19" t="s">
        <v>121</v>
      </c>
      <c r="T58" s="5">
        <f t="shared" ref="T58" si="7">B58</f>
        <v>2001</v>
      </c>
      <c r="U58" s="5">
        <f t="shared" si="3"/>
        <v>1</v>
      </c>
      <c r="V58" s="5">
        <v>0</v>
      </c>
      <c r="W58" s="5">
        <f>10</f>
        <v>10</v>
      </c>
    </row>
    <row r="59" spans="1:23">
      <c r="A59" s="5">
        <f t="shared" si="4"/>
        <v>56</v>
      </c>
      <c r="B59" s="93">
        <f t="shared" si="6"/>
        <v>2001</v>
      </c>
      <c r="C59" s="20" t="str">
        <f>INDEX(Unitinfo!C:C,MATCH(UnitGradeInfo!B59,Unitinfo!A:A,0))</f>
        <v>(근거리)Slime</v>
      </c>
      <c r="D59" s="5">
        <f>COUNTIF($B$4:B59,B59)</f>
        <v>11</v>
      </c>
      <c r="E59" s="5">
        <f>ROUNDDOWN(INDEX(ref_Unit_Balance!$G$31:$G$106,MATCH(UnitGradeInfo!B59,ref_Unit_Balance!$B$31:$B$1048576,0))
+INDEX(ref_Unit_Balance!$G$20:$G$23,MATCH(IFERROR(INDEX(ref_Unit_Balance!$D$31:$D$1048576,MATCH(B59,ref_Unit_Balance!$B$31:$B$1048576,0)),0),ref_Unit_Balance!$B$20:$B$23,0))*D59*ref_Unit_Balance!$C$25,0)</f>
        <v>700</v>
      </c>
      <c r="F59" s="5">
        <f>INDEX(ref_Unit_Balance!$V$31:$V$106,MATCH(UnitGradeInfo!B59,ref_Unit_Balance!$B$31:$B$1048576,0))
+
INDEX(ref_Unit_Balance!$AB$31:$AB$106,MATCH(UnitGradeInfo!B59,ref_Unit_Balance!$B$31:$B$1048576,0))*(D59-1)</f>
        <v>3500</v>
      </c>
      <c r="G59" s="5">
        <f>INDEX(ref_Unit_Balance!$R$31:$R$106,MATCH(UnitGradeInfo!B59,ref_Unit_Balance!$B$31:$B$1048576,0))
+
INDEX(ref_Unit_Balance!$AA$31:$AA$106,MATCH(UnitGradeInfo!B59,ref_Unit_Balance!$B$31:$B$1048576,0))*(D59-1)</f>
        <v>220</v>
      </c>
      <c r="H59" s="39">
        <f>IF(INDEX(Unitinfo!D:D,MATCH(UnitGradeInfo!B59,Unitinfo!A:A,0))=1,50,5)</f>
        <v>5</v>
      </c>
      <c r="I59" s="5">
        <f>IF(INDEX(ref_Unit_Balance!$T$31:$T$106,MATCH(UnitGradeInfo!B59,ref_Unit_Balance!$B$31:$B$1048576,0))=0,1,INDEX(ref_Unit_Balance!$T$31:$T$106,MATCH(UnitGradeInfo!B59,ref_Unit_Balance!$B$31:$B$1048576,0)))</f>
        <v>5</v>
      </c>
      <c r="J59" s="5">
        <f>INDEX(ref_Unit_Balance!$S$31:$S$106,MATCH(UnitGradeInfo!B59,ref_Unit_Balance!$B$31:$B$1048576,0))</f>
        <v>1000</v>
      </c>
      <c r="K59" s="5">
        <v>0</v>
      </c>
      <c r="L59" s="5">
        <f>INDEX(ref_Unit_Balance!$I$31:$I$106,MATCH(UnitGradeInfo!B59,ref_Unit_Balance!$B$31:$B$1048576,0))</f>
        <v>5</v>
      </c>
      <c r="M59" s="5">
        <f t="shared" si="1"/>
        <v>22</v>
      </c>
      <c r="N59" s="5">
        <f t="shared" si="2"/>
        <v>220</v>
      </c>
      <c r="O59" s="5">
        <f>(INDEX(Unitinfo!I:I,MATCH(B59,Unitinfo!A:A,0))+1)*2</f>
        <v>2</v>
      </c>
      <c r="P59" s="5">
        <v>0</v>
      </c>
      <c r="Q59" s="5">
        <v>0</v>
      </c>
      <c r="R59" s="19" t="s">
        <v>121</v>
      </c>
      <c r="S59" s="19" t="s">
        <v>121</v>
      </c>
      <c r="T59" s="5">
        <f>B59</f>
        <v>2001</v>
      </c>
      <c r="U59" s="5">
        <f t="shared" si="3"/>
        <v>1</v>
      </c>
      <c r="V59" s="5">
        <v>0</v>
      </c>
      <c r="W59" s="5">
        <v>10</v>
      </c>
    </row>
    <row r="60" spans="1:23">
      <c r="A60" s="5">
        <f t="shared" si="4"/>
        <v>57</v>
      </c>
      <c r="B60" s="93">
        <f t="shared" si="6"/>
        <v>2001</v>
      </c>
      <c r="C60" s="20" t="str">
        <f>INDEX(Unitinfo!C:C,MATCH(UnitGradeInfo!B60,Unitinfo!A:A,0))</f>
        <v>(근거리)Slime</v>
      </c>
      <c r="D60" s="5">
        <f>COUNTIF($B$4:B60,B60)</f>
        <v>12</v>
      </c>
      <c r="E60" s="5">
        <f>ROUNDDOWN(INDEX(ref_Unit_Balance!$G$31:$G$106,MATCH(UnitGradeInfo!B60,ref_Unit_Balance!$B$31:$B$1048576,0))
+INDEX(ref_Unit_Balance!$G$20:$G$23,MATCH(IFERROR(INDEX(ref_Unit_Balance!$D$31:$D$1048576,MATCH(B60,ref_Unit_Balance!$B$31:$B$1048576,0)),0),ref_Unit_Balance!$B$20:$B$23,0))*D60*ref_Unit_Balance!$C$25,0)</f>
        <v>750</v>
      </c>
      <c r="F60" s="5">
        <f>INDEX(ref_Unit_Balance!$V$31:$V$106,MATCH(UnitGradeInfo!B60,ref_Unit_Balance!$B$31:$B$1048576,0))
+
INDEX(ref_Unit_Balance!$AB$31:$AB$106,MATCH(UnitGradeInfo!B60,ref_Unit_Balance!$B$31:$B$1048576,0))*(D60-1)</f>
        <v>3700</v>
      </c>
      <c r="G60" s="5">
        <f>INDEX(ref_Unit_Balance!$R$31:$R$106,MATCH(UnitGradeInfo!B60,ref_Unit_Balance!$B$31:$B$1048576,0))
+
INDEX(ref_Unit_Balance!$AA$31:$AA$106,MATCH(UnitGradeInfo!B60,ref_Unit_Balance!$B$31:$B$1048576,0))*(D60-1)</f>
        <v>227</v>
      </c>
      <c r="H60" s="39">
        <f>IF(INDEX(Unitinfo!D:D,MATCH(UnitGradeInfo!B60,Unitinfo!A:A,0))=1,50,5)</f>
        <v>5</v>
      </c>
      <c r="I60" s="5">
        <f>IF(INDEX(ref_Unit_Balance!$T$31:$T$106,MATCH(UnitGradeInfo!B60,ref_Unit_Balance!$B$31:$B$1048576,0))=0,1,INDEX(ref_Unit_Balance!$T$31:$T$106,MATCH(UnitGradeInfo!B60,ref_Unit_Balance!$B$31:$B$1048576,0)))</f>
        <v>5</v>
      </c>
      <c r="J60" s="5">
        <f>INDEX(ref_Unit_Balance!$S$31:$S$106,MATCH(UnitGradeInfo!B60,ref_Unit_Balance!$B$31:$B$1048576,0))</f>
        <v>1000</v>
      </c>
      <c r="K60" s="5">
        <v>0</v>
      </c>
      <c r="L60" s="5">
        <f>INDEX(ref_Unit_Balance!$I$31:$I$106,MATCH(UnitGradeInfo!B60,ref_Unit_Balance!$B$31:$B$1048576,0))</f>
        <v>5</v>
      </c>
      <c r="M60" s="5">
        <f t="shared" si="1"/>
        <v>24</v>
      </c>
      <c r="N60" s="5">
        <f t="shared" si="2"/>
        <v>240</v>
      </c>
      <c r="O60" s="5">
        <f>(INDEX(Unitinfo!I:I,MATCH(B60,Unitinfo!A:A,0))+1)*2</f>
        <v>2</v>
      </c>
      <c r="P60" s="5">
        <v>0</v>
      </c>
      <c r="Q60" s="5">
        <v>0</v>
      </c>
      <c r="R60" s="19" t="s">
        <v>121</v>
      </c>
      <c r="S60" s="19" t="s">
        <v>121</v>
      </c>
      <c r="T60" s="5">
        <f t="shared" ref="T60:T67" si="8">B60</f>
        <v>2001</v>
      </c>
      <c r="U60" s="5">
        <f t="shared" ref="U60:U67" si="9">IF(B60&gt;10000,0,1)</f>
        <v>1</v>
      </c>
      <c r="V60" s="5">
        <v>0</v>
      </c>
      <c r="W60" s="5">
        <v>10</v>
      </c>
    </row>
    <row r="61" spans="1:23">
      <c r="A61" s="5">
        <f t="shared" si="4"/>
        <v>58</v>
      </c>
      <c r="B61" s="93">
        <f t="shared" si="6"/>
        <v>2001</v>
      </c>
      <c r="C61" s="20" t="str">
        <f>INDEX(Unitinfo!C:C,MATCH(UnitGradeInfo!B61,Unitinfo!A:A,0))</f>
        <v>(근거리)Slime</v>
      </c>
      <c r="D61" s="5">
        <f>COUNTIF($B$4:B61,B61)</f>
        <v>13</v>
      </c>
      <c r="E61" s="5">
        <f>ROUNDDOWN(INDEX(ref_Unit_Balance!$G$31:$G$106,MATCH(UnitGradeInfo!B61,ref_Unit_Balance!$B$31:$B$1048576,0))
+INDEX(ref_Unit_Balance!$G$20:$G$23,MATCH(IFERROR(INDEX(ref_Unit_Balance!$D$31:$D$1048576,MATCH(B61,ref_Unit_Balance!$B$31:$B$1048576,0)),0),ref_Unit_Balance!$B$20:$B$23,0))*D61*ref_Unit_Balance!$C$25,0)</f>
        <v>800</v>
      </c>
      <c r="F61" s="5">
        <f>INDEX(ref_Unit_Balance!$V$31:$V$106,MATCH(UnitGradeInfo!B61,ref_Unit_Balance!$B$31:$B$1048576,0))
+
INDEX(ref_Unit_Balance!$AB$31:$AB$106,MATCH(UnitGradeInfo!B61,ref_Unit_Balance!$B$31:$B$1048576,0))*(D61-1)</f>
        <v>3900</v>
      </c>
      <c r="G61" s="5">
        <f>INDEX(ref_Unit_Balance!$R$31:$R$106,MATCH(UnitGradeInfo!B61,ref_Unit_Balance!$B$31:$B$1048576,0))
+
INDEX(ref_Unit_Balance!$AA$31:$AA$106,MATCH(UnitGradeInfo!B61,ref_Unit_Balance!$B$31:$B$1048576,0))*(D61-1)</f>
        <v>234</v>
      </c>
      <c r="H61" s="39">
        <f>IF(INDEX(Unitinfo!D:D,MATCH(UnitGradeInfo!B61,Unitinfo!A:A,0))=1,50,5)</f>
        <v>5</v>
      </c>
      <c r="I61" s="5">
        <f>IF(INDEX(ref_Unit_Balance!$T$31:$T$106,MATCH(UnitGradeInfo!B61,ref_Unit_Balance!$B$31:$B$1048576,0))=0,1,INDEX(ref_Unit_Balance!$T$31:$T$106,MATCH(UnitGradeInfo!B61,ref_Unit_Balance!$B$31:$B$1048576,0)))</f>
        <v>5</v>
      </c>
      <c r="J61" s="5">
        <f>INDEX(ref_Unit_Balance!$S$31:$S$106,MATCH(UnitGradeInfo!B61,ref_Unit_Balance!$B$31:$B$1048576,0))</f>
        <v>1000</v>
      </c>
      <c r="K61" s="5">
        <v>0</v>
      </c>
      <c r="L61" s="5">
        <f>INDEX(ref_Unit_Balance!$I$31:$I$106,MATCH(UnitGradeInfo!B61,ref_Unit_Balance!$B$31:$B$1048576,0))</f>
        <v>5</v>
      </c>
      <c r="M61" s="5">
        <f t="shared" si="1"/>
        <v>26</v>
      </c>
      <c r="N61" s="5">
        <f t="shared" si="2"/>
        <v>260</v>
      </c>
      <c r="O61" s="5">
        <f>(INDEX(Unitinfo!I:I,MATCH(B61,Unitinfo!A:A,0))+1)*2</f>
        <v>2</v>
      </c>
      <c r="P61" s="5">
        <v>0</v>
      </c>
      <c r="Q61" s="5">
        <v>0</v>
      </c>
      <c r="R61" s="19" t="s">
        <v>121</v>
      </c>
      <c r="S61" s="19" t="s">
        <v>121</v>
      </c>
      <c r="T61" s="5">
        <f t="shared" si="8"/>
        <v>2001</v>
      </c>
      <c r="U61" s="5">
        <f t="shared" si="9"/>
        <v>1</v>
      </c>
      <c r="V61" s="5">
        <v>0</v>
      </c>
      <c r="W61" s="5">
        <v>10</v>
      </c>
    </row>
    <row r="62" spans="1:23">
      <c r="A62" s="5">
        <f t="shared" si="4"/>
        <v>59</v>
      </c>
      <c r="B62" s="93">
        <f t="shared" si="6"/>
        <v>2001</v>
      </c>
      <c r="C62" s="20" t="str">
        <f>INDEX(Unitinfo!C:C,MATCH(UnitGradeInfo!B62,Unitinfo!A:A,0))</f>
        <v>(근거리)Slime</v>
      </c>
      <c r="D62" s="5">
        <f>COUNTIF($B$4:B62,B62)</f>
        <v>14</v>
      </c>
      <c r="E62" s="5">
        <f>ROUNDDOWN(INDEX(ref_Unit_Balance!$G$31:$G$106,MATCH(UnitGradeInfo!B62,ref_Unit_Balance!$B$31:$B$1048576,0))
+INDEX(ref_Unit_Balance!$G$20:$G$23,MATCH(IFERROR(INDEX(ref_Unit_Balance!$D$31:$D$1048576,MATCH(B62,ref_Unit_Balance!$B$31:$B$1048576,0)),0),ref_Unit_Balance!$B$20:$B$23,0))*D62*ref_Unit_Balance!$C$25,0)</f>
        <v>850</v>
      </c>
      <c r="F62" s="5">
        <f>INDEX(ref_Unit_Balance!$V$31:$V$106,MATCH(UnitGradeInfo!B62,ref_Unit_Balance!$B$31:$B$1048576,0))
+
INDEX(ref_Unit_Balance!$AB$31:$AB$106,MATCH(UnitGradeInfo!B62,ref_Unit_Balance!$B$31:$B$1048576,0))*(D62-1)</f>
        <v>4100</v>
      </c>
      <c r="G62" s="5">
        <f>INDEX(ref_Unit_Balance!$R$31:$R$106,MATCH(UnitGradeInfo!B62,ref_Unit_Balance!$B$31:$B$1048576,0))
+
INDEX(ref_Unit_Balance!$AA$31:$AA$106,MATCH(UnitGradeInfo!B62,ref_Unit_Balance!$B$31:$B$1048576,0))*(D62-1)</f>
        <v>241</v>
      </c>
      <c r="H62" s="39">
        <f>IF(INDEX(Unitinfo!D:D,MATCH(UnitGradeInfo!B62,Unitinfo!A:A,0))=1,50,5)</f>
        <v>5</v>
      </c>
      <c r="I62" s="5">
        <f>IF(INDEX(ref_Unit_Balance!$T$31:$T$106,MATCH(UnitGradeInfo!B62,ref_Unit_Balance!$B$31:$B$1048576,0))=0,1,INDEX(ref_Unit_Balance!$T$31:$T$106,MATCH(UnitGradeInfo!B62,ref_Unit_Balance!$B$31:$B$1048576,0)))</f>
        <v>5</v>
      </c>
      <c r="J62" s="5">
        <f>INDEX(ref_Unit_Balance!$S$31:$S$106,MATCH(UnitGradeInfo!B62,ref_Unit_Balance!$B$31:$B$1048576,0))</f>
        <v>1000</v>
      </c>
      <c r="K62" s="5">
        <v>0</v>
      </c>
      <c r="L62" s="5">
        <f>INDEX(ref_Unit_Balance!$I$31:$I$106,MATCH(UnitGradeInfo!B62,ref_Unit_Balance!$B$31:$B$1048576,0))</f>
        <v>5</v>
      </c>
      <c r="M62" s="5">
        <f t="shared" si="1"/>
        <v>28</v>
      </c>
      <c r="N62" s="5">
        <f t="shared" si="2"/>
        <v>280</v>
      </c>
      <c r="O62" s="5">
        <f>(INDEX(Unitinfo!I:I,MATCH(B62,Unitinfo!A:A,0))+1)*2</f>
        <v>2</v>
      </c>
      <c r="P62" s="5">
        <v>0</v>
      </c>
      <c r="Q62" s="5">
        <v>0</v>
      </c>
      <c r="R62" s="19" t="s">
        <v>121</v>
      </c>
      <c r="S62" s="19" t="s">
        <v>121</v>
      </c>
      <c r="T62" s="5">
        <f t="shared" si="8"/>
        <v>2001</v>
      </c>
      <c r="U62" s="5">
        <f t="shared" si="9"/>
        <v>1</v>
      </c>
      <c r="V62" s="5">
        <v>0</v>
      </c>
      <c r="W62" s="5">
        <v>10</v>
      </c>
    </row>
    <row r="63" spans="1:23">
      <c r="A63" s="5">
        <f t="shared" si="4"/>
        <v>60</v>
      </c>
      <c r="B63" s="93">
        <f t="shared" si="6"/>
        <v>2001</v>
      </c>
      <c r="C63" s="20" t="str">
        <f>INDEX(Unitinfo!C:C,MATCH(UnitGradeInfo!B63,Unitinfo!A:A,0))</f>
        <v>(근거리)Slime</v>
      </c>
      <c r="D63" s="5">
        <f>COUNTIF($B$4:B63,B63)</f>
        <v>15</v>
      </c>
      <c r="E63" s="5">
        <f>ROUNDDOWN(INDEX(ref_Unit_Balance!$G$31:$G$106,MATCH(UnitGradeInfo!B63,ref_Unit_Balance!$B$31:$B$1048576,0))
+INDEX(ref_Unit_Balance!$G$20:$G$23,MATCH(IFERROR(INDEX(ref_Unit_Balance!$D$31:$D$1048576,MATCH(B63,ref_Unit_Balance!$B$31:$B$1048576,0)),0),ref_Unit_Balance!$B$20:$B$23,0))*D63*ref_Unit_Balance!$C$25,0)</f>
        <v>900</v>
      </c>
      <c r="F63" s="5">
        <f>INDEX(ref_Unit_Balance!$V$31:$V$106,MATCH(UnitGradeInfo!B63,ref_Unit_Balance!$B$31:$B$1048576,0))
+
INDEX(ref_Unit_Balance!$AB$31:$AB$106,MATCH(UnitGradeInfo!B63,ref_Unit_Balance!$B$31:$B$1048576,0))*(D63-1)</f>
        <v>4300</v>
      </c>
      <c r="G63" s="5">
        <f>INDEX(ref_Unit_Balance!$R$31:$R$106,MATCH(UnitGradeInfo!B63,ref_Unit_Balance!$B$31:$B$1048576,0))
+
INDEX(ref_Unit_Balance!$AA$31:$AA$106,MATCH(UnitGradeInfo!B63,ref_Unit_Balance!$B$31:$B$1048576,0))*(D63-1)</f>
        <v>248</v>
      </c>
      <c r="H63" s="39">
        <f>IF(INDEX(Unitinfo!D:D,MATCH(UnitGradeInfo!B63,Unitinfo!A:A,0))=1,50,5)</f>
        <v>5</v>
      </c>
      <c r="I63" s="5">
        <f>IF(INDEX(ref_Unit_Balance!$T$31:$T$106,MATCH(UnitGradeInfo!B63,ref_Unit_Balance!$B$31:$B$1048576,0))=0,1,INDEX(ref_Unit_Balance!$T$31:$T$106,MATCH(UnitGradeInfo!B63,ref_Unit_Balance!$B$31:$B$1048576,0)))</f>
        <v>5</v>
      </c>
      <c r="J63" s="5">
        <f>INDEX(ref_Unit_Balance!$S$31:$S$106,MATCH(UnitGradeInfo!B63,ref_Unit_Balance!$B$31:$B$1048576,0))</f>
        <v>1000</v>
      </c>
      <c r="K63" s="5">
        <v>0</v>
      </c>
      <c r="L63" s="5">
        <f>INDEX(ref_Unit_Balance!$I$31:$I$106,MATCH(UnitGradeInfo!B63,ref_Unit_Balance!$B$31:$B$1048576,0))</f>
        <v>5</v>
      </c>
      <c r="M63" s="5">
        <f t="shared" si="1"/>
        <v>30</v>
      </c>
      <c r="N63" s="5">
        <f t="shared" si="2"/>
        <v>300</v>
      </c>
      <c r="O63" s="5">
        <f>(INDEX(Unitinfo!I:I,MATCH(B63,Unitinfo!A:A,0))+1)*2</f>
        <v>2</v>
      </c>
      <c r="P63" s="5">
        <v>0</v>
      </c>
      <c r="Q63" s="5">
        <v>0</v>
      </c>
      <c r="R63" s="19" t="s">
        <v>121</v>
      </c>
      <c r="S63" s="19" t="s">
        <v>121</v>
      </c>
      <c r="T63" s="5">
        <f t="shared" si="8"/>
        <v>2001</v>
      </c>
      <c r="U63" s="5">
        <f t="shared" si="9"/>
        <v>1</v>
      </c>
      <c r="V63" s="5">
        <v>0</v>
      </c>
      <c r="W63" s="5">
        <v>10</v>
      </c>
    </row>
    <row r="64" spans="1:23">
      <c r="A64" s="5">
        <f t="shared" si="4"/>
        <v>61</v>
      </c>
      <c r="B64" s="93">
        <f t="shared" si="6"/>
        <v>2001</v>
      </c>
      <c r="C64" s="20" t="str">
        <f>INDEX(Unitinfo!C:C,MATCH(UnitGradeInfo!B64,Unitinfo!A:A,0))</f>
        <v>(근거리)Slime</v>
      </c>
      <c r="D64" s="5">
        <f>COUNTIF($B$4:B64,B64)</f>
        <v>16</v>
      </c>
      <c r="E64" s="5">
        <f>ROUNDDOWN(INDEX(ref_Unit_Balance!$G$31:$G$106,MATCH(UnitGradeInfo!B64,ref_Unit_Balance!$B$31:$B$1048576,0))
+INDEX(ref_Unit_Balance!$G$20:$G$23,MATCH(IFERROR(INDEX(ref_Unit_Balance!$D$31:$D$1048576,MATCH(B64,ref_Unit_Balance!$B$31:$B$1048576,0)),0),ref_Unit_Balance!$B$20:$B$23,0))*D64*ref_Unit_Balance!$C$25,0)</f>
        <v>950</v>
      </c>
      <c r="F64" s="5">
        <f>INDEX(ref_Unit_Balance!$V$31:$V$106,MATCH(UnitGradeInfo!B64,ref_Unit_Balance!$B$31:$B$1048576,0))
+
INDEX(ref_Unit_Balance!$AB$31:$AB$106,MATCH(UnitGradeInfo!B64,ref_Unit_Balance!$B$31:$B$1048576,0))*(D64-1)</f>
        <v>4500</v>
      </c>
      <c r="G64" s="5">
        <f>INDEX(ref_Unit_Balance!$R$31:$R$106,MATCH(UnitGradeInfo!B64,ref_Unit_Balance!$B$31:$B$1048576,0))
+
INDEX(ref_Unit_Balance!$AA$31:$AA$106,MATCH(UnitGradeInfo!B64,ref_Unit_Balance!$B$31:$B$1048576,0))*(D64-1)</f>
        <v>255</v>
      </c>
      <c r="H64" s="39">
        <f>IF(INDEX(Unitinfo!D:D,MATCH(UnitGradeInfo!B64,Unitinfo!A:A,0))=1,50,5)</f>
        <v>5</v>
      </c>
      <c r="I64" s="5">
        <f>IF(INDEX(ref_Unit_Balance!$T$31:$T$106,MATCH(UnitGradeInfo!B64,ref_Unit_Balance!$B$31:$B$1048576,0))=0,1,INDEX(ref_Unit_Balance!$T$31:$T$106,MATCH(UnitGradeInfo!B64,ref_Unit_Balance!$B$31:$B$1048576,0)))</f>
        <v>5</v>
      </c>
      <c r="J64" s="5">
        <f>INDEX(ref_Unit_Balance!$S$31:$S$106,MATCH(UnitGradeInfo!B64,ref_Unit_Balance!$B$31:$B$1048576,0))</f>
        <v>1000</v>
      </c>
      <c r="K64" s="5">
        <v>0</v>
      </c>
      <c r="L64" s="5">
        <f>INDEX(ref_Unit_Balance!$I$31:$I$106,MATCH(UnitGradeInfo!B64,ref_Unit_Balance!$B$31:$B$1048576,0))</f>
        <v>5</v>
      </c>
      <c r="M64" s="5">
        <f t="shared" si="1"/>
        <v>32</v>
      </c>
      <c r="N64" s="5">
        <f t="shared" si="2"/>
        <v>320</v>
      </c>
      <c r="O64" s="5">
        <f>(INDEX(Unitinfo!I:I,MATCH(B64,Unitinfo!A:A,0))+1)*2</f>
        <v>2</v>
      </c>
      <c r="P64" s="5">
        <v>0</v>
      </c>
      <c r="Q64" s="5">
        <v>0</v>
      </c>
      <c r="R64" s="19" t="s">
        <v>121</v>
      </c>
      <c r="S64" s="19" t="s">
        <v>121</v>
      </c>
      <c r="T64" s="5">
        <f t="shared" si="8"/>
        <v>2001</v>
      </c>
      <c r="U64" s="5">
        <f t="shared" si="9"/>
        <v>1</v>
      </c>
      <c r="V64" s="5">
        <v>0</v>
      </c>
      <c r="W64" s="5">
        <v>10</v>
      </c>
    </row>
    <row r="65" spans="1:23">
      <c r="A65" s="5">
        <f t="shared" si="4"/>
        <v>62</v>
      </c>
      <c r="B65" s="93">
        <f t="shared" si="6"/>
        <v>2001</v>
      </c>
      <c r="C65" s="20" t="str">
        <f>INDEX(Unitinfo!C:C,MATCH(UnitGradeInfo!B65,Unitinfo!A:A,0))</f>
        <v>(근거리)Slime</v>
      </c>
      <c r="D65" s="5">
        <f>COUNTIF($B$4:B65,B65)</f>
        <v>17</v>
      </c>
      <c r="E65" s="5">
        <f>ROUNDDOWN(INDEX(ref_Unit_Balance!$G$31:$G$106,MATCH(UnitGradeInfo!B65,ref_Unit_Balance!$B$31:$B$1048576,0))
+INDEX(ref_Unit_Balance!$G$20:$G$23,MATCH(IFERROR(INDEX(ref_Unit_Balance!$D$31:$D$1048576,MATCH(B65,ref_Unit_Balance!$B$31:$B$1048576,0)),0),ref_Unit_Balance!$B$20:$B$23,0))*D65*ref_Unit_Balance!$C$25,0)</f>
        <v>1000</v>
      </c>
      <c r="F65" s="5">
        <f>INDEX(ref_Unit_Balance!$V$31:$V$106,MATCH(UnitGradeInfo!B65,ref_Unit_Balance!$B$31:$B$1048576,0))
+
INDEX(ref_Unit_Balance!$AB$31:$AB$106,MATCH(UnitGradeInfo!B65,ref_Unit_Balance!$B$31:$B$1048576,0))*(D65-1)</f>
        <v>4700</v>
      </c>
      <c r="G65" s="5">
        <f>INDEX(ref_Unit_Balance!$R$31:$R$106,MATCH(UnitGradeInfo!B65,ref_Unit_Balance!$B$31:$B$1048576,0))
+
INDEX(ref_Unit_Balance!$AA$31:$AA$106,MATCH(UnitGradeInfo!B65,ref_Unit_Balance!$B$31:$B$1048576,0))*(D65-1)</f>
        <v>262</v>
      </c>
      <c r="H65" s="39">
        <f>IF(INDEX(Unitinfo!D:D,MATCH(UnitGradeInfo!B65,Unitinfo!A:A,0))=1,50,5)</f>
        <v>5</v>
      </c>
      <c r="I65" s="5">
        <f>IF(INDEX(ref_Unit_Balance!$T$31:$T$106,MATCH(UnitGradeInfo!B65,ref_Unit_Balance!$B$31:$B$1048576,0))=0,1,INDEX(ref_Unit_Balance!$T$31:$T$106,MATCH(UnitGradeInfo!B65,ref_Unit_Balance!$B$31:$B$1048576,0)))</f>
        <v>5</v>
      </c>
      <c r="J65" s="5">
        <f>INDEX(ref_Unit_Balance!$S$31:$S$106,MATCH(UnitGradeInfo!B65,ref_Unit_Balance!$B$31:$B$1048576,0))</f>
        <v>1000</v>
      </c>
      <c r="K65" s="5">
        <v>0</v>
      </c>
      <c r="L65" s="5">
        <f>INDEX(ref_Unit_Balance!$I$31:$I$106,MATCH(UnitGradeInfo!B65,ref_Unit_Balance!$B$31:$B$1048576,0))</f>
        <v>5</v>
      </c>
      <c r="M65" s="5">
        <f t="shared" si="1"/>
        <v>34</v>
      </c>
      <c r="N65" s="5">
        <f t="shared" si="2"/>
        <v>340</v>
      </c>
      <c r="O65" s="5">
        <f>(INDEX(Unitinfo!I:I,MATCH(B65,Unitinfo!A:A,0))+1)*2</f>
        <v>2</v>
      </c>
      <c r="P65" s="5">
        <v>0</v>
      </c>
      <c r="Q65" s="5">
        <v>0</v>
      </c>
      <c r="R65" s="19" t="s">
        <v>121</v>
      </c>
      <c r="S65" s="19" t="s">
        <v>121</v>
      </c>
      <c r="T65" s="5">
        <f t="shared" si="8"/>
        <v>2001</v>
      </c>
      <c r="U65" s="5">
        <f t="shared" si="9"/>
        <v>1</v>
      </c>
      <c r="V65" s="5">
        <v>0</v>
      </c>
      <c r="W65" s="5">
        <v>10</v>
      </c>
    </row>
    <row r="66" spans="1:23">
      <c r="A66" s="5">
        <f t="shared" si="4"/>
        <v>63</v>
      </c>
      <c r="B66" s="93">
        <f t="shared" si="6"/>
        <v>2001</v>
      </c>
      <c r="C66" s="20" t="str">
        <f>INDEX(Unitinfo!C:C,MATCH(UnitGradeInfo!B66,Unitinfo!A:A,0))</f>
        <v>(근거리)Slime</v>
      </c>
      <c r="D66" s="5">
        <f>COUNTIF($B$4:B66,B66)</f>
        <v>18</v>
      </c>
      <c r="E66" s="5">
        <f>ROUNDDOWN(INDEX(ref_Unit_Balance!$G$31:$G$106,MATCH(UnitGradeInfo!B66,ref_Unit_Balance!$B$31:$B$1048576,0))
+INDEX(ref_Unit_Balance!$G$20:$G$23,MATCH(IFERROR(INDEX(ref_Unit_Balance!$D$31:$D$1048576,MATCH(B66,ref_Unit_Balance!$B$31:$B$1048576,0)),0),ref_Unit_Balance!$B$20:$B$23,0))*D66*ref_Unit_Balance!$C$25,0)</f>
        <v>1050</v>
      </c>
      <c r="F66" s="5">
        <f>INDEX(ref_Unit_Balance!$V$31:$V$106,MATCH(UnitGradeInfo!B66,ref_Unit_Balance!$B$31:$B$1048576,0))
+
INDEX(ref_Unit_Balance!$AB$31:$AB$106,MATCH(UnitGradeInfo!B66,ref_Unit_Balance!$B$31:$B$1048576,0))*(D66-1)</f>
        <v>4900</v>
      </c>
      <c r="G66" s="5">
        <f>INDEX(ref_Unit_Balance!$R$31:$R$106,MATCH(UnitGradeInfo!B66,ref_Unit_Balance!$B$31:$B$1048576,0))
+
INDEX(ref_Unit_Balance!$AA$31:$AA$106,MATCH(UnitGradeInfo!B66,ref_Unit_Balance!$B$31:$B$1048576,0))*(D66-1)</f>
        <v>269</v>
      </c>
      <c r="H66" s="39">
        <f>IF(INDEX(Unitinfo!D:D,MATCH(UnitGradeInfo!B66,Unitinfo!A:A,0))=1,50,5)</f>
        <v>5</v>
      </c>
      <c r="I66" s="5">
        <f>IF(INDEX(ref_Unit_Balance!$T$31:$T$106,MATCH(UnitGradeInfo!B66,ref_Unit_Balance!$B$31:$B$1048576,0))=0,1,INDEX(ref_Unit_Balance!$T$31:$T$106,MATCH(UnitGradeInfo!B66,ref_Unit_Balance!$B$31:$B$1048576,0)))</f>
        <v>5</v>
      </c>
      <c r="J66" s="5">
        <f>INDEX(ref_Unit_Balance!$S$31:$S$106,MATCH(UnitGradeInfo!B66,ref_Unit_Balance!$B$31:$B$1048576,0))</f>
        <v>1000</v>
      </c>
      <c r="K66" s="5">
        <v>0</v>
      </c>
      <c r="L66" s="5">
        <f>INDEX(ref_Unit_Balance!$I$31:$I$106,MATCH(UnitGradeInfo!B66,ref_Unit_Balance!$B$31:$B$1048576,0))</f>
        <v>5</v>
      </c>
      <c r="M66" s="5">
        <f t="shared" si="1"/>
        <v>36</v>
      </c>
      <c r="N66" s="5">
        <f t="shared" si="2"/>
        <v>360</v>
      </c>
      <c r="O66" s="5">
        <f>(INDEX(Unitinfo!I:I,MATCH(B66,Unitinfo!A:A,0))+1)*2</f>
        <v>2</v>
      </c>
      <c r="P66" s="5">
        <v>0</v>
      </c>
      <c r="Q66" s="5">
        <v>0</v>
      </c>
      <c r="R66" s="19" t="s">
        <v>121</v>
      </c>
      <c r="S66" s="19" t="s">
        <v>121</v>
      </c>
      <c r="T66" s="5">
        <f t="shared" si="8"/>
        <v>2001</v>
      </c>
      <c r="U66" s="5">
        <f t="shared" si="9"/>
        <v>1</v>
      </c>
      <c r="V66" s="5">
        <v>0</v>
      </c>
      <c r="W66" s="5">
        <v>10</v>
      </c>
    </row>
    <row r="67" spans="1:23">
      <c r="A67" s="5">
        <f t="shared" si="4"/>
        <v>64</v>
      </c>
      <c r="B67" s="93">
        <f t="shared" si="6"/>
        <v>2001</v>
      </c>
      <c r="C67" s="20" t="str">
        <f>INDEX(Unitinfo!C:C,MATCH(UnitGradeInfo!B67,Unitinfo!A:A,0))</f>
        <v>(근거리)Slime</v>
      </c>
      <c r="D67" s="5">
        <f>COUNTIF($B$4:B67,B67)</f>
        <v>19</v>
      </c>
      <c r="E67" s="5">
        <f>ROUNDDOWN(INDEX(ref_Unit_Balance!$G$31:$G$106,MATCH(UnitGradeInfo!B67,ref_Unit_Balance!$B$31:$B$1048576,0))
+INDEX(ref_Unit_Balance!$G$20:$G$23,MATCH(IFERROR(INDEX(ref_Unit_Balance!$D$31:$D$1048576,MATCH(B67,ref_Unit_Balance!$B$31:$B$1048576,0)),0),ref_Unit_Balance!$B$20:$B$23,0))*D67*ref_Unit_Balance!$C$25,0)</f>
        <v>1100</v>
      </c>
      <c r="F67" s="5">
        <f>INDEX(ref_Unit_Balance!$V$31:$V$106,MATCH(UnitGradeInfo!B67,ref_Unit_Balance!$B$31:$B$1048576,0))
+
INDEX(ref_Unit_Balance!$AB$31:$AB$106,MATCH(UnitGradeInfo!B67,ref_Unit_Balance!$B$31:$B$1048576,0))*(D67-1)</f>
        <v>5100</v>
      </c>
      <c r="G67" s="5">
        <f>INDEX(ref_Unit_Balance!$R$31:$R$106,MATCH(UnitGradeInfo!B67,ref_Unit_Balance!$B$31:$B$1048576,0))
+
INDEX(ref_Unit_Balance!$AA$31:$AA$106,MATCH(UnitGradeInfo!B67,ref_Unit_Balance!$B$31:$B$1048576,0))*(D67-1)</f>
        <v>276</v>
      </c>
      <c r="H67" s="39">
        <f>IF(INDEX(Unitinfo!D:D,MATCH(UnitGradeInfo!B67,Unitinfo!A:A,0))=1,50,5)</f>
        <v>5</v>
      </c>
      <c r="I67" s="5">
        <f>IF(INDEX(ref_Unit_Balance!$T$31:$T$106,MATCH(UnitGradeInfo!B67,ref_Unit_Balance!$B$31:$B$1048576,0))=0,1,INDEX(ref_Unit_Balance!$T$31:$T$106,MATCH(UnitGradeInfo!B67,ref_Unit_Balance!$B$31:$B$1048576,0)))</f>
        <v>5</v>
      </c>
      <c r="J67" s="5">
        <f>INDEX(ref_Unit_Balance!$S$31:$S$106,MATCH(UnitGradeInfo!B67,ref_Unit_Balance!$B$31:$B$1048576,0))</f>
        <v>1000</v>
      </c>
      <c r="K67" s="5">
        <v>0</v>
      </c>
      <c r="L67" s="5">
        <f>INDEX(ref_Unit_Balance!$I$31:$I$106,MATCH(UnitGradeInfo!B67,ref_Unit_Balance!$B$31:$B$1048576,0))</f>
        <v>5</v>
      </c>
      <c r="M67" s="5">
        <f t="shared" si="1"/>
        <v>38</v>
      </c>
      <c r="N67" s="5">
        <f t="shared" si="2"/>
        <v>380</v>
      </c>
      <c r="O67" s="5">
        <f>(INDEX(Unitinfo!I:I,MATCH(B67,Unitinfo!A:A,0))+1)*2</f>
        <v>2</v>
      </c>
      <c r="P67" s="5">
        <v>0</v>
      </c>
      <c r="Q67" s="5">
        <v>0</v>
      </c>
      <c r="R67" s="19" t="s">
        <v>121</v>
      </c>
      <c r="S67" s="19" t="s">
        <v>121</v>
      </c>
      <c r="T67" s="5">
        <f t="shared" si="8"/>
        <v>2001</v>
      </c>
      <c r="U67" s="5">
        <f t="shared" si="9"/>
        <v>1</v>
      </c>
      <c r="V67" s="5">
        <v>0</v>
      </c>
      <c r="W67" s="5">
        <v>10</v>
      </c>
    </row>
    <row r="68" spans="1:23">
      <c r="A68" s="5">
        <f t="shared" si="4"/>
        <v>65</v>
      </c>
      <c r="B68" s="93">
        <f t="shared" si="6"/>
        <v>2001</v>
      </c>
      <c r="C68" s="20" t="str">
        <f>INDEX(Unitinfo!C:C,MATCH(UnitGradeInfo!B68,Unitinfo!A:A,0))</f>
        <v>(근거리)Slime</v>
      </c>
      <c r="D68" s="5">
        <f>COUNTIF($B$4:B68,B68)</f>
        <v>20</v>
      </c>
      <c r="E68" s="5">
        <f>ROUNDDOWN(INDEX(ref_Unit_Balance!$G$31:$G$106,MATCH(UnitGradeInfo!B68,ref_Unit_Balance!$B$31:$B$1048576,0))
+INDEX(ref_Unit_Balance!$G$20:$G$23,MATCH(IFERROR(INDEX(ref_Unit_Balance!$D$31:$D$1048576,MATCH(B68,ref_Unit_Balance!$B$31:$B$1048576,0)),0),ref_Unit_Balance!$B$20:$B$23,0))*D68*ref_Unit_Balance!$C$25,0)</f>
        <v>1150</v>
      </c>
      <c r="F68" s="5">
        <f>INDEX(ref_Unit_Balance!$V$31:$V$106,MATCH(UnitGradeInfo!B68,ref_Unit_Balance!$B$31:$B$1048576,0))
+
INDEX(ref_Unit_Balance!$AB$31:$AB$106,MATCH(UnitGradeInfo!B68,ref_Unit_Balance!$B$31:$B$1048576,0))*(D68-1)</f>
        <v>5300</v>
      </c>
      <c r="G68" s="5">
        <f>INDEX(ref_Unit_Balance!$R$31:$R$106,MATCH(UnitGradeInfo!B68,ref_Unit_Balance!$B$31:$B$1048576,0))
+
INDEX(ref_Unit_Balance!$AA$31:$AA$106,MATCH(UnitGradeInfo!B68,ref_Unit_Balance!$B$31:$B$1048576,0))*(D68-1)</f>
        <v>283</v>
      </c>
      <c r="H68" s="39">
        <f>IF(INDEX(Unitinfo!D:D,MATCH(UnitGradeInfo!B68,Unitinfo!A:A,0))=1,50,5)</f>
        <v>5</v>
      </c>
      <c r="I68" s="5">
        <f>IF(INDEX(ref_Unit_Balance!$T$31:$T$106,MATCH(UnitGradeInfo!B68,ref_Unit_Balance!$B$31:$B$1048576,0))=0,1,INDEX(ref_Unit_Balance!$T$31:$T$106,MATCH(UnitGradeInfo!B68,ref_Unit_Balance!$B$31:$B$1048576,0)))</f>
        <v>5</v>
      </c>
      <c r="J68" s="5">
        <f>INDEX(ref_Unit_Balance!$S$31:$S$106,MATCH(UnitGradeInfo!B68,ref_Unit_Balance!$B$31:$B$1048576,0))</f>
        <v>1000</v>
      </c>
      <c r="K68" s="5">
        <v>0</v>
      </c>
      <c r="L68" s="5">
        <f>INDEX(ref_Unit_Balance!$I$31:$I$106,MATCH(UnitGradeInfo!B68,ref_Unit_Balance!$B$31:$B$1048576,0))</f>
        <v>5</v>
      </c>
      <c r="M68" s="5">
        <f t="shared" si="1"/>
        <v>40</v>
      </c>
      <c r="N68" s="5">
        <f t="shared" si="2"/>
        <v>400</v>
      </c>
      <c r="O68" s="5">
        <f>(INDEX(Unitinfo!I:I,MATCH(B68,Unitinfo!A:A,0))+1)*2</f>
        <v>2</v>
      </c>
      <c r="P68" s="5">
        <v>0</v>
      </c>
      <c r="Q68" s="5">
        <v>0</v>
      </c>
      <c r="R68" s="19" t="s">
        <v>121</v>
      </c>
      <c r="S68" s="19" t="s">
        <v>121</v>
      </c>
      <c r="T68" s="5">
        <f t="shared" ref="T68:T91" si="10">B68</f>
        <v>2001</v>
      </c>
      <c r="U68" s="5">
        <f t="shared" ref="U68:U91" si="11">IF(B68&gt;10000,0,1)</f>
        <v>1</v>
      </c>
      <c r="V68" s="5">
        <v>0</v>
      </c>
      <c r="W68" s="5">
        <v>10</v>
      </c>
    </row>
    <row r="69" spans="1:23">
      <c r="A69" s="5">
        <f t="shared" si="4"/>
        <v>66</v>
      </c>
      <c r="B69" s="93">
        <f t="shared" si="6"/>
        <v>2002</v>
      </c>
      <c r="C69" s="20" t="str">
        <f>INDEX(Unitinfo!C:C,MATCH(UnitGradeInfo!B69,Unitinfo!A:A,0))</f>
        <v>(원거리)Slime_Archer</v>
      </c>
      <c r="D69" s="5">
        <f>COUNTIF($B$4:B69,B69)</f>
        <v>1</v>
      </c>
      <c r="E69" s="5">
        <f>ROUNDDOWN(INDEX(ref_Unit_Balance!$G$31:$G$106,MATCH(UnitGradeInfo!B69,ref_Unit_Balance!$B$31:$B$1048576,0))
+INDEX(ref_Unit_Balance!$G$20:$G$23,MATCH(IFERROR(INDEX(ref_Unit_Balance!$D$31:$D$1048576,MATCH(B69,ref_Unit_Balance!$B$31:$B$1048576,0)),0),ref_Unit_Balance!$B$20:$B$23,0))*D69*ref_Unit_Balance!$C$25,0)</f>
        <v>202</v>
      </c>
      <c r="F69" s="5">
        <f>INDEX(ref_Unit_Balance!$V$31:$V$106,MATCH(UnitGradeInfo!B69,ref_Unit_Balance!$B$31:$B$1048576,0))
+
INDEX(ref_Unit_Balance!$AB$31:$AB$106,MATCH(UnitGradeInfo!B69,ref_Unit_Balance!$B$31:$B$1048576,0))*(D69-1)</f>
        <v>900</v>
      </c>
      <c r="G69" s="5">
        <f>INDEX(ref_Unit_Balance!$R$31:$R$106,MATCH(UnitGradeInfo!B69,ref_Unit_Balance!$B$31:$B$1048576,0))
+
INDEX(ref_Unit_Balance!$AA$31:$AA$106,MATCH(UnitGradeInfo!B69,ref_Unit_Balance!$B$31:$B$1048576,0))*(D69-1)</f>
        <v>75</v>
      </c>
      <c r="H69" s="39">
        <f>IF(INDEX(Unitinfo!D:D,MATCH(UnitGradeInfo!B69,Unitinfo!A:A,0))=1,50,5)</f>
        <v>50</v>
      </c>
      <c r="I69" s="5">
        <f>IF(INDEX(ref_Unit_Balance!$T$31:$T$106,MATCH(UnitGradeInfo!B69,ref_Unit_Balance!$B$31:$B$1048576,0))=0,1,INDEX(ref_Unit_Balance!$T$31:$T$106,MATCH(UnitGradeInfo!B69,ref_Unit_Balance!$B$31:$B$1048576,0)))</f>
        <v>5</v>
      </c>
      <c r="J69" s="5">
        <f>INDEX(ref_Unit_Balance!$S$31:$S$106,MATCH(UnitGradeInfo!B69,ref_Unit_Balance!$B$31:$B$1048576,0))</f>
        <v>500</v>
      </c>
      <c r="K69" s="5">
        <v>0</v>
      </c>
      <c r="L69" s="5">
        <f>INDEX(ref_Unit_Balance!$I$31:$I$106,MATCH(UnitGradeInfo!B69,ref_Unit_Balance!$B$31:$B$1048576,0))</f>
        <v>4</v>
      </c>
      <c r="M69" s="5">
        <f t="shared" ref="M69:M132" si="12">D69*2</f>
        <v>2</v>
      </c>
      <c r="N69" s="5">
        <f t="shared" ref="N69:N132" si="13">D69*20</f>
        <v>20</v>
      </c>
      <c r="O69" s="5">
        <f>(INDEX(Unitinfo!I:I,MATCH(B69,Unitinfo!A:A,0))+1)*2</f>
        <v>2</v>
      </c>
      <c r="P69" s="5">
        <v>0</v>
      </c>
      <c r="Q69" s="5">
        <v>0</v>
      </c>
      <c r="R69" s="19" t="s">
        <v>121</v>
      </c>
      <c r="S69" s="19" t="s">
        <v>121</v>
      </c>
      <c r="T69" s="5">
        <f t="shared" si="10"/>
        <v>2002</v>
      </c>
      <c r="U69" s="5">
        <f t="shared" si="11"/>
        <v>1</v>
      </c>
      <c r="V69" s="5">
        <v>0</v>
      </c>
      <c r="W69" s="5">
        <v>10</v>
      </c>
    </row>
    <row r="70" spans="1:23">
      <c r="A70" s="5">
        <f t="shared" si="4"/>
        <v>67</v>
      </c>
      <c r="B70" s="93">
        <f t="shared" si="6"/>
        <v>2002</v>
      </c>
      <c r="C70" s="20" t="str">
        <f>INDEX(Unitinfo!C:C,MATCH(UnitGradeInfo!B70,Unitinfo!A:A,0))</f>
        <v>(원거리)Slime_Archer</v>
      </c>
      <c r="D70" s="5">
        <f>COUNTIF($B$4:B70,B70)</f>
        <v>2</v>
      </c>
      <c r="E70" s="5">
        <f>ROUNDDOWN(INDEX(ref_Unit_Balance!$G$31:$G$106,MATCH(UnitGradeInfo!B70,ref_Unit_Balance!$B$31:$B$1048576,0))
+INDEX(ref_Unit_Balance!$G$20:$G$23,MATCH(IFERROR(INDEX(ref_Unit_Balance!$D$31:$D$1048576,MATCH(B70,ref_Unit_Balance!$B$31:$B$1048576,0)),0),ref_Unit_Balance!$B$20:$B$23,0))*D70*ref_Unit_Balance!$C$25,0)</f>
        <v>252</v>
      </c>
      <c r="F70" s="5">
        <f>INDEX(ref_Unit_Balance!$V$31:$V$106,MATCH(UnitGradeInfo!B70,ref_Unit_Balance!$B$31:$B$1048576,0))
+
INDEX(ref_Unit_Balance!$AB$31:$AB$106,MATCH(UnitGradeInfo!B70,ref_Unit_Balance!$B$31:$B$1048576,0))*(D70-1)</f>
        <v>1050</v>
      </c>
      <c r="G70" s="5">
        <f>INDEX(ref_Unit_Balance!$R$31:$R$106,MATCH(UnitGradeInfo!B70,ref_Unit_Balance!$B$31:$B$1048576,0))
+
INDEX(ref_Unit_Balance!$AA$31:$AA$106,MATCH(UnitGradeInfo!B70,ref_Unit_Balance!$B$31:$B$1048576,0))*(D70-1)</f>
        <v>78</v>
      </c>
      <c r="H70" s="39">
        <f>IF(INDEX(Unitinfo!D:D,MATCH(UnitGradeInfo!B70,Unitinfo!A:A,0))=1,50,5)</f>
        <v>50</v>
      </c>
      <c r="I70" s="5">
        <f>IF(INDEX(ref_Unit_Balance!$T$31:$T$106,MATCH(UnitGradeInfo!B70,ref_Unit_Balance!$B$31:$B$1048576,0))=0,1,INDEX(ref_Unit_Balance!$T$31:$T$106,MATCH(UnitGradeInfo!B70,ref_Unit_Balance!$B$31:$B$1048576,0)))</f>
        <v>5</v>
      </c>
      <c r="J70" s="5">
        <f>INDEX(ref_Unit_Balance!$S$31:$S$106,MATCH(UnitGradeInfo!B70,ref_Unit_Balance!$B$31:$B$1048576,0))</f>
        <v>500</v>
      </c>
      <c r="K70" s="5">
        <v>0</v>
      </c>
      <c r="L70" s="5">
        <f>INDEX(ref_Unit_Balance!$I$31:$I$106,MATCH(UnitGradeInfo!B70,ref_Unit_Balance!$B$31:$B$1048576,0))</f>
        <v>4</v>
      </c>
      <c r="M70" s="5">
        <f t="shared" si="12"/>
        <v>4</v>
      </c>
      <c r="N70" s="5">
        <f t="shared" si="13"/>
        <v>40</v>
      </c>
      <c r="O70" s="5">
        <f>(INDEX(Unitinfo!I:I,MATCH(B70,Unitinfo!A:A,0))+1)*2</f>
        <v>2</v>
      </c>
      <c r="P70" s="5">
        <v>0</v>
      </c>
      <c r="Q70" s="5">
        <v>0</v>
      </c>
      <c r="R70" s="19" t="s">
        <v>121</v>
      </c>
      <c r="S70" s="19" t="s">
        <v>121</v>
      </c>
      <c r="T70" s="5">
        <f t="shared" si="10"/>
        <v>2002</v>
      </c>
      <c r="U70" s="5">
        <f t="shared" si="11"/>
        <v>1</v>
      </c>
      <c r="V70" s="5">
        <v>0</v>
      </c>
      <c r="W70" s="5">
        <v>10</v>
      </c>
    </row>
    <row r="71" spans="1:23">
      <c r="A71" s="5">
        <f t="shared" si="4"/>
        <v>68</v>
      </c>
      <c r="B71" s="93">
        <f t="shared" si="6"/>
        <v>2002</v>
      </c>
      <c r="C71" s="20" t="str">
        <f>INDEX(Unitinfo!C:C,MATCH(UnitGradeInfo!B71,Unitinfo!A:A,0))</f>
        <v>(원거리)Slime_Archer</v>
      </c>
      <c r="D71" s="5">
        <f>COUNTIF($B$4:B71,B71)</f>
        <v>3</v>
      </c>
      <c r="E71" s="5">
        <f>ROUNDDOWN(INDEX(ref_Unit_Balance!$G$31:$G$106,MATCH(UnitGradeInfo!B71,ref_Unit_Balance!$B$31:$B$1048576,0))
+INDEX(ref_Unit_Balance!$G$20:$G$23,MATCH(IFERROR(INDEX(ref_Unit_Balance!$D$31:$D$1048576,MATCH(B71,ref_Unit_Balance!$B$31:$B$1048576,0)),0),ref_Unit_Balance!$B$20:$B$23,0))*D71*ref_Unit_Balance!$C$25,0)</f>
        <v>302</v>
      </c>
      <c r="F71" s="5">
        <f>INDEX(ref_Unit_Balance!$V$31:$V$106,MATCH(UnitGradeInfo!B71,ref_Unit_Balance!$B$31:$B$1048576,0))
+
INDEX(ref_Unit_Balance!$AB$31:$AB$106,MATCH(UnitGradeInfo!B71,ref_Unit_Balance!$B$31:$B$1048576,0))*(D71-1)</f>
        <v>1200</v>
      </c>
      <c r="G71" s="5">
        <f>INDEX(ref_Unit_Balance!$R$31:$R$106,MATCH(UnitGradeInfo!B71,ref_Unit_Balance!$B$31:$B$1048576,0))
+
INDEX(ref_Unit_Balance!$AA$31:$AA$106,MATCH(UnitGradeInfo!B71,ref_Unit_Balance!$B$31:$B$1048576,0))*(D71-1)</f>
        <v>81</v>
      </c>
      <c r="H71" s="39">
        <f>IF(INDEX(Unitinfo!D:D,MATCH(UnitGradeInfo!B71,Unitinfo!A:A,0))=1,50,5)</f>
        <v>50</v>
      </c>
      <c r="I71" s="5">
        <f>IF(INDEX(ref_Unit_Balance!$T$31:$T$106,MATCH(UnitGradeInfo!B71,ref_Unit_Balance!$B$31:$B$1048576,0))=0,1,INDEX(ref_Unit_Balance!$T$31:$T$106,MATCH(UnitGradeInfo!B71,ref_Unit_Balance!$B$31:$B$1048576,0)))</f>
        <v>5</v>
      </c>
      <c r="J71" s="5">
        <f>INDEX(ref_Unit_Balance!$S$31:$S$106,MATCH(UnitGradeInfo!B71,ref_Unit_Balance!$B$31:$B$1048576,0))</f>
        <v>500</v>
      </c>
      <c r="K71" s="5">
        <v>0</v>
      </c>
      <c r="L71" s="5">
        <f>INDEX(ref_Unit_Balance!$I$31:$I$106,MATCH(UnitGradeInfo!B71,ref_Unit_Balance!$B$31:$B$1048576,0))</f>
        <v>4</v>
      </c>
      <c r="M71" s="5">
        <f t="shared" si="12"/>
        <v>6</v>
      </c>
      <c r="N71" s="5">
        <f t="shared" si="13"/>
        <v>60</v>
      </c>
      <c r="O71" s="5">
        <f>(INDEX(Unitinfo!I:I,MATCH(B71,Unitinfo!A:A,0))+1)*2</f>
        <v>2</v>
      </c>
      <c r="P71" s="5">
        <v>0</v>
      </c>
      <c r="Q71" s="5">
        <v>0</v>
      </c>
      <c r="R71" s="19" t="s">
        <v>121</v>
      </c>
      <c r="S71" s="19" t="s">
        <v>121</v>
      </c>
      <c r="T71" s="5">
        <f t="shared" si="10"/>
        <v>2002</v>
      </c>
      <c r="U71" s="5">
        <f t="shared" si="11"/>
        <v>1</v>
      </c>
      <c r="V71" s="5">
        <v>0</v>
      </c>
      <c r="W71" s="5">
        <v>10</v>
      </c>
    </row>
    <row r="72" spans="1:23">
      <c r="A72" s="5">
        <f t="shared" si="4"/>
        <v>69</v>
      </c>
      <c r="B72" s="93">
        <f t="shared" si="6"/>
        <v>2002</v>
      </c>
      <c r="C72" s="20" t="str">
        <f>INDEX(Unitinfo!C:C,MATCH(UnitGradeInfo!B72,Unitinfo!A:A,0))</f>
        <v>(원거리)Slime_Archer</v>
      </c>
      <c r="D72" s="5">
        <f>COUNTIF($B$4:B72,B72)</f>
        <v>4</v>
      </c>
      <c r="E72" s="5">
        <f>ROUNDDOWN(INDEX(ref_Unit_Balance!$G$31:$G$106,MATCH(UnitGradeInfo!B72,ref_Unit_Balance!$B$31:$B$1048576,0))
+INDEX(ref_Unit_Balance!$G$20:$G$23,MATCH(IFERROR(INDEX(ref_Unit_Balance!$D$31:$D$1048576,MATCH(B72,ref_Unit_Balance!$B$31:$B$1048576,0)),0),ref_Unit_Balance!$B$20:$B$23,0))*D72*ref_Unit_Balance!$C$25,0)</f>
        <v>352</v>
      </c>
      <c r="F72" s="5">
        <f>INDEX(ref_Unit_Balance!$V$31:$V$106,MATCH(UnitGradeInfo!B72,ref_Unit_Balance!$B$31:$B$1048576,0))
+
INDEX(ref_Unit_Balance!$AB$31:$AB$106,MATCH(UnitGradeInfo!B72,ref_Unit_Balance!$B$31:$B$1048576,0))*(D72-1)</f>
        <v>1350</v>
      </c>
      <c r="G72" s="5">
        <f>INDEX(ref_Unit_Balance!$R$31:$R$106,MATCH(UnitGradeInfo!B72,ref_Unit_Balance!$B$31:$B$1048576,0))
+
INDEX(ref_Unit_Balance!$AA$31:$AA$106,MATCH(UnitGradeInfo!B72,ref_Unit_Balance!$B$31:$B$1048576,0))*(D72-1)</f>
        <v>84</v>
      </c>
      <c r="H72" s="39">
        <f>IF(INDEX(Unitinfo!D:D,MATCH(UnitGradeInfo!B72,Unitinfo!A:A,0))=1,50,5)</f>
        <v>50</v>
      </c>
      <c r="I72" s="5">
        <f>IF(INDEX(ref_Unit_Balance!$T$31:$T$106,MATCH(UnitGradeInfo!B72,ref_Unit_Balance!$B$31:$B$1048576,0))=0,1,INDEX(ref_Unit_Balance!$T$31:$T$106,MATCH(UnitGradeInfo!B72,ref_Unit_Balance!$B$31:$B$1048576,0)))</f>
        <v>5</v>
      </c>
      <c r="J72" s="5">
        <f>INDEX(ref_Unit_Balance!$S$31:$S$106,MATCH(UnitGradeInfo!B72,ref_Unit_Balance!$B$31:$B$1048576,0))</f>
        <v>500</v>
      </c>
      <c r="K72" s="5">
        <v>0</v>
      </c>
      <c r="L72" s="5">
        <f>INDEX(ref_Unit_Balance!$I$31:$I$106,MATCH(UnitGradeInfo!B72,ref_Unit_Balance!$B$31:$B$1048576,0))</f>
        <v>4</v>
      </c>
      <c r="M72" s="5">
        <f t="shared" si="12"/>
        <v>8</v>
      </c>
      <c r="N72" s="5">
        <f t="shared" si="13"/>
        <v>80</v>
      </c>
      <c r="O72" s="5">
        <f>(INDEX(Unitinfo!I:I,MATCH(B72,Unitinfo!A:A,0))+1)*2</f>
        <v>2</v>
      </c>
      <c r="P72" s="5">
        <v>0</v>
      </c>
      <c r="Q72" s="5">
        <v>0</v>
      </c>
      <c r="R72" s="19" t="s">
        <v>121</v>
      </c>
      <c r="S72" s="19" t="s">
        <v>121</v>
      </c>
      <c r="T72" s="5">
        <f t="shared" si="10"/>
        <v>2002</v>
      </c>
      <c r="U72" s="5">
        <f t="shared" si="11"/>
        <v>1</v>
      </c>
      <c r="V72" s="5">
        <v>0</v>
      </c>
      <c r="W72" s="5">
        <v>10</v>
      </c>
    </row>
    <row r="73" spans="1:23">
      <c r="A73" s="5">
        <f t="shared" si="4"/>
        <v>70</v>
      </c>
      <c r="B73" s="93">
        <f t="shared" si="6"/>
        <v>2002</v>
      </c>
      <c r="C73" s="20" t="str">
        <f>INDEX(Unitinfo!C:C,MATCH(UnitGradeInfo!B73,Unitinfo!A:A,0))</f>
        <v>(원거리)Slime_Archer</v>
      </c>
      <c r="D73" s="5">
        <f>COUNTIF($B$4:B73,B73)</f>
        <v>5</v>
      </c>
      <c r="E73" s="5">
        <f>ROUNDDOWN(INDEX(ref_Unit_Balance!$G$31:$G$106,MATCH(UnitGradeInfo!B73,ref_Unit_Balance!$B$31:$B$1048576,0))
+INDEX(ref_Unit_Balance!$G$20:$G$23,MATCH(IFERROR(INDEX(ref_Unit_Balance!$D$31:$D$1048576,MATCH(B73,ref_Unit_Balance!$B$31:$B$1048576,0)),0),ref_Unit_Balance!$B$20:$B$23,0))*D73*ref_Unit_Balance!$C$25,0)</f>
        <v>402</v>
      </c>
      <c r="F73" s="5">
        <f>INDEX(ref_Unit_Balance!$V$31:$V$106,MATCH(UnitGradeInfo!B73,ref_Unit_Balance!$B$31:$B$1048576,0))
+
INDEX(ref_Unit_Balance!$AB$31:$AB$106,MATCH(UnitGradeInfo!B73,ref_Unit_Balance!$B$31:$B$1048576,0))*(D73-1)</f>
        <v>1500</v>
      </c>
      <c r="G73" s="5">
        <f>INDEX(ref_Unit_Balance!$R$31:$R$106,MATCH(UnitGradeInfo!B73,ref_Unit_Balance!$B$31:$B$1048576,0))
+
INDEX(ref_Unit_Balance!$AA$31:$AA$106,MATCH(UnitGradeInfo!B73,ref_Unit_Balance!$B$31:$B$1048576,0))*(D73-1)</f>
        <v>87</v>
      </c>
      <c r="H73" s="39">
        <f>IF(INDEX(Unitinfo!D:D,MATCH(UnitGradeInfo!B73,Unitinfo!A:A,0))=1,50,5)</f>
        <v>50</v>
      </c>
      <c r="I73" s="5">
        <f>IF(INDEX(ref_Unit_Balance!$T$31:$T$106,MATCH(UnitGradeInfo!B73,ref_Unit_Balance!$B$31:$B$1048576,0))=0,1,INDEX(ref_Unit_Balance!$T$31:$T$106,MATCH(UnitGradeInfo!B73,ref_Unit_Balance!$B$31:$B$1048576,0)))</f>
        <v>5</v>
      </c>
      <c r="J73" s="5">
        <f>INDEX(ref_Unit_Balance!$S$31:$S$106,MATCH(UnitGradeInfo!B73,ref_Unit_Balance!$B$31:$B$1048576,0))</f>
        <v>500</v>
      </c>
      <c r="K73" s="5">
        <v>0</v>
      </c>
      <c r="L73" s="5">
        <f>INDEX(ref_Unit_Balance!$I$31:$I$106,MATCH(UnitGradeInfo!B73,ref_Unit_Balance!$B$31:$B$1048576,0))</f>
        <v>4</v>
      </c>
      <c r="M73" s="5">
        <f t="shared" si="12"/>
        <v>10</v>
      </c>
      <c r="N73" s="5">
        <f t="shared" si="13"/>
        <v>100</v>
      </c>
      <c r="O73" s="5">
        <f>(INDEX(Unitinfo!I:I,MATCH(B73,Unitinfo!A:A,0))+1)*2</f>
        <v>2</v>
      </c>
      <c r="P73" s="5">
        <v>0</v>
      </c>
      <c r="Q73" s="5">
        <v>0</v>
      </c>
      <c r="R73" s="19" t="s">
        <v>121</v>
      </c>
      <c r="S73" s="19" t="s">
        <v>121</v>
      </c>
      <c r="T73" s="5">
        <f t="shared" si="10"/>
        <v>2002</v>
      </c>
      <c r="U73" s="5">
        <f t="shared" si="11"/>
        <v>1</v>
      </c>
      <c r="V73" s="5">
        <v>0</v>
      </c>
      <c r="W73" s="5">
        <v>10</v>
      </c>
    </row>
    <row r="74" spans="1:23">
      <c r="A74" s="5">
        <f t="shared" si="4"/>
        <v>71</v>
      </c>
      <c r="B74" s="93">
        <f t="shared" si="6"/>
        <v>2002</v>
      </c>
      <c r="C74" s="20" t="str">
        <f>INDEX(Unitinfo!C:C,MATCH(UnitGradeInfo!B74,Unitinfo!A:A,0))</f>
        <v>(원거리)Slime_Archer</v>
      </c>
      <c r="D74" s="5">
        <f>COUNTIF($B$4:B74,B74)</f>
        <v>6</v>
      </c>
      <c r="E74" s="5">
        <f>ROUNDDOWN(INDEX(ref_Unit_Balance!$G$31:$G$106,MATCH(UnitGradeInfo!B74,ref_Unit_Balance!$B$31:$B$1048576,0))
+INDEX(ref_Unit_Balance!$G$20:$G$23,MATCH(IFERROR(INDEX(ref_Unit_Balance!$D$31:$D$1048576,MATCH(B74,ref_Unit_Balance!$B$31:$B$1048576,0)),0),ref_Unit_Balance!$B$20:$B$23,0))*D74*ref_Unit_Balance!$C$25,0)</f>
        <v>452</v>
      </c>
      <c r="F74" s="5">
        <f>INDEX(ref_Unit_Balance!$V$31:$V$106,MATCH(UnitGradeInfo!B74,ref_Unit_Balance!$B$31:$B$1048576,0))
+
INDEX(ref_Unit_Balance!$AB$31:$AB$106,MATCH(UnitGradeInfo!B74,ref_Unit_Balance!$B$31:$B$1048576,0))*(D74-1)</f>
        <v>1650</v>
      </c>
      <c r="G74" s="5">
        <f>INDEX(ref_Unit_Balance!$R$31:$R$106,MATCH(UnitGradeInfo!B74,ref_Unit_Balance!$B$31:$B$1048576,0))
+
INDEX(ref_Unit_Balance!$AA$31:$AA$106,MATCH(UnitGradeInfo!B74,ref_Unit_Balance!$B$31:$B$1048576,0))*(D74-1)</f>
        <v>90</v>
      </c>
      <c r="H74" s="39">
        <f>IF(INDEX(Unitinfo!D:D,MATCH(UnitGradeInfo!B74,Unitinfo!A:A,0))=1,50,5)</f>
        <v>50</v>
      </c>
      <c r="I74" s="5">
        <f>IF(INDEX(ref_Unit_Balance!$T$31:$T$106,MATCH(UnitGradeInfo!B74,ref_Unit_Balance!$B$31:$B$1048576,0))=0,1,INDEX(ref_Unit_Balance!$T$31:$T$106,MATCH(UnitGradeInfo!B74,ref_Unit_Balance!$B$31:$B$1048576,0)))</f>
        <v>5</v>
      </c>
      <c r="J74" s="5">
        <f>INDEX(ref_Unit_Balance!$S$31:$S$106,MATCH(UnitGradeInfo!B74,ref_Unit_Balance!$B$31:$B$1048576,0))</f>
        <v>500</v>
      </c>
      <c r="K74" s="5">
        <v>0</v>
      </c>
      <c r="L74" s="5">
        <f>INDEX(ref_Unit_Balance!$I$31:$I$106,MATCH(UnitGradeInfo!B74,ref_Unit_Balance!$B$31:$B$1048576,0))</f>
        <v>4</v>
      </c>
      <c r="M74" s="5">
        <f t="shared" si="12"/>
        <v>12</v>
      </c>
      <c r="N74" s="5">
        <f t="shared" si="13"/>
        <v>120</v>
      </c>
      <c r="O74" s="5">
        <f>(INDEX(Unitinfo!I:I,MATCH(B74,Unitinfo!A:A,0))+1)*2</f>
        <v>2</v>
      </c>
      <c r="P74" s="5">
        <v>0</v>
      </c>
      <c r="Q74" s="5">
        <v>0</v>
      </c>
      <c r="R74" s="19" t="s">
        <v>121</v>
      </c>
      <c r="S74" s="19" t="s">
        <v>121</v>
      </c>
      <c r="T74" s="5">
        <f t="shared" si="10"/>
        <v>2002</v>
      </c>
      <c r="U74" s="5">
        <f t="shared" si="11"/>
        <v>1</v>
      </c>
      <c r="V74" s="5">
        <v>0</v>
      </c>
      <c r="W74" s="5">
        <v>10</v>
      </c>
    </row>
    <row r="75" spans="1:23">
      <c r="A75" s="5">
        <f t="shared" si="4"/>
        <v>72</v>
      </c>
      <c r="B75" s="93">
        <f t="shared" si="6"/>
        <v>2002</v>
      </c>
      <c r="C75" s="20" t="str">
        <f>INDEX(Unitinfo!C:C,MATCH(UnitGradeInfo!B75,Unitinfo!A:A,0))</f>
        <v>(원거리)Slime_Archer</v>
      </c>
      <c r="D75" s="5">
        <f>COUNTIF($B$4:B75,B75)</f>
        <v>7</v>
      </c>
      <c r="E75" s="5">
        <f>ROUNDDOWN(INDEX(ref_Unit_Balance!$G$31:$G$106,MATCH(UnitGradeInfo!B75,ref_Unit_Balance!$B$31:$B$1048576,0))
+INDEX(ref_Unit_Balance!$G$20:$G$23,MATCH(IFERROR(INDEX(ref_Unit_Balance!$D$31:$D$1048576,MATCH(B75,ref_Unit_Balance!$B$31:$B$1048576,0)),0),ref_Unit_Balance!$B$20:$B$23,0))*D75*ref_Unit_Balance!$C$25,0)</f>
        <v>502</v>
      </c>
      <c r="F75" s="5">
        <f>INDEX(ref_Unit_Balance!$V$31:$V$106,MATCH(UnitGradeInfo!B75,ref_Unit_Balance!$B$31:$B$1048576,0))
+
INDEX(ref_Unit_Balance!$AB$31:$AB$106,MATCH(UnitGradeInfo!B75,ref_Unit_Balance!$B$31:$B$1048576,0))*(D75-1)</f>
        <v>1800</v>
      </c>
      <c r="G75" s="5">
        <f>INDEX(ref_Unit_Balance!$R$31:$R$106,MATCH(UnitGradeInfo!B75,ref_Unit_Balance!$B$31:$B$1048576,0))
+
INDEX(ref_Unit_Balance!$AA$31:$AA$106,MATCH(UnitGradeInfo!B75,ref_Unit_Balance!$B$31:$B$1048576,0))*(D75-1)</f>
        <v>93</v>
      </c>
      <c r="H75" s="39">
        <f>IF(INDEX(Unitinfo!D:D,MATCH(UnitGradeInfo!B75,Unitinfo!A:A,0))=1,50,5)</f>
        <v>50</v>
      </c>
      <c r="I75" s="5">
        <f>IF(INDEX(ref_Unit_Balance!$T$31:$T$106,MATCH(UnitGradeInfo!B75,ref_Unit_Balance!$B$31:$B$1048576,0))=0,1,INDEX(ref_Unit_Balance!$T$31:$T$106,MATCH(UnitGradeInfo!B75,ref_Unit_Balance!$B$31:$B$1048576,0)))</f>
        <v>5</v>
      </c>
      <c r="J75" s="5">
        <f>INDEX(ref_Unit_Balance!$S$31:$S$106,MATCH(UnitGradeInfo!B75,ref_Unit_Balance!$B$31:$B$1048576,0))</f>
        <v>500</v>
      </c>
      <c r="K75" s="5">
        <v>0</v>
      </c>
      <c r="L75" s="5">
        <f>INDEX(ref_Unit_Balance!$I$31:$I$106,MATCH(UnitGradeInfo!B75,ref_Unit_Balance!$B$31:$B$1048576,0))</f>
        <v>4</v>
      </c>
      <c r="M75" s="5">
        <f t="shared" si="12"/>
        <v>14</v>
      </c>
      <c r="N75" s="5">
        <f t="shared" si="13"/>
        <v>140</v>
      </c>
      <c r="O75" s="5">
        <f>(INDEX(Unitinfo!I:I,MATCH(B75,Unitinfo!A:A,0))+1)*2</f>
        <v>2</v>
      </c>
      <c r="P75" s="5">
        <v>0</v>
      </c>
      <c r="Q75" s="5">
        <v>0</v>
      </c>
      <c r="R75" s="19" t="s">
        <v>121</v>
      </c>
      <c r="S75" s="19" t="s">
        <v>121</v>
      </c>
      <c r="T75" s="5">
        <f t="shared" si="10"/>
        <v>2002</v>
      </c>
      <c r="U75" s="5">
        <f t="shared" si="11"/>
        <v>1</v>
      </c>
      <c r="V75" s="5">
        <v>0</v>
      </c>
      <c r="W75" s="5">
        <v>10</v>
      </c>
    </row>
    <row r="76" spans="1:23">
      <c r="A76" s="5">
        <f t="shared" si="4"/>
        <v>73</v>
      </c>
      <c r="B76" s="93">
        <f t="shared" si="6"/>
        <v>2002</v>
      </c>
      <c r="C76" s="20" t="str">
        <f>INDEX(Unitinfo!C:C,MATCH(UnitGradeInfo!B76,Unitinfo!A:A,0))</f>
        <v>(원거리)Slime_Archer</v>
      </c>
      <c r="D76" s="5">
        <f>COUNTIF($B$4:B76,B76)</f>
        <v>8</v>
      </c>
      <c r="E76" s="5">
        <f>ROUNDDOWN(INDEX(ref_Unit_Balance!$G$31:$G$106,MATCH(UnitGradeInfo!B76,ref_Unit_Balance!$B$31:$B$1048576,0))
+INDEX(ref_Unit_Balance!$G$20:$G$23,MATCH(IFERROR(INDEX(ref_Unit_Balance!$D$31:$D$1048576,MATCH(B76,ref_Unit_Balance!$B$31:$B$1048576,0)),0),ref_Unit_Balance!$B$20:$B$23,0))*D76*ref_Unit_Balance!$C$25,0)</f>
        <v>552</v>
      </c>
      <c r="F76" s="5">
        <f>INDEX(ref_Unit_Balance!$V$31:$V$106,MATCH(UnitGradeInfo!B76,ref_Unit_Balance!$B$31:$B$1048576,0))
+
INDEX(ref_Unit_Balance!$AB$31:$AB$106,MATCH(UnitGradeInfo!B76,ref_Unit_Balance!$B$31:$B$1048576,0))*(D76-1)</f>
        <v>1950</v>
      </c>
      <c r="G76" s="5">
        <f>INDEX(ref_Unit_Balance!$R$31:$R$106,MATCH(UnitGradeInfo!B76,ref_Unit_Balance!$B$31:$B$1048576,0))
+
INDEX(ref_Unit_Balance!$AA$31:$AA$106,MATCH(UnitGradeInfo!B76,ref_Unit_Balance!$B$31:$B$1048576,0))*(D76-1)</f>
        <v>96</v>
      </c>
      <c r="H76" s="39">
        <f>IF(INDEX(Unitinfo!D:D,MATCH(UnitGradeInfo!B76,Unitinfo!A:A,0))=1,50,5)</f>
        <v>50</v>
      </c>
      <c r="I76" s="5">
        <f>IF(INDEX(ref_Unit_Balance!$T$31:$T$106,MATCH(UnitGradeInfo!B76,ref_Unit_Balance!$B$31:$B$1048576,0))=0,1,INDEX(ref_Unit_Balance!$T$31:$T$106,MATCH(UnitGradeInfo!B76,ref_Unit_Balance!$B$31:$B$1048576,0)))</f>
        <v>5</v>
      </c>
      <c r="J76" s="5">
        <f>INDEX(ref_Unit_Balance!$S$31:$S$106,MATCH(UnitGradeInfo!B76,ref_Unit_Balance!$B$31:$B$1048576,0))</f>
        <v>500</v>
      </c>
      <c r="K76" s="5">
        <v>0</v>
      </c>
      <c r="L76" s="5">
        <f>INDEX(ref_Unit_Balance!$I$31:$I$106,MATCH(UnitGradeInfo!B76,ref_Unit_Balance!$B$31:$B$1048576,0))</f>
        <v>4</v>
      </c>
      <c r="M76" s="5">
        <f t="shared" si="12"/>
        <v>16</v>
      </c>
      <c r="N76" s="5">
        <f t="shared" si="13"/>
        <v>160</v>
      </c>
      <c r="O76" s="5">
        <f>(INDEX(Unitinfo!I:I,MATCH(B76,Unitinfo!A:A,0))+1)*2</f>
        <v>2</v>
      </c>
      <c r="P76" s="5">
        <v>0</v>
      </c>
      <c r="Q76" s="5">
        <v>0</v>
      </c>
      <c r="R76" s="19" t="s">
        <v>121</v>
      </c>
      <c r="S76" s="19" t="s">
        <v>121</v>
      </c>
      <c r="T76" s="5">
        <f t="shared" si="10"/>
        <v>2002</v>
      </c>
      <c r="U76" s="5">
        <f t="shared" si="11"/>
        <v>1</v>
      </c>
      <c r="V76" s="5">
        <v>0</v>
      </c>
      <c r="W76" s="5">
        <v>10</v>
      </c>
    </row>
    <row r="77" spans="1:23">
      <c r="A77" s="5">
        <f t="shared" si="4"/>
        <v>74</v>
      </c>
      <c r="B77" s="93">
        <f t="shared" si="6"/>
        <v>2002</v>
      </c>
      <c r="C77" s="20" t="str">
        <f>INDEX(Unitinfo!C:C,MATCH(UnitGradeInfo!B77,Unitinfo!A:A,0))</f>
        <v>(원거리)Slime_Archer</v>
      </c>
      <c r="D77" s="5">
        <f>COUNTIF($B$4:B77,B77)</f>
        <v>9</v>
      </c>
      <c r="E77" s="5">
        <f>ROUNDDOWN(INDEX(ref_Unit_Balance!$G$31:$G$106,MATCH(UnitGradeInfo!B77,ref_Unit_Balance!$B$31:$B$1048576,0))
+INDEX(ref_Unit_Balance!$G$20:$G$23,MATCH(IFERROR(INDEX(ref_Unit_Balance!$D$31:$D$1048576,MATCH(B77,ref_Unit_Balance!$B$31:$B$1048576,0)),0),ref_Unit_Balance!$B$20:$B$23,0))*D77*ref_Unit_Balance!$C$25,0)</f>
        <v>602</v>
      </c>
      <c r="F77" s="5">
        <f>INDEX(ref_Unit_Balance!$V$31:$V$106,MATCH(UnitGradeInfo!B77,ref_Unit_Balance!$B$31:$B$1048576,0))
+
INDEX(ref_Unit_Balance!$AB$31:$AB$106,MATCH(UnitGradeInfo!B77,ref_Unit_Balance!$B$31:$B$1048576,0))*(D77-1)</f>
        <v>2100</v>
      </c>
      <c r="G77" s="5">
        <f>INDEX(ref_Unit_Balance!$R$31:$R$106,MATCH(UnitGradeInfo!B77,ref_Unit_Balance!$B$31:$B$1048576,0))
+
INDEX(ref_Unit_Balance!$AA$31:$AA$106,MATCH(UnitGradeInfo!B77,ref_Unit_Balance!$B$31:$B$1048576,0))*(D77-1)</f>
        <v>99</v>
      </c>
      <c r="H77" s="39">
        <f>IF(INDEX(Unitinfo!D:D,MATCH(UnitGradeInfo!B77,Unitinfo!A:A,0))=1,50,5)</f>
        <v>50</v>
      </c>
      <c r="I77" s="5">
        <f>IF(INDEX(ref_Unit_Balance!$T$31:$T$106,MATCH(UnitGradeInfo!B77,ref_Unit_Balance!$B$31:$B$1048576,0))=0,1,INDEX(ref_Unit_Balance!$T$31:$T$106,MATCH(UnitGradeInfo!B77,ref_Unit_Balance!$B$31:$B$1048576,0)))</f>
        <v>5</v>
      </c>
      <c r="J77" s="5">
        <f>INDEX(ref_Unit_Balance!$S$31:$S$106,MATCH(UnitGradeInfo!B77,ref_Unit_Balance!$B$31:$B$1048576,0))</f>
        <v>500</v>
      </c>
      <c r="K77" s="5">
        <v>0</v>
      </c>
      <c r="L77" s="5">
        <f>INDEX(ref_Unit_Balance!$I$31:$I$106,MATCH(UnitGradeInfo!B77,ref_Unit_Balance!$B$31:$B$1048576,0))</f>
        <v>4</v>
      </c>
      <c r="M77" s="5">
        <f t="shared" si="12"/>
        <v>18</v>
      </c>
      <c r="N77" s="5">
        <f t="shared" si="13"/>
        <v>180</v>
      </c>
      <c r="O77" s="5">
        <f>(INDEX(Unitinfo!I:I,MATCH(B77,Unitinfo!A:A,0))+1)*2</f>
        <v>2</v>
      </c>
      <c r="P77" s="5">
        <v>0</v>
      </c>
      <c r="Q77" s="5">
        <v>0</v>
      </c>
      <c r="R77" s="19" t="s">
        <v>121</v>
      </c>
      <c r="S77" s="19" t="s">
        <v>121</v>
      </c>
      <c r="T77" s="5">
        <f t="shared" si="10"/>
        <v>2002</v>
      </c>
      <c r="U77" s="5">
        <f t="shared" si="11"/>
        <v>1</v>
      </c>
      <c r="V77" s="5">
        <v>0</v>
      </c>
      <c r="W77" s="5">
        <v>10</v>
      </c>
    </row>
    <row r="78" spans="1:23">
      <c r="A78" s="5">
        <f t="shared" si="4"/>
        <v>75</v>
      </c>
      <c r="B78" s="93">
        <f t="shared" si="6"/>
        <v>2002</v>
      </c>
      <c r="C78" s="20" t="str">
        <f>INDEX(Unitinfo!C:C,MATCH(UnitGradeInfo!B78,Unitinfo!A:A,0))</f>
        <v>(원거리)Slime_Archer</v>
      </c>
      <c r="D78" s="5">
        <f>COUNTIF($B$4:B78,B78)</f>
        <v>10</v>
      </c>
      <c r="E78" s="5">
        <f>ROUNDDOWN(INDEX(ref_Unit_Balance!$G$31:$G$106,MATCH(UnitGradeInfo!B78,ref_Unit_Balance!$B$31:$B$1048576,0))
+INDEX(ref_Unit_Balance!$G$20:$G$23,MATCH(IFERROR(INDEX(ref_Unit_Balance!$D$31:$D$1048576,MATCH(B78,ref_Unit_Balance!$B$31:$B$1048576,0)),0),ref_Unit_Balance!$B$20:$B$23,0))*D78*ref_Unit_Balance!$C$25,0)</f>
        <v>652</v>
      </c>
      <c r="F78" s="5">
        <f>INDEX(ref_Unit_Balance!$V$31:$V$106,MATCH(UnitGradeInfo!B78,ref_Unit_Balance!$B$31:$B$1048576,0))
+
INDEX(ref_Unit_Balance!$AB$31:$AB$106,MATCH(UnitGradeInfo!B78,ref_Unit_Balance!$B$31:$B$1048576,0))*(D78-1)</f>
        <v>2250</v>
      </c>
      <c r="G78" s="5">
        <f>INDEX(ref_Unit_Balance!$R$31:$R$106,MATCH(UnitGradeInfo!B78,ref_Unit_Balance!$B$31:$B$1048576,0))
+
INDEX(ref_Unit_Balance!$AA$31:$AA$106,MATCH(UnitGradeInfo!B78,ref_Unit_Balance!$B$31:$B$1048576,0))*(D78-1)</f>
        <v>102</v>
      </c>
      <c r="H78" s="39">
        <f>IF(INDEX(Unitinfo!D:D,MATCH(UnitGradeInfo!B78,Unitinfo!A:A,0))=1,50,5)</f>
        <v>50</v>
      </c>
      <c r="I78" s="5">
        <f>IF(INDEX(ref_Unit_Balance!$T$31:$T$106,MATCH(UnitGradeInfo!B78,ref_Unit_Balance!$B$31:$B$1048576,0))=0,1,INDEX(ref_Unit_Balance!$T$31:$T$106,MATCH(UnitGradeInfo!B78,ref_Unit_Balance!$B$31:$B$1048576,0)))</f>
        <v>5</v>
      </c>
      <c r="J78" s="5">
        <f>INDEX(ref_Unit_Balance!$S$31:$S$106,MATCH(UnitGradeInfo!B78,ref_Unit_Balance!$B$31:$B$1048576,0))</f>
        <v>500</v>
      </c>
      <c r="K78" s="5">
        <v>0</v>
      </c>
      <c r="L78" s="5">
        <f>INDEX(ref_Unit_Balance!$I$31:$I$106,MATCH(UnitGradeInfo!B78,ref_Unit_Balance!$B$31:$B$1048576,0))</f>
        <v>4</v>
      </c>
      <c r="M78" s="5">
        <f t="shared" si="12"/>
        <v>20</v>
      </c>
      <c r="N78" s="5">
        <f t="shared" si="13"/>
        <v>200</v>
      </c>
      <c r="O78" s="5">
        <f>(INDEX(Unitinfo!I:I,MATCH(B78,Unitinfo!A:A,0))+1)*2</f>
        <v>2</v>
      </c>
      <c r="P78" s="5">
        <v>0</v>
      </c>
      <c r="Q78" s="5">
        <v>0</v>
      </c>
      <c r="R78" s="19" t="s">
        <v>121</v>
      </c>
      <c r="S78" s="19" t="s">
        <v>121</v>
      </c>
      <c r="T78" s="5">
        <f t="shared" si="10"/>
        <v>2002</v>
      </c>
      <c r="U78" s="5">
        <f t="shared" si="11"/>
        <v>1</v>
      </c>
      <c r="V78" s="5">
        <v>0</v>
      </c>
      <c r="W78" s="5">
        <v>10</v>
      </c>
    </row>
    <row r="79" spans="1:23">
      <c r="A79" s="5">
        <f t="shared" si="4"/>
        <v>76</v>
      </c>
      <c r="B79" s="93">
        <f t="shared" si="6"/>
        <v>2002</v>
      </c>
      <c r="C79" s="20" t="str">
        <f>INDEX(Unitinfo!C:C,MATCH(UnitGradeInfo!B79,Unitinfo!A:A,0))</f>
        <v>(원거리)Slime_Archer</v>
      </c>
      <c r="D79" s="5">
        <f>COUNTIF($B$4:B79,B79)</f>
        <v>11</v>
      </c>
      <c r="E79" s="5">
        <f>ROUNDDOWN(INDEX(ref_Unit_Balance!$G$31:$G$106,MATCH(UnitGradeInfo!B79,ref_Unit_Balance!$B$31:$B$1048576,0))
+INDEX(ref_Unit_Balance!$G$20:$G$23,MATCH(IFERROR(INDEX(ref_Unit_Balance!$D$31:$D$1048576,MATCH(B79,ref_Unit_Balance!$B$31:$B$1048576,0)),0),ref_Unit_Balance!$B$20:$B$23,0))*D79*ref_Unit_Balance!$C$25,0)</f>
        <v>702</v>
      </c>
      <c r="F79" s="5">
        <f>INDEX(ref_Unit_Balance!$V$31:$V$106,MATCH(UnitGradeInfo!B79,ref_Unit_Balance!$B$31:$B$1048576,0))
+
INDEX(ref_Unit_Balance!$AB$31:$AB$106,MATCH(UnitGradeInfo!B79,ref_Unit_Balance!$B$31:$B$1048576,0))*(D79-1)</f>
        <v>2400</v>
      </c>
      <c r="G79" s="5">
        <f>INDEX(ref_Unit_Balance!$R$31:$R$106,MATCH(UnitGradeInfo!B79,ref_Unit_Balance!$B$31:$B$1048576,0))
+
INDEX(ref_Unit_Balance!$AA$31:$AA$106,MATCH(UnitGradeInfo!B79,ref_Unit_Balance!$B$31:$B$1048576,0))*(D79-1)</f>
        <v>105</v>
      </c>
      <c r="H79" s="39">
        <f>IF(INDEX(Unitinfo!D:D,MATCH(UnitGradeInfo!B79,Unitinfo!A:A,0))=1,50,5)</f>
        <v>50</v>
      </c>
      <c r="I79" s="5">
        <f>IF(INDEX(ref_Unit_Balance!$T$31:$T$106,MATCH(UnitGradeInfo!B79,ref_Unit_Balance!$B$31:$B$1048576,0))=0,1,INDEX(ref_Unit_Balance!$T$31:$T$106,MATCH(UnitGradeInfo!B79,ref_Unit_Balance!$B$31:$B$1048576,0)))</f>
        <v>5</v>
      </c>
      <c r="J79" s="5">
        <f>INDEX(ref_Unit_Balance!$S$31:$S$106,MATCH(UnitGradeInfo!B79,ref_Unit_Balance!$B$31:$B$1048576,0))</f>
        <v>500</v>
      </c>
      <c r="K79" s="5">
        <v>0</v>
      </c>
      <c r="L79" s="5">
        <f>INDEX(ref_Unit_Balance!$I$31:$I$106,MATCH(UnitGradeInfo!B79,ref_Unit_Balance!$B$31:$B$1048576,0))</f>
        <v>4</v>
      </c>
      <c r="M79" s="5">
        <f t="shared" si="12"/>
        <v>22</v>
      </c>
      <c r="N79" s="5">
        <f t="shared" si="13"/>
        <v>220</v>
      </c>
      <c r="O79" s="5">
        <f>(INDEX(Unitinfo!I:I,MATCH(B79,Unitinfo!A:A,0))+1)*2</f>
        <v>2</v>
      </c>
      <c r="P79" s="5">
        <v>0</v>
      </c>
      <c r="Q79" s="5">
        <v>0</v>
      </c>
      <c r="R79" s="19" t="s">
        <v>121</v>
      </c>
      <c r="S79" s="19" t="s">
        <v>121</v>
      </c>
      <c r="T79" s="5">
        <f t="shared" si="10"/>
        <v>2002</v>
      </c>
      <c r="U79" s="5">
        <f t="shared" si="11"/>
        <v>1</v>
      </c>
      <c r="V79" s="5">
        <v>0</v>
      </c>
      <c r="W79" s="5">
        <v>10</v>
      </c>
    </row>
    <row r="80" spans="1:23">
      <c r="A80" s="5">
        <f t="shared" si="4"/>
        <v>77</v>
      </c>
      <c r="B80" s="93">
        <f t="shared" si="6"/>
        <v>2002</v>
      </c>
      <c r="C80" s="20" t="str">
        <f>INDEX(Unitinfo!C:C,MATCH(UnitGradeInfo!B80,Unitinfo!A:A,0))</f>
        <v>(원거리)Slime_Archer</v>
      </c>
      <c r="D80" s="5">
        <f>COUNTIF($B$4:B80,B80)</f>
        <v>12</v>
      </c>
      <c r="E80" s="5">
        <f>ROUNDDOWN(INDEX(ref_Unit_Balance!$G$31:$G$106,MATCH(UnitGradeInfo!B80,ref_Unit_Balance!$B$31:$B$1048576,0))
+INDEX(ref_Unit_Balance!$G$20:$G$23,MATCH(IFERROR(INDEX(ref_Unit_Balance!$D$31:$D$1048576,MATCH(B80,ref_Unit_Balance!$B$31:$B$1048576,0)),0),ref_Unit_Balance!$B$20:$B$23,0))*D80*ref_Unit_Balance!$C$25,0)</f>
        <v>752</v>
      </c>
      <c r="F80" s="5">
        <f>INDEX(ref_Unit_Balance!$V$31:$V$106,MATCH(UnitGradeInfo!B80,ref_Unit_Balance!$B$31:$B$1048576,0))
+
INDEX(ref_Unit_Balance!$AB$31:$AB$106,MATCH(UnitGradeInfo!B80,ref_Unit_Balance!$B$31:$B$1048576,0))*(D80-1)</f>
        <v>2550</v>
      </c>
      <c r="G80" s="5">
        <f>INDEX(ref_Unit_Balance!$R$31:$R$106,MATCH(UnitGradeInfo!B80,ref_Unit_Balance!$B$31:$B$1048576,0))
+
INDEX(ref_Unit_Balance!$AA$31:$AA$106,MATCH(UnitGradeInfo!B80,ref_Unit_Balance!$B$31:$B$1048576,0))*(D80-1)</f>
        <v>108</v>
      </c>
      <c r="H80" s="39">
        <f>IF(INDEX(Unitinfo!D:D,MATCH(UnitGradeInfo!B80,Unitinfo!A:A,0))=1,50,5)</f>
        <v>50</v>
      </c>
      <c r="I80" s="5">
        <f>IF(INDEX(ref_Unit_Balance!$T$31:$T$106,MATCH(UnitGradeInfo!B80,ref_Unit_Balance!$B$31:$B$1048576,0))=0,1,INDEX(ref_Unit_Balance!$T$31:$T$106,MATCH(UnitGradeInfo!B80,ref_Unit_Balance!$B$31:$B$1048576,0)))</f>
        <v>5</v>
      </c>
      <c r="J80" s="5">
        <f>INDEX(ref_Unit_Balance!$S$31:$S$106,MATCH(UnitGradeInfo!B80,ref_Unit_Balance!$B$31:$B$1048576,0))</f>
        <v>500</v>
      </c>
      <c r="K80" s="5">
        <v>0</v>
      </c>
      <c r="L80" s="5">
        <f>INDEX(ref_Unit_Balance!$I$31:$I$106,MATCH(UnitGradeInfo!B80,ref_Unit_Balance!$B$31:$B$1048576,0))</f>
        <v>4</v>
      </c>
      <c r="M80" s="5">
        <f t="shared" si="12"/>
        <v>24</v>
      </c>
      <c r="N80" s="5">
        <f t="shared" si="13"/>
        <v>240</v>
      </c>
      <c r="O80" s="5">
        <f>(INDEX(Unitinfo!I:I,MATCH(B80,Unitinfo!A:A,0))+1)*2</f>
        <v>2</v>
      </c>
      <c r="P80" s="5">
        <v>0</v>
      </c>
      <c r="Q80" s="5">
        <v>0</v>
      </c>
      <c r="R80" s="19" t="s">
        <v>121</v>
      </c>
      <c r="S80" s="19" t="s">
        <v>121</v>
      </c>
      <c r="T80" s="5">
        <f t="shared" si="10"/>
        <v>2002</v>
      </c>
      <c r="U80" s="5">
        <f t="shared" si="11"/>
        <v>1</v>
      </c>
      <c r="V80" s="5">
        <v>0</v>
      </c>
      <c r="W80" s="5">
        <v>10</v>
      </c>
    </row>
    <row r="81" spans="1:23">
      <c r="A81" s="5">
        <f t="shared" si="4"/>
        <v>78</v>
      </c>
      <c r="B81" s="93">
        <f t="shared" si="6"/>
        <v>2002</v>
      </c>
      <c r="C81" s="20" t="str">
        <f>INDEX(Unitinfo!C:C,MATCH(UnitGradeInfo!B81,Unitinfo!A:A,0))</f>
        <v>(원거리)Slime_Archer</v>
      </c>
      <c r="D81" s="5">
        <f>COUNTIF($B$4:B81,B81)</f>
        <v>13</v>
      </c>
      <c r="E81" s="5">
        <f>ROUNDDOWN(INDEX(ref_Unit_Balance!$G$31:$G$106,MATCH(UnitGradeInfo!B81,ref_Unit_Balance!$B$31:$B$1048576,0))
+INDEX(ref_Unit_Balance!$G$20:$G$23,MATCH(IFERROR(INDEX(ref_Unit_Balance!$D$31:$D$1048576,MATCH(B81,ref_Unit_Balance!$B$31:$B$1048576,0)),0),ref_Unit_Balance!$B$20:$B$23,0))*D81*ref_Unit_Balance!$C$25,0)</f>
        <v>802</v>
      </c>
      <c r="F81" s="5">
        <f>INDEX(ref_Unit_Balance!$V$31:$V$106,MATCH(UnitGradeInfo!B81,ref_Unit_Balance!$B$31:$B$1048576,0))
+
INDEX(ref_Unit_Balance!$AB$31:$AB$106,MATCH(UnitGradeInfo!B81,ref_Unit_Balance!$B$31:$B$1048576,0))*(D81-1)</f>
        <v>2700</v>
      </c>
      <c r="G81" s="5">
        <f>INDEX(ref_Unit_Balance!$R$31:$R$106,MATCH(UnitGradeInfo!B81,ref_Unit_Balance!$B$31:$B$1048576,0))
+
INDEX(ref_Unit_Balance!$AA$31:$AA$106,MATCH(UnitGradeInfo!B81,ref_Unit_Balance!$B$31:$B$1048576,0))*(D81-1)</f>
        <v>111</v>
      </c>
      <c r="H81" s="39">
        <f>IF(INDEX(Unitinfo!D:D,MATCH(UnitGradeInfo!B81,Unitinfo!A:A,0))=1,50,5)</f>
        <v>50</v>
      </c>
      <c r="I81" s="5">
        <f>IF(INDEX(ref_Unit_Balance!$T$31:$T$106,MATCH(UnitGradeInfo!B81,ref_Unit_Balance!$B$31:$B$1048576,0))=0,1,INDEX(ref_Unit_Balance!$T$31:$T$106,MATCH(UnitGradeInfo!B81,ref_Unit_Balance!$B$31:$B$1048576,0)))</f>
        <v>5</v>
      </c>
      <c r="J81" s="5">
        <f>INDEX(ref_Unit_Balance!$S$31:$S$106,MATCH(UnitGradeInfo!B81,ref_Unit_Balance!$B$31:$B$1048576,0))</f>
        <v>500</v>
      </c>
      <c r="K81" s="5">
        <v>0</v>
      </c>
      <c r="L81" s="5">
        <f>INDEX(ref_Unit_Balance!$I$31:$I$106,MATCH(UnitGradeInfo!B81,ref_Unit_Balance!$B$31:$B$1048576,0))</f>
        <v>4</v>
      </c>
      <c r="M81" s="5">
        <f t="shared" si="12"/>
        <v>26</v>
      </c>
      <c r="N81" s="5">
        <f t="shared" si="13"/>
        <v>260</v>
      </c>
      <c r="O81" s="5">
        <f>(INDEX(Unitinfo!I:I,MATCH(B81,Unitinfo!A:A,0))+1)*2</f>
        <v>2</v>
      </c>
      <c r="P81" s="5">
        <v>0</v>
      </c>
      <c r="Q81" s="5">
        <v>0</v>
      </c>
      <c r="R81" s="19" t="s">
        <v>121</v>
      </c>
      <c r="S81" s="19" t="s">
        <v>121</v>
      </c>
      <c r="T81" s="5">
        <f t="shared" si="10"/>
        <v>2002</v>
      </c>
      <c r="U81" s="5">
        <f t="shared" si="11"/>
        <v>1</v>
      </c>
      <c r="V81" s="5">
        <v>0</v>
      </c>
      <c r="W81" s="5">
        <v>10</v>
      </c>
    </row>
    <row r="82" spans="1:23">
      <c r="A82" s="5">
        <f t="shared" si="4"/>
        <v>79</v>
      </c>
      <c r="B82" s="93">
        <f t="shared" si="6"/>
        <v>2002</v>
      </c>
      <c r="C82" s="20" t="str">
        <f>INDEX(Unitinfo!C:C,MATCH(UnitGradeInfo!B82,Unitinfo!A:A,0))</f>
        <v>(원거리)Slime_Archer</v>
      </c>
      <c r="D82" s="5">
        <f>COUNTIF($B$4:B82,B82)</f>
        <v>14</v>
      </c>
      <c r="E82" s="5">
        <f>ROUNDDOWN(INDEX(ref_Unit_Balance!$G$31:$G$106,MATCH(UnitGradeInfo!B82,ref_Unit_Balance!$B$31:$B$1048576,0))
+INDEX(ref_Unit_Balance!$G$20:$G$23,MATCH(IFERROR(INDEX(ref_Unit_Balance!$D$31:$D$1048576,MATCH(B82,ref_Unit_Balance!$B$31:$B$1048576,0)),0),ref_Unit_Balance!$B$20:$B$23,0))*D82*ref_Unit_Balance!$C$25,0)</f>
        <v>852</v>
      </c>
      <c r="F82" s="5">
        <f>INDEX(ref_Unit_Balance!$V$31:$V$106,MATCH(UnitGradeInfo!B82,ref_Unit_Balance!$B$31:$B$1048576,0))
+
INDEX(ref_Unit_Balance!$AB$31:$AB$106,MATCH(UnitGradeInfo!B82,ref_Unit_Balance!$B$31:$B$1048576,0))*(D82-1)</f>
        <v>2850</v>
      </c>
      <c r="G82" s="5">
        <f>INDEX(ref_Unit_Balance!$R$31:$R$106,MATCH(UnitGradeInfo!B82,ref_Unit_Balance!$B$31:$B$1048576,0))
+
INDEX(ref_Unit_Balance!$AA$31:$AA$106,MATCH(UnitGradeInfo!B82,ref_Unit_Balance!$B$31:$B$1048576,0))*(D82-1)</f>
        <v>114</v>
      </c>
      <c r="H82" s="39">
        <f>IF(INDEX(Unitinfo!D:D,MATCH(UnitGradeInfo!B82,Unitinfo!A:A,0))=1,50,5)</f>
        <v>50</v>
      </c>
      <c r="I82" s="5">
        <f>IF(INDEX(ref_Unit_Balance!$T$31:$T$106,MATCH(UnitGradeInfo!B82,ref_Unit_Balance!$B$31:$B$1048576,0))=0,1,INDEX(ref_Unit_Balance!$T$31:$T$106,MATCH(UnitGradeInfo!B82,ref_Unit_Balance!$B$31:$B$1048576,0)))</f>
        <v>5</v>
      </c>
      <c r="J82" s="5">
        <f>INDEX(ref_Unit_Balance!$S$31:$S$106,MATCH(UnitGradeInfo!B82,ref_Unit_Balance!$B$31:$B$1048576,0))</f>
        <v>500</v>
      </c>
      <c r="K82" s="5">
        <v>0</v>
      </c>
      <c r="L82" s="5">
        <f>INDEX(ref_Unit_Balance!$I$31:$I$106,MATCH(UnitGradeInfo!B82,ref_Unit_Balance!$B$31:$B$1048576,0))</f>
        <v>4</v>
      </c>
      <c r="M82" s="5">
        <f t="shared" si="12"/>
        <v>28</v>
      </c>
      <c r="N82" s="5">
        <f t="shared" si="13"/>
        <v>280</v>
      </c>
      <c r="O82" s="5">
        <f>(INDEX(Unitinfo!I:I,MATCH(B82,Unitinfo!A:A,0))+1)*2</f>
        <v>2</v>
      </c>
      <c r="P82" s="5">
        <v>0</v>
      </c>
      <c r="Q82" s="5">
        <v>0</v>
      </c>
      <c r="R82" s="19" t="s">
        <v>121</v>
      </c>
      <c r="S82" s="19" t="s">
        <v>121</v>
      </c>
      <c r="T82" s="5">
        <f t="shared" si="10"/>
        <v>2002</v>
      </c>
      <c r="U82" s="5">
        <f t="shared" si="11"/>
        <v>1</v>
      </c>
      <c r="V82" s="5">
        <v>0</v>
      </c>
      <c r="W82" s="5">
        <v>10</v>
      </c>
    </row>
    <row r="83" spans="1:23">
      <c r="A83" s="5">
        <f t="shared" si="4"/>
        <v>80</v>
      </c>
      <c r="B83" s="93">
        <f t="shared" si="6"/>
        <v>2002</v>
      </c>
      <c r="C83" s="20" t="str">
        <f>INDEX(Unitinfo!C:C,MATCH(UnitGradeInfo!B83,Unitinfo!A:A,0))</f>
        <v>(원거리)Slime_Archer</v>
      </c>
      <c r="D83" s="5">
        <f>COUNTIF($B$4:B83,B83)</f>
        <v>15</v>
      </c>
      <c r="E83" s="5">
        <f>ROUNDDOWN(INDEX(ref_Unit_Balance!$G$31:$G$106,MATCH(UnitGradeInfo!B83,ref_Unit_Balance!$B$31:$B$1048576,0))
+INDEX(ref_Unit_Balance!$G$20:$G$23,MATCH(IFERROR(INDEX(ref_Unit_Balance!$D$31:$D$1048576,MATCH(B83,ref_Unit_Balance!$B$31:$B$1048576,0)),0),ref_Unit_Balance!$B$20:$B$23,0))*D83*ref_Unit_Balance!$C$25,0)</f>
        <v>902</v>
      </c>
      <c r="F83" s="5">
        <f>INDEX(ref_Unit_Balance!$V$31:$V$106,MATCH(UnitGradeInfo!B83,ref_Unit_Balance!$B$31:$B$1048576,0))
+
INDEX(ref_Unit_Balance!$AB$31:$AB$106,MATCH(UnitGradeInfo!B83,ref_Unit_Balance!$B$31:$B$1048576,0))*(D83-1)</f>
        <v>3000</v>
      </c>
      <c r="G83" s="5">
        <f>INDEX(ref_Unit_Balance!$R$31:$R$106,MATCH(UnitGradeInfo!B83,ref_Unit_Balance!$B$31:$B$1048576,0))
+
INDEX(ref_Unit_Balance!$AA$31:$AA$106,MATCH(UnitGradeInfo!B83,ref_Unit_Balance!$B$31:$B$1048576,0))*(D83-1)</f>
        <v>117</v>
      </c>
      <c r="H83" s="39">
        <f>IF(INDEX(Unitinfo!D:D,MATCH(UnitGradeInfo!B83,Unitinfo!A:A,0))=1,50,5)</f>
        <v>50</v>
      </c>
      <c r="I83" s="5">
        <f>IF(INDEX(ref_Unit_Balance!$T$31:$T$106,MATCH(UnitGradeInfo!B83,ref_Unit_Balance!$B$31:$B$1048576,0))=0,1,INDEX(ref_Unit_Balance!$T$31:$T$106,MATCH(UnitGradeInfo!B83,ref_Unit_Balance!$B$31:$B$1048576,0)))</f>
        <v>5</v>
      </c>
      <c r="J83" s="5">
        <f>INDEX(ref_Unit_Balance!$S$31:$S$106,MATCH(UnitGradeInfo!B83,ref_Unit_Balance!$B$31:$B$1048576,0))</f>
        <v>500</v>
      </c>
      <c r="K83" s="5">
        <v>0</v>
      </c>
      <c r="L83" s="5">
        <f>INDEX(ref_Unit_Balance!$I$31:$I$106,MATCH(UnitGradeInfo!B83,ref_Unit_Balance!$B$31:$B$1048576,0))</f>
        <v>4</v>
      </c>
      <c r="M83" s="5">
        <f t="shared" si="12"/>
        <v>30</v>
      </c>
      <c r="N83" s="5">
        <f t="shared" si="13"/>
        <v>300</v>
      </c>
      <c r="O83" s="5">
        <f>(INDEX(Unitinfo!I:I,MATCH(B83,Unitinfo!A:A,0))+1)*2</f>
        <v>2</v>
      </c>
      <c r="P83" s="5">
        <v>0</v>
      </c>
      <c r="Q83" s="5">
        <v>0</v>
      </c>
      <c r="R83" s="19" t="s">
        <v>121</v>
      </c>
      <c r="S83" s="19" t="s">
        <v>121</v>
      </c>
      <c r="T83" s="5">
        <f t="shared" si="10"/>
        <v>2002</v>
      </c>
      <c r="U83" s="5">
        <f t="shared" si="11"/>
        <v>1</v>
      </c>
      <c r="V83" s="5">
        <v>0</v>
      </c>
      <c r="W83" s="5">
        <v>10</v>
      </c>
    </row>
    <row r="84" spans="1:23">
      <c r="A84" s="5">
        <f t="shared" si="4"/>
        <v>81</v>
      </c>
      <c r="B84" s="93">
        <f t="shared" si="6"/>
        <v>2002</v>
      </c>
      <c r="C84" s="20" t="str">
        <f>INDEX(Unitinfo!C:C,MATCH(UnitGradeInfo!B84,Unitinfo!A:A,0))</f>
        <v>(원거리)Slime_Archer</v>
      </c>
      <c r="D84" s="5">
        <f>COUNTIF($B$4:B84,B84)</f>
        <v>16</v>
      </c>
      <c r="E84" s="5">
        <f>ROUNDDOWN(INDEX(ref_Unit_Balance!$G$31:$G$106,MATCH(UnitGradeInfo!B84,ref_Unit_Balance!$B$31:$B$1048576,0))
+INDEX(ref_Unit_Balance!$G$20:$G$23,MATCH(IFERROR(INDEX(ref_Unit_Balance!$D$31:$D$1048576,MATCH(B84,ref_Unit_Balance!$B$31:$B$1048576,0)),0),ref_Unit_Balance!$B$20:$B$23,0))*D84*ref_Unit_Balance!$C$25,0)</f>
        <v>952</v>
      </c>
      <c r="F84" s="5">
        <f>INDEX(ref_Unit_Balance!$V$31:$V$106,MATCH(UnitGradeInfo!B84,ref_Unit_Balance!$B$31:$B$1048576,0))
+
INDEX(ref_Unit_Balance!$AB$31:$AB$106,MATCH(UnitGradeInfo!B84,ref_Unit_Balance!$B$31:$B$1048576,0))*(D84-1)</f>
        <v>3150</v>
      </c>
      <c r="G84" s="5">
        <f>INDEX(ref_Unit_Balance!$R$31:$R$106,MATCH(UnitGradeInfo!B84,ref_Unit_Balance!$B$31:$B$1048576,0))
+
INDEX(ref_Unit_Balance!$AA$31:$AA$106,MATCH(UnitGradeInfo!B84,ref_Unit_Balance!$B$31:$B$1048576,0))*(D84-1)</f>
        <v>120</v>
      </c>
      <c r="H84" s="39">
        <f>IF(INDEX(Unitinfo!D:D,MATCH(UnitGradeInfo!B84,Unitinfo!A:A,0))=1,50,5)</f>
        <v>50</v>
      </c>
      <c r="I84" s="5">
        <f>IF(INDEX(ref_Unit_Balance!$T$31:$T$106,MATCH(UnitGradeInfo!B84,ref_Unit_Balance!$B$31:$B$1048576,0))=0,1,INDEX(ref_Unit_Balance!$T$31:$T$106,MATCH(UnitGradeInfo!B84,ref_Unit_Balance!$B$31:$B$1048576,0)))</f>
        <v>5</v>
      </c>
      <c r="J84" s="5">
        <f>INDEX(ref_Unit_Balance!$S$31:$S$106,MATCH(UnitGradeInfo!B84,ref_Unit_Balance!$B$31:$B$1048576,0))</f>
        <v>500</v>
      </c>
      <c r="K84" s="5">
        <v>0</v>
      </c>
      <c r="L84" s="5">
        <f>INDEX(ref_Unit_Balance!$I$31:$I$106,MATCH(UnitGradeInfo!B84,ref_Unit_Balance!$B$31:$B$1048576,0))</f>
        <v>4</v>
      </c>
      <c r="M84" s="5">
        <f t="shared" si="12"/>
        <v>32</v>
      </c>
      <c r="N84" s="5">
        <f t="shared" si="13"/>
        <v>320</v>
      </c>
      <c r="O84" s="5">
        <f>(INDEX(Unitinfo!I:I,MATCH(B84,Unitinfo!A:A,0))+1)*2</f>
        <v>2</v>
      </c>
      <c r="P84" s="5">
        <v>0</v>
      </c>
      <c r="Q84" s="5">
        <v>0</v>
      </c>
      <c r="R84" s="19" t="s">
        <v>121</v>
      </c>
      <c r="S84" s="19" t="s">
        <v>121</v>
      </c>
      <c r="T84" s="5">
        <f t="shared" si="10"/>
        <v>2002</v>
      </c>
      <c r="U84" s="5">
        <f t="shared" si="11"/>
        <v>1</v>
      </c>
      <c r="V84" s="5">
        <v>0</v>
      </c>
      <c r="W84" s="5">
        <v>10</v>
      </c>
    </row>
    <row r="85" spans="1:23">
      <c r="A85" s="5">
        <f t="shared" si="4"/>
        <v>82</v>
      </c>
      <c r="B85" s="93">
        <f t="shared" si="6"/>
        <v>2002</v>
      </c>
      <c r="C85" s="20" t="str">
        <f>INDEX(Unitinfo!C:C,MATCH(UnitGradeInfo!B85,Unitinfo!A:A,0))</f>
        <v>(원거리)Slime_Archer</v>
      </c>
      <c r="D85" s="5">
        <f>COUNTIF($B$4:B85,B85)</f>
        <v>17</v>
      </c>
      <c r="E85" s="5">
        <f>ROUNDDOWN(INDEX(ref_Unit_Balance!$G$31:$G$106,MATCH(UnitGradeInfo!B85,ref_Unit_Balance!$B$31:$B$1048576,0))
+INDEX(ref_Unit_Balance!$G$20:$G$23,MATCH(IFERROR(INDEX(ref_Unit_Balance!$D$31:$D$1048576,MATCH(B85,ref_Unit_Balance!$B$31:$B$1048576,0)),0),ref_Unit_Balance!$B$20:$B$23,0))*D85*ref_Unit_Balance!$C$25,0)</f>
        <v>1002</v>
      </c>
      <c r="F85" s="5">
        <f>INDEX(ref_Unit_Balance!$V$31:$V$106,MATCH(UnitGradeInfo!B85,ref_Unit_Balance!$B$31:$B$1048576,0))
+
INDEX(ref_Unit_Balance!$AB$31:$AB$106,MATCH(UnitGradeInfo!B85,ref_Unit_Balance!$B$31:$B$1048576,0))*(D85-1)</f>
        <v>3300</v>
      </c>
      <c r="G85" s="5">
        <f>INDEX(ref_Unit_Balance!$R$31:$R$106,MATCH(UnitGradeInfo!B85,ref_Unit_Balance!$B$31:$B$1048576,0))
+
INDEX(ref_Unit_Balance!$AA$31:$AA$106,MATCH(UnitGradeInfo!B85,ref_Unit_Balance!$B$31:$B$1048576,0))*(D85-1)</f>
        <v>123</v>
      </c>
      <c r="H85" s="39">
        <f>IF(INDEX(Unitinfo!D:D,MATCH(UnitGradeInfo!B85,Unitinfo!A:A,0))=1,50,5)</f>
        <v>50</v>
      </c>
      <c r="I85" s="5">
        <f>IF(INDEX(ref_Unit_Balance!$T$31:$T$106,MATCH(UnitGradeInfo!B85,ref_Unit_Balance!$B$31:$B$1048576,0))=0,1,INDEX(ref_Unit_Balance!$T$31:$T$106,MATCH(UnitGradeInfo!B85,ref_Unit_Balance!$B$31:$B$1048576,0)))</f>
        <v>5</v>
      </c>
      <c r="J85" s="5">
        <f>INDEX(ref_Unit_Balance!$S$31:$S$106,MATCH(UnitGradeInfo!B85,ref_Unit_Balance!$B$31:$B$1048576,0))</f>
        <v>500</v>
      </c>
      <c r="K85" s="5">
        <v>0</v>
      </c>
      <c r="L85" s="5">
        <f>INDEX(ref_Unit_Balance!$I$31:$I$106,MATCH(UnitGradeInfo!B85,ref_Unit_Balance!$B$31:$B$1048576,0))</f>
        <v>4</v>
      </c>
      <c r="M85" s="5">
        <f t="shared" si="12"/>
        <v>34</v>
      </c>
      <c r="N85" s="5">
        <f t="shared" si="13"/>
        <v>340</v>
      </c>
      <c r="O85" s="5">
        <f>(INDEX(Unitinfo!I:I,MATCH(B85,Unitinfo!A:A,0))+1)*2</f>
        <v>2</v>
      </c>
      <c r="P85" s="5">
        <v>0</v>
      </c>
      <c r="Q85" s="5">
        <v>0</v>
      </c>
      <c r="R85" s="19" t="s">
        <v>121</v>
      </c>
      <c r="S85" s="19" t="s">
        <v>121</v>
      </c>
      <c r="T85" s="5">
        <f t="shared" si="10"/>
        <v>2002</v>
      </c>
      <c r="U85" s="5">
        <f t="shared" si="11"/>
        <v>1</v>
      </c>
      <c r="V85" s="5">
        <v>0</v>
      </c>
      <c r="W85" s="5">
        <v>10</v>
      </c>
    </row>
    <row r="86" spans="1:23">
      <c r="A86" s="5">
        <f t="shared" si="4"/>
        <v>83</v>
      </c>
      <c r="B86" s="93">
        <f t="shared" si="6"/>
        <v>2002</v>
      </c>
      <c r="C86" s="20" t="str">
        <f>INDEX(Unitinfo!C:C,MATCH(UnitGradeInfo!B86,Unitinfo!A:A,0))</f>
        <v>(원거리)Slime_Archer</v>
      </c>
      <c r="D86" s="5">
        <f>COUNTIF($B$4:B86,B86)</f>
        <v>18</v>
      </c>
      <c r="E86" s="5">
        <f>ROUNDDOWN(INDEX(ref_Unit_Balance!$G$31:$G$106,MATCH(UnitGradeInfo!B86,ref_Unit_Balance!$B$31:$B$1048576,0))
+INDEX(ref_Unit_Balance!$G$20:$G$23,MATCH(IFERROR(INDEX(ref_Unit_Balance!$D$31:$D$1048576,MATCH(B86,ref_Unit_Balance!$B$31:$B$1048576,0)),0),ref_Unit_Balance!$B$20:$B$23,0))*D86*ref_Unit_Balance!$C$25,0)</f>
        <v>1052</v>
      </c>
      <c r="F86" s="5">
        <f>INDEX(ref_Unit_Balance!$V$31:$V$106,MATCH(UnitGradeInfo!B86,ref_Unit_Balance!$B$31:$B$1048576,0))
+
INDEX(ref_Unit_Balance!$AB$31:$AB$106,MATCH(UnitGradeInfo!B86,ref_Unit_Balance!$B$31:$B$1048576,0))*(D86-1)</f>
        <v>3450</v>
      </c>
      <c r="G86" s="5">
        <f>INDEX(ref_Unit_Balance!$R$31:$R$106,MATCH(UnitGradeInfo!B86,ref_Unit_Balance!$B$31:$B$1048576,0))
+
INDEX(ref_Unit_Balance!$AA$31:$AA$106,MATCH(UnitGradeInfo!B86,ref_Unit_Balance!$B$31:$B$1048576,0))*(D86-1)</f>
        <v>126</v>
      </c>
      <c r="H86" s="39">
        <f>IF(INDEX(Unitinfo!D:D,MATCH(UnitGradeInfo!B86,Unitinfo!A:A,0))=1,50,5)</f>
        <v>50</v>
      </c>
      <c r="I86" s="5">
        <f>IF(INDEX(ref_Unit_Balance!$T$31:$T$106,MATCH(UnitGradeInfo!B86,ref_Unit_Balance!$B$31:$B$1048576,0))=0,1,INDEX(ref_Unit_Balance!$T$31:$T$106,MATCH(UnitGradeInfo!B86,ref_Unit_Balance!$B$31:$B$1048576,0)))</f>
        <v>5</v>
      </c>
      <c r="J86" s="5">
        <f>INDEX(ref_Unit_Balance!$S$31:$S$106,MATCH(UnitGradeInfo!B86,ref_Unit_Balance!$B$31:$B$1048576,0))</f>
        <v>500</v>
      </c>
      <c r="K86" s="5">
        <v>0</v>
      </c>
      <c r="L86" s="5">
        <f>INDEX(ref_Unit_Balance!$I$31:$I$106,MATCH(UnitGradeInfo!B86,ref_Unit_Balance!$B$31:$B$1048576,0))</f>
        <v>4</v>
      </c>
      <c r="M86" s="5">
        <f t="shared" si="12"/>
        <v>36</v>
      </c>
      <c r="N86" s="5">
        <f t="shared" si="13"/>
        <v>360</v>
      </c>
      <c r="O86" s="5">
        <f>(INDEX(Unitinfo!I:I,MATCH(B86,Unitinfo!A:A,0))+1)*2</f>
        <v>2</v>
      </c>
      <c r="P86" s="5">
        <v>0</v>
      </c>
      <c r="Q86" s="5">
        <v>0</v>
      </c>
      <c r="R86" s="19" t="s">
        <v>121</v>
      </c>
      <c r="S86" s="19" t="s">
        <v>121</v>
      </c>
      <c r="T86" s="5">
        <f t="shared" si="10"/>
        <v>2002</v>
      </c>
      <c r="U86" s="5">
        <f t="shared" si="11"/>
        <v>1</v>
      </c>
      <c r="V86" s="5">
        <v>0</v>
      </c>
      <c r="W86" s="5">
        <v>10</v>
      </c>
    </row>
    <row r="87" spans="1:23">
      <c r="A87" s="5">
        <f t="shared" si="4"/>
        <v>84</v>
      </c>
      <c r="B87" s="93">
        <f t="shared" si="6"/>
        <v>2002</v>
      </c>
      <c r="C87" s="20" t="str">
        <f>INDEX(Unitinfo!C:C,MATCH(UnitGradeInfo!B87,Unitinfo!A:A,0))</f>
        <v>(원거리)Slime_Archer</v>
      </c>
      <c r="D87" s="5">
        <f>COUNTIF($B$4:B87,B87)</f>
        <v>19</v>
      </c>
      <c r="E87" s="5">
        <f>ROUNDDOWN(INDEX(ref_Unit_Balance!$G$31:$G$106,MATCH(UnitGradeInfo!B87,ref_Unit_Balance!$B$31:$B$1048576,0))
+INDEX(ref_Unit_Balance!$G$20:$G$23,MATCH(IFERROR(INDEX(ref_Unit_Balance!$D$31:$D$1048576,MATCH(B87,ref_Unit_Balance!$B$31:$B$1048576,0)),0),ref_Unit_Balance!$B$20:$B$23,0))*D87*ref_Unit_Balance!$C$25,0)</f>
        <v>1102</v>
      </c>
      <c r="F87" s="5">
        <f>INDEX(ref_Unit_Balance!$V$31:$V$106,MATCH(UnitGradeInfo!B87,ref_Unit_Balance!$B$31:$B$1048576,0))
+
INDEX(ref_Unit_Balance!$AB$31:$AB$106,MATCH(UnitGradeInfo!B87,ref_Unit_Balance!$B$31:$B$1048576,0))*(D87-1)</f>
        <v>3600</v>
      </c>
      <c r="G87" s="5">
        <f>INDEX(ref_Unit_Balance!$R$31:$R$106,MATCH(UnitGradeInfo!B87,ref_Unit_Balance!$B$31:$B$1048576,0))
+
INDEX(ref_Unit_Balance!$AA$31:$AA$106,MATCH(UnitGradeInfo!B87,ref_Unit_Balance!$B$31:$B$1048576,0))*(D87-1)</f>
        <v>129</v>
      </c>
      <c r="H87" s="39">
        <f>IF(INDEX(Unitinfo!D:D,MATCH(UnitGradeInfo!B87,Unitinfo!A:A,0))=1,50,5)</f>
        <v>50</v>
      </c>
      <c r="I87" s="5">
        <f>IF(INDEX(ref_Unit_Balance!$T$31:$T$106,MATCH(UnitGradeInfo!B87,ref_Unit_Balance!$B$31:$B$1048576,0))=0,1,INDEX(ref_Unit_Balance!$T$31:$T$106,MATCH(UnitGradeInfo!B87,ref_Unit_Balance!$B$31:$B$1048576,0)))</f>
        <v>5</v>
      </c>
      <c r="J87" s="5">
        <f>INDEX(ref_Unit_Balance!$S$31:$S$106,MATCH(UnitGradeInfo!B87,ref_Unit_Balance!$B$31:$B$1048576,0))</f>
        <v>500</v>
      </c>
      <c r="K87" s="5">
        <v>0</v>
      </c>
      <c r="L87" s="5">
        <f>INDEX(ref_Unit_Balance!$I$31:$I$106,MATCH(UnitGradeInfo!B87,ref_Unit_Balance!$B$31:$B$1048576,0))</f>
        <v>4</v>
      </c>
      <c r="M87" s="5">
        <f t="shared" si="12"/>
        <v>38</v>
      </c>
      <c r="N87" s="5">
        <f t="shared" si="13"/>
        <v>380</v>
      </c>
      <c r="O87" s="5">
        <f>(INDEX(Unitinfo!I:I,MATCH(B87,Unitinfo!A:A,0))+1)*2</f>
        <v>2</v>
      </c>
      <c r="P87" s="5">
        <v>0</v>
      </c>
      <c r="Q87" s="5">
        <v>0</v>
      </c>
      <c r="R87" s="19" t="s">
        <v>121</v>
      </c>
      <c r="S87" s="19" t="s">
        <v>121</v>
      </c>
      <c r="T87" s="5">
        <f t="shared" si="10"/>
        <v>2002</v>
      </c>
      <c r="U87" s="5">
        <f t="shared" si="11"/>
        <v>1</v>
      </c>
      <c r="V87" s="5">
        <v>0</v>
      </c>
      <c r="W87" s="5">
        <v>10</v>
      </c>
    </row>
    <row r="88" spans="1:23">
      <c r="A88" s="5">
        <f t="shared" si="4"/>
        <v>85</v>
      </c>
      <c r="B88" s="93">
        <f t="shared" si="6"/>
        <v>2002</v>
      </c>
      <c r="C88" s="20" t="str">
        <f>INDEX(Unitinfo!C:C,MATCH(UnitGradeInfo!B88,Unitinfo!A:A,0))</f>
        <v>(원거리)Slime_Archer</v>
      </c>
      <c r="D88" s="5">
        <f>COUNTIF($B$4:B88,B88)</f>
        <v>20</v>
      </c>
      <c r="E88" s="5">
        <f>ROUNDDOWN(INDEX(ref_Unit_Balance!$G$31:$G$106,MATCH(UnitGradeInfo!B88,ref_Unit_Balance!$B$31:$B$1048576,0))
+INDEX(ref_Unit_Balance!$G$20:$G$23,MATCH(IFERROR(INDEX(ref_Unit_Balance!$D$31:$D$1048576,MATCH(B88,ref_Unit_Balance!$B$31:$B$1048576,0)),0),ref_Unit_Balance!$B$20:$B$23,0))*D88*ref_Unit_Balance!$C$25,0)</f>
        <v>1152</v>
      </c>
      <c r="F88" s="5">
        <f>INDEX(ref_Unit_Balance!$V$31:$V$106,MATCH(UnitGradeInfo!B88,ref_Unit_Balance!$B$31:$B$1048576,0))
+
INDEX(ref_Unit_Balance!$AB$31:$AB$106,MATCH(UnitGradeInfo!B88,ref_Unit_Balance!$B$31:$B$1048576,0))*(D88-1)</f>
        <v>3750</v>
      </c>
      <c r="G88" s="5">
        <f>INDEX(ref_Unit_Balance!$R$31:$R$106,MATCH(UnitGradeInfo!B88,ref_Unit_Balance!$B$31:$B$1048576,0))
+
INDEX(ref_Unit_Balance!$AA$31:$AA$106,MATCH(UnitGradeInfo!B88,ref_Unit_Balance!$B$31:$B$1048576,0))*(D88-1)</f>
        <v>132</v>
      </c>
      <c r="H88" s="39">
        <f>IF(INDEX(Unitinfo!D:D,MATCH(UnitGradeInfo!B88,Unitinfo!A:A,0))=1,50,5)</f>
        <v>50</v>
      </c>
      <c r="I88" s="5">
        <f>IF(INDEX(ref_Unit_Balance!$T$31:$T$106,MATCH(UnitGradeInfo!B88,ref_Unit_Balance!$B$31:$B$1048576,0))=0,1,INDEX(ref_Unit_Balance!$T$31:$T$106,MATCH(UnitGradeInfo!B88,ref_Unit_Balance!$B$31:$B$1048576,0)))</f>
        <v>5</v>
      </c>
      <c r="J88" s="5">
        <f>INDEX(ref_Unit_Balance!$S$31:$S$106,MATCH(UnitGradeInfo!B88,ref_Unit_Balance!$B$31:$B$1048576,0))</f>
        <v>500</v>
      </c>
      <c r="K88" s="5">
        <v>0</v>
      </c>
      <c r="L88" s="5">
        <f>INDEX(ref_Unit_Balance!$I$31:$I$106,MATCH(UnitGradeInfo!B88,ref_Unit_Balance!$B$31:$B$1048576,0))</f>
        <v>4</v>
      </c>
      <c r="M88" s="5">
        <f t="shared" si="12"/>
        <v>40</v>
      </c>
      <c r="N88" s="5">
        <f t="shared" si="13"/>
        <v>400</v>
      </c>
      <c r="O88" s="5">
        <f>(INDEX(Unitinfo!I:I,MATCH(B88,Unitinfo!A:A,0))+1)*2</f>
        <v>2</v>
      </c>
      <c r="P88" s="5">
        <v>0</v>
      </c>
      <c r="Q88" s="5">
        <v>0</v>
      </c>
      <c r="R88" s="19" t="s">
        <v>121</v>
      </c>
      <c r="S88" s="19" t="s">
        <v>121</v>
      </c>
      <c r="T88" s="5">
        <f t="shared" si="10"/>
        <v>2002</v>
      </c>
      <c r="U88" s="5">
        <f t="shared" si="11"/>
        <v>1</v>
      </c>
      <c r="V88" s="5">
        <v>0</v>
      </c>
      <c r="W88" s="5">
        <v>10</v>
      </c>
    </row>
    <row r="89" spans="1:23">
      <c r="A89" s="5">
        <f t="shared" si="4"/>
        <v>86</v>
      </c>
      <c r="B89" s="93">
        <f t="shared" si="6"/>
        <v>2003</v>
      </c>
      <c r="C89" s="20" t="str">
        <f>INDEX(Unitinfo!C:C,MATCH(UnitGradeInfo!B89,Unitinfo!A:A,0))</f>
        <v>(근거리)Skeleton_Sword</v>
      </c>
      <c r="D89" s="5">
        <f>COUNTIF($B$4:B89,B89)</f>
        <v>1</v>
      </c>
      <c r="E89" s="5">
        <f>ROUNDDOWN(INDEX(ref_Unit_Balance!$G$31:$G$106,MATCH(UnitGradeInfo!B89,ref_Unit_Balance!$B$31:$B$1048576,0))
+INDEX(ref_Unit_Balance!$G$20:$G$23,MATCH(IFERROR(INDEX(ref_Unit_Balance!$D$31:$D$1048576,MATCH(B89,ref_Unit_Balance!$B$31:$B$1048576,0)),0),ref_Unit_Balance!$B$20:$B$23,0))*D89*ref_Unit_Balance!$C$25,0)</f>
        <v>200</v>
      </c>
      <c r="F89" s="5">
        <f>INDEX(ref_Unit_Balance!$V$31:$V$106,MATCH(UnitGradeInfo!B89,ref_Unit_Balance!$B$31:$B$1048576,0))
+
INDEX(ref_Unit_Balance!$AB$31:$AB$106,MATCH(UnitGradeInfo!B89,ref_Unit_Balance!$B$31:$B$1048576,0))*(D89-1)</f>
        <v>1800</v>
      </c>
      <c r="G89" s="5">
        <f>INDEX(ref_Unit_Balance!$R$31:$R$106,MATCH(UnitGradeInfo!B89,ref_Unit_Balance!$B$31:$B$1048576,0))
+
INDEX(ref_Unit_Balance!$AA$31:$AA$106,MATCH(UnitGradeInfo!B89,ref_Unit_Balance!$B$31:$B$1048576,0))*(D89-1)</f>
        <v>110</v>
      </c>
      <c r="H89" s="39">
        <f>IF(INDEX(Unitinfo!D:D,MATCH(UnitGradeInfo!B89,Unitinfo!A:A,0))=1,50,5)</f>
        <v>5</v>
      </c>
      <c r="I89" s="5">
        <f>IF(INDEX(ref_Unit_Balance!$T$31:$T$106,MATCH(UnitGradeInfo!B89,ref_Unit_Balance!$B$31:$B$1048576,0))=0,1,INDEX(ref_Unit_Balance!$T$31:$T$106,MATCH(UnitGradeInfo!B89,ref_Unit_Balance!$B$31:$B$1048576,0)))</f>
        <v>5</v>
      </c>
      <c r="J89" s="5">
        <f>INDEX(ref_Unit_Balance!$S$31:$S$106,MATCH(UnitGradeInfo!B89,ref_Unit_Balance!$B$31:$B$1048576,0))</f>
        <v>1000</v>
      </c>
      <c r="K89" s="5">
        <v>0</v>
      </c>
      <c r="L89" s="5">
        <f>INDEX(ref_Unit_Balance!$I$31:$I$106,MATCH(UnitGradeInfo!B89,ref_Unit_Balance!$B$31:$B$1048576,0))</f>
        <v>5</v>
      </c>
      <c r="M89" s="5">
        <f t="shared" si="12"/>
        <v>2</v>
      </c>
      <c r="N89" s="5">
        <f t="shared" si="13"/>
        <v>20</v>
      </c>
      <c r="O89" s="5">
        <f>(INDEX(Unitinfo!I:I,MATCH(B89,Unitinfo!A:A,0))+1)*2</f>
        <v>2</v>
      </c>
      <c r="P89" s="5">
        <v>0</v>
      </c>
      <c r="Q89" s="5">
        <v>0</v>
      </c>
      <c r="R89" s="19" t="s">
        <v>121</v>
      </c>
      <c r="S89" s="19" t="s">
        <v>121</v>
      </c>
      <c r="T89" s="5">
        <f t="shared" si="10"/>
        <v>2003</v>
      </c>
      <c r="U89" s="5">
        <f t="shared" si="11"/>
        <v>1</v>
      </c>
      <c r="V89" s="5">
        <v>0</v>
      </c>
      <c r="W89" s="5">
        <v>10</v>
      </c>
    </row>
    <row r="90" spans="1:23">
      <c r="A90" s="5">
        <f t="shared" si="4"/>
        <v>87</v>
      </c>
      <c r="B90" s="93">
        <f t="shared" si="6"/>
        <v>2003</v>
      </c>
      <c r="C90" s="20" t="str">
        <f>INDEX(Unitinfo!C:C,MATCH(UnitGradeInfo!B90,Unitinfo!A:A,0))</f>
        <v>(근거리)Skeleton_Sword</v>
      </c>
      <c r="D90" s="5">
        <f>COUNTIF($B$4:B90,B90)</f>
        <v>2</v>
      </c>
      <c r="E90" s="5">
        <f>ROUNDDOWN(INDEX(ref_Unit_Balance!$G$31:$G$106,MATCH(UnitGradeInfo!B90,ref_Unit_Balance!$B$31:$B$1048576,0))
+INDEX(ref_Unit_Balance!$G$20:$G$23,MATCH(IFERROR(INDEX(ref_Unit_Balance!$D$31:$D$1048576,MATCH(B90,ref_Unit_Balance!$B$31:$B$1048576,0)),0),ref_Unit_Balance!$B$20:$B$23,0))*D90*ref_Unit_Balance!$C$25,0)</f>
        <v>250</v>
      </c>
      <c r="F90" s="5">
        <f>INDEX(ref_Unit_Balance!$V$31:$V$106,MATCH(UnitGradeInfo!B90,ref_Unit_Balance!$B$31:$B$1048576,0))
+
INDEX(ref_Unit_Balance!$AB$31:$AB$106,MATCH(UnitGradeInfo!B90,ref_Unit_Balance!$B$31:$B$1048576,0))*(D90-1)</f>
        <v>2000</v>
      </c>
      <c r="G90" s="5">
        <f>INDEX(ref_Unit_Balance!$R$31:$R$106,MATCH(UnitGradeInfo!B90,ref_Unit_Balance!$B$31:$B$1048576,0))
+
INDEX(ref_Unit_Balance!$AA$31:$AA$106,MATCH(UnitGradeInfo!B90,ref_Unit_Balance!$B$31:$B$1048576,0))*(D90-1)</f>
        <v>117</v>
      </c>
      <c r="H90" s="39">
        <f>IF(INDEX(Unitinfo!D:D,MATCH(UnitGradeInfo!B90,Unitinfo!A:A,0))=1,50,5)</f>
        <v>5</v>
      </c>
      <c r="I90" s="5">
        <f>IF(INDEX(ref_Unit_Balance!$T$31:$T$106,MATCH(UnitGradeInfo!B90,ref_Unit_Balance!$B$31:$B$1048576,0))=0,1,INDEX(ref_Unit_Balance!$T$31:$T$106,MATCH(UnitGradeInfo!B90,ref_Unit_Balance!$B$31:$B$1048576,0)))</f>
        <v>5</v>
      </c>
      <c r="J90" s="5">
        <f>INDEX(ref_Unit_Balance!$S$31:$S$106,MATCH(UnitGradeInfo!B90,ref_Unit_Balance!$B$31:$B$1048576,0))</f>
        <v>1000</v>
      </c>
      <c r="K90" s="5">
        <v>0</v>
      </c>
      <c r="L90" s="5">
        <f>INDEX(ref_Unit_Balance!$I$31:$I$106,MATCH(UnitGradeInfo!B90,ref_Unit_Balance!$B$31:$B$1048576,0))</f>
        <v>5</v>
      </c>
      <c r="M90" s="5">
        <f t="shared" si="12"/>
        <v>4</v>
      </c>
      <c r="N90" s="5">
        <f t="shared" si="13"/>
        <v>40</v>
      </c>
      <c r="O90" s="5">
        <f>(INDEX(Unitinfo!I:I,MATCH(B90,Unitinfo!A:A,0))+1)*2</f>
        <v>2</v>
      </c>
      <c r="P90" s="5">
        <v>0</v>
      </c>
      <c r="Q90" s="5">
        <v>0</v>
      </c>
      <c r="R90" s="19" t="s">
        <v>121</v>
      </c>
      <c r="S90" s="19" t="s">
        <v>121</v>
      </c>
      <c r="T90" s="5">
        <f t="shared" si="10"/>
        <v>2003</v>
      </c>
      <c r="U90" s="5">
        <f t="shared" si="11"/>
        <v>1</v>
      </c>
      <c r="V90" s="5">
        <v>0</v>
      </c>
      <c r="W90" s="5">
        <v>10</v>
      </c>
    </row>
    <row r="91" spans="1:23">
      <c r="A91" s="5">
        <f t="shared" si="4"/>
        <v>88</v>
      </c>
      <c r="B91" s="93">
        <f t="shared" si="6"/>
        <v>2003</v>
      </c>
      <c r="C91" s="20" t="str">
        <f>INDEX(Unitinfo!C:C,MATCH(UnitGradeInfo!B91,Unitinfo!A:A,0))</f>
        <v>(근거리)Skeleton_Sword</v>
      </c>
      <c r="D91" s="5">
        <f>COUNTIF($B$4:B91,B91)</f>
        <v>3</v>
      </c>
      <c r="E91" s="5">
        <f>ROUNDDOWN(INDEX(ref_Unit_Balance!$G$31:$G$106,MATCH(UnitGradeInfo!B91,ref_Unit_Balance!$B$31:$B$1048576,0))
+INDEX(ref_Unit_Balance!$G$20:$G$23,MATCH(IFERROR(INDEX(ref_Unit_Balance!$D$31:$D$1048576,MATCH(B91,ref_Unit_Balance!$B$31:$B$1048576,0)),0),ref_Unit_Balance!$B$20:$B$23,0))*D91*ref_Unit_Balance!$C$25,0)</f>
        <v>300</v>
      </c>
      <c r="F91" s="5">
        <f>INDEX(ref_Unit_Balance!$V$31:$V$106,MATCH(UnitGradeInfo!B91,ref_Unit_Balance!$B$31:$B$1048576,0))
+
INDEX(ref_Unit_Balance!$AB$31:$AB$106,MATCH(UnitGradeInfo!B91,ref_Unit_Balance!$B$31:$B$1048576,0))*(D91-1)</f>
        <v>2200</v>
      </c>
      <c r="G91" s="5">
        <f>INDEX(ref_Unit_Balance!$R$31:$R$106,MATCH(UnitGradeInfo!B91,ref_Unit_Balance!$B$31:$B$1048576,0))
+
INDEX(ref_Unit_Balance!$AA$31:$AA$106,MATCH(UnitGradeInfo!B91,ref_Unit_Balance!$B$31:$B$1048576,0))*(D91-1)</f>
        <v>124</v>
      </c>
      <c r="H91" s="39">
        <f>IF(INDEX(Unitinfo!D:D,MATCH(UnitGradeInfo!B91,Unitinfo!A:A,0))=1,50,5)</f>
        <v>5</v>
      </c>
      <c r="I91" s="5">
        <f>IF(INDEX(ref_Unit_Balance!$T$31:$T$106,MATCH(UnitGradeInfo!B91,ref_Unit_Balance!$B$31:$B$1048576,0))=0,1,INDEX(ref_Unit_Balance!$T$31:$T$106,MATCH(UnitGradeInfo!B91,ref_Unit_Balance!$B$31:$B$1048576,0)))</f>
        <v>5</v>
      </c>
      <c r="J91" s="5">
        <f>INDEX(ref_Unit_Balance!$S$31:$S$106,MATCH(UnitGradeInfo!B91,ref_Unit_Balance!$B$31:$B$1048576,0))</f>
        <v>1000</v>
      </c>
      <c r="K91" s="5">
        <v>0</v>
      </c>
      <c r="L91" s="5">
        <f>INDEX(ref_Unit_Balance!$I$31:$I$106,MATCH(UnitGradeInfo!B91,ref_Unit_Balance!$B$31:$B$1048576,0))</f>
        <v>5</v>
      </c>
      <c r="M91" s="5">
        <f t="shared" si="12"/>
        <v>6</v>
      </c>
      <c r="N91" s="5">
        <f t="shared" si="13"/>
        <v>60</v>
      </c>
      <c r="O91" s="5">
        <f>(INDEX(Unitinfo!I:I,MATCH(B91,Unitinfo!A:A,0))+1)*2</f>
        <v>2</v>
      </c>
      <c r="P91" s="5">
        <v>0</v>
      </c>
      <c r="Q91" s="5">
        <v>0</v>
      </c>
      <c r="R91" s="19" t="s">
        <v>121</v>
      </c>
      <c r="S91" s="19" t="s">
        <v>121</v>
      </c>
      <c r="T91" s="5">
        <f t="shared" si="10"/>
        <v>2003</v>
      </c>
      <c r="U91" s="5">
        <f t="shared" si="11"/>
        <v>1</v>
      </c>
      <c r="V91" s="5">
        <v>0</v>
      </c>
      <c r="W91" s="5">
        <v>10</v>
      </c>
    </row>
    <row r="92" spans="1:23">
      <c r="A92" s="5">
        <f t="shared" si="4"/>
        <v>89</v>
      </c>
      <c r="B92" s="93">
        <f t="shared" si="6"/>
        <v>2003</v>
      </c>
      <c r="C92" s="20" t="str">
        <f>INDEX(Unitinfo!C:C,MATCH(UnitGradeInfo!B92,Unitinfo!A:A,0))</f>
        <v>(근거리)Skeleton_Sword</v>
      </c>
      <c r="D92" s="5">
        <f>COUNTIF($B$4:B92,B92)</f>
        <v>4</v>
      </c>
      <c r="E92" s="5">
        <f>ROUNDDOWN(INDEX(ref_Unit_Balance!$G$31:$G$106,MATCH(UnitGradeInfo!B92,ref_Unit_Balance!$B$31:$B$1048576,0))
+INDEX(ref_Unit_Balance!$G$20:$G$23,MATCH(IFERROR(INDEX(ref_Unit_Balance!$D$31:$D$1048576,MATCH(B92,ref_Unit_Balance!$B$31:$B$1048576,0)),0),ref_Unit_Balance!$B$20:$B$23,0))*D92*ref_Unit_Balance!$C$25,0)</f>
        <v>350</v>
      </c>
      <c r="F92" s="5">
        <f>INDEX(ref_Unit_Balance!$V$31:$V$106,MATCH(UnitGradeInfo!B92,ref_Unit_Balance!$B$31:$B$1048576,0))
+
INDEX(ref_Unit_Balance!$AB$31:$AB$106,MATCH(UnitGradeInfo!B92,ref_Unit_Balance!$B$31:$B$1048576,0))*(D92-1)</f>
        <v>2400</v>
      </c>
      <c r="G92" s="5">
        <f>INDEX(ref_Unit_Balance!$R$31:$R$106,MATCH(UnitGradeInfo!B92,ref_Unit_Balance!$B$31:$B$1048576,0))
+
INDEX(ref_Unit_Balance!$AA$31:$AA$106,MATCH(UnitGradeInfo!B92,ref_Unit_Balance!$B$31:$B$1048576,0))*(D92-1)</f>
        <v>131</v>
      </c>
      <c r="H92" s="39">
        <f>IF(INDEX(Unitinfo!D:D,MATCH(UnitGradeInfo!B92,Unitinfo!A:A,0))=1,50,5)</f>
        <v>5</v>
      </c>
      <c r="I92" s="5">
        <f>IF(INDEX(ref_Unit_Balance!$T$31:$T$106,MATCH(UnitGradeInfo!B92,ref_Unit_Balance!$B$31:$B$1048576,0))=0,1,INDEX(ref_Unit_Balance!$T$31:$T$106,MATCH(UnitGradeInfo!B92,ref_Unit_Balance!$B$31:$B$1048576,0)))</f>
        <v>5</v>
      </c>
      <c r="J92" s="5">
        <f>INDEX(ref_Unit_Balance!$S$31:$S$106,MATCH(UnitGradeInfo!B92,ref_Unit_Balance!$B$31:$B$1048576,0))</f>
        <v>1000</v>
      </c>
      <c r="K92" s="5">
        <v>0</v>
      </c>
      <c r="L92" s="5">
        <f>INDEX(ref_Unit_Balance!$I$31:$I$106,MATCH(UnitGradeInfo!B92,ref_Unit_Balance!$B$31:$B$1048576,0))</f>
        <v>5</v>
      </c>
      <c r="M92" s="5">
        <f t="shared" si="12"/>
        <v>8</v>
      </c>
      <c r="N92" s="5">
        <f t="shared" si="13"/>
        <v>80</v>
      </c>
      <c r="O92" s="5">
        <f>(INDEX(Unitinfo!I:I,MATCH(B92,Unitinfo!A:A,0))+1)*2</f>
        <v>2</v>
      </c>
      <c r="P92" s="5">
        <v>0</v>
      </c>
      <c r="Q92" s="5">
        <v>0</v>
      </c>
      <c r="R92" s="19" t="s">
        <v>121</v>
      </c>
      <c r="S92" s="19" t="s">
        <v>121</v>
      </c>
      <c r="T92" s="5">
        <f t="shared" ref="T92:T155" si="14">B92</f>
        <v>2003</v>
      </c>
      <c r="U92" s="5">
        <f t="shared" ref="U92:U155" si="15">IF(B92&gt;10000,0,1)</f>
        <v>1</v>
      </c>
      <c r="V92" s="5">
        <v>0</v>
      </c>
      <c r="W92" s="5">
        <v>10</v>
      </c>
    </row>
    <row r="93" spans="1:23">
      <c r="A93" s="5">
        <f t="shared" si="4"/>
        <v>90</v>
      </c>
      <c r="B93" s="93">
        <f t="shared" si="6"/>
        <v>2003</v>
      </c>
      <c r="C93" s="20" t="str">
        <f>INDEX(Unitinfo!C:C,MATCH(UnitGradeInfo!B93,Unitinfo!A:A,0))</f>
        <v>(근거리)Skeleton_Sword</v>
      </c>
      <c r="D93" s="5">
        <f>COUNTIF($B$4:B93,B93)</f>
        <v>5</v>
      </c>
      <c r="E93" s="5">
        <f>ROUNDDOWN(INDEX(ref_Unit_Balance!$G$31:$G$106,MATCH(UnitGradeInfo!B93,ref_Unit_Balance!$B$31:$B$1048576,0))
+INDEX(ref_Unit_Balance!$G$20:$G$23,MATCH(IFERROR(INDEX(ref_Unit_Balance!$D$31:$D$1048576,MATCH(B93,ref_Unit_Balance!$B$31:$B$1048576,0)),0),ref_Unit_Balance!$B$20:$B$23,0))*D93*ref_Unit_Balance!$C$25,0)</f>
        <v>400</v>
      </c>
      <c r="F93" s="5">
        <f>INDEX(ref_Unit_Balance!$V$31:$V$106,MATCH(UnitGradeInfo!B93,ref_Unit_Balance!$B$31:$B$1048576,0))
+
INDEX(ref_Unit_Balance!$AB$31:$AB$106,MATCH(UnitGradeInfo!B93,ref_Unit_Balance!$B$31:$B$1048576,0))*(D93-1)</f>
        <v>2600</v>
      </c>
      <c r="G93" s="5">
        <f>INDEX(ref_Unit_Balance!$R$31:$R$106,MATCH(UnitGradeInfo!B93,ref_Unit_Balance!$B$31:$B$1048576,0))
+
INDEX(ref_Unit_Balance!$AA$31:$AA$106,MATCH(UnitGradeInfo!B93,ref_Unit_Balance!$B$31:$B$1048576,0))*(D93-1)</f>
        <v>138</v>
      </c>
      <c r="H93" s="39">
        <f>IF(INDEX(Unitinfo!D:D,MATCH(UnitGradeInfo!B93,Unitinfo!A:A,0))=1,50,5)</f>
        <v>5</v>
      </c>
      <c r="I93" s="5">
        <f>IF(INDEX(ref_Unit_Balance!$T$31:$T$106,MATCH(UnitGradeInfo!B93,ref_Unit_Balance!$B$31:$B$1048576,0))=0,1,INDEX(ref_Unit_Balance!$T$31:$T$106,MATCH(UnitGradeInfo!B93,ref_Unit_Balance!$B$31:$B$1048576,0)))</f>
        <v>5</v>
      </c>
      <c r="J93" s="5">
        <f>INDEX(ref_Unit_Balance!$S$31:$S$106,MATCH(UnitGradeInfo!B93,ref_Unit_Balance!$B$31:$B$1048576,0))</f>
        <v>1000</v>
      </c>
      <c r="K93" s="5">
        <v>0</v>
      </c>
      <c r="L93" s="5">
        <f>INDEX(ref_Unit_Balance!$I$31:$I$106,MATCH(UnitGradeInfo!B93,ref_Unit_Balance!$B$31:$B$1048576,0))</f>
        <v>5</v>
      </c>
      <c r="M93" s="5">
        <f t="shared" si="12"/>
        <v>10</v>
      </c>
      <c r="N93" s="5">
        <f t="shared" si="13"/>
        <v>100</v>
      </c>
      <c r="O93" s="5">
        <f>(INDEX(Unitinfo!I:I,MATCH(B93,Unitinfo!A:A,0))+1)*2</f>
        <v>2</v>
      </c>
      <c r="P93" s="5">
        <v>0</v>
      </c>
      <c r="Q93" s="5">
        <v>0</v>
      </c>
      <c r="R93" s="19" t="s">
        <v>121</v>
      </c>
      <c r="S93" s="19" t="s">
        <v>121</v>
      </c>
      <c r="T93" s="5">
        <f t="shared" si="14"/>
        <v>2003</v>
      </c>
      <c r="U93" s="5">
        <f t="shared" si="15"/>
        <v>1</v>
      </c>
      <c r="V93" s="5">
        <v>0</v>
      </c>
      <c r="W93" s="5">
        <v>10</v>
      </c>
    </row>
    <row r="94" spans="1:23">
      <c r="A94" s="5">
        <f t="shared" si="4"/>
        <v>91</v>
      </c>
      <c r="B94" s="93">
        <f t="shared" si="6"/>
        <v>2003</v>
      </c>
      <c r="C94" s="20" t="str">
        <f>INDEX(Unitinfo!C:C,MATCH(UnitGradeInfo!B94,Unitinfo!A:A,0))</f>
        <v>(근거리)Skeleton_Sword</v>
      </c>
      <c r="D94" s="5">
        <f>COUNTIF($B$4:B94,B94)</f>
        <v>6</v>
      </c>
      <c r="E94" s="5">
        <f>ROUNDDOWN(INDEX(ref_Unit_Balance!$G$31:$G$106,MATCH(UnitGradeInfo!B94,ref_Unit_Balance!$B$31:$B$1048576,0))
+INDEX(ref_Unit_Balance!$G$20:$G$23,MATCH(IFERROR(INDEX(ref_Unit_Balance!$D$31:$D$1048576,MATCH(B94,ref_Unit_Balance!$B$31:$B$1048576,0)),0),ref_Unit_Balance!$B$20:$B$23,0))*D94*ref_Unit_Balance!$C$25,0)</f>
        <v>450</v>
      </c>
      <c r="F94" s="5">
        <f>INDEX(ref_Unit_Balance!$V$31:$V$106,MATCH(UnitGradeInfo!B94,ref_Unit_Balance!$B$31:$B$1048576,0))
+
INDEX(ref_Unit_Balance!$AB$31:$AB$106,MATCH(UnitGradeInfo!B94,ref_Unit_Balance!$B$31:$B$1048576,0))*(D94-1)</f>
        <v>2800</v>
      </c>
      <c r="G94" s="5">
        <f>INDEX(ref_Unit_Balance!$R$31:$R$106,MATCH(UnitGradeInfo!B94,ref_Unit_Balance!$B$31:$B$1048576,0))
+
INDEX(ref_Unit_Balance!$AA$31:$AA$106,MATCH(UnitGradeInfo!B94,ref_Unit_Balance!$B$31:$B$1048576,0))*(D94-1)</f>
        <v>145</v>
      </c>
      <c r="H94" s="39">
        <f>IF(INDEX(Unitinfo!D:D,MATCH(UnitGradeInfo!B94,Unitinfo!A:A,0))=1,50,5)</f>
        <v>5</v>
      </c>
      <c r="I94" s="5">
        <f>IF(INDEX(ref_Unit_Balance!$T$31:$T$106,MATCH(UnitGradeInfo!B94,ref_Unit_Balance!$B$31:$B$1048576,0))=0,1,INDEX(ref_Unit_Balance!$T$31:$T$106,MATCH(UnitGradeInfo!B94,ref_Unit_Balance!$B$31:$B$1048576,0)))</f>
        <v>5</v>
      </c>
      <c r="J94" s="5">
        <f>INDEX(ref_Unit_Balance!$S$31:$S$106,MATCH(UnitGradeInfo!B94,ref_Unit_Balance!$B$31:$B$1048576,0))</f>
        <v>1000</v>
      </c>
      <c r="K94" s="5">
        <v>0</v>
      </c>
      <c r="L94" s="5">
        <f>INDEX(ref_Unit_Balance!$I$31:$I$106,MATCH(UnitGradeInfo!B94,ref_Unit_Balance!$B$31:$B$1048576,0))</f>
        <v>5</v>
      </c>
      <c r="M94" s="5">
        <f t="shared" si="12"/>
        <v>12</v>
      </c>
      <c r="N94" s="5">
        <f t="shared" si="13"/>
        <v>120</v>
      </c>
      <c r="O94" s="5">
        <f>(INDEX(Unitinfo!I:I,MATCH(B94,Unitinfo!A:A,0))+1)*2</f>
        <v>2</v>
      </c>
      <c r="P94" s="5">
        <v>0</v>
      </c>
      <c r="Q94" s="5">
        <v>0</v>
      </c>
      <c r="R94" s="19" t="s">
        <v>121</v>
      </c>
      <c r="S94" s="19" t="s">
        <v>121</v>
      </c>
      <c r="T94" s="5">
        <f t="shared" si="14"/>
        <v>2003</v>
      </c>
      <c r="U94" s="5">
        <f t="shared" si="15"/>
        <v>1</v>
      </c>
      <c r="V94" s="5">
        <v>0</v>
      </c>
      <c r="W94" s="5">
        <v>10</v>
      </c>
    </row>
    <row r="95" spans="1:23">
      <c r="A95" s="5">
        <f t="shared" si="4"/>
        <v>92</v>
      </c>
      <c r="B95" s="93">
        <f t="shared" si="6"/>
        <v>2003</v>
      </c>
      <c r="C95" s="20" t="str">
        <f>INDEX(Unitinfo!C:C,MATCH(UnitGradeInfo!B95,Unitinfo!A:A,0))</f>
        <v>(근거리)Skeleton_Sword</v>
      </c>
      <c r="D95" s="5">
        <f>COUNTIF($B$4:B95,B95)</f>
        <v>7</v>
      </c>
      <c r="E95" s="5">
        <f>ROUNDDOWN(INDEX(ref_Unit_Balance!$G$31:$G$106,MATCH(UnitGradeInfo!B95,ref_Unit_Balance!$B$31:$B$1048576,0))
+INDEX(ref_Unit_Balance!$G$20:$G$23,MATCH(IFERROR(INDEX(ref_Unit_Balance!$D$31:$D$1048576,MATCH(B95,ref_Unit_Balance!$B$31:$B$1048576,0)),0),ref_Unit_Balance!$B$20:$B$23,0))*D95*ref_Unit_Balance!$C$25,0)</f>
        <v>500</v>
      </c>
      <c r="F95" s="5">
        <f>INDEX(ref_Unit_Balance!$V$31:$V$106,MATCH(UnitGradeInfo!B95,ref_Unit_Balance!$B$31:$B$1048576,0))
+
INDEX(ref_Unit_Balance!$AB$31:$AB$106,MATCH(UnitGradeInfo!B95,ref_Unit_Balance!$B$31:$B$1048576,0))*(D95-1)</f>
        <v>3000</v>
      </c>
      <c r="G95" s="5">
        <f>INDEX(ref_Unit_Balance!$R$31:$R$106,MATCH(UnitGradeInfo!B95,ref_Unit_Balance!$B$31:$B$1048576,0))
+
INDEX(ref_Unit_Balance!$AA$31:$AA$106,MATCH(UnitGradeInfo!B95,ref_Unit_Balance!$B$31:$B$1048576,0))*(D95-1)</f>
        <v>152</v>
      </c>
      <c r="H95" s="39">
        <f>IF(INDEX(Unitinfo!D:D,MATCH(UnitGradeInfo!B95,Unitinfo!A:A,0))=1,50,5)</f>
        <v>5</v>
      </c>
      <c r="I95" s="5">
        <f>IF(INDEX(ref_Unit_Balance!$T$31:$T$106,MATCH(UnitGradeInfo!B95,ref_Unit_Balance!$B$31:$B$1048576,0))=0,1,INDEX(ref_Unit_Balance!$T$31:$T$106,MATCH(UnitGradeInfo!B95,ref_Unit_Balance!$B$31:$B$1048576,0)))</f>
        <v>5</v>
      </c>
      <c r="J95" s="5">
        <f>INDEX(ref_Unit_Balance!$S$31:$S$106,MATCH(UnitGradeInfo!B95,ref_Unit_Balance!$B$31:$B$1048576,0))</f>
        <v>1000</v>
      </c>
      <c r="K95" s="5">
        <v>0</v>
      </c>
      <c r="L95" s="5">
        <f>INDEX(ref_Unit_Balance!$I$31:$I$106,MATCH(UnitGradeInfo!B95,ref_Unit_Balance!$B$31:$B$1048576,0))</f>
        <v>5</v>
      </c>
      <c r="M95" s="5">
        <f t="shared" si="12"/>
        <v>14</v>
      </c>
      <c r="N95" s="5">
        <f t="shared" si="13"/>
        <v>140</v>
      </c>
      <c r="O95" s="5">
        <f>(INDEX(Unitinfo!I:I,MATCH(B95,Unitinfo!A:A,0))+1)*2</f>
        <v>2</v>
      </c>
      <c r="P95" s="5">
        <v>0</v>
      </c>
      <c r="Q95" s="5">
        <v>0</v>
      </c>
      <c r="R95" s="19" t="s">
        <v>121</v>
      </c>
      <c r="S95" s="19" t="s">
        <v>121</v>
      </c>
      <c r="T95" s="5">
        <f t="shared" si="14"/>
        <v>2003</v>
      </c>
      <c r="U95" s="5">
        <f t="shared" si="15"/>
        <v>1</v>
      </c>
      <c r="V95" s="5">
        <v>0</v>
      </c>
      <c r="W95" s="5">
        <v>10</v>
      </c>
    </row>
    <row r="96" spans="1:23">
      <c r="A96" s="5">
        <f t="shared" si="4"/>
        <v>93</v>
      </c>
      <c r="B96" s="93">
        <f t="shared" si="6"/>
        <v>2003</v>
      </c>
      <c r="C96" s="20" t="str">
        <f>INDEX(Unitinfo!C:C,MATCH(UnitGradeInfo!B96,Unitinfo!A:A,0))</f>
        <v>(근거리)Skeleton_Sword</v>
      </c>
      <c r="D96" s="5">
        <f>COUNTIF($B$4:B96,B96)</f>
        <v>8</v>
      </c>
      <c r="E96" s="5">
        <f>ROUNDDOWN(INDEX(ref_Unit_Balance!$G$31:$G$106,MATCH(UnitGradeInfo!B96,ref_Unit_Balance!$B$31:$B$1048576,0))
+INDEX(ref_Unit_Balance!$G$20:$G$23,MATCH(IFERROR(INDEX(ref_Unit_Balance!$D$31:$D$1048576,MATCH(B96,ref_Unit_Balance!$B$31:$B$1048576,0)),0),ref_Unit_Balance!$B$20:$B$23,0))*D96*ref_Unit_Balance!$C$25,0)</f>
        <v>550</v>
      </c>
      <c r="F96" s="5">
        <f>INDEX(ref_Unit_Balance!$V$31:$V$106,MATCH(UnitGradeInfo!B96,ref_Unit_Balance!$B$31:$B$1048576,0))
+
INDEX(ref_Unit_Balance!$AB$31:$AB$106,MATCH(UnitGradeInfo!B96,ref_Unit_Balance!$B$31:$B$1048576,0))*(D96-1)</f>
        <v>3200</v>
      </c>
      <c r="G96" s="5">
        <f>INDEX(ref_Unit_Balance!$R$31:$R$106,MATCH(UnitGradeInfo!B96,ref_Unit_Balance!$B$31:$B$1048576,0))
+
INDEX(ref_Unit_Balance!$AA$31:$AA$106,MATCH(UnitGradeInfo!B96,ref_Unit_Balance!$B$31:$B$1048576,0))*(D96-1)</f>
        <v>159</v>
      </c>
      <c r="H96" s="39">
        <f>IF(INDEX(Unitinfo!D:D,MATCH(UnitGradeInfo!B96,Unitinfo!A:A,0))=1,50,5)</f>
        <v>5</v>
      </c>
      <c r="I96" s="5">
        <f>IF(INDEX(ref_Unit_Balance!$T$31:$T$106,MATCH(UnitGradeInfo!B96,ref_Unit_Balance!$B$31:$B$1048576,0))=0,1,INDEX(ref_Unit_Balance!$T$31:$T$106,MATCH(UnitGradeInfo!B96,ref_Unit_Balance!$B$31:$B$1048576,0)))</f>
        <v>5</v>
      </c>
      <c r="J96" s="5">
        <f>INDEX(ref_Unit_Balance!$S$31:$S$106,MATCH(UnitGradeInfo!B96,ref_Unit_Balance!$B$31:$B$1048576,0))</f>
        <v>1000</v>
      </c>
      <c r="K96" s="5">
        <v>0</v>
      </c>
      <c r="L96" s="5">
        <f>INDEX(ref_Unit_Balance!$I$31:$I$106,MATCH(UnitGradeInfo!B96,ref_Unit_Balance!$B$31:$B$1048576,0))</f>
        <v>5</v>
      </c>
      <c r="M96" s="5">
        <f t="shared" si="12"/>
        <v>16</v>
      </c>
      <c r="N96" s="5">
        <f t="shared" si="13"/>
        <v>160</v>
      </c>
      <c r="O96" s="5">
        <f>(INDEX(Unitinfo!I:I,MATCH(B96,Unitinfo!A:A,0))+1)*2</f>
        <v>2</v>
      </c>
      <c r="P96" s="5">
        <v>0</v>
      </c>
      <c r="Q96" s="5">
        <v>0</v>
      </c>
      <c r="R96" s="19" t="s">
        <v>121</v>
      </c>
      <c r="S96" s="19" t="s">
        <v>121</v>
      </c>
      <c r="T96" s="5">
        <f t="shared" si="14"/>
        <v>2003</v>
      </c>
      <c r="U96" s="5">
        <f t="shared" si="15"/>
        <v>1</v>
      </c>
      <c r="V96" s="5">
        <v>0</v>
      </c>
      <c r="W96" s="5">
        <v>10</v>
      </c>
    </row>
    <row r="97" spans="1:23">
      <c r="A97" s="5">
        <f t="shared" si="4"/>
        <v>94</v>
      </c>
      <c r="B97" s="93">
        <f t="shared" si="6"/>
        <v>2003</v>
      </c>
      <c r="C97" s="20" t="str">
        <f>INDEX(Unitinfo!C:C,MATCH(UnitGradeInfo!B97,Unitinfo!A:A,0))</f>
        <v>(근거리)Skeleton_Sword</v>
      </c>
      <c r="D97" s="5">
        <f>COUNTIF($B$4:B97,B97)</f>
        <v>9</v>
      </c>
      <c r="E97" s="5">
        <f>ROUNDDOWN(INDEX(ref_Unit_Balance!$G$31:$G$106,MATCH(UnitGradeInfo!B97,ref_Unit_Balance!$B$31:$B$1048576,0))
+INDEX(ref_Unit_Balance!$G$20:$G$23,MATCH(IFERROR(INDEX(ref_Unit_Balance!$D$31:$D$1048576,MATCH(B97,ref_Unit_Balance!$B$31:$B$1048576,0)),0),ref_Unit_Balance!$B$20:$B$23,0))*D97*ref_Unit_Balance!$C$25,0)</f>
        <v>600</v>
      </c>
      <c r="F97" s="5">
        <f>INDEX(ref_Unit_Balance!$V$31:$V$106,MATCH(UnitGradeInfo!B97,ref_Unit_Balance!$B$31:$B$1048576,0))
+
INDEX(ref_Unit_Balance!$AB$31:$AB$106,MATCH(UnitGradeInfo!B97,ref_Unit_Balance!$B$31:$B$1048576,0))*(D97-1)</f>
        <v>3400</v>
      </c>
      <c r="G97" s="5">
        <f>INDEX(ref_Unit_Balance!$R$31:$R$106,MATCH(UnitGradeInfo!B97,ref_Unit_Balance!$B$31:$B$1048576,0))
+
INDEX(ref_Unit_Balance!$AA$31:$AA$106,MATCH(UnitGradeInfo!B97,ref_Unit_Balance!$B$31:$B$1048576,0))*(D97-1)</f>
        <v>166</v>
      </c>
      <c r="H97" s="39">
        <f>IF(INDEX(Unitinfo!D:D,MATCH(UnitGradeInfo!B97,Unitinfo!A:A,0))=1,50,5)</f>
        <v>5</v>
      </c>
      <c r="I97" s="5">
        <f>IF(INDEX(ref_Unit_Balance!$T$31:$T$106,MATCH(UnitGradeInfo!B97,ref_Unit_Balance!$B$31:$B$1048576,0))=0,1,INDEX(ref_Unit_Balance!$T$31:$T$106,MATCH(UnitGradeInfo!B97,ref_Unit_Balance!$B$31:$B$1048576,0)))</f>
        <v>5</v>
      </c>
      <c r="J97" s="5">
        <f>INDEX(ref_Unit_Balance!$S$31:$S$106,MATCH(UnitGradeInfo!B97,ref_Unit_Balance!$B$31:$B$1048576,0))</f>
        <v>1000</v>
      </c>
      <c r="K97" s="5">
        <v>0</v>
      </c>
      <c r="L97" s="5">
        <f>INDEX(ref_Unit_Balance!$I$31:$I$106,MATCH(UnitGradeInfo!B97,ref_Unit_Balance!$B$31:$B$1048576,0))</f>
        <v>5</v>
      </c>
      <c r="M97" s="5">
        <f t="shared" si="12"/>
        <v>18</v>
      </c>
      <c r="N97" s="5">
        <f t="shared" si="13"/>
        <v>180</v>
      </c>
      <c r="O97" s="5">
        <f>(INDEX(Unitinfo!I:I,MATCH(B97,Unitinfo!A:A,0))+1)*2</f>
        <v>2</v>
      </c>
      <c r="P97" s="5">
        <v>0</v>
      </c>
      <c r="Q97" s="5">
        <v>0</v>
      </c>
      <c r="R97" s="19" t="s">
        <v>121</v>
      </c>
      <c r="S97" s="19" t="s">
        <v>121</v>
      </c>
      <c r="T97" s="5">
        <f t="shared" si="14"/>
        <v>2003</v>
      </c>
      <c r="U97" s="5">
        <f t="shared" si="15"/>
        <v>1</v>
      </c>
      <c r="V97" s="5">
        <v>0</v>
      </c>
      <c r="W97" s="5">
        <v>10</v>
      </c>
    </row>
    <row r="98" spans="1:23">
      <c r="A98" s="5">
        <f t="shared" si="4"/>
        <v>95</v>
      </c>
      <c r="B98" s="93">
        <f t="shared" si="6"/>
        <v>2003</v>
      </c>
      <c r="C98" s="20" t="str">
        <f>INDEX(Unitinfo!C:C,MATCH(UnitGradeInfo!B98,Unitinfo!A:A,0))</f>
        <v>(근거리)Skeleton_Sword</v>
      </c>
      <c r="D98" s="5">
        <f>COUNTIF($B$4:B98,B98)</f>
        <v>10</v>
      </c>
      <c r="E98" s="5">
        <f>ROUNDDOWN(INDEX(ref_Unit_Balance!$G$31:$G$106,MATCH(UnitGradeInfo!B98,ref_Unit_Balance!$B$31:$B$1048576,0))
+INDEX(ref_Unit_Balance!$G$20:$G$23,MATCH(IFERROR(INDEX(ref_Unit_Balance!$D$31:$D$1048576,MATCH(B98,ref_Unit_Balance!$B$31:$B$1048576,0)),0),ref_Unit_Balance!$B$20:$B$23,0))*D98*ref_Unit_Balance!$C$25,0)</f>
        <v>650</v>
      </c>
      <c r="F98" s="5">
        <f>INDEX(ref_Unit_Balance!$V$31:$V$106,MATCH(UnitGradeInfo!B98,ref_Unit_Balance!$B$31:$B$1048576,0))
+
INDEX(ref_Unit_Balance!$AB$31:$AB$106,MATCH(UnitGradeInfo!B98,ref_Unit_Balance!$B$31:$B$1048576,0))*(D98-1)</f>
        <v>3600</v>
      </c>
      <c r="G98" s="5">
        <f>INDEX(ref_Unit_Balance!$R$31:$R$106,MATCH(UnitGradeInfo!B98,ref_Unit_Balance!$B$31:$B$1048576,0))
+
INDEX(ref_Unit_Balance!$AA$31:$AA$106,MATCH(UnitGradeInfo!B98,ref_Unit_Balance!$B$31:$B$1048576,0))*(D98-1)</f>
        <v>173</v>
      </c>
      <c r="H98" s="39">
        <f>IF(INDEX(Unitinfo!D:D,MATCH(UnitGradeInfo!B98,Unitinfo!A:A,0))=1,50,5)</f>
        <v>5</v>
      </c>
      <c r="I98" s="5">
        <f>IF(INDEX(ref_Unit_Balance!$T$31:$T$106,MATCH(UnitGradeInfo!B98,ref_Unit_Balance!$B$31:$B$1048576,0))=0,1,INDEX(ref_Unit_Balance!$T$31:$T$106,MATCH(UnitGradeInfo!B98,ref_Unit_Balance!$B$31:$B$1048576,0)))</f>
        <v>5</v>
      </c>
      <c r="J98" s="5">
        <f>INDEX(ref_Unit_Balance!$S$31:$S$106,MATCH(UnitGradeInfo!B98,ref_Unit_Balance!$B$31:$B$1048576,0))</f>
        <v>1000</v>
      </c>
      <c r="K98" s="5">
        <v>0</v>
      </c>
      <c r="L98" s="5">
        <f>INDEX(ref_Unit_Balance!$I$31:$I$106,MATCH(UnitGradeInfo!B98,ref_Unit_Balance!$B$31:$B$1048576,0))</f>
        <v>5</v>
      </c>
      <c r="M98" s="5">
        <f t="shared" si="12"/>
        <v>20</v>
      </c>
      <c r="N98" s="5">
        <f t="shared" si="13"/>
        <v>200</v>
      </c>
      <c r="O98" s="5">
        <f>(INDEX(Unitinfo!I:I,MATCH(B98,Unitinfo!A:A,0))+1)*2</f>
        <v>2</v>
      </c>
      <c r="P98" s="5">
        <v>0</v>
      </c>
      <c r="Q98" s="5">
        <v>0</v>
      </c>
      <c r="R98" s="19" t="s">
        <v>121</v>
      </c>
      <c r="S98" s="19" t="s">
        <v>121</v>
      </c>
      <c r="T98" s="5">
        <f t="shared" si="14"/>
        <v>2003</v>
      </c>
      <c r="U98" s="5">
        <f t="shared" si="15"/>
        <v>1</v>
      </c>
      <c r="V98" s="5">
        <v>0</v>
      </c>
      <c r="W98" s="5">
        <v>10</v>
      </c>
    </row>
    <row r="99" spans="1:23">
      <c r="A99" s="5">
        <f t="shared" si="4"/>
        <v>96</v>
      </c>
      <c r="B99" s="93">
        <f t="shared" si="6"/>
        <v>2003</v>
      </c>
      <c r="C99" s="20" t="str">
        <f>INDEX(Unitinfo!C:C,MATCH(UnitGradeInfo!B99,Unitinfo!A:A,0))</f>
        <v>(근거리)Skeleton_Sword</v>
      </c>
      <c r="D99" s="5">
        <f>COUNTIF($B$4:B99,B99)</f>
        <v>11</v>
      </c>
      <c r="E99" s="5">
        <f>ROUNDDOWN(INDEX(ref_Unit_Balance!$G$31:$G$106,MATCH(UnitGradeInfo!B99,ref_Unit_Balance!$B$31:$B$1048576,0))
+INDEX(ref_Unit_Balance!$G$20:$G$23,MATCH(IFERROR(INDEX(ref_Unit_Balance!$D$31:$D$1048576,MATCH(B99,ref_Unit_Balance!$B$31:$B$1048576,0)),0),ref_Unit_Balance!$B$20:$B$23,0))*D99*ref_Unit_Balance!$C$25,0)</f>
        <v>700</v>
      </c>
      <c r="F99" s="5">
        <f>INDEX(ref_Unit_Balance!$V$31:$V$106,MATCH(UnitGradeInfo!B99,ref_Unit_Balance!$B$31:$B$1048576,0))
+
INDEX(ref_Unit_Balance!$AB$31:$AB$106,MATCH(UnitGradeInfo!B99,ref_Unit_Balance!$B$31:$B$1048576,0))*(D99-1)</f>
        <v>3800</v>
      </c>
      <c r="G99" s="5">
        <f>INDEX(ref_Unit_Balance!$R$31:$R$106,MATCH(UnitGradeInfo!B99,ref_Unit_Balance!$B$31:$B$1048576,0))
+
INDEX(ref_Unit_Balance!$AA$31:$AA$106,MATCH(UnitGradeInfo!B99,ref_Unit_Balance!$B$31:$B$1048576,0))*(D99-1)</f>
        <v>180</v>
      </c>
      <c r="H99" s="39">
        <f>IF(INDEX(Unitinfo!D:D,MATCH(UnitGradeInfo!B99,Unitinfo!A:A,0))=1,50,5)</f>
        <v>5</v>
      </c>
      <c r="I99" s="5">
        <f>IF(INDEX(ref_Unit_Balance!$T$31:$T$106,MATCH(UnitGradeInfo!B99,ref_Unit_Balance!$B$31:$B$1048576,0))=0,1,INDEX(ref_Unit_Balance!$T$31:$T$106,MATCH(UnitGradeInfo!B99,ref_Unit_Balance!$B$31:$B$1048576,0)))</f>
        <v>5</v>
      </c>
      <c r="J99" s="5">
        <f>INDEX(ref_Unit_Balance!$S$31:$S$106,MATCH(UnitGradeInfo!B99,ref_Unit_Balance!$B$31:$B$1048576,0))</f>
        <v>1000</v>
      </c>
      <c r="K99" s="5">
        <v>0</v>
      </c>
      <c r="L99" s="5">
        <f>INDEX(ref_Unit_Balance!$I$31:$I$106,MATCH(UnitGradeInfo!B99,ref_Unit_Balance!$B$31:$B$1048576,0))</f>
        <v>5</v>
      </c>
      <c r="M99" s="5">
        <f t="shared" si="12"/>
        <v>22</v>
      </c>
      <c r="N99" s="5">
        <f t="shared" si="13"/>
        <v>220</v>
      </c>
      <c r="O99" s="5">
        <f>(INDEX(Unitinfo!I:I,MATCH(B99,Unitinfo!A:A,0))+1)*2</f>
        <v>2</v>
      </c>
      <c r="P99" s="5">
        <v>0</v>
      </c>
      <c r="Q99" s="5">
        <v>0</v>
      </c>
      <c r="R99" s="19" t="s">
        <v>121</v>
      </c>
      <c r="S99" s="19" t="s">
        <v>121</v>
      </c>
      <c r="T99" s="5">
        <f t="shared" si="14"/>
        <v>2003</v>
      </c>
      <c r="U99" s="5">
        <f t="shared" si="15"/>
        <v>1</v>
      </c>
      <c r="V99" s="5">
        <v>0</v>
      </c>
      <c r="W99" s="5">
        <v>10</v>
      </c>
    </row>
    <row r="100" spans="1:23">
      <c r="A100" s="5">
        <f t="shared" si="4"/>
        <v>97</v>
      </c>
      <c r="B100" s="93">
        <f t="shared" si="6"/>
        <v>2003</v>
      </c>
      <c r="C100" s="20" t="str">
        <f>INDEX(Unitinfo!C:C,MATCH(UnitGradeInfo!B100,Unitinfo!A:A,0))</f>
        <v>(근거리)Skeleton_Sword</v>
      </c>
      <c r="D100" s="5">
        <f>COUNTIF($B$4:B100,B100)</f>
        <v>12</v>
      </c>
      <c r="E100" s="5">
        <f>ROUNDDOWN(INDEX(ref_Unit_Balance!$G$31:$G$106,MATCH(UnitGradeInfo!B100,ref_Unit_Balance!$B$31:$B$1048576,0))
+INDEX(ref_Unit_Balance!$G$20:$G$23,MATCH(IFERROR(INDEX(ref_Unit_Balance!$D$31:$D$1048576,MATCH(B100,ref_Unit_Balance!$B$31:$B$1048576,0)),0),ref_Unit_Balance!$B$20:$B$23,0))*D100*ref_Unit_Balance!$C$25,0)</f>
        <v>750</v>
      </c>
      <c r="F100" s="5">
        <f>INDEX(ref_Unit_Balance!$V$31:$V$106,MATCH(UnitGradeInfo!B100,ref_Unit_Balance!$B$31:$B$1048576,0))
+
INDEX(ref_Unit_Balance!$AB$31:$AB$106,MATCH(UnitGradeInfo!B100,ref_Unit_Balance!$B$31:$B$1048576,0))*(D100-1)</f>
        <v>4000</v>
      </c>
      <c r="G100" s="5">
        <f>INDEX(ref_Unit_Balance!$R$31:$R$106,MATCH(UnitGradeInfo!B100,ref_Unit_Balance!$B$31:$B$1048576,0))
+
INDEX(ref_Unit_Balance!$AA$31:$AA$106,MATCH(UnitGradeInfo!B100,ref_Unit_Balance!$B$31:$B$1048576,0))*(D100-1)</f>
        <v>187</v>
      </c>
      <c r="H100" s="39">
        <f>IF(INDEX(Unitinfo!D:D,MATCH(UnitGradeInfo!B100,Unitinfo!A:A,0))=1,50,5)</f>
        <v>5</v>
      </c>
      <c r="I100" s="5">
        <f>IF(INDEX(ref_Unit_Balance!$T$31:$T$106,MATCH(UnitGradeInfo!B100,ref_Unit_Balance!$B$31:$B$1048576,0))=0,1,INDEX(ref_Unit_Balance!$T$31:$T$106,MATCH(UnitGradeInfo!B100,ref_Unit_Balance!$B$31:$B$1048576,0)))</f>
        <v>5</v>
      </c>
      <c r="J100" s="5">
        <f>INDEX(ref_Unit_Balance!$S$31:$S$106,MATCH(UnitGradeInfo!B100,ref_Unit_Balance!$B$31:$B$1048576,0))</f>
        <v>1000</v>
      </c>
      <c r="K100" s="5">
        <v>0</v>
      </c>
      <c r="L100" s="5">
        <f>INDEX(ref_Unit_Balance!$I$31:$I$106,MATCH(UnitGradeInfo!B100,ref_Unit_Balance!$B$31:$B$1048576,0))</f>
        <v>5</v>
      </c>
      <c r="M100" s="5">
        <f t="shared" si="12"/>
        <v>24</v>
      </c>
      <c r="N100" s="5">
        <f t="shared" si="13"/>
        <v>240</v>
      </c>
      <c r="O100" s="5">
        <f>(INDEX(Unitinfo!I:I,MATCH(B100,Unitinfo!A:A,0))+1)*2</f>
        <v>2</v>
      </c>
      <c r="P100" s="5">
        <v>0</v>
      </c>
      <c r="Q100" s="5">
        <v>0</v>
      </c>
      <c r="R100" s="19" t="s">
        <v>121</v>
      </c>
      <c r="S100" s="19" t="s">
        <v>121</v>
      </c>
      <c r="T100" s="5">
        <f t="shared" si="14"/>
        <v>2003</v>
      </c>
      <c r="U100" s="5">
        <f t="shared" si="15"/>
        <v>1</v>
      </c>
      <c r="V100" s="5">
        <v>0</v>
      </c>
      <c r="W100" s="5">
        <v>10</v>
      </c>
    </row>
    <row r="101" spans="1:23">
      <c r="A101" s="5">
        <f t="shared" si="4"/>
        <v>98</v>
      </c>
      <c r="B101" s="93">
        <f t="shared" si="6"/>
        <v>2003</v>
      </c>
      <c r="C101" s="20" t="str">
        <f>INDEX(Unitinfo!C:C,MATCH(UnitGradeInfo!B101,Unitinfo!A:A,0))</f>
        <v>(근거리)Skeleton_Sword</v>
      </c>
      <c r="D101" s="5">
        <f>COUNTIF($B$4:B101,B101)</f>
        <v>13</v>
      </c>
      <c r="E101" s="5">
        <f>ROUNDDOWN(INDEX(ref_Unit_Balance!$G$31:$G$106,MATCH(UnitGradeInfo!B101,ref_Unit_Balance!$B$31:$B$1048576,0))
+INDEX(ref_Unit_Balance!$G$20:$G$23,MATCH(IFERROR(INDEX(ref_Unit_Balance!$D$31:$D$1048576,MATCH(B101,ref_Unit_Balance!$B$31:$B$1048576,0)),0),ref_Unit_Balance!$B$20:$B$23,0))*D101*ref_Unit_Balance!$C$25,0)</f>
        <v>800</v>
      </c>
      <c r="F101" s="5">
        <f>INDEX(ref_Unit_Balance!$V$31:$V$106,MATCH(UnitGradeInfo!B101,ref_Unit_Balance!$B$31:$B$1048576,0))
+
INDEX(ref_Unit_Balance!$AB$31:$AB$106,MATCH(UnitGradeInfo!B101,ref_Unit_Balance!$B$31:$B$1048576,0))*(D101-1)</f>
        <v>4200</v>
      </c>
      <c r="G101" s="5">
        <f>INDEX(ref_Unit_Balance!$R$31:$R$106,MATCH(UnitGradeInfo!B101,ref_Unit_Balance!$B$31:$B$1048576,0))
+
INDEX(ref_Unit_Balance!$AA$31:$AA$106,MATCH(UnitGradeInfo!B101,ref_Unit_Balance!$B$31:$B$1048576,0))*(D101-1)</f>
        <v>194</v>
      </c>
      <c r="H101" s="39">
        <f>IF(INDEX(Unitinfo!D:D,MATCH(UnitGradeInfo!B101,Unitinfo!A:A,0))=1,50,5)</f>
        <v>5</v>
      </c>
      <c r="I101" s="5">
        <f>IF(INDEX(ref_Unit_Balance!$T$31:$T$106,MATCH(UnitGradeInfo!B101,ref_Unit_Balance!$B$31:$B$1048576,0))=0,1,INDEX(ref_Unit_Balance!$T$31:$T$106,MATCH(UnitGradeInfo!B101,ref_Unit_Balance!$B$31:$B$1048576,0)))</f>
        <v>5</v>
      </c>
      <c r="J101" s="5">
        <f>INDEX(ref_Unit_Balance!$S$31:$S$106,MATCH(UnitGradeInfo!B101,ref_Unit_Balance!$B$31:$B$1048576,0))</f>
        <v>1000</v>
      </c>
      <c r="K101" s="5">
        <v>0</v>
      </c>
      <c r="L101" s="5">
        <f>INDEX(ref_Unit_Balance!$I$31:$I$106,MATCH(UnitGradeInfo!B101,ref_Unit_Balance!$B$31:$B$1048576,0))</f>
        <v>5</v>
      </c>
      <c r="M101" s="5">
        <f t="shared" si="12"/>
        <v>26</v>
      </c>
      <c r="N101" s="5">
        <f t="shared" si="13"/>
        <v>260</v>
      </c>
      <c r="O101" s="5">
        <f>(INDEX(Unitinfo!I:I,MATCH(B101,Unitinfo!A:A,0))+1)*2</f>
        <v>2</v>
      </c>
      <c r="P101" s="5">
        <v>0</v>
      </c>
      <c r="Q101" s="5">
        <v>0</v>
      </c>
      <c r="R101" s="19" t="s">
        <v>121</v>
      </c>
      <c r="S101" s="19" t="s">
        <v>121</v>
      </c>
      <c r="T101" s="5">
        <f t="shared" si="14"/>
        <v>2003</v>
      </c>
      <c r="U101" s="5">
        <f t="shared" si="15"/>
        <v>1</v>
      </c>
      <c r="V101" s="5">
        <v>0</v>
      </c>
      <c r="W101" s="5">
        <v>10</v>
      </c>
    </row>
    <row r="102" spans="1:23">
      <c r="A102" s="5">
        <f t="shared" si="4"/>
        <v>99</v>
      </c>
      <c r="B102" s="93">
        <f t="shared" si="6"/>
        <v>2003</v>
      </c>
      <c r="C102" s="20" t="str">
        <f>INDEX(Unitinfo!C:C,MATCH(UnitGradeInfo!B102,Unitinfo!A:A,0))</f>
        <v>(근거리)Skeleton_Sword</v>
      </c>
      <c r="D102" s="5">
        <f>COUNTIF($B$4:B102,B102)</f>
        <v>14</v>
      </c>
      <c r="E102" s="5">
        <f>ROUNDDOWN(INDEX(ref_Unit_Balance!$G$31:$G$106,MATCH(UnitGradeInfo!B102,ref_Unit_Balance!$B$31:$B$1048576,0))
+INDEX(ref_Unit_Balance!$G$20:$G$23,MATCH(IFERROR(INDEX(ref_Unit_Balance!$D$31:$D$1048576,MATCH(B102,ref_Unit_Balance!$B$31:$B$1048576,0)),0),ref_Unit_Balance!$B$20:$B$23,0))*D102*ref_Unit_Balance!$C$25,0)</f>
        <v>850</v>
      </c>
      <c r="F102" s="5">
        <f>INDEX(ref_Unit_Balance!$V$31:$V$106,MATCH(UnitGradeInfo!B102,ref_Unit_Balance!$B$31:$B$1048576,0))
+
INDEX(ref_Unit_Balance!$AB$31:$AB$106,MATCH(UnitGradeInfo!B102,ref_Unit_Balance!$B$31:$B$1048576,0))*(D102-1)</f>
        <v>4400</v>
      </c>
      <c r="G102" s="5">
        <f>INDEX(ref_Unit_Balance!$R$31:$R$106,MATCH(UnitGradeInfo!B102,ref_Unit_Balance!$B$31:$B$1048576,0))
+
INDEX(ref_Unit_Balance!$AA$31:$AA$106,MATCH(UnitGradeInfo!B102,ref_Unit_Balance!$B$31:$B$1048576,0))*(D102-1)</f>
        <v>201</v>
      </c>
      <c r="H102" s="39">
        <f>IF(INDEX(Unitinfo!D:D,MATCH(UnitGradeInfo!B102,Unitinfo!A:A,0))=1,50,5)</f>
        <v>5</v>
      </c>
      <c r="I102" s="5">
        <f>IF(INDEX(ref_Unit_Balance!$T$31:$T$106,MATCH(UnitGradeInfo!B102,ref_Unit_Balance!$B$31:$B$1048576,0))=0,1,INDEX(ref_Unit_Balance!$T$31:$T$106,MATCH(UnitGradeInfo!B102,ref_Unit_Balance!$B$31:$B$1048576,0)))</f>
        <v>5</v>
      </c>
      <c r="J102" s="5">
        <f>INDEX(ref_Unit_Balance!$S$31:$S$106,MATCH(UnitGradeInfo!B102,ref_Unit_Balance!$B$31:$B$1048576,0))</f>
        <v>1000</v>
      </c>
      <c r="K102" s="5">
        <v>0</v>
      </c>
      <c r="L102" s="5">
        <f>INDEX(ref_Unit_Balance!$I$31:$I$106,MATCH(UnitGradeInfo!B102,ref_Unit_Balance!$B$31:$B$1048576,0))</f>
        <v>5</v>
      </c>
      <c r="M102" s="5">
        <f t="shared" si="12"/>
        <v>28</v>
      </c>
      <c r="N102" s="5">
        <f t="shared" si="13"/>
        <v>280</v>
      </c>
      <c r="O102" s="5">
        <f>(INDEX(Unitinfo!I:I,MATCH(B102,Unitinfo!A:A,0))+1)*2</f>
        <v>2</v>
      </c>
      <c r="P102" s="5">
        <v>0</v>
      </c>
      <c r="Q102" s="5">
        <v>0</v>
      </c>
      <c r="R102" s="19" t="s">
        <v>121</v>
      </c>
      <c r="S102" s="19" t="s">
        <v>121</v>
      </c>
      <c r="T102" s="5">
        <f t="shared" si="14"/>
        <v>2003</v>
      </c>
      <c r="U102" s="5">
        <f t="shared" si="15"/>
        <v>1</v>
      </c>
      <c r="V102" s="5">
        <v>0</v>
      </c>
      <c r="W102" s="5">
        <v>10</v>
      </c>
    </row>
    <row r="103" spans="1:23">
      <c r="A103" s="5">
        <f t="shared" si="4"/>
        <v>100</v>
      </c>
      <c r="B103" s="93">
        <f t="shared" si="6"/>
        <v>2003</v>
      </c>
      <c r="C103" s="20" t="str">
        <f>INDEX(Unitinfo!C:C,MATCH(UnitGradeInfo!B103,Unitinfo!A:A,0))</f>
        <v>(근거리)Skeleton_Sword</v>
      </c>
      <c r="D103" s="5">
        <f>COUNTIF($B$4:B103,B103)</f>
        <v>15</v>
      </c>
      <c r="E103" s="5">
        <f>ROUNDDOWN(INDEX(ref_Unit_Balance!$G$31:$G$106,MATCH(UnitGradeInfo!B103,ref_Unit_Balance!$B$31:$B$1048576,0))
+INDEX(ref_Unit_Balance!$G$20:$G$23,MATCH(IFERROR(INDEX(ref_Unit_Balance!$D$31:$D$1048576,MATCH(B103,ref_Unit_Balance!$B$31:$B$1048576,0)),0),ref_Unit_Balance!$B$20:$B$23,0))*D103*ref_Unit_Balance!$C$25,0)</f>
        <v>900</v>
      </c>
      <c r="F103" s="5">
        <f>INDEX(ref_Unit_Balance!$V$31:$V$106,MATCH(UnitGradeInfo!B103,ref_Unit_Balance!$B$31:$B$1048576,0))
+
INDEX(ref_Unit_Balance!$AB$31:$AB$106,MATCH(UnitGradeInfo!B103,ref_Unit_Balance!$B$31:$B$1048576,0))*(D103-1)</f>
        <v>4600</v>
      </c>
      <c r="G103" s="5">
        <f>INDEX(ref_Unit_Balance!$R$31:$R$106,MATCH(UnitGradeInfo!B103,ref_Unit_Balance!$B$31:$B$1048576,0))
+
INDEX(ref_Unit_Balance!$AA$31:$AA$106,MATCH(UnitGradeInfo!B103,ref_Unit_Balance!$B$31:$B$1048576,0))*(D103-1)</f>
        <v>208</v>
      </c>
      <c r="H103" s="39">
        <f>IF(INDEX(Unitinfo!D:D,MATCH(UnitGradeInfo!B103,Unitinfo!A:A,0))=1,50,5)</f>
        <v>5</v>
      </c>
      <c r="I103" s="5">
        <f>IF(INDEX(ref_Unit_Balance!$T$31:$T$106,MATCH(UnitGradeInfo!B103,ref_Unit_Balance!$B$31:$B$1048576,0))=0,1,INDEX(ref_Unit_Balance!$T$31:$T$106,MATCH(UnitGradeInfo!B103,ref_Unit_Balance!$B$31:$B$1048576,0)))</f>
        <v>5</v>
      </c>
      <c r="J103" s="5">
        <f>INDEX(ref_Unit_Balance!$S$31:$S$106,MATCH(UnitGradeInfo!B103,ref_Unit_Balance!$B$31:$B$1048576,0))</f>
        <v>1000</v>
      </c>
      <c r="K103" s="5">
        <v>0</v>
      </c>
      <c r="L103" s="5">
        <f>INDEX(ref_Unit_Balance!$I$31:$I$106,MATCH(UnitGradeInfo!B103,ref_Unit_Balance!$B$31:$B$1048576,0))</f>
        <v>5</v>
      </c>
      <c r="M103" s="5">
        <f t="shared" si="12"/>
        <v>30</v>
      </c>
      <c r="N103" s="5">
        <f t="shared" si="13"/>
        <v>300</v>
      </c>
      <c r="O103" s="5">
        <f>(INDEX(Unitinfo!I:I,MATCH(B103,Unitinfo!A:A,0))+1)*2</f>
        <v>2</v>
      </c>
      <c r="P103" s="5">
        <v>0</v>
      </c>
      <c r="Q103" s="5">
        <v>0</v>
      </c>
      <c r="R103" s="19" t="s">
        <v>121</v>
      </c>
      <c r="S103" s="19" t="s">
        <v>121</v>
      </c>
      <c r="T103" s="5">
        <f t="shared" si="14"/>
        <v>2003</v>
      </c>
      <c r="U103" s="5">
        <f t="shared" si="15"/>
        <v>1</v>
      </c>
      <c r="V103" s="5">
        <v>0</v>
      </c>
      <c r="W103" s="5">
        <v>10</v>
      </c>
    </row>
    <row r="104" spans="1:23">
      <c r="A104" s="5">
        <f t="shared" ref="A104:A167" si="16">A103+1</f>
        <v>101</v>
      </c>
      <c r="B104" s="93">
        <f t="shared" si="6"/>
        <v>2003</v>
      </c>
      <c r="C104" s="20" t="str">
        <f>INDEX(Unitinfo!C:C,MATCH(UnitGradeInfo!B104,Unitinfo!A:A,0))</f>
        <v>(근거리)Skeleton_Sword</v>
      </c>
      <c r="D104" s="5">
        <f>COUNTIF($B$4:B104,B104)</f>
        <v>16</v>
      </c>
      <c r="E104" s="5">
        <f>ROUNDDOWN(INDEX(ref_Unit_Balance!$G$31:$G$106,MATCH(UnitGradeInfo!B104,ref_Unit_Balance!$B$31:$B$1048576,0))
+INDEX(ref_Unit_Balance!$G$20:$G$23,MATCH(IFERROR(INDEX(ref_Unit_Balance!$D$31:$D$1048576,MATCH(B104,ref_Unit_Balance!$B$31:$B$1048576,0)),0),ref_Unit_Balance!$B$20:$B$23,0))*D104*ref_Unit_Balance!$C$25,0)</f>
        <v>950</v>
      </c>
      <c r="F104" s="5">
        <f>INDEX(ref_Unit_Balance!$V$31:$V$106,MATCH(UnitGradeInfo!B104,ref_Unit_Balance!$B$31:$B$1048576,0))
+
INDEX(ref_Unit_Balance!$AB$31:$AB$106,MATCH(UnitGradeInfo!B104,ref_Unit_Balance!$B$31:$B$1048576,0))*(D104-1)</f>
        <v>4800</v>
      </c>
      <c r="G104" s="5">
        <f>INDEX(ref_Unit_Balance!$R$31:$R$106,MATCH(UnitGradeInfo!B104,ref_Unit_Balance!$B$31:$B$1048576,0))
+
INDEX(ref_Unit_Balance!$AA$31:$AA$106,MATCH(UnitGradeInfo!B104,ref_Unit_Balance!$B$31:$B$1048576,0))*(D104-1)</f>
        <v>215</v>
      </c>
      <c r="H104" s="39">
        <f>IF(INDEX(Unitinfo!D:D,MATCH(UnitGradeInfo!B104,Unitinfo!A:A,0))=1,50,5)</f>
        <v>5</v>
      </c>
      <c r="I104" s="5">
        <f>IF(INDEX(ref_Unit_Balance!$T$31:$T$106,MATCH(UnitGradeInfo!B104,ref_Unit_Balance!$B$31:$B$1048576,0))=0,1,INDEX(ref_Unit_Balance!$T$31:$T$106,MATCH(UnitGradeInfo!B104,ref_Unit_Balance!$B$31:$B$1048576,0)))</f>
        <v>5</v>
      </c>
      <c r="J104" s="5">
        <f>INDEX(ref_Unit_Balance!$S$31:$S$106,MATCH(UnitGradeInfo!B104,ref_Unit_Balance!$B$31:$B$1048576,0))</f>
        <v>1000</v>
      </c>
      <c r="K104" s="5">
        <v>0</v>
      </c>
      <c r="L104" s="5">
        <f>INDEX(ref_Unit_Balance!$I$31:$I$106,MATCH(UnitGradeInfo!B104,ref_Unit_Balance!$B$31:$B$1048576,0))</f>
        <v>5</v>
      </c>
      <c r="M104" s="5">
        <f t="shared" si="12"/>
        <v>32</v>
      </c>
      <c r="N104" s="5">
        <f t="shared" si="13"/>
        <v>320</v>
      </c>
      <c r="O104" s="5">
        <f>(INDEX(Unitinfo!I:I,MATCH(B104,Unitinfo!A:A,0))+1)*2</f>
        <v>2</v>
      </c>
      <c r="P104" s="5">
        <v>0</v>
      </c>
      <c r="Q104" s="5">
        <v>0</v>
      </c>
      <c r="R104" s="19" t="s">
        <v>121</v>
      </c>
      <c r="S104" s="19" t="s">
        <v>121</v>
      </c>
      <c r="T104" s="5">
        <f t="shared" si="14"/>
        <v>2003</v>
      </c>
      <c r="U104" s="5">
        <f t="shared" si="15"/>
        <v>1</v>
      </c>
      <c r="V104" s="5">
        <v>0</v>
      </c>
      <c r="W104" s="5">
        <v>10</v>
      </c>
    </row>
    <row r="105" spans="1:23">
      <c r="A105" s="5">
        <f t="shared" si="16"/>
        <v>102</v>
      </c>
      <c r="B105" s="93">
        <f t="shared" si="6"/>
        <v>2003</v>
      </c>
      <c r="C105" s="20" t="str">
        <f>INDEX(Unitinfo!C:C,MATCH(UnitGradeInfo!B105,Unitinfo!A:A,0))</f>
        <v>(근거리)Skeleton_Sword</v>
      </c>
      <c r="D105" s="5">
        <f>COUNTIF($B$4:B105,B105)</f>
        <v>17</v>
      </c>
      <c r="E105" s="5">
        <f>ROUNDDOWN(INDEX(ref_Unit_Balance!$G$31:$G$106,MATCH(UnitGradeInfo!B105,ref_Unit_Balance!$B$31:$B$1048576,0))
+INDEX(ref_Unit_Balance!$G$20:$G$23,MATCH(IFERROR(INDEX(ref_Unit_Balance!$D$31:$D$1048576,MATCH(B105,ref_Unit_Balance!$B$31:$B$1048576,0)),0),ref_Unit_Balance!$B$20:$B$23,0))*D105*ref_Unit_Balance!$C$25,0)</f>
        <v>1000</v>
      </c>
      <c r="F105" s="5">
        <f>INDEX(ref_Unit_Balance!$V$31:$V$106,MATCH(UnitGradeInfo!B105,ref_Unit_Balance!$B$31:$B$1048576,0))
+
INDEX(ref_Unit_Balance!$AB$31:$AB$106,MATCH(UnitGradeInfo!B105,ref_Unit_Balance!$B$31:$B$1048576,0))*(D105-1)</f>
        <v>5000</v>
      </c>
      <c r="G105" s="5">
        <f>INDEX(ref_Unit_Balance!$R$31:$R$106,MATCH(UnitGradeInfo!B105,ref_Unit_Balance!$B$31:$B$1048576,0))
+
INDEX(ref_Unit_Balance!$AA$31:$AA$106,MATCH(UnitGradeInfo!B105,ref_Unit_Balance!$B$31:$B$1048576,0))*(D105-1)</f>
        <v>222</v>
      </c>
      <c r="H105" s="39">
        <f>IF(INDEX(Unitinfo!D:D,MATCH(UnitGradeInfo!B105,Unitinfo!A:A,0))=1,50,5)</f>
        <v>5</v>
      </c>
      <c r="I105" s="5">
        <f>IF(INDEX(ref_Unit_Balance!$T$31:$T$106,MATCH(UnitGradeInfo!B105,ref_Unit_Balance!$B$31:$B$1048576,0))=0,1,INDEX(ref_Unit_Balance!$T$31:$T$106,MATCH(UnitGradeInfo!B105,ref_Unit_Balance!$B$31:$B$1048576,0)))</f>
        <v>5</v>
      </c>
      <c r="J105" s="5">
        <f>INDEX(ref_Unit_Balance!$S$31:$S$106,MATCH(UnitGradeInfo!B105,ref_Unit_Balance!$B$31:$B$1048576,0))</f>
        <v>1000</v>
      </c>
      <c r="K105" s="5">
        <v>0</v>
      </c>
      <c r="L105" s="5">
        <f>INDEX(ref_Unit_Balance!$I$31:$I$106,MATCH(UnitGradeInfo!B105,ref_Unit_Balance!$B$31:$B$1048576,0))</f>
        <v>5</v>
      </c>
      <c r="M105" s="5">
        <f t="shared" si="12"/>
        <v>34</v>
      </c>
      <c r="N105" s="5">
        <f t="shared" si="13"/>
        <v>340</v>
      </c>
      <c r="O105" s="5">
        <f>(INDEX(Unitinfo!I:I,MATCH(B105,Unitinfo!A:A,0))+1)*2</f>
        <v>2</v>
      </c>
      <c r="P105" s="5">
        <v>0</v>
      </c>
      <c r="Q105" s="5">
        <v>0</v>
      </c>
      <c r="R105" s="19" t="s">
        <v>121</v>
      </c>
      <c r="S105" s="19" t="s">
        <v>121</v>
      </c>
      <c r="T105" s="5">
        <f t="shared" si="14"/>
        <v>2003</v>
      </c>
      <c r="U105" s="5">
        <f t="shared" si="15"/>
        <v>1</v>
      </c>
      <c r="V105" s="5">
        <v>0</v>
      </c>
      <c r="W105" s="5">
        <v>10</v>
      </c>
    </row>
    <row r="106" spans="1:23">
      <c r="A106" s="5">
        <f t="shared" si="16"/>
        <v>103</v>
      </c>
      <c r="B106" s="93">
        <f t="shared" si="6"/>
        <v>2003</v>
      </c>
      <c r="C106" s="20" t="str">
        <f>INDEX(Unitinfo!C:C,MATCH(UnitGradeInfo!B106,Unitinfo!A:A,0))</f>
        <v>(근거리)Skeleton_Sword</v>
      </c>
      <c r="D106" s="5">
        <f>COUNTIF($B$4:B106,B106)</f>
        <v>18</v>
      </c>
      <c r="E106" s="5">
        <f>ROUNDDOWN(INDEX(ref_Unit_Balance!$G$31:$G$106,MATCH(UnitGradeInfo!B106,ref_Unit_Balance!$B$31:$B$1048576,0))
+INDEX(ref_Unit_Balance!$G$20:$G$23,MATCH(IFERROR(INDEX(ref_Unit_Balance!$D$31:$D$1048576,MATCH(B106,ref_Unit_Balance!$B$31:$B$1048576,0)),0),ref_Unit_Balance!$B$20:$B$23,0))*D106*ref_Unit_Balance!$C$25,0)</f>
        <v>1050</v>
      </c>
      <c r="F106" s="5">
        <f>INDEX(ref_Unit_Balance!$V$31:$V$106,MATCH(UnitGradeInfo!B106,ref_Unit_Balance!$B$31:$B$1048576,0))
+
INDEX(ref_Unit_Balance!$AB$31:$AB$106,MATCH(UnitGradeInfo!B106,ref_Unit_Balance!$B$31:$B$1048576,0))*(D106-1)</f>
        <v>5200</v>
      </c>
      <c r="G106" s="5">
        <f>INDEX(ref_Unit_Balance!$R$31:$R$106,MATCH(UnitGradeInfo!B106,ref_Unit_Balance!$B$31:$B$1048576,0))
+
INDEX(ref_Unit_Balance!$AA$31:$AA$106,MATCH(UnitGradeInfo!B106,ref_Unit_Balance!$B$31:$B$1048576,0))*(D106-1)</f>
        <v>229</v>
      </c>
      <c r="H106" s="39">
        <f>IF(INDEX(Unitinfo!D:D,MATCH(UnitGradeInfo!B106,Unitinfo!A:A,0))=1,50,5)</f>
        <v>5</v>
      </c>
      <c r="I106" s="5">
        <f>IF(INDEX(ref_Unit_Balance!$T$31:$T$106,MATCH(UnitGradeInfo!B106,ref_Unit_Balance!$B$31:$B$1048576,0))=0,1,INDEX(ref_Unit_Balance!$T$31:$T$106,MATCH(UnitGradeInfo!B106,ref_Unit_Balance!$B$31:$B$1048576,0)))</f>
        <v>5</v>
      </c>
      <c r="J106" s="5">
        <f>INDEX(ref_Unit_Balance!$S$31:$S$106,MATCH(UnitGradeInfo!B106,ref_Unit_Balance!$B$31:$B$1048576,0))</f>
        <v>1000</v>
      </c>
      <c r="K106" s="5">
        <v>0</v>
      </c>
      <c r="L106" s="5">
        <f>INDEX(ref_Unit_Balance!$I$31:$I$106,MATCH(UnitGradeInfo!B106,ref_Unit_Balance!$B$31:$B$1048576,0))</f>
        <v>5</v>
      </c>
      <c r="M106" s="5">
        <f t="shared" si="12"/>
        <v>36</v>
      </c>
      <c r="N106" s="5">
        <f t="shared" si="13"/>
        <v>360</v>
      </c>
      <c r="O106" s="5">
        <f>(INDEX(Unitinfo!I:I,MATCH(B106,Unitinfo!A:A,0))+1)*2</f>
        <v>2</v>
      </c>
      <c r="P106" s="5">
        <v>0</v>
      </c>
      <c r="Q106" s="5">
        <v>0</v>
      </c>
      <c r="R106" s="19" t="s">
        <v>121</v>
      </c>
      <c r="S106" s="19" t="s">
        <v>121</v>
      </c>
      <c r="T106" s="5">
        <f t="shared" si="14"/>
        <v>2003</v>
      </c>
      <c r="U106" s="5">
        <f t="shared" si="15"/>
        <v>1</v>
      </c>
      <c r="V106" s="5">
        <v>0</v>
      </c>
      <c r="W106" s="5">
        <v>10</v>
      </c>
    </row>
    <row r="107" spans="1:23">
      <c r="A107" s="5">
        <f t="shared" si="16"/>
        <v>104</v>
      </c>
      <c r="B107" s="93">
        <f t="shared" si="6"/>
        <v>2003</v>
      </c>
      <c r="C107" s="20" t="str">
        <f>INDEX(Unitinfo!C:C,MATCH(UnitGradeInfo!B107,Unitinfo!A:A,0))</f>
        <v>(근거리)Skeleton_Sword</v>
      </c>
      <c r="D107" s="5">
        <f>COUNTIF($B$4:B107,B107)</f>
        <v>19</v>
      </c>
      <c r="E107" s="5">
        <f>ROUNDDOWN(INDEX(ref_Unit_Balance!$G$31:$G$106,MATCH(UnitGradeInfo!B107,ref_Unit_Balance!$B$31:$B$1048576,0))
+INDEX(ref_Unit_Balance!$G$20:$G$23,MATCH(IFERROR(INDEX(ref_Unit_Balance!$D$31:$D$1048576,MATCH(B107,ref_Unit_Balance!$B$31:$B$1048576,0)),0),ref_Unit_Balance!$B$20:$B$23,0))*D107*ref_Unit_Balance!$C$25,0)</f>
        <v>1100</v>
      </c>
      <c r="F107" s="5">
        <f>INDEX(ref_Unit_Balance!$V$31:$V$106,MATCH(UnitGradeInfo!B107,ref_Unit_Balance!$B$31:$B$1048576,0))
+
INDEX(ref_Unit_Balance!$AB$31:$AB$106,MATCH(UnitGradeInfo!B107,ref_Unit_Balance!$B$31:$B$1048576,0))*(D107-1)</f>
        <v>5400</v>
      </c>
      <c r="G107" s="5">
        <f>INDEX(ref_Unit_Balance!$R$31:$R$106,MATCH(UnitGradeInfo!B107,ref_Unit_Balance!$B$31:$B$1048576,0))
+
INDEX(ref_Unit_Balance!$AA$31:$AA$106,MATCH(UnitGradeInfo!B107,ref_Unit_Balance!$B$31:$B$1048576,0))*(D107-1)</f>
        <v>236</v>
      </c>
      <c r="H107" s="39">
        <f>IF(INDEX(Unitinfo!D:D,MATCH(UnitGradeInfo!B107,Unitinfo!A:A,0))=1,50,5)</f>
        <v>5</v>
      </c>
      <c r="I107" s="5">
        <f>IF(INDEX(ref_Unit_Balance!$T$31:$T$106,MATCH(UnitGradeInfo!B107,ref_Unit_Balance!$B$31:$B$1048576,0))=0,1,INDEX(ref_Unit_Balance!$T$31:$T$106,MATCH(UnitGradeInfo!B107,ref_Unit_Balance!$B$31:$B$1048576,0)))</f>
        <v>5</v>
      </c>
      <c r="J107" s="5">
        <f>INDEX(ref_Unit_Balance!$S$31:$S$106,MATCH(UnitGradeInfo!B107,ref_Unit_Balance!$B$31:$B$1048576,0))</f>
        <v>1000</v>
      </c>
      <c r="K107" s="5">
        <v>0</v>
      </c>
      <c r="L107" s="5">
        <f>INDEX(ref_Unit_Balance!$I$31:$I$106,MATCH(UnitGradeInfo!B107,ref_Unit_Balance!$B$31:$B$1048576,0))</f>
        <v>5</v>
      </c>
      <c r="M107" s="5">
        <f t="shared" si="12"/>
        <v>38</v>
      </c>
      <c r="N107" s="5">
        <f t="shared" si="13"/>
        <v>380</v>
      </c>
      <c r="O107" s="5">
        <f>(INDEX(Unitinfo!I:I,MATCH(B107,Unitinfo!A:A,0))+1)*2</f>
        <v>2</v>
      </c>
      <c r="P107" s="5">
        <v>0</v>
      </c>
      <c r="Q107" s="5">
        <v>0</v>
      </c>
      <c r="R107" s="19" t="s">
        <v>121</v>
      </c>
      <c r="S107" s="19" t="s">
        <v>121</v>
      </c>
      <c r="T107" s="5">
        <f t="shared" si="14"/>
        <v>2003</v>
      </c>
      <c r="U107" s="5">
        <f t="shared" si="15"/>
        <v>1</v>
      </c>
      <c r="V107" s="5">
        <v>0</v>
      </c>
      <c r="W107" s="5">
        <v>10</v>
      </c>
    </row>
    <row r="108" spans="1:23">
      <c r="A108" s="5">
        <f t="shared" si="16"/>
        <v>105</v>
      </c>
      <c r="B108" s="93">
        <f t="shared" si="6"/>
        <v>2003</v>
      </c>
      <c r="C108" s="20" t="str">
        <f>INDEX(Unitinfo!C:C,MATCH(UnitGradeInfo!B108,Unitinfo!A:A,0))</f>
        <v>(근거리)Skeleton_Sword</v>
      </c>
      <c r="D108" s="5">
        <f>COUNTIF($B$4:B108,B108)</f>
        <v>20</v>
      </c>
      <c r="E108" s="5">
        <f>ROUNDDOWN(INDEX(ref_Unit_Balance!$G$31:$G$106,MATCH(UnitGradeInfo!B108,ref_Unit_Balance!$B$31:$B$1048576,0))
+INDEX(ref_Unit_Balance!$G$20:$G$23,MATCH(IFERROR(INDEX(ref_Unit_Balance!$D$31:$D$1048576,MATCH(B108,ref_Unit_Balance!$B$31:$B$1048576,0)),0),ref_Unit_Balance!$B$20:$B$23,0))*D108*ref_Unit_Balance!$C$25,0)</f>
        <v>1150</v>
      </c>
      <c r="F108" s="5">
        <f>INDEX(ref_Unit_Balance!$V$31:$V$106,MATCH(UnitGradeInfo!B108,ref_Unit_Balance!$B$31:$B$1048576,0))
+
INDEX(ref_Unit_Balance!$AB$31:$AB$106,MATCH(UnitGradeInfo!B108,ref_Unit_Balance!$B$31:$B$1048576,0))*(D108-1)</f>
        <v>5600</v>
      </c>
      <c r="G108" s="5">
        <f>INDEX(ref_Unit_Balance!$R$31:$R$106,MATCH(UnitGradeInfo!B108,ref_Unit_Balance!$B$31:$B$1048576,0))
+
INDEX(ref_Unit_Balance!$AA$31:$AA$106,MATCH(UnitGradeInfo!B108,ref_Unit_Balance!$B$31:$B$1048576,0))*(D108-1)</f>
        <v>243</v>
      </c>
      <c r="H108" s="39">
        <f>IF(INDEX(Unitinfo!D:D,MATCH(UnitGradeInfo!B108,Unitinfo!A:A,0))=1,50,5)</f>
        <v>5</v>
      </c>
      <c r="I108" s="5">
        <f>IF(INDEX(ref_Unit_Balance!$T$31:$T$106,MATCH(UnitGradeInfo!B108,ref_Unit_Balance!$B$31:$B$1048576,0))=0,1,INDEX(ref_Unit_Balance!$T$31:$T$106,MATCH(UnitGradeInfo!B108,ref_Unit_Balance!$B$31:$B$1048576,0)))</f>
        <v>5</v>
      </c>
      <c r="J108" s="5">
        <f>INDEX(ref_Unit_Balance!$S$31:$S$106,MATCH(UnitGradeInfo!B108,ref_Unit_Balance!$B$31:$B$1048576,0))</f>
        <v>1000</v>
      </c>
      <c r="K108" s="5">
        <v>0</v>
      </c>
      <c r="L108" s="5">
        <f>INDEX(ref_Unit_Balance!$I$31:$I$106,MATCH(UnitGradeInfo!B108,ref_Unit_Balance!$B$31:$B$1048576,0))</f>
        <v>5</v>
      </c>
      <c r="M108" s="5">
        <f t="shared" si="12"/>
        <v>40</v>
      </c>
      <c r="N108" s="5">
        <f t="shared" si="13"/>
        <v>400</v>
      </c>
      <c r="O108" s="5">
        <f>(INDEX(Unitinfo!I:I,MATCH(B108,Unitinfo!A:A,0))+1)*2</f>
        <v>2</v>
      </c>
      <c r="P108" s="5">
        <v>0</v>
      </c>
      <c r="Q108" s="5">
        <v>0</v>
      </c>
      <c r="R108" s="19" t="s">
        <v>121</v>
      </c>
      <c r="S108" s="19" t="s">
        <v>121</v>
      </c>
      <c r="T108" s="5">
        <f t="shared" si="14"/>
        <v>2003</v>
      </c>
      <c r="U108" s="5">
        <f t="shared" si="15"/>
        <v>1</v>
      </c>
      <c r="V108" s="5">
        <v>0</v>
      </c>
      <c r="W108" s="5">
        <v>10</v>
      </c>
    </row>
    <row r="109" spans="1:23">
      <c r="A109" s="5">
        <f t="shared" si="16"/>
        <v>106</v>
      </c>
      <c r="B109" s="93">
        <f t="shared" si="6"/>
        <v>2004</v>
      </c>
      <c r="C109" s="20" t="str">
        <f>INDEX(Unitinfo!C:C,MATCH(UnitGradeInfo!B109,Unitinfo!A:A,0))</f>
        <v>(원거리)Skeleton_Archer</v>
      </c>
      <c r="D109" s="5">
        <f>COUNTIF($B$4:B109,B109)</f>
        <v>1</v>
      </c>
      <c r="E109" s="5">
        <f>ROUNDDOWN(INDEX(ref_Unit_Balance!$G$31:$G$106,MATCH(UnitGradeInfo!B109,ref_Unit_Balance!$B$31:$B$1048576,0))
+INDEX(ref_Unit_Balance!$G$20:$G$23,MATCH(IFERROR(INDEX(ref_Unit_Balance!$D$31:$D$1048576,MATCH(B109,ref_Unit_Balance!$B$31:$B$1048576,0)),0),ref_Unit_Balance!$B$20:$B$23,0))*D109*ref_Unit_Balance!$C$25,0)</f>
        <v>202</v>
      </c>
      <c r="F109" s="5">
        <f>INDEX(ref_Unit_Balance!$V$31:$V$106,MATCH(UnitGradeInfo!B109,ref_Unit_Balance!$B$31:$B$1048576,0))
+
INDEX(ref_Unit_Balance!$AB$31:$AB$106,MATCH(UnitGradeInfo!B109,ref_Unit_Balance!$B$31:$B$1048576,0))*(D109-1)</f>
        <v>1130</v>
      </c>
      <c r="G109" s="5">
        <f>INDEX(ref_Unit_Balance!$R$31:$R$106,MATCH(UnitGradeInfo!B109,ref_Unit_Balance!$B$31:$B$1048576,0))
+
INDEX(ref_Unit_Balance!$AA$31:$AA$106,MATCH(UnitGradeInfo!B109,ref_Unit_Balance!$B$31:$B$1048576,0))*(D109-1)</f>
        <v>84</v>
      </c>
      <c r="H109" s="39">
        <f>IF(INDEX(Unitinfo!D:D,MATCH(UnitGradeInfo!B109,Unitinfo!A:A,0))=1,50,5)</f>
        <v>50</v>
      </c>
      <c r="I109" s="5">
        <f>IF(INDEX(ref_Unit_Balance!$T$31:$T$106,MATCH(UnitGradeInfo!B109,ref_Unit_Balance!$B$31:$B$1048576,0))=0,1,INDEX(ref_Unit_Balance!$T$31:$T$106,MATCH(UnitGradeInfo!B109,ref_Unit_Balance!$B$31:$B$1048576,0)))</f>
        <v>5</v>
      </c>
      <c r="J109" s="5">
        <f>INDEX(ref_Unit_Balance!$S$31:$S$106,MATCH(UnitGradeInfo!B109,ref_Unit_Balance!$B$31:$B$1048576,0))</f>
        <v>700</v>
      </c>
      <c r="K109" s="5">
        <v>0</v>
      </c>
      <c r="L109" s="5">
        <f>INDEX(ref_Unit_Balance!$I$31:$I$106,MATCH(UnitGradeInfo!B109,ref_Unit_Balance!$B$31:$B$1048576,0))</f>
        <v>4</v>
      </c>
      <c r="M109" s="5">
        <f t="shared" si="12"/>
        <v>2</v>
      </c>
      <c r="N109" s="5">
        <f t="shared" si="13"/>
        <v>20</v>
      </c>
      <c r="O109" s="5">
        <f>(INDEX(Unitinfo!I:I,MATCH(B109,Unitinfo!A:A,0))+1)*2</f>
        <v>2</v>
      </c>
      <c r="P109" s="5">
        <v>0</v>
      </c>
      <c r="Q109" s="5">
        <v>0</v>
      </c>
      <c r="R109" s="19" t="s">
        <v>121</v>
      </c>
      <c r="S109" s="19" t="s">
        <v>121</v>
      </c>
      <c r="T109" s="5">
        <f t="shared" si="14"/>
        <v>2004</v>
      </c>
      <c r="U109" s="5">
        <f t="shared" si="15"/>
        <v>1</v>
      </c>
      <c r="V109" s="5">
        <v>0</v>
      </c>
      <c r="W109" s="5">
        <v>10</v>
      </c>
    </row>
    <row r="110" spans="1:23">
      <c r="A110" s="5">
        <f t="shared" si="16"/>
        <v>107</v>
      </c>
      <c r="B110" s="93">
        <f t="shared" si="6"/>
        <v>2004</v>
      </c>
      <c r="C110" s="20" t="str">
        <f>INDEX(Unitinfo!C:C,MATCH(UnitGradeInfo!B110,Unitinfo!A:A,0))</f>
        <v>(원거리)Skeleton_Archer</v>
      </c>
      <c r="D110" s="5">
        <f>COUNTIF($B$4:B110,B110)</f>
        <v>2</v>
      </c>
      <c r="E110" s="5">
        <f>ROUNDDOWN(INDEX(ref_Unit_Balance!$G$31:$G$106,MATCH(UnitGradeInfo!B110,ref_Unit_Balance!$B$31:$B$1048576,0))
+INDEX(ref_Unit_Balance!$G$20:$G$23,MATCH(IFERROR(INDEX(ref_Unit_Balance!$D$31:$D$1048576,MATCH(B110,ref_Unit_Balance!$B$31:$B$1048576,0)),0),ref_Unit_Balance!$B$20:$B$23,0))*D110*ref_Unit_Balance!$C$25,0)</f>
        <v>252</v>
      </c>
      <c r="F110" s="5">
        <f>INDEX(ref_Unit_Balance!$V$31:$V$106,MATCH(UnitGradeInfo!B110,ref_Unit_Balance!$B$31:$B$1048576,0))
+
INDEX(ref_Unit_Balance!$AB$31:$AB$106,MATCH(UnitGradeInfo!B110,ref_Unit_Balance!$B$31:$B$1048576,0))*(D110-1)</f>
        <v>1280</v>
      </c>
      <c r="G110" s="5">
        <f>INDEX(ref_Unit_Balance!$R$31:$R$106,MATCH(UnitGradeInfo!B110,ref_Unit_Balance!$B$31:$B$1048576,0))
+
INDEX(ref_Unit_Balance!$AA$31:$AA$106,MATCH(UnitGradeInfo!B110,ref_Unit_Balance!$B$31:$B$1048576,0))*(D110-1)</f>
        <v>89</v>
      </c>
      <c r="H110" s="39">
        <f>IF(INDEX(Unitinfo!D:D,MATCH(UnitGradeInfo!B110,Unitinfo!A:A,0))=1,50,5)</f>
        <v>50</v>
      </c>
      <c r="I110" s="5">
        <f>IF(INDEX(ref_Unit_Balance!$T$31:$T$106,MATCH(UnitGradeInfo!B110,ref_Unit_Balance!$B$31:$B$1048576,0))=0,1,INDEX(ref_Unit_Balance!$T$31:$T$106,MATCH(UnitGradeInfo!B110,ref_Unit_Balance!$B$31:$B$1048576,0)))</f>
        <v>5</v>
      </c>
      <c r="J110" s="5">
        <f>INDEX(ref_Unit_Balance!$S$31:$S$106,MATCH(UnitGradeInfo!B110,ref_Unit_Balance!$B$31:$B$1048576,0))</f>
        <v>700</v>
      </c>
      <c r="K110" s="5">
        <v>0</v>
      </c>
      <c r="L110" s="5">
        <f>INDEX(ref_Unit_Balance!$I$31:$I$106,MATCH(UnitGradeInfo!B110,ref_Unit_Balance!$B$31:$B$1048576,0))</f>
        <v>4</v>
      </c>
      <c r="M110" s="5">
        <f t="shared" si="12"/>
        <v>4</v>
      </c>
      <c r="N110" s="5">
        <f t="shared" si="13"/>
        <v>40</v>
      </c>
      <c r="O110" s="5">
        <f>(INDEX(Unitinfo!I:I,MATCH(B110,Unitinfo!A:A,0))+1)*2</f>
        <v>2</v>
      </c>
      <c r="P110" s="5">
        <v>0</v>
      </c>
      <c r="Q110" s="5">
        <v>0</v>
      </c>
      <c r="R110" s="19" t="s">
        <v>121</v>
      </c>
      <c r="S110" s="19" t="s">
        <v>121</v>
      </c>
      <c r="T110" s="5">
        <f t="shared" si="14"/>
        <v>2004</v>
      </c>
      <c r="U110" s="5">
        <f t="shared" si="15"/>
        <v>1</v>
      </c>
      <c r="V110" s="5">
        <v>0</v>
      </c>
      <c r="W110" s="5">
        <v>10</v>
      </c>
    </row>
    <row r="111" spans="1:23">
      <c r="A111" s="5">
        <f t="shared" si="16"/>
        <v>108</v>
      </c>
      <c r="B111" s="93">
        <f t="shared" si="6"/>
        <v>2004</v>
      </c>
      <c r="C111" s="20" t="str">
        <f>INDEX(Unitinfo!C:C,MATCH(UnitGradeInfo!B111,Unitinfo!A:A,0))</f>
        <v>(원거리)Skeleton_Archer</v>
      </c>
      <c r="D111" s="5">
        <f>COUNTIF($B$4:B111,B111)</f>
        <v>3</v>
      </c>
      <c r="E111" s="5">
        <f>ROUNDDOWN(INDEX(ref_Unit_Balance!$G$31:$G$106,MATCH(UnitGradeInfo!B111,ref_Unit_Balance!$B$31:$B$1048576,0))
+INDEX(ref_Unit_Balance!$G$20:$G$23,MATCH(IFERROR(INDEX(ref_Unit_Balance!$D$31:$D$1048576,MATCH(B111,ref_Unit_Balance!$B$31:$B$1048576,0)),0),ref_Unit_Balance!$B$20:$B$23,0))*D111*ref_Unit_Balance!$C$25,0)</f>
        <v>302</v>
      </c>
      <c r="F111" s="5">
        <f>INDEX(ref_Unit_Balance!$V$31:$V$106,MATCH(UnitGradeInfo!B111,ref_Unit_Balance!$B$31:$B$1048576,0))
+
INDEX(ref_Unit_Balance!$AB$31:$AB$106,MATCH(UnitGradeInfo!B111,ref_Unit_Balance!$B$31:$B$1048576,0))*(D111-1)</f>
        <v>1430</v>
      </c>
      <c r="G111" s="5">
        <f>INDEX(ref_Unit_Balance!$R$31:$R$106,MATCH(UnitGradeInfo!B111,ref_Unit_Balance!$B$31:$B$1048576,0))
+
INDEX(ref_Unit_Balance!$AA$31:$AA$106,MATCH(UnitGradeInfo!B111,ref_Unit_Balance!$B$31:$B$1048576,0))*(D111-1)</f>
        <v>94</v>
      </c>
      <c r="H111" s="39">
        <f>IF(INDEX(Unitinfo!D:D,MATCH(UnitGradeInfo!B111,Unitinfo!A:A,0))=1,50,5)</f>
        <v>50</v>
      </c>
      <c r="I111" s="5">
        <f>IF(INDEX(ref_Unit_Balance!$T$31:$T$106,MATCH(UnitGradeInfo!B111,ref_Unit_Balance!$B$31:$B$1048576,0))=0,1,INDEX(ref_Unit_Balance!$T$31:$T$106,MATCH(UnitGradeInfo!B111,ref_Unit_Balance!$B$31:$B$1048576,0)))</f>
        <v>5</v>
      </c>
      <c r="J111" s="5">
        <f>INDEX(ref_Unit_Balance!$S$31:$S$106,MATCH(UnitGradeInfo!B111,ref_Unit_Balance!$B$31:$B$1048576,0))</f>
        <v>700</v>
      </c>
      <c r="K111" s="5">
        <v>0</v>
      </c>
      <c r="L111" s="5">
        <f>INDEX(ref_Unit_Balance!$I$31:$I$106,MATCH(UnitGradeInfo!B111,ref_Unit_Balance!$B$31:$B$1048576,0))</f>
        <v>4</v>
      </c>
      <c r="M111" s="5">
        <f t="shared" si="12"/>
        <v>6</v>
      </c>
      <c r="N111" s="5">
        <f t="shared" si="13"/>
        <v>60</v>
      </c>
      <c r="O111" s="5">
        <f>(INDEX(Unitinfo!I:I,MATCH(B111,Unitinfo!A:A,0))+1)*2</f>
        <v>2</v>
      </c>
      <c r="P111" s="5">
        <v>0</v>
      </c>
      <c r="Q111" s="5">
        <v>0</v>
      </c>
      <c r="R111" s="19" t="s">
        <v>121</v>
      </c>
      <c r="S111" s="19" t="s">
        <v>121</v>
      </c>
      <c r="T111" s="5">
        <f t="shared" si="14"/>
        <v>2004</v>
      </c>
      <c r="U111" s="5">
        <f t="shared" si="15"/>
        <v>1</v>
      </c>
      <c r="V111" s="5">
        <v>0</v>
      </c>
      <c r="W111" s="5">
        <v>10</v>
      </c>
    </row>
    <row r="112" spans="1:23">
      <c r="A112" s="5">
        <f t="shared" si="16"/>
        <v>109</v>
      </c>
      <c r="B112" s="93">
        <f t="shared" si="6"/>
        <v>2004</v>
      </c>
      <c r="C112" s="20" t="str">
        <f>INDEX(Unitinfo!C:C,MATCH(UnitGradeInfo!B112,Unitinfo!A:A,0))</f>
        <v>(원거리)Skeleton_Archer</v>
      </c>
      <c r="D112" s="5">
        <f>COUNTIF($B$4:B112,B112)</f>
        <v>4</v>
      </c>
      <c r="E112" s="5">
        <f>ROUNDDOWN(INDEX(ref_Unit_Balance!$G$31:$G$106,MATCH(UnitGradeInfo!B112,ref_Unit_Balance!$B$31:$B$1048576,0))
+INDEX(ref_Unit_Balance!$G$20:$G$23,MATCH(IFERROR(INDEX(ref_Unit_Balance!$D$31:$D$1048576,MATCH(B112,ref_Unit_Balance!$B$31:$B$1048576,0)),0),ref_Unit_Balance!$B$20:$B$23,0))*D112*ref_Unit_Balance!$C$25,0)</f>
        <v>352</v>
      </c>
      <c r="F112" s="5">
        <f>INDEX(ref_Unit_Balance!$V$31:$V$106,MATCH(UnitGradeInfo!B112,ref_Unit_Balance!$B$31:$B$1048576,0))
+
INDEX(ref_Unit_Balance!$AB$31:$AB$106,MATCH(UnitGradeInfo!B112,ref_Unit_Balance!$B$31:$B$1048576,0))*(D112-1)</f>
        <v>1580</v>
      </c>
      <c r="G112" s="5">
        <f>INDEX(ref_Unit_Balance!$R$31:$R$106,MATCH(UnitGradeInfo!B112,ref_Unit_Balance!$B$31:$B$1048576,0))
+
INDEX(ref_Unit_Balance!$AA$31:$AA$106,MATCH(UnitGradeInfo!B112,ref_Unit_Balance!$B$31:$B$1048576,0))*(D112-1)</f>
        <v>99</v>
      </c>
      <c r="H112" s="39">
        <f>IF(INDEX(Unitinfo!D:D,MATCH(UnitGradeInfo!B112,Unitinfo!A:A,0))=1,50,5)</f>
        <v>50</v>
      </c>
      <c r="I112" s="5">
        <f>IF(INDEX(ref_Unit_Balance!$T$31:$T$106,MATCH(UnitGradeInfo!B112,ref_Unit_Balance!$B$31:$B$1048576,0))=0,1,INDEX(ref_Unit_Balance!$T$31:$T$106,MATCH(UnitGradeInfo!B112,ref_Unit_Balance!$B$31:$B$1048576,0)))</f>
        <v>5</v>
      </c>
      <c r="J112" s="5">
        <f>INDEX(ref_Unit_Balance!$S$31:$S$106,MATCH(UnitGradeInfo!B112,ref_Unit_Balance!$B$31:$B$1048576,0))</f>
        <v>700</v>
      </c>
      <c r="K112" s="5">
        <v>0</v>
      </c>
      <c r="L112" s="5">
        <f>INDEX(ref_Unit_Balance!$I$31:$I$106,MATCH(UnitGradeInfo!B112,ref_Unit_Balance!$B$31:$B$1048576,0))</f>
        <v>4</v>
      </c>
      <c r="M112" s="5">
        <f t="shared" si="12"/>
        <v>8</v>
      </c>
      <c r="N112" s="5">
        <f t="shared" si="13"/>
        <v>80</v>
      </c>
      <c r="O112" s="5">
        <f>(INDEX(Unitinfo!I:I,MATCH(B112,Unitinfo!A:A,0))+1)*2</f>
        <v>2</v>
      </c>
      <c r="P112" s="5">
        <v>0</v>
      </c>
      <c r="Q112" s="5">
        <v>0</v>
      </c>
      <c r="R112" s="19" t="s">
        <v>121</v>
      </c>
      <c r="S112" s="19" t="s">
        <v>121</v>
      </c>
      <c r="T112" s="5">
        <f t="shared" si="14"/>
        <v>2004</v>
      </c>
      <c r="U112" s="5">
        <f t="shared" si="15"/>
        <v>1</v>
      </c>
      <c r="V112" s="5">
        <v>0</v>
      </c>
      <c r="W112" s="5">
        <v>10</v>
      </c>
    </row>
    <row r="113" spans="1:23">
      <c r="A113" s="5">
        <f t="shared" si="16"/>
        <v>110</v>
      </c>
      <c r="B113" s="93">
        <f t="shared" si="6"/>
        <v>2004</v>
      </c>
      <c r="C113" s="20" t="str">
        <f>INDEX(Unitinfo!C:C,MATCH(UnitGradeInfo!B113,Unitinfo!A:A,0))</f>
        <v>(원거리)Skeleton_Archer</v>
      </c>
      <c r="D113" s="5">
        <f>COUNTIF($B$4:B113,B113)</f>
        <v>5</v>
      </c>
      <c r="E113" s="5">
        <f>ROUNDDOWN(INDEX(ref_Unit_Balance!$G$31:$G$106,MATCH(UnitGradeInfo!B113,ref_Unit_Balance!$B$31:$B$1048576,0))
+INDEX(ref_Unit_Balance!$G$20:$G$23,MATCH(IFERROR(INDEX(ref_Unit_Balance!$D$31:$D$1048576,MATCH(B113,ref_Unit_Balance!$B$31:$B$1048576,0)),0),ref_Unit_Balance!$B$20:$B$23,0))*D113*ref_Unit_Balance!$C$25,0)</f>
        <v>402</v>
      </c>
      <c r="F113" s="5">
        <f>INDEX(ref_Unit_Balance!$V$31:$V$106,MATCH(UnitGradeInfo!B113,ref_Unit_Balance!$B$31:$B$1048576,0))
+
INDEX(ref_Unit_Balance!$AB$31:$AB$106,MATCH(UnitGradeInfo!B113,ref_Unit_Balance!$B$31:$B$1048576,0))*(D113-1)</f>
        <v>1730</v>
      </c>
      <c r="G113" s="5">
        <f>INDEX(ref_Unit_Balance!$R$31:$R$106,MATCH(UnitGradeInfo!B113,ref_Unit_Balance!$B$31:$B$1048576,0))
+
INDEX(ref_Unit_Balance!$AA$31:$AA$106,MATCH(UnitGradeInfo!B113,ref_Unit_Balance!$B$31:$B$1048576,0))*(D113-1)</f>
        <v>104</v>
      </c>
      <c r="H113" s="39">
        <f>IF(INDEX(Unitinfo!D:D,MATCH(UnitGradeInfo!B113,Unitinfo!A:A,0))=1,50,5)</f>
        <v>50</v>
      </c>
      <c r="I113" s="5">
        <f>IF(INDEX(ref_Unit_Balance!$T$31:$T$106,MATCH(UnitGradeInfo!B113,ref_Unit_Balance!$B$31:$B$1048576,0))=0,1,INDEX(ref_Unit_Balance!$T$31:$T$106,MATCH(UnitGradeInfo!B113,ref_Unit_Balance!$B$31:$B$1048576,0)))</f>
        <v>5</v>
      </c>
      <c r="J113" s="5">
        <f>INDEX(ref_Unit_Balance!$S$31:$S$106,MATCH(UnitGradeInfo!B113,ref_Unit_Balance!$B$31:$B$1048576,0))</f>
        <v>700</v>
      </c>
      <c r="K113" s="5">
        <v>0</v>
      </c>
      <c r="L113" s="5">
        <f>INDEX(ref_Unit_Balance!$I$31:$I$106,MATCH(UnitGradeInfo!B113,ref_Unit_Balance!$B$31:$B$1048576,0))</f>
        <v>4</v>
      </c>
      <c r="M113" s="5">
        <f t="shared" si="12"/>
        <v>10</v>
      </c>
      <c r="N113" s="5">
        <f t="shared" si="13"/>
        <v>100</v>
      </c>
      <c r="O113" s="5">
        <f>(INDEX(Unitinfo!I:I,MATCH(B113,Unitinfo!A:A,0))+1)*2</f>
        <v>2</v>
      </c>
      <c r="P113" s="5">
        <v>0</v>
      </c>
      <c r="Q113" s="5">
        <v>0</v>
      </c>
      <c r="R113" s="19" t="s">
        <v>121</v>
      </c>
      <c r="S113" s="19" t="s">
        <v>121</v>
      </c>
      <c r="T113" s="5">
        <f t="shared" si="14"/>
        <v>2004</v>
      </c>
      <c r="U113" s="5">
        <f t="shared" si="15"/>
        <v>1</v>
      </c>
      <c r="V113" s="5">
        <v>0</v>
      </c>
      <c r="W113" s="5">
        <v>10</v>
      </c>
    </row>
    <row r="114" spans="1:23">
      <c r="A114" s="5">
        <f t="shared" si="16"/>
        <v>111</v>
      </c>
      <c r="B114" s="93">
        <f t="shared" ref="B114:B177" si="17">QUOTIENT(A114-45-1,20)+2001</f>
        <v>2004</v>
      </c>
      <c r="C114" s="20" t="str">
        <f>INDEX(Unitinfo!C:C,MATCH(UnitGradeInfo!B114,Unitinfo!A:A,0))</f>
        <v>(원거리)Skeleton_Archer</v>
      </c>
      <c r="D114" s="5">
        <f>COUNTIF($B$4:B114,B114)</f>
        <v>6</v>
      </c>
      <c r="E114" s="5">
        <f>ROUNDDOWN(INDEX(ref_Unit_Balance!$G$31:$G$106,MATCH(UnitGradeInfo!B114,ref_Unit_Balance!$B$31:$B$1048576,0))
+INDEX(ref_Unit_Balance!$G$20:$G$23,MATCH(IFERROR(INDEX(ref_Unit_Balance!$D$31:$D$1048576,MATCH(B114,ref_Unit_Balance!$B$31:$B$1048576,0)),0),ref_Unit_Balance!$B$20:$B$23,0))*D114*ref_Unit_Balance!$C$25,0)</f>
        <v>452</v>
      </c>
      <c r="F114" s="5">
        <f>INDEX(ref_Unit_Balance!$V$31:$V$106,MATCH(UnitGradeInfo!B114,ref_Unit_Balance!$B$31:$B$1048576,0))
+
INDEX(ref_Unit_Balance!$AB$31:$AB$106,MATCH(UnitGradeInfo!B114,ref_Unit_Balance!$B$31:$B$1048576,0))*(D114-1)</f>
        <v>1880</v>
      </c>
      <c r="G114" s="5">
        <f>INDEX(ref_Unit_Balance!$R$31:$R$106,MATCH(UnitGradeInfo!B114,ref_Unit_Balance!$B$31:$B$1048576,0))
+
INDEX(ref_Unit_Balance!$AA$31:$AA$106,MATCH(UnitGradeInfo!B114,ref_Unit_Balance!$B$31:$B$1048576,0))*(D114-1)</f>
        <v>109</v>
      </c>
      <c r="H114" s="39">
        <f>IF(INDEX(Unitinfo!D:D,MATCH(UnitGradeInfo!B114,Unitinfo!A:A,0))=1,50,5)</f>
        <v>50</v>
      </c>
      <c r="I114" s="5">
        <f>IF(INDEX(ref_Unit_Balance!$T$31:$T$106,MATCH(UnitGradeInfo!B114,ref_Unit_Balance!$B$31:$B$1048576,0))=0,1,INDEX(ref_Unit_Balance!$T$31:$T$106,MATCH(UnitGradeInfo!B114,ref_Unit_Balance!$B$31:$B$1048576,0)))</f>
        <v>5</v>
      </c>
      <c r="J114" s="5">
        <f>INDEX(ref_Unit_Balance!$S$31:$S$106,MATCH(UnitGradeInfo!B114,ref_Unit_Balance!$B$31:$B$1048576,0))</f>
        <v>700</v>
      </c>
      <c r="K114" s="5">
        <v>0</v>
      </c>
      <c r="L114" s="5">
        <f>INDEX(ref_Unit_Balance!$I$31:$I$106,MATCH(UnitGradeInfo!B114,ref_Unit_Balance!$B$31:$B$1048576,0))</f>
        <v>4</v>
      </c>
      <c r="M114" s="5">
        <f t="shared" si="12"/>
        <v>12</v>
      </c>
      <c r="N114" s="5">
        <f t="shared" si="13"/>
        <v>120</v>
      </c>
      <c r="O114" s="5">
        <f>(INDEX(Unitinfo!I:I,MATCH(B114,Unitinfo!A:A,0))+1)*2</f>
        <v>2</v>
      </c>
      <c r="P114" s="5">
        <v>0</v>
      </c>
      <c r="Q114" s="5">
        <v>0</v>
      </c>
      <c r="R114" s="19" t="s">
        <v>121</v>
      </c>
      <c r="S114" s="19" t="s">
        <v>121</v>
      </c>
      <c r="T114" s="5">
        <f t="shared" si="14"/>
        <v>2004</v>
      </c>
      <c r="U114" s="5">
        <f t="shared" si="15"/>
        <v>1</v>
      </c>
      <c r="V114" s="5">
        <v>0</v>
      </c>
      <c r="W114" s="5">
        <v>10</v>
      </c>
    </row>
    <row r="115" spans="1:23">
      <c r="A115" s="5">
        <f t="shared" si="16"/>
        <v>112</v>
      </c>
      <c r="B115" s="93">
        <f t="shared" si="17"/>
        <v>2004</v>
      </c>
      <c r="C115" s="20" t="str">
        <f>INDEX(Unitinfo!C:C,MATCH(UnitGradeInfo!B115,Unitinfo!A:A,0))</f>
        <v>(원거리)Skeleton_Archer</v>
      </c>
      <c r="D115" s="5">
        <f>COUNTIF($B$4:B115,B115)</f>
        <v>7</v>
      </c>
      <c r="E115" s="5">
        <f>ROUNDDOWN(INDEX(ref_Unit_Balance!$G$31:$G$106,MATCH(UnitGradeInfo!B115,ref_Unit_Balance!$B$31:$B$1048576,0))
+INDEX(ref_Unit_Balance!$G$20:$G$23,MATCH(IFERROR(INDEX(ref_Unit_Balance!$D$31:$D$1048576,MATCH(B115,ref_Unit_Balance!$B$31:$B$1048576,0)),0),ref_Unit_Balance!$B$20:$B$23,0))*D115*ref_Unit_Balance!$C$25,0)</f>
        <v>502</v>
      </c>
      <c r="F115" s="5">
        <f>INDEX(ref_Unit_Balance!$V$31:$V$106,MATCH(UnitGradeInfo!B115,ref_Unit_Balance!$B$31:$B$1048576,0))
+
INDEX(ref_Unit_Balance!$AB$31:$AB$106,MATCH(UnitGradeInfo!B115,ref_Unit_Balance!$B$31:$B$1048576,0))*(D115-1)</f>
        <v>2030</v>
      </c>
      <c r="G115" s="5">
        <f>INDEX(ref_Unit_Balance!$R$31:$R$106,MATCH(UnitGradeInfo!B115,ref_Unit_Balance!$B$31:$B$1048576,0))
+
INDEX(ref_Unit_Balance!$AA$31:$AA$106,MATCH(UnitGradeInfo!B115,ref_Unit_Balance!$B$31:$B$1048576,0))*(D115-1)</f>
        <v>114</v>
      </c>
      <c r="H115" s="39">
        <f>IF(INDEX(Unitinfo!D:D,MATCH(UnitGradeInfo!B115,Unitinfo!A:A,0))=1,50,5)</f>
        <v>50</v>
      </c>
      <c r="I115" s="5">
        <f>IF(INDEX(ref_Unit_Balance!$T$31:$T$106,MATCH(UnitGradeInfo!B115,ref_Unit_Balance!$B$31:$B$1048576,0))=0,1,INDEX(ref_Unit_Balance!$T$31:$T$106,MATCH(UnitGradeInfo!B115,ref_Unit_Balance!$B$31:$B$1048576,0)))</f>
        <v>5</v>
      </c>
      <c r="J115" s="5">
        <f>INDEX(ref_Unit_Balance!$S$31:$S$106,MATCH(UnitGradeInfo!B115,ref_Unit_Balance!$B$31:$B$1048576,0))</f>
        <v>700</v>
      </c>
      <c r="K115" s="5">
        <v>0</v>
      </c>
      <c r="L115" s="5">
        <f>INDEX(ref_Unit_Balance!$I$31:$I$106,MATCH(UnitGradeInfo!B115,ref_Unit_Balance!$B$31:$B$1048576,0))</f>
        <v>4</v>
      </c>
      <c r="M115" s="5">
        <f t="shared" si="12"/>
        <v>14</v>
      </c>
      <c r="N115" s="5">
        <f t="shared" si="13"/>
        <v>140</v>
      </c>
      <c r="O115" s="5">
        <f>(INDEX(Unitinfo!I:I,MATCH(B115,Unitinfo!A:A,0))+1)*2</f>
        <v>2</v>
      </c>
      <c r="P115" s="5">
        <v>0</v>
      </c>
      <c r="Q115" s="5">
        <v>0</v>
      </c>
      <c r="R115" s="19" t="s">
        <v>121</v>
      </c>
      <c r="S115" s="19" t="s">
        <v>121</v>
      </c>
      <c r="T115" s="5">
        <f t="shared" si="14"/>
        <v>2004</v>
      </c>
      <c r="U115" s="5">
        <f t="shared" si="15"/>
        <v>1</v>
      </c>
      <c r="V115" s="5">
        <v>0</v>
      </c>
      <c r="W115" s="5">
        <v>10</v>
      </c>
    </row>
    <row r="116" spans="1:23">
      <c r="A116" s="5">
        <f t="shared" si="16"/>
        <v>113</v>
      </c>
      <c r="B116" s="93">
        <f t="shared" si="17"/>
        <v>2004</v>
      </c>
      <c r="C116" s="20" t="str">
        <f>INDEX(Unitinfo!C:C,MATCH(UnitGradeInfo!B116,Unitinfo!A:A,0))</f>
        <v>(원거리)Skeleton_Archer</v>
      </c>
      <c r="D116" s="5">
        <f>COUNTIF($B$4:B116,B116)</f>
        <v>8</v>
      </c>
      <c r="E116" s="5">
        <f>ROUNDDOWN(INDEX(ref_Unit_Balance!$G$31:$G$106,MATCH(UnitGradeInfo!B116,ref_Unit_Balance!$B$31:$B$1048576,0))
+INDEX(ref_Unit_Balance!$G$20:$G$23,MATCH(IFERROR(INDEX(ref_Unit_Balance!$D$31:$D$1048576,MATCH(B116,ref_Unit_Balance!$B$31:$B$1048576,0)),0),ref_Unit_Balance!$B$20:$B$23,0))*D116*ref_Unit_Balance!$C$25,0)</f>
        <v>552</v>
      </c>
      <c r="F116" s="5">
        <f>INDEX(ref_Unit_Balance!$V$31:$V$106,MATCH(UnitGradeInfo!B116,ref_Unit_Balance!$B$31:$B$1048576,0))
+
INDEX(ref_Unit_Balance!$AB$31:$AB$106,MATCH(UnitGradeInfo!B116,ref_Unit_Balance!$B$31:$B$1048576,0))*(D116-1)</f>
        <v>2180</v>
      </c>
      <c r="G116" s="5">
        <f>INDEX(ref_Unit_Balance!$R$31:$R$106,MATCH(UnitGradeInfo!B116,ref_Unit_Balance!$B$31:$B$1048576,0))
+
INDEX(ref_Unit_Balance!$AA$31:$AA$106,MATCH(UnitGradeInfo!B116,ref_Unit_Balance!$B$31:$B$1048576,0))*(D116-1)</f>
        <v>119</v>
      </c>
      <c r="H116" s="39">
        <f>IF(INDEX(Unitinfo!D:D,MATCH(UnitGradeInfo!B116,Unitinfo!A:A,0))=1,50,5)</f>
        <v>50</v>
      </c>
      <c r="I116" s="5">
        <f>IF(INDEX(ref_Unit_Balance!$T$31:$T$106,MATCH(UnitGradeInfo!B116,ref_Unit_Balance!$B$31:$B$1048576,0))=0,1,INDEX(ref_Unit_Balance!$T$31:$T$106,MATCH(UnitGradeInfo!B116,ref_Unit_Balance!$B$31:$B$1048576,0)))</f>
        <v>5</v>
      </c>
      <c r="J116" s="5">
        <f>INDEX(ref_Unit_Balance!$S$31:$S$106,MATCH(UnitGradeInfo!B116,ref_Unit_Balance!$B$31:$B$1048576,0))</f>
        <v>700</v>
      </c>
      <c r="K116" s="5">
        <v>0</v>
      </c>
      <c r="L116" s="5">
        <f>INDEX(ref_Unit_Balance!$I$31:$I$106,MATCH(UnitGradeInfo!B116,ref_Unit_Balance!$B$31:$B$1048576,0))</f>
        <v>4</v>
      </c>
      <c r="M116" s="5">
        <f t="shared" si="12"/>
        <v>16</v>
      </c>
      <c r="N116" s="5">
        <f t="shared" si="13"/>
        <v>160</v>
      </c>
      <c r="O116" s="5">
        <f>(INDEX(Unitinfo!I:I,MATCH(B116,Unitinfo!A:A,0))+1)*2</f>
        <v>2</v>
      </c>
      <c r="P116" s="5">
        <v>0</v>
      </c>
      <c r="Q116" s="5">
        <v>0</v>
      </c>
      <c r="R116" s="19" t="s">
        <v>121</v>
      </c>
      <c r="S116" s="19" t="s">
        <v>121</v>
      </c>
      <c r="T116" s="5">
        <f t="shared" si="14"/>
        <v>2004</v>
      </c>
      <c r="U116" s="5">
        <f t="shared" si="15"/>
        <v>1</v>
      </c>
      <c r="V116" s="5">
        <v>0</v>
      </c>
      <c r="W116" s="5">
        <v>10</v>
      </c>
    </row>
    <row r="117" spans="1:23">
      <c r="A117" s="5">
        <f t="shared" si="16"/>
        <v>114</v>
      </c>
      <c r="B117" s="93">
        <f t="shared" si="17"/>
        <v>2004</v>
      </c>
      <c r="C117" s="20" t="str">
        <f>INDEX(Unitinfo!C:C,MATCH(UnitGradeInfo!B117,Unitinfo!A:A,0))</f>
        <v>(원거리)Skeleton_Archer</v>
      </c>
      <c r="D117" s="5">
        <f>COUNTIF($B$4:B117,B117)</f>
        <v>9</v>
      </c>
      <c r="E117" s="5">
        <f>ROUNDDOWN(INDEX(ref_Unit_Balance!$G$31:$G$106,MATCH(UnitGradeInfo!B117,ref_Unit_Balance!$B$31:$B$1048576,0))
+INDEX(ref_Unit_Balance!$G$20:$G$23,MATCH(IFERROR(INDEX(ref_Unit_Balance!$D$31:$D$1048576,MATCH(B117,ref_Unit_Balance!$B$31:$B$1048576,0)),0),ref_Unit_Balance!$B$20:$B$23,0))*D117*ref_Unit_Balance!$C$25,0)</f>
        <v>602</v>
      </c>
      <c r="F117" s="5">
        <f>INDEX(ref_Unit_Balance!$V$31:$V$106,MATCH(UnitGradeInfo!B117,ref_Unit_Balance!$B$31:$B$1048576,0))
+
INDEX(ref_Unit_Balance!$AB$31:$AB$106,MATCH(UnitGradeInfo!B117,ref_Unit_Balance!$B$31:$B$1048576,0))*(D117-1)</f>
        <v>2330</v>
      </c>
      <c r="G117" s="5">
        <f>INDEX(ref_Unit_Balance!$R$31:$R$106,MATCH(UnitGradeInfo!B117,ref_Unit_Balance!$B$31:$B$1048576,0))
+
INDEX(ref_Unit_Balance!$AA$31:$AA$106,MATCH(UnitGradeInfo!B117,ref_Unit_Balance!$B$31:$B$1048576,0))*(D117-1)</f>
        <v>124</v>
      </c>
      <c r="H117" s="39">
        <f>IF(INDEX(Unitinfo!D:D,MATCH(UnitGradeInfo!B117,Unitinfo!A:A,0))=1,50,5)</f>
        <v>50</v>
      </c>
      <c r="I117" s="5">
        <f>IF(INDEX(ref_Unit_Balance!$T$31:$T$106,MATCH(UnitGradeInfo!B117,ref_Unit_Balance!$B$31:$B$1048576,0))=0,1,INDEX(ref_Unit_Balance!$T$31:$T$106,MATCH(UnitGradeInfo!B117,ref_Unit_Balance!$B$31:$B$1048576,0)))</f>
        <v>5</v>
      </c>
      <c r="J117" s="5">
        <f>INDEX(ref_Unit_Balance!$S$31:$S$106,MATCH(UnitGradeInfo!B117,ref_Unit_Balance!$B$31:$B$1048576,0))</f>
        <v>700</v>
      </c>
      <c r="K117" s="5">
        <v>0</v>
      </c>
      <c r="L117" s="5">
        <f>INDEX(ref_Unit_Balance!$I$31:$I$106,MATCH(UnitGradeInfo!B117,ref_Unit_Balance!$B$31:$B$1048576,0))</f>
        <v>4</v>
      </c>
      <c r="M117" s="5">
        <f t="shared" si="12"/>
        <v>18</v>
      </c>
      <c r="N117" s="5">
        <f t="shared" si="13"/>
        <v>180</v>
      </c>
      <c r="O117" s="5">
        <f>(INDEX(Unitinfo!I:I,MATCH(B117,Unitinfo!A:A,0))+1)*2</f>
        <v>2</v>
      </c>
      <c r="P117" s="5">
        <v>0</v>
      </c>
      <c r="Q117" s="5">
        <v>0</v>
      </c>
      <c r="R117" s="19" t="s">
        <v>121</v>
      </c>
      <c r="S117" s="19" t="s">
        <v>121</v>
      </c>
      <c r="T117" s="5">
        <f t="shared" si="14"/>
        <v>2004</v>
      </c>
      <c r="U117" s="5">
        <f t="shared" si="15"/>
        <v>1</v>
      </c>
      <c r="V117" s="5">
        <v>0</v>
      </c>
      <c r="W117" s="5">
        <v>10</v>
      </c>
    </row>
    <row r="118" spans="1:23">
      <c r="A118" s="5">
        <f t="shared" si="16"/>
        <v>115</v>
      </c>
      <c r="B118" s="93">
        <f t="shared" si="17"/>
        <v>2004</v>
      </c>
      <c r="C118" s="20" t="str">
        <f>INDEX(Unitinfo!C:C,MATCH(UnitGradeInfo!B118,Unitinfo!A:A,0))</f>
        <v>(원거리)Skeleton_Archer</v>
      </c>
      <c r="D118" s="5">
        <f>COUNTIF($B$4:B118,B118)</f>
        <v>10</v>
      </c>
      <c r="E118" s="5">
        <f>ROUNDDOWN(INDEX(ref_Unit_Balance!$G$31:$G$106,MATCH(UnitGradeInfo!B118,ref_Unit_Balance!$B$31:$B$1048576,0))
+INDEX(ref_Unit_Balance!$G$20:$G$23,MATCH(IFERROR(INDEX(ref_Unit_Balance!$D$31:$D$1048576,MATCH(B118,ref_Unit_Balance!$B$31:$B$1048576,0)),0),ref_Unit_Balance!$B$20:$B$23,0))*D118*ref_Unit_Balance!$C$25,0)</f>
        <v>652</v>
      </c>
      <c r="F118" s="5">
        <f>INDEX(ref_Unit_Balance!$V$31:$V$106,MATCH(UnitGradeInfo!B118,ref_Unit_Balance!$B$31:$B$1048576,0))
+
INDEX(ref_Unit_Balance!$AB$31:$AB$106,MATCH(UnitGradeInfo!B118,ref_Unit_Balance!$B$31:$B$1048576,0))*(D118-1)</f>
        <v>2480</v>
      </c>
      <c r="G118" s="5">
        <f>INDEX(ref_Unit_Balance!$R$31:$R$106,MATCH(UnitGradeInfo!B118,ref_Unit_Balance!$B$31:$B$1048576,0))
+
INDEX(ref_Unit_Balance!$AA$31:$AA$106,MATCH(UnitGradeInfo!B118,ref_Unit_Balance!$B$31:$B$1048576,0))*(D118-1)</f>
        <v>129</v>
      </c>
      <c r="H118" s="39">
        <f>IF(INDEX(Unitinfo!D:D,MATCH(UnitGradeInfo!B118,Unitinfo!A:A,0))=1,50,5)</f>
        <v>50</v>
      </c>
      <c r="I118" s="5">
        <f>IF(INDEX(ref_Unit_Balance!$T$31:$T$106,MATCH(UnitGradeInfo!B118,ref_Unit_Balance!$B$31:$B$1048576,0))=0,1,INDEX(ref_Unit_Balance!$T$31:$T$106,MATCH(UnitGradeInfo!B118,ref_Unit_Balance!$B$31:$B$1048576,0)))</f>
        <v>5</v>
      </c>
      <c r="J118" s="5">
        <f>INDEX(ref_Unit_Balance!$S$31:$S$106,MATCH(UnitGradeInfo!B118,ref_Unit_Balance!$B$31:$B$1048576,0))</f>
        <v>700</v>
      </c>
      <c r="K118" s="5">
        <v>0</v>
      </c>
      <c r="L118" s="5">
        <f>INDEX(ref_Unit_Balance!$I$31:$I$106,MATCH(UnitGradeInfo!B118,ref_Unit_Balance!$B$31:$B$1048576,0))</f>
        <v>4</v>
      </c>
      <c r="M118" s="5">
        <f t="shared" si="12"/>
        <v>20</v>
      </c>
      <c r="N118" s="5">
        <f t="shared" si="13"/>
        <v>200</v>
      </c>
      <c r="O118" s="5">
        <f>(INDEX(Unitinfo!I:I,MATCH(B118,Unitinfo!A:A,0))+1)*2</f>
        <v>2</v>
      </c>
      <c r="P118" s="5">
        <v>0</v>
      </c>
      <c r="Q118" s="5">
        <v>0</v>
      </c>
      <c r="R118" s="19" t="s">
        <v>121</v>
      </c>
      <c r="S118" s="19" t="s">
        <v>121</v>
      </c>
      <c r="T118" s="5">
        <f t="shared" si="14"/>
        <v>2004</v>
      </c>
      <c r="U118" s="5">
        <f t="shared" si="15"/>
        <v>1</v>
      </c>
      <c r="V118" s="5">
        <v>0</v>
      </c>
      <c r="W118" s="5">
        <v>10</v>
      </c>
    </row>
    <row r="119" spans="1:23">
      <c r="A119" s="5">
        <f t="shared" si="16"/>
        <v>116</v>
      </c>
      <c r="B119" s="93">
        <f t="shared" si="17"/>
        <v>2004</v>
      </c>
      <c r="C119" s="20" t="str">
        <f>INDEX(Unitinfo!C:C,MATCH(UnitGradeInfo!B119,Unitinfo!A:A,0))</f>
        <v>(원거리)Skeleton_Archer</v>
      </c>
      <c r="D119" s="5">
        <f>COUNTIF($B$4:B119,B119)</f>
        <v>11</v>
      </c>
      <c r="E119" s="5">
        <f>ROUNDDOWN(INDEX(ref_Unit_Balance!$G$31:$G$106,MATCH(UnitGradeInfo!B119,ref_Unit_Balance!$B$31:$B$1048576,0))
+INDEX(ref_Unit_Balance!$G$20:$G$23,MATCH(IFERROR(INDEX(ref_Unit_Balance!$D$31:$D$1048576,MATCH(B119,ref_Unit_Balance!$B$31:$B$1048576,0)),0),ref_Unit_Balance!$B$20:$B$23,0))*D119*ref_Unit_Balance!$C$25,0)</f>
        <v>702</v>
      </c>
      <c r="F119" s="5">
        <f>INDEX(ref_Unit_Balance!$V$31:$V$106,MATCH(UnitGradeInfo!B119,ref_Unit_Balance!$B$31:$B$1048576,0))
+
INDEX(ref_Unit_Balance!$AB$31:$AB$106,MATCH(UnitGradeInfo!B119,ref_Unit_Balance!$B$31:$B$1048576,0))*(D119-1)</f>
        <v>2630</v>
      </c>
      <c r="G119" s="5">
        <f>INDEX(ref_Unit_Balance!$R$31:$R$106,MATCH(UnitGradeInfo!B119,ref_Unit_Balance!$B$31:$B$1048576,0))
+
INDEX(ref_Unit_Balance!$AA$31:$AA$106,MATCH(UnitGradeInfo!B119,ref_Unit_Balance!$B$31:$B$1048576,0))*(D119-1)</f>
        <v>134</v>
      </c>
      <c r="H119" s="39">
        <f>IF(INDEX(Unitinfo!D:D,MATCH(UnitGradeInfo!B119,Unitinfo!A:A,0))=1,50,5)</f>
        <v>50</v>
      </c>
      <c r="I119" s="5">
        <f>IF(INDEX(ref_Unit_Balance!$T$31:$T$106,MATCH(UnitGradeInfo!B119,ref_Unit_Balance!$B$31:$B$1048576,0))=0,1,INDEX(ref_Unit_Balance!$T$31:$T$106,MATCH(UnitGradeInfo!B119,ref_Unit_Balance!$B$31:$B$1048576,0)))</f>
        <v>5</v>
      </c>
      <c r="J119" s="5">
        <f>INDEX(ref_Unit_Balance!$S$31:$S$106,MATCH(UnitGradeInfo!B119,ref_Unit_Balance!$B$31:$B$1048576,0))</f>
        <v>700</v>
      </c>
      <c r="K119" s="5">
        <v>0</v>
      </c>
      <c r="L119" s="5">
        <f>INDEX(ref_Unit_Balance!$I$31:$I$106,MATCH(UnitGradeInfo!B119,ref_Unit_Balance!$B$31:$B$1048576,0))</f>
        <v>4</v>
      </c>
      <c r="M119" s="5">
        <f t="shared" si="12"/>
        <v>22</v>
      </c>
      <c r="N119" s="5">
        <f t="shared" si="13"/>
        <v>220</v>
      </c>
      <c r="O119" s="5">
        <f>(INDEX(Unitinfo!I:I,MATCH(B119,Unitinfo!A:A,0))+1)*2</f>
        <v>2</v>
      </c>
      <c r="P119" s="5">
        <v>0</v>
      </c>
      <c r="Q119" s="5">
        <v>0</v>
      </c>
      <c r="R119" s="19" t="s">
        <v>121</v>
      </c>
      <c r="S119" s="19" t="s">
        <v>121</v>
      </c>
      <c r="T119" s="5">
        <f t="shared" si="14"/>
        <v>2004</v>
      </c>
      <c r="U119" s="5">
        <f t="shared" si="15"/>
        <v>1</v>
      </c>
      <c r="V119" s="5">
        <v>0</v>
      </c>
      <c r="W119" s="5">
        <v>10</v>
      </c>
    </row>
    <row r="120" spans="1:23">
      <c r="A120" s="5">
        <f t="shared" si="16"/>
        <v>117</v>
      </c>
      <c r="B120" s="93">
        <f t="shared" si="17"/>
        <v>2004</v>
      </c>
      <c r="C120" s="20" t="str">
        <f>INDEX(Unitinfo!C:C,MATCH(UnitGradeInfo!B120,Unitinfo!A:A,0))</f>
        <v>(원거리)Skeleton_Archer</v>
      </c>
      <c r="D120" s="5">
        <f>COUNTIF($B$4:B120,B120)</f>
        <v>12</v>
      </c>
      <c r="E120" s="5">
        <f>ROUNDDOWN(INDEX(ref_Unit_Balance!$G$31:$G$106,MATCH(UnitGradeInfo!B120,ref_Unit_Balance!$B$31:$B$1048576,0))
+INDEX(ref_Unit_Balance!$G$20:$G$23,MATCH(IFERROR(INDEX(ref_Unit_Balance!$D$31:$D$1048576,MATCH(B120,ref_Unit_Balance!$B$31:$B$1048576,0)),0),ref_Unit_Balance!$B$20:$B$23,0))*D120*ref_Unit_Balance!$C$25,0)</f>
        <v>752</v>
      </c>
      <c r="F120" s="5">
        <f>INDEX(ref_Unit_Balance!$V$31:$V$106,MATCH(UnitGradeInfo!B120,ref_Unit_Balance!$B$31:$B$1048576,0))
+
INDEX(ref_Unit_Balance!$AB$31:$AB$106,MATCH(UnitGradeInfo!B120,ref_Unit_Balance!$B$31:$B$1048576,0))*(D120-1)</f>
        <v>2780</v>
      </c>
      <c r="G120" s="5">
        <f>INDEX(ref_Unit_Balance!$R$31:$R$106,MATCH(UnitGradeInfo!B120,ref_Unit_Balance!$B$31:$B$1048576,0))
+
INDEX(ref_Unit_Balance!$AA$31:$AA$106,MATCH(UnitGradeInfo!B120,ref_Unit_Balance!$B$31:$B$1048576,0))*(D120-1)</f>
        <v>139</v>
      </c>
      <c r="H120" s="39">
        <f>IF(INDEX(Unitinfo!D:D,MATCH(UnitGradeInfo!B120,Unitinfo!A:A,0))=1,50,5)</f>
        <v>50</v>
      </c>
      <c r="I120" s="5">
        <f>IF(INDEX(ref_Unit_Balance!$T$31:$T$106,MATCH(UnitGradeInfo!B120,ref_Unit_Balance!$B$31:$B$1048576,0))=0,1,INDEX(ref_Unit_Balance!$T$31:$T$106,MATCH(UnitGradeInfo!B120,ref_Unit_Balance!$B$31:$B$1048576,0)))</f>
        <v>5</v>
      </c>
      <c r="J120" s="5">
        <f>INDEX(ref_Unit_Balance!$S$31:$S$106,MATCH(UnitGradeInfo!B120,ref_Unit_Balance!$B$31:$B$1048576,0))</f>
        <v>700</v>
      </c>
      <c r="K120" s="5">
        <v>0</v>
      </c>
      <c r="L120" s="5">
        <f>INDEX(ref_Unit_Balance!$I$31:$I$106,MATCH(UnitGradeInfo!B120,ref_Unit_Balance!$B$31:$B$1048576,0))</f>
        <v>4</v>
      </c>
      <c r="M120" s="5">
        <f t="shared" si="12"/>
        <v>24</v>
      </c>
      <c r="N120" s="5">
        <f t="shared" si="13"/>
        <v>240</v>
      </c>
      <c r="O120" s="5">
        <f>(INDEX(Unitinfo!I:I,MATCH(B120,Unitinfo!A:A,0))+1)*2</f>
        <v>2</v>
      </c>
      <c r="P120" s="5">
        <v>0</v>
      </c>
      <c r="Q120" s="5">
        <v>0</v>
      </c>
      <c r="R120" s="19" t="s">
        <v>121</v>
      </c>
      <c r="S120" s="19" t="s">
        <v>121</v>
      </c>
      <c r="T120" s="5">
        <f t="shared" si="14"/>
        <v>2004</v>
      </c>
      <c r="U120" s="5">
        <f t="shared" si="15"/>
        <v>1</v>
      </c>
      <c r="V120" s="5">
        <v>0</v>
      </c>
      <c r="W120" s="5">
        <v>10</v>
      </c>
    </row>
    <row r="121" spans="1:23">
      <c r="A121" s="5">
        <f t="shared" si="16"/>
        <v>118</v>
      </c>
      <c r="B121" s="93">
        <f t="shared" si="17"/>
        <v>2004</v>
      </c>
      <c r="C121" s="20" t="str">
        <f>INDEX(Unitinfo!C:C,MATCH(UnitGradeInfo!B121,Unitinfo!A:A,0))</f>
        <v>(원거리)Skeleton_Archer</v>
      </c>
      <c r="D121" s="5">
        <f>COUNTIF($B$4:B121,B121)</f>
        <v>13</v>
      </c>
      <c r="E121" s="5">
        <f>ROUNDDOWN(INDEX(ref_Unit_Balance!$G$31:$G$106,MATCH(UnitGradeInfo!B121,ref_Unit_Balance!$B$31:$B$1048576,0))
+INDEX(ref_Unit_Balance!$G$20:$G$23,MATCH(IFERROR(INDEX(ref_Unit_Balance!$D$31:$D$1048576,MATCH(B121,ref_Unit_Balance!$B$31:$B$1048576,0)),0),ref_Unit_Balance!$B$20:$B$23,0))*D121*ref_Unit_Balance!$C$25,0)</f>
        <v>802</v>
      </c>
      <c r="F121" s="5">
        <f>INDEX(ref_Unit_Balance!$V$31:$V$106,MATCH(UnitGradeInfo!B121,ref_Unit_Balance!$B$31:$B$1048576,0))
+
INDEX(ref_Unit_Balance!$AB$31:$AB$106,MATCH(UnitGradeInfo!B121,ref_Unit_Balance!$B$31:$B$1048576,0))*(D121-1)</f>
        <v>2930</v>
      </c>
      <c r="G121" s="5">
        <f>INDEX(ref_Unit_Balance!$R$31:$R$106,MATCH(UnitGradeInfo!B121,ref_Unit_Balance!$B$31:$B$1048576,0))
+
INDEX(ref_Unit_Balance!$AA$31:$AA$106,MATCH(UnitGradeInfo!B121,ref_Unit_Balance!$B$31:$B$1048576,0))*(D121-1)</f>
        <v>144</v>
      </c>
      <c r="H121" s="39">
        <f>IF(INDEX(Unitinfo!D:D,MATCH(UnitGradeInfo!B121,Unitinfo!A:A,0))=1,50,5)</f>
        <v>50</v>
      </c>
      <c r="I121" s="5">
        <f>IF(INDEX(ref_Unit_Balance!$T$31:$T$106,MATCH(UnitGradeInfo!B121,ref_Unit_Balance!$B$31:$B$1048576,0))=0,1,INDEX(ref_Unit_Balance!$T$31:$T$106,MATCH(UnitGradeInfo!B121,ref_Unit_Balance!$B$31:$B$1048576,0)))</f>
        <v>5</v>
      </c>
      <c r="J121" s="5">
        <f>INDEX(ref_Unit_Balance!$S$31:$S$106,MATCH(UnitGradeInfo!B121,ref_Unit_Balance!$B$31:$B$1048576,0))</f>
        <v>700</v>
      </c>
      <c r="K121" s="5">
        <v>0</v>
      </c>
      <c r="L121" s="5">
        <f>INDEX(ref_Unit_Balance!$I$31:$I$106,MATCH(UnitGradeInfo!B121,ref_Unit_Balance!$B$31:$B$1048576,0))</f>
        <v>4</v>
      </c>
      <c r="M121" s="5">
        <f t="shared" si="12"/>
        <v>26</v>
      </c>
      <c r="N121" s="5">
        <f t="shared" si="13"/>
        <v>260</v>
      </c>
      <c r="O121" s="5">
        <f>(INDEX(Unitinfo!I:I,MATCH(B121,Unitinfo!A:A,0))+1)*2</f>
        <v>2</v>
      </c>
      <c r="P121" s="5">
        <v>0</v>
      </c>
      <c r="Q121" s="5">
        <v>0</v>
      </c>
      <c r="R121" s="19" t="s">
        <v>121</v>
      </c>
      <c r="S121" s="19" t="s">
        <v>121</v>
      </c>
      <c r="T121" s="5">
        <f t="shared" si="14"/>
        <v>2004</v>
      </c>
      <c r="U121" s="5">
        <f t="shared" si="15"/>
        <v>1</v>
      </c>
      <c r="V121" s="5">
        <v>0</v>
      </c>
      <c r="W121" s="5">
        <v>10</v>
      </c>
    </row>
    <row r="122" spans="1:23">
      <c r="A122" s="5">
        <f t="shared" si="16"/>
        <v>119</v>
      </c>
      <c r="B122" s="93">
        <f t="shared" si="17"/>
        <v>2004</v>
      </c>
      <c r="C122" s="20" t="str">
        <f>INDEX(Unitinfo!C:C,MATCH(UnitGradeInfo!B122,Unitinfo!A:A,0))</f>
        <v>(원거리)Skeleton_Archer</v>
      </c>
      <c r="D122" s="5">
        <f>COUNTIF($B$4:B122,B122)</f>
        <v>14</v>
      </c>
      <c r="E122" s="5">
        <f>ROUNDDOWN(INDEX(ref_Unit_Balance!$G$31:$G$106,MATCH(UnitGradeInfo!B122,ref_Unit_Balance!$B$31:$B$1048576,0))
+INDEX(ref_Unit_Balance!$G$20:$G$23,MATCH(IFERROR(INDEX(ref_Unit_Balance!$D$31:$D$1048576,MATCH(B122,ref_Unit_Balance!$B$31:$B$1048576,0)),0),ref_Unit_Balance!$B$20:$B$23,0))*D122*ref_Unit_Balance!$C$25,0)</f>
        <v>852</v>
      </c>
      <c r="F122" s="5">
        <f>INDEX(ref_Unit_Balance!$V$31:$V$106,MATCH(UnitGradeInfo!B122,ref_Unit_Balance!$B$31:$B$1048576,0))
+
INDEX(ref_Unit_Balance!$AB$31:$AB$106,MATCH(UnitGradeInfo!B122,ref_Unit_Balance!$B$31:$B$1048576,0))*(D122-1)</f>
        <v>3080</v>
      </c>
      <c r="G122" s="5">
        <f>INDEX(ref_Unit_Balance!$R$31:$R$106,MATCH(UnitGradeInfo!B122,ref_Unit_Balance!$B$31:$B$1048576,0))
+
INDEX(ref_Unit_Balance!$AA$31:$AA$106,MATCH(UnitGradeInfo!B122,ref_Unit_Balance!$B$31:$B$1048576,0))*(D122-1)</f>
        <v>149</v>
      </c>
      <c r="H122" s="39">
        <f>IF(INDEX(Unitinfo!D:D,MATCH(UnitGradeInfo!B122,Unitinfo!A:A,0))=1,50,5)</f>
        <v>50</v>
      </c>
      <c r="I122" s="5">
        <f>IF(INDEX(ref_Unit_Balance!$T$31:$T$106,MATCH(UnitGradeInfo!B122,ref_Unit_Balance!$B$31:$B$1048576,0))=0,1,INDEX(ref_Unit_Balance!$T$31:$T$106,MATCH(UnitGradeInfo!B122,ref_Unit_Balance!$B$31:$B$1048576,0)))</f>
        <v>5</v>
      </c>
      <c r="J122" s="5">
        <f>INDEX(ref_Unit_Balance!$S$31:$S$106,MATCH(UnitGradeInfo!B122,ref_Unit_Balance!$B$31:$B$1048576,0))</f>
        <v>700</v>
      </c>
      <c r="K122" s="5">
        <v>0</v>
      </c>
      <c r="L122" s="5">
        <f>INDEX(ref_Unit_Balance!$I$31:$I$106,MATCH(UnitGradeInfo!B122,ref_Unit_Balance!$B$31:$B$1048576,0))</f>
        <v>4</v>
      </c>
      <c r="M122" s="5">
        <f t="shared" si="12"/>
        <v>28</v>
      </c>
      <c r="N122" s="5">
        <f t="shared" si="13"/>
        <v>280</v>
      </c>
      <c r="O122" s="5">
        <f>(INDEX(Unitinfo!I:I,MATCH(B122,Unitinfo!A:A,0))+1)*2</f>
        <v>2</v>
      </c>
      <c r="P122" s="5">
        <v>0</v>
      </c>
      <c r="Q122" s="5">
        <v>0</v>
      </c>
      <c r="R122" s="19" t="s">
        <v>121</v>
      </c>
      <c r="S122" s="19" t="s">
        <v>121</v>
      </c>
      <c r="T122" s="5">
        <f t="shared" si="14"/>
        <v>2004</v>
      </c>
      <c r="U122" s="5">
        <f t="shared" si="15"/>
        <v>1</v>
      </c>
      <c r="V122" s="5">
        <v>0</v>
      </c>
      <c r="W122" s="5">
        <v>10</v>
      </c>
    </row>
    <row r="123" spans="1:23">
      <c r="A123" s="5">
        <f t="shared" si="16"/>
        <v>120</v>
      </c>
      <c r="B123" s="93">
        <f t="shared" si="17"/>
        <v>2004</v>
      </c>
      <c r="C123" s="20" t="str">
        <f>INDEX(Unitinfo!C:C,MATCH(UnitGradeInfo!B123,Unitinfo!A:A,0))</f>
        <v>(원거리)Skeleton_Archer</v>
      </c>
      <c r="D123" s="5">
        <f>COUNTIF($B$4:B123,B123)</f>
        <v>15</v>
      </c>
      <c r="E123" s="5">
        <f>ROUNDDOWN(INDEX(ref_Unit_Balance!$G$31:$G$106,MATCH(UnitGradeInfo!B123,ref_Unit_Balance!$B$31:$B$1048576,0))
+INDEX(ref_Unit_Balance!$G$20:$G$23,MATCH(IFERROR(INDEX(ref_Unit_Balance!$D$31:$D$1048576,MATCH(B123,ref_Unit_Balance!$B$31:$B$1048576,0)),0),ref_Unit_Balance!$B$20:$B$23,0))*D123*ref_Unit_Balance!$C$25,0)</f>
        <v>902</v>
      </c>
      <c r="F123" s="5">
        <f>INDEX(ref_Unit_Balance!$V$31:$V$106,MATCH(UnitGradeInfo!B123,ref_Unit_Balance!$B$31:$B$1048576,0))
+
INDEX(ref_Unit_Balance!$AB$31:$AB$106,MATCH(UnitGradeInfo!B123,ref_Unit_Balance!$B$31:$B$1048576,0))*(D123-1)</f>
        <v>3230</v>
      </c>
      <c r="G123" s="5">
        <f>INDEX(ref_Unit_Balance!$R$31:$R$106,MATCH(UnitGradeInfo!B123,ref_Unit_Balance!$B$31:$B$1048576,0))
+
INDEX(ref_Unit_Balance!$AA$31:$AA$106,MATCH(UnitGradeInfo!B123,ref_Unit_Balance!$B$31:$B$1048576,0))*(D123-1)</f>
        <v>154</v>
      </c>
      <c r="H123" s="39">
        <f>IF(INDEX(Unitinfo!D:D,MATCH(UnitGradeInfo!B123,Unitinfo!A:A,0))=1,50,5)</f>
        <v>50</v>
      </c>
      <c r="I123" s="5">
        <f>IF(INDEX(ref_Unit_Balance!$T$31:$T$106,MATCH(UnitGradeInfo!B123,ref_Unit_Balance!$B$31:$B$1048576,0))=0,1,INDEX(ref_Unit_Balance!$T$31:$T$106,MATCH(UnitGradeInfo!B123,ref_Unit_Balance!$B$31:$B$1048576,0)))</f>
        <v>5</v>
      </c>
      <c r="J123" s="5">
        <f>INDEX(ref_Unit_Balance!$S$31:$S$106,MATCH(UnitGradeInfo!B123,ref_Unit_Balance!$B$31:$B$1048576,0))</f>
        <v>700</v>
      </c>
      <c r="K123" s="5">
        <v>0</v>
      </c>
      <c r="L123" s="5">
        <f>INDEX(ref_Unit_Balance!$I$31:$I$106,MATCH(UnitGradeInfo!B123,ref_Unit_Balance!$B$31:$B$1048576,0))</f>
        <v>4</v>
      </c>
      <c r="M123" s="5">
        <f t="shared" si="12"/>
        <v>30</v>
      </c>
      <c r="N123" s="5">
        <f t="shared" si="13"/>
        <v>300</v>
      </c>
      <c r="O123" s="5">
        <f>(INDEX(Unitinfo!I:I,MATCH(B123,Unitinfo!A:A,0))+1)*2</f>
        <v>2</v>
      </c>
      <c r="P123" s="5">
        <v>0</v>
      </c>
      <c r="Q123" s="5">
        <v>0</v>
      </c>
      <c r="R123" s="19" t="s">
        <v>121</v>
      </c>
      <c r="S123" s="19" t="s">
        <v>121</v>
      </c>
      <c r="T123" s="5">
        <f t="shared" si="14"/>
        <v>2004</v>
      </c>
      <c r="U123" s="5">
        <f t="shared" si="15"/>
        <v>1</v>
      </c>
      <c r="V123" s="5">
        <v>0</v>
      </c>
      <c r="W123" s="5">
        <v>10</v>
      </c>
    </row>
    <row r="124" spans="1:23">
      <c r="A124" s="5">
        <f t="shared" si="16"/>
        <v>121</v>
      </c>
      <c r="B124" s="93">
        <f t="shared" si="17"/>
        <v>2004</v>
      </c>
      <c r="C124" s="20" t="str">
        <f>INDEX(Unitinfo!C:C,MATCH(UnitGradeInfo!B124,Unitinfo!A:A,0))</f>
        <v>(원거리)Skeleton_Archer</v>
      </c>
      <c r="D124" s="5">
        <f>COUNTIF($B$4:B124,B124)</f>
        <v>16</v>
      </c>
      <c r="E124" s="5">
        <f>ROUNDDOWN(INDEX(ref_Unit_Balance!$G$31:$G$106,MATCH(UnitGradeInfo!B124,ref_Unit_Balance!$B$31:$B$1048576,0))
+INDEX(ref_Unit_Balance!$G$20:$G$23,MATCH(IFERROR(INDEX(ref_Unit_Balance!$D$31:$D$1048576,MATCH(B124,ref_Unit_Balance!$B$31:$B$1048576,0)),0),ref_Unit_Balance!$B$20:$B$23,0))*D124*ref_Unit_Balance!$C$25,0)</f>
        <v>952</v>
      </c>
      <c r="F124" s="5">
        <f>INDEX(ref_Unit_Balance!$V$31:$V$106,MATCH(UnitGradeInfo!B124,ref_Unit_Balance!$B$31:$B$1048576,0))
+
INDEX(ref_Unit_Balance!$AB$31:$AB$106,MATCH(UnitGradeInfo!B124,ref_Unit_Balance!$B$31:$B$1048576,0))*(D124-1)</f>
        <v>3380</v>
      </c>
      <c r="G124" s="5">
        <f>INDEX(ref_Unit_Balance!$R$31:$R$106,MATCH(UnitGradeInfo!B124,ref_Unit_Balance!$B$31:$B$1048576,0))
+
INDEX(ref_Unit_Balance!$AA$31:$AA$106,MATCH(UnitGradeInfo!B124,ref_Unit_Balance!$B$31:$B$1048576,0))*(D124-1)</f>
        <v>159</v>
      </c>
      <c r="H124" s="39">
        <f>IF(INDEX(Unitinfo!D:D,MATCH(UnitGradeInfo!B124,Unitinfo!A:A,0))=1,50,5)</f>
        <v>50</v>
      </c>
      <c r="I124" s="5">
        <f>IF(INDEX(ref_Unit_Balance!$T$31:$T$106,MATCH(UnitGradeInfo!B124,ref_Unit_Balance!$B$31:$B$1048576,0))=0,1,INDEX(ref_Unit_Balance!$T$31:$T$106,MATCH(UnitGradeInfo!B124,ref_Unit_Balance!$B$31:$B$1048576,0)))</f>
        <v>5</v>
      </c>
      <c r="J124" s="5">
        <f>INDEX(ref_Unit_Balance!$S$31:$S$106,MATCH(UnitGradeInfo!B124,ref_Unit_Balance!$B$31:$B$1048576,0))</f>
        <v>700</v>
      </c>
      <c r="K124" s="5">
        <v>0</v>
      </c>
      <c r="L124" s="5">
        <f>INDEX(ref_Unit_Balance!$I$31:$I$106,MATCH(UnitGradeInfo!B124,ref_Unit_Balance!$B$31:$B$1048576,0))</f>
        <v>4</v>
      </c>
      <c r="M124" s="5">
        <f t="shared" si="12"/>
        <v>32</v>
      </c>
      <c r="N124" s="5">
        <f t="shared" si="13"/>
        <v>320</v>
      </c>
      <c r="O124" s="5">
        <f>(INDEX(Unitinfo!I:I,MATCH(B124,Unitinfo!A:A,0))+1)*2</f>
        <v>2</v>
      </c>
      <c r="P124" s="5">
        <v>0</v>
      </c>
      <c r="Q124" s="5">
        <v>0</v>
      </c>
      <c r="R124" s="19" t="s">
        <v>121</v>
      </c>
      <c r="S124" s="19" t="s">
        <v>121</v>
      </c>
      <c r="T124" s="5">
        <f t="shared" si="14"/>
        <v>2004</v>
      </c>
      <c r="U124" s="5">
        <f t="shared" si="15"/>
        <v>1</v>
      </c>
      <c r="V124" s="5">
        <v>0</v>
      </c>
      <c r="W124" s="5">
        <v>10</v>
      </c>
    </row>
    <row r="125" spans="1:23">
      <c r="A125" s="5">
        <f t="shared" si="16"/>
        <v>122</v>
      </c>
      <c r="B125" s="93">
        <f t="shared" si="17"/>
        <v>2004</v>
      </c>
      <c r="C125" s="20" t="str">
        <f>INDEX(Unitinfo!C:C,MATCH(UnitGradeInfo!B125,Unitinfo!A:A,0))</f>
        <v>(원거리)Skeleton_Archer</v>
      </c>
      <c r="D125" s="5">
        <f>COUNTIF($B$4:B125,B125)</f>
        <v>17</v>
      </c>
      <c r="E125" s="5">
        <f>ROUNDDOWN(INDEX(ref_Unit_Balance!$G$31:$G$106,MATCH(UnitGradeInfo!B125,ref_Unit_Balance!$B$31:$B$1048576,0))
+INDEX(ref_Unit_Balance!$G$20:$G$23,MATCH(IFERROR(INDEX(ref_Unit_Balance!$D$31:$D$1048576,MATCH(B125,ref_Unit_Balance!$B$31:$B$1048576,0)),0),ref_Unit_Balance!$B$20:$B$23,0))*D125*ref_Unit_Balance!$C$25,0)</f>
        <v>1002</v>
      </c>
      <c r="F125" s="5">
        <f>INDEX(ref_Unit_Balance!$V$31:$V$106,MATCH(UnitGradeInfo!B125,ref_Unit_Balance!$B$31:$B$1048576,0))
+
INDEX(ref_Unit_Balance!$AB$31:$AB$106,MATCH(UnitGradeInfo!B125,ref_Unit_Balance!$B$31:$B$1048576,0))*(D125-1)</f>
        <v>3530</v>
      </c>
      <c r="G125" s="5">
        <f>INDEX(ref_Unit_Balance!$R$31:$R$106,MATCH(UnitGradeInfo!B125,ref_Unit_Balance!$B$31:$B$1048576,0))
+
INDEX(ref_Unit_Balance!$AA$31:$AA$106,MATCH(UnitGradeInfo!B125,ref_Unit_Balance!$B$31:$B$1048576,0))*(D125-1)</f>
        <v>164</v>
      </c>
      <c r="H125" s="39">
        <f>IF(INDEX(Unitinfo!D:D,MATCH(UnitGradeInfo!B125,Unitinfo!A:A,0))=1,50,5)</f>
        <v>50</v>
      </c>
      <c r="I125" s="5">
        <f>IF(INDEX(ref_Unit_Balance!$T$31:$T$106,MATCH(UnitGradeInfo!B125,ref_Unit_Balance!$B$31:$B$1048576,0))=0,1,INDEX(ref_Unit_Balance!$T$31:$T$106,MATCH(UnitGradeInfo!B125,ref_Unit_Balance!$B$31:$B$1048576,0)))</f>
        <v>5</v>
      </c>
      <c r="J125" s="5">
        <f>INDEX(ref_Unit_Balance!$S$31:$S$106,MATCH(UnitGradeInfo!B125,ref_Unit_Balance!$B$31:$B$1048576,0))</f>
        <v>700</v>
      </c>
      <c r="K125" s="5">
        <v>0</v>
      </c>
      <c r="L125" s="5">
        <f>INDEX(ref_Unit_Balance!$I$31:$I$106,MATCH(UnitGradeInfo!B125,ref_Unit_Balance!$B$31:$B$1048576,0))</f>
        <v>4</v>
      </c>
      <c r="M125" s="5">
        <f t="shared" si="12"/>
        <v>34</v>
      </c>
      <c r="N125" s="5">
        <f t="shared" si="13"/>
        <v>340</v>
      </c>
      <c r="O125" s="5">
        <f>(INDEX(Unitinfo!I:I,MATCH(B125,Unitinfo!A:A,0))+1)*2</f>
        <v>2</v>
      </c>
      <c r="P125" s="5">
        <v>0</v>
      </c>
      <c r="Q125" s="5">
        <v>0</v>
      </c>
      <c r="R125" s="19" t="s">
        <v>121</v>
      </c>
      <c r="S125" s="19" t="s">
        <v>121</v>
      </c>
      <c r="T125" s="5">
        <f t="shared" si="14"/>
        <v>2004</v>
      </c>
      <c r="U125" s="5">
        <f t="shared" si="15"/>
        <v>1</v>
      </c>
      <c r="V125" s="5">
        <v>0</v>
      </c>
      <c r="W125" s="5">
        <v>10</v>
      </c>
    </row>
    <row r="126" spans="1:23">
      <c r="A126" s="5">
        <f t="shared" si="16"/>
        <v>123</v>
      </c>
      <c r="B126" s="93">
        <f t="shared" si="17"/>
        <v>2004</v>
      </c>
      <c r="C126" s="20" t="str">
        <f>INDEX(Unitinfo!C:C,MATCH(UnitGradeInfo!B126,Unitinfo!A:A,0))</f>
        <v>(원거리)Skeleton_Archer</v>
      </c>
      <c r="D126" s="5">
        <f>COUNTIF($B$4:B126,B126)</f>
        <v>18</v>
      </c>
      <c r="E126" s="5">
        <f>ROUNDDOWN(INDEX(ref_Unit_Balance!$G$31:$G$106,MATCH(UnitGradeInfo!B126,ref_Unit_Balance!$B$31:$B$1048576,0))
+INDEX(ref_Unit_Balance!$G$20:$G$23,MATCH(IFERROR(INDEX(ref_Unit_Balance!$D$31:$D$1048576,MATCH(B126,ref_Unit_Balance!$B$31:$B$1048576,0)),0),ref_Unit_Balance!$B$20:$B$23,0))*D126*ref_Unit_Balance!$C$25,0)</f>
        <v>1052</v>
      </c>
      <c r="F126" s="5">
        <f>INDEX(ref_Unit_Balance!$V$31:$V$106,MATCH(UnitGradeInfo!B126,ref_Unit_Balance!$B$31:$B$1048576,0))
+
INDEX(ref_Unit_Balance!$AB$31:$AB$106,MATCH(UnitGradeInfo!B126,ref_Unit_Balance!$B$31:$B$1048576,0))*(D126-1)</f>
        <v>3680</v>
      </c>
      <c r="G126" s="5">
        <f>INDEX(ref_Unit_Balance!$R$31:$R$106,MATCH(UnitGradeInfo!B126,ref_Unit_Balance!$B$31:$B$1048576,0))
+
INDEX(ref_Unit_Balance!$AA$31:$AA$106,MATCH(UnitGradeInfo!B126,ref_Unit_Balance!$B$31:$B$1048576,0))*(D126-1)</f>
        <v>169</v>
      </c>
      <c r="H126" s="39">
        <f>IF(INDEX(Unitinfo!D:D,MATCH(UnitGradeInfo!B126,Unitinfo!A:A,0))=1,50,5)</f>
        <v>50</v>
      </c>
      <c r="I126" s="5">
        <f>IF(INDEX(ref_Unit_Balance!$T$31:$T$106,MATCH(UnitGradeInfo!B126,ref_Unit_Balance!$B$31:$B$1048576,0))=0,1,INDEX(ref_Unit_Balance!$T$31:$T$106,MATCH(UnitGradeInfo!B126,ref_Unit_Balance!$B$31:$B$1048576,0)))</f>
        <v>5</v>
      </c>
      <c r="J126" s="5">
        <f>INDEX(ref_Unit_Balance!$S$31:$S$106,MATCH(UnitGradeInfo!B126,ref_Unit_Balance!$B$31:$B$1048576,0))</f>
        <v>700</v>
      </c>
      <c r="K126" s="5">
        <v>0</v>
      </c>
      <c r="L126" s="5">
        <f>INDEX(ref_Unit_Balance!$I$31:$I$106,MATCH(UnitGradeInfo!B126,ref_Unit_Balance!$B$31:$B$1048576,0))</f>
        <v>4</v>
      </c>
      <c r="M126" s="5">
        <f t="shared" si="12"/>
        <v>36</v>
      </c>
      <c r="N126" s="5">
        <f t="shared" si="13"/>
        <v>360</v>
      </c>
      <c r="O126" s="5">
        <f>(INDEX(Unitinfo!I:I,MATCH(B126,Unitinfo!A:A,0))+1)*2</f>
        <v>2</v>
      </c>
      <c r="P126" s="5">
        <v>0</v>
      </c>
      <c r="Q126" s="5">
        <v>0</v>
      </c>
      <c r="R126" s="19" t="s">
        <v>121</v>
      </c>
      <c r="S126" s="19" t="s">
        <v>121</v>
      </c>
      <c r="T126" s="5">
        <f t="shared" si="14"/>
        <v>2004</v>
      </c>
      <c r="U126" s="5">
        <f t="shared" si="15"/>
        <v>1</v>
      </c>
      <c r="V126" s="5">
        <v>0</v>
      </c>
      <c r="W126" s="5">
        <v>10</v>
      </c>
    </row>
    <row r="127" spans="1:23">
      <c r="A127" s="5">
        <f t="shared" si="16"/>
        <v>124</v>
      </c>
      <c r="B127" s="93">
        <f t="shared" si="17"/>
        <v>2004</v>
      </c>
      <c r="C127" s="20" t="str">
        <f>INDEX(Unitinfo!C:C,MATCH(UnitGradeInfo!B127,Unitinfo!A:A,0))</f>
        <v>(원거리)Skeleton_Archer</v>
      </c>
      <c r="D127" s="5">
        <f>COUNTIF($B$4:B127,B127)</f>
        <v>19</v>
      </c>
      <c r="E127" s="5">
        <f>ROUNDDOWN(INDEX(ref_Unit_Balance!$G$31:$G$106,MATCH(UnitGradeInfo!B127,ref_Unit_Balance!$B$31:$B$1048576,0))
+INDEX(ref_Unit_Balance!$G$20:$G$23,MATCH(IFERROR(INDEX(ref_Unit_Balance!$D$31:$D$1048576,MATCH(B127,ref_Unit_Balance!$B$31:$B$1048576,0)),0),ref_Unit_Balance!$B$20:$B$23,0))*D127*ref_Unit_Balance!$C$25,0)</f>
        <v>1102</v>
      </c>
      <c r="F127" s="5">
        <f>INDEX(ref_Unit_Balance!$V$31:$V$106,MATCH(UnitGradeInfo!B127,ref_Unit_Balance!$B$31:$B$1048576,0))
+
INDEX(ref_Unit_Balance!$AB$31:$AB$106,MATCH(UnitGradeInfo!B127,ref_Unit_Balance!$B$31:$B$1048576,0))*(D127-1)</f>
        <v>3830</v>
      </c>
      <c r="G127" s="5">
        <f>INDEX(ref_Unit_Balance!$R$31:$R$106,MATCH(UnitGradeInfo!B127,ref_Unit_Balance!$B$31:$B$1048576,0))
+
INDEX(ref_Unit_Balance!$AA$31:$AA$106,MATCH(UnitGradeInfo!B127,ref_Unit_Balance!$B$31:$B$1048576,0))*(D127-1)</f>
        <v>174</v>
      </c>
      <c r="H127" s="39">
        <f>IF(INDEX(Unitinfo!D:D,MATCH(UnitGradeInfo!B127,Unitinfo!A:A,0))=1,50,5)</f>
        <v>50</v>
      </c>
      <c r="I127" s="5">
        <f>IF(INDEX(ref_Unit_Balance!$T$31:$T$106,MATCH(UnitGradeInfo!B127,ref_Unit_Balance!$B$31:$B$1048576,0))=0,1,INDEX(ref_Unit_Balance!$T$31:$T$106,MATCH(UnitGradeInfo!B127,ref_Unit_Balance!$B$31:$B$1048576,0)))</f>
        <v>5</v>
      </c>
      <c r="J127" s="5">
        <f>INDEX(ref_Unit_Balance!$S$31:$S$106,MATCH(UnitGradeInfo!B127,ref_Unit_Balance!$B$31:$B$1048576,0))</f>
        <v>700</v>
      </c>
      <c r="K127" s="5">
        <v>0</v>
      </c>
      <c r="L127" s="5">
        <f>INDEX(ref_Unit_Balance!$I$31:$I$106,MATCH(UnitGradeInfo!B127,ref_Unit_Balance!$B$31:$B$1048576,0))</f>
        <v>4</v>
      </c>
      <c r="M127" s="5">
        <f t="shared" si="12"/>
        <v>38</v>
      </c>
      <c r="N127" s="5">
        <f t="shared" si="13"/>
        <v>380</v>
      </c>
      <c r="O127" s="5">
        <f>(INDEX(Unitinfo!I:I,MATCH(B127,Unitinfo!A:A,0))+1)*2</f>
        <v>2</v>
      </c>
      <c r="P127" s="5">
        <v>0</v>
      </c>
      <c r="Q127" s="5">
        <v>0</v>
      </c>
      <c r="R127" s="19" t="s">
        <v>121</v>
      </c>
      <c r="S127" s="19" t="s">
        <v>121</v>
      </c>
      <c r="T127" s="5">
        <f t="shared" si="14"/>
        <v>2004</v>
      </c>
      <c r="U127" s="5">
        <f t="shared" si="15"/>
        <v>1</v>
      </c>
      <c r="V127" s="5">
        <v>0</v>
      </c>
      <c r="W127" s="5">
        <v>10</v>
      </c>
    </row>
    <row r="128" spans="1:23">
      <c r="A128" s="5">
        <f t="shared" si="16"/>
        <v>125</v>
      </c>
      <c r="B128" s="93">
        <f t="shared" si="17"/>
        <v>2004</v>
      </c>
      <c r="C128" s="20" t="str">
        <f>INDEX(Unitinfo!C:C,MATCH(UnitGradeInfo!B128,Unitinfo!A:A,0))</f>
        <v>(원거리)Skeleton_Archer</v>
      </c>
      <c r="D128" s="5">
        <f>COUNTIF($B$4:B128,B128)</f>
        <v>20</v>
      </c>
      <c r="E128" s="5">
        <f>ROUNDDOWN(INDEX(ref_Unit_Balance!$G$31:$G$106,MATCH(UnitGradeInfo!B128,ref_Unit_Balance!$B$31:$B$1048576,0))
+INDEX(ref_Unit_Balance!$G$20:$G$23,MATCH(IFERROR(INDEX(ref_Unit_Balance!$D$31:$D$1048576,MATCH(B128,ref_Unit_Balance!$B$31:$B$1048576,0)),0),ref_Unit_Balance!$B$20:$B$23,0))*D128*ref_Unit_Balance!$C$25,0)</f>
        <v>1152</v>
      </c>
      <c r="F128" s="5">
        <f>INDEX(ref_Unit_Balance!$V$31:$V$106,MATCH(UnitGradeInfo!B128,ref_Unit_Balance!$B$31:$B$1048576,0))
+
INDEX(ref_Unit_Balance!$AB$31:$AB$106,MATCH(UnitGradeInfo!B128,ref_Unit_Balance!$B$31:$B$1048576,0))*(D128-1)</f>
        <v>3980</v>
      </c>
      <c r="G128" s="5">
        <f>INDEX(ref_Unit_Balance!$R$31:$R$106,MATCH(UnitGradeInfo!B128,ref_Unit_Balance!$B$31:$B$1048576,0))
+
INDEX(ref_Unit_Balance!$AA$31:$AA$106,MATCH(UnitGradeInfo!B128,ref_Unit_Balance!$B$31:$B$1048576,0))*(D128-1)</f>
        <v>179</v>
      </c>
      <c r="H128" s="39">
        <f>IF(INDEX(Unitinfo!D:D,MATCH(UnitGradeInfo!B128,Unitinfo!A:A,0))=1,50,5)</f>
        <v>50</v>
      </c>
      <c r="I128" s="5">
        <f>IF(INDEX(ref_Unit_Balance!$T$31:$T$106,MATCH(UnitGradeInfo!B128,ref_Unit_Balance!$B$31:$B$1048576,0))=0,1,INDEX(ref_Unit_Balance!$T$31:$T$106,MATCH(UnitGradeInfo!B128,ref_Unit_Balance!$B$31:$B$1048576,0)))</f>
        <v>5</v>
      </c>
      <c r="J128" s="5">
        <f>INDEX(ref_Unit_Balance!$S$31:$S$106,MATCH(UnitGradeInfo!B128,ref_Unit_Balance!$B$31:$B$1048576,0))</f>
        <v>700</v>
      </c>
      <c r="K128" s="5">
        <v>0</v>
      </c>
      <c r="L128" s="5">
        <f>INDEX(ref_Unit_Balance!$I$31:$I$106,MATCH(UnitGradeInfo!B128,ref_Unit_Balance!$B$31:$B$1048576,0))</f>
        <v>4</v>
      </c>
      <c r="M128" s="5">
        <f t="shared" si="12"/>
        <v>40</v>
      </c>
      <c r="N128" s="5">
        <f t="shared" si="13"/>
        <v>400</v>
      </c>
      <c r="O128" s="5">
        <f>(INDEX(Unitinfo!I:I,MATCH(B128,Unitinfo!A:A,0))+1)*2</f>
        <v>2</v>
      </c>
      <c r="P128" s="5">
        <v>0</v>
      </c>
      <c r="Q128" s="5">
        <v>0</v>
      </c>
      <c r="R128" s="19" t="s">
        <v>121</v>
      </c>
      <c r="S128" s="19" t="s">
        <v>121</v>
      </c>
      <c r="T128" s="5">
        <f t="shared" si="14"/>
        <v>2004</v>
      </c>
      <c r="U128" s="5">
        <f t="shared" si="15"/>
        <v>1</v>
      </c>
      <c r="V128" s="5">
        <v>0</v>
      </c>
      <c r="W128" s="5">
        <v>10</v>
      </c>
    </row>
    <row r="129" spans="1:23">
      <c r="A129" s="5">
        <f t="shared" si="16"/>
        <v>126</v>
      </c>
      <c r="B129" s="93">
        <f t="shared" si="17"/>
        <v>2005</v>
      </c>
      <c r="C129" s="20" t="str">
        <f>INDEX(Unitinfo!C:C,MATCH(UnitGradeInfo!B129,Unitinfo!A:A,0))</f>
        <v>(원거리)Skeleton_Witch</v>
      </c>
      <c r="D129" s="5">
        <f>COUNTIF($B$4:B129,B129)</f>
        <v>1</v>
      </c>
      <c r="E129" s="5">
        <f>ROUNDDOWN(INDEX(ref_Unit_Balance!$G$31:$G$106,MATCH(UnitGradeInfo!B129,ref_Unit_Balance!$B$31:$B$1048576,0))
+INDEX(ref_Unit_Balance!$G$20:$G$23,MATCH(IFERROR(INDEX(ref_Unit_Balance!$D$31:$D$1048576,MATCH(B129,ref_Unit_Balance!$B$31:$B$1048576,0)),0),ref_Unit_Balance!$B$20:$B$23,0))*D129*ref_Unit_Balance!$C$25,0)</f>
        <v>200</v>
      </c>
      <c r="F129" s="5">
        <f>INDEX(ref_Unit_Balance!$V$31:$V$106,MATCH(UnitGradeInfo!B129,ref_Unit_Balance!$B$31:$B$1048576,0))
+
INDEX(ref_Unit_Balance!$AB$31:$AB$106,MATCH(UnitGradeInfo!B129,ref_Unit_Balance!$B$31:$B$1048576,0))*(D129-1)</f>
        <v>1200</v>
      </c>
      <c r="G129" s="5">
        <f>INDEX(ref_Unit_Balance!$R$31:$R$106,MATCH(UnitGradeInfo!B129,ref_Unit_Balance!$B$31:$B$1048576,0))
+
INDEX(ref_Unit_Balance!$AA$31:$AA$106,MATCH(UnitGradeInfo!B129,ref_Unit_Balance!$B$31:$B$1048576,0))*(D129-1)</f>
        <v>200</v>
      </c>
      <c r="H129" s="39">
        <f>IF(INDEX(Unitinfo!D:D,MATCH(UnitGradeInfo!B129,Unitinfo!A:A,0))=1,50,5)</f>
        <v>50</v>
      </c>
      <c r="I129" s="5">
        <f>IF(INDEX(ref_Unit_Balance!$T$31:$T$106,MATCH(UnitGradeInfo!B129,ref_Unit_Balance!$B$31:$B$1048576,0))=0,1,INDEX(ref_Unit_Balance!$T$31:$T$106,MATCH(UnitGradeInfo!B129,ref_Unit_Balance!$B$31:$B$1048576,0)))</f>
        <v>5</v>
      </c>
      <c r="J129" s="5">
        <f>INDEX(ref_Unit_Balance!$S$31:$S$106,MATCH(UnitGradeInfo!B129,ref_Unit_Balance!$B$31:$B$1048576,0))</f>
        <v>1000</v>
      </c>
      <c r="K129" s="5">
        <v>0</v>
      </c>
      <c r="L129" s="5">
        <f>INDEX(ref_Unit_Balance!$I$31:$I$106,MATCH(UnitGradeInfo!B129,ref_Unit_Balance!$B$31:$B$1048576,0))</f>
        <v>3</v>
      </c>
      <c r="M129" s="5">
        <f t="shared" si="12"/>
        <v>2</v>
      </c>
      <c r="N129" s="5">
        <f t="shared" si="13"/>
        <v>20</v>
      </c>
      <c r="O129" s="5">
        <f>(INDEX(Unitinfo!I:I,MATCH(B129,Unitinfo!A:A,0))+1)*2</f>
        <v>2</v>
      </c>
      <c r="P129" s="5">
        <v>0</v>
      </c>
      <c r="Q129" s="5">
        <v>0</v>
      </c>
      <c r="R129" s="19" t="s">
        <v>121</v>
      </c>
      <c r="S129" s="19" t="s">
        <v>121</v>
      </c>
      <c r="T129" s="5">
        <f t="shared" si="14"/>
        <v>2005</v>
      </c>
      <c r="U129" s="5">
        <f t="shared" si="15"/>
        <v>1</v>
      </c>
      <c r="V129" s="5">
        <v>0</v>
      </c>
      <c r="W129" s="5">
        <v>10</v>
      </c>
    </row>
    <row r="130" spans="1:23">
      <c r="A130" s="5">
        <f t="shared" si="16"/>
        <v>127</v>
      </c>
      <c r="B130" s="93">
        <f t="shared" si="17"/>
        <v>2005</v>
      </c>
      <c r="C130" s="20" t="str">
        <f>INDEX(Unitinfo!C:C,MATCH(UnitGradeInfo!B130,Unitinfo!A:A,0))</f>
        <v>(원거리)Skeleton_Witch</v>
      </c>
      <c r="D130" s="5">
        <f>COUNTIF($B$4:B130,B130)</f>
        <v>2</v>
      </c>
      <c r="E130" s="5">
        <f>ROUNDDOWN(INDEX(ref_Unit_Balance!$G$31:$G$106,MATCH(UnitGradeInfo!B130,ref_Unit_Balance!$B$31:$B$1048576,0))
+INDEX(ref_Unit_Balance!$G$20:$G$23,MATCH(IFERROR(INDEX(ref_Unit_Balance!$D$31:$D$1048576,MATCH(B130,ref_Unit_Balance!$B$31:$B$1048576,0)),0),ref_Unit_Balance!$B$20:$B$23,0))*D130*ref_Unit_Balance!$C$25,0)</f>
        <v>250</v>
      </c>
      <c r="F130" s="5">
        <f>INDEX(ref_Unit_Balance!$V$31:$V$106,MATCH(UnitGradeInfo!B130,ref_Unit_Balance!$B$31:$B$1048576,0))
+
INDEX(ref_Unit_Balance!$AB$31:$AB$106,MATCH(UnitGradeInfo!B130,ref_Unit_Balance!$B$31:$B$1048576,0))*(D130-1)</f>
        <v>1400</v>
      </c>
      <c r="G130" s="5">
        <f>INDEX(ref_Unit_Balance!$R$31:$R$106,MATCH(UnitGradeInfo!B130,ref_Unit_Balance!$B$31:$B$1048576,0))
+
INDEX(ref_Unit_Balance!$AA$31:$AA$106,MATCH(UnitGradeInfo!B130,ref_Unit_Balance!$B$31:$B$1048576,0))*(D130-1)</f>
        <v>213</v>
      </c>
      <c r="H130" s="39">
        <f>IF(INDEX(Unitinfo!D:D,MATCH(UnitGradeInfo!B130,Unitinfo!A:A,0))=1,50,5)</f>
        <v>50</v>
      </c>
      <c r="I130" s="5">
        <f>IF(INDEX(ref_Unit_Balance!$T$31:$T$106,MATCH(UnitGradeInfo!B130,ref_Unit_Balance!$B$31:$B$1048576,0))=0,1,INDEX(ref_Unit_Balance!$T$31:$T$106,MATCH(UnitGradeInfo!B130,ref_Unit_Balance!$B$31:$B$1048576,0)))</f>
        <v>5</v>
      </c>
      <c r="J130" s="5">
        <f>INDEX(ref_Unit_Balance!$S$31:$S$106,MATCH(UnitGradeInfo!B130,ref_Unit_Balance!$B$31:$B$1048576,0))</f>
        <v>1000</v>
      </c>
      <c r="K130" s="5">
        <v>0</v>
      </c>
      <c r="L130" s="5">
        <f>INDEX(ref_Unit_Balance!$I$31:$I$106,MATCH(UnitGradeInfo!B130,ref_Unit_Balance!$B$31:$B$1048576,0))</f>
        <v>3</v>
      </c>
      <c r="M130" s="5">
        <f t="shared" si="12"/>
        <v>4</v>
      </c>
      <c r="N130" s="5">
        <f t="shared" si="13"/>
        <v>40</v>
      </c>
      <c r="O130" s="5">
        <f>(INDEX(Unitinfo!I:I,MATCH(B130,Unitinfo!A:A,0))+1)*2</f>
        <v>2</v>
      </c>
      <c r="P130" s="5">
        <v>0</v>
      </c>
      <c r="Q130" s="5">
        <v>0</v>
      </c>
      <c r="R130" s="19" t="s">
        <v>121</v>
      </c>
      <c r="S130" s="19" t="s">
        <v>121</v>
      </c>
      <c r="T130" s="5">
        <f t="shared" si="14"/>
        <v>2005</v>
      </c>
      <c r="U130" s="5">
        <f t="shared" si="15"/>
        <v>1</v>
      </c>
      <c r="V130" s="5">
        <v>0</v>
      </c>
      <c r="W130" s="5">
        <v>10</v>
      </c>
    </row>
    <row r="131" spans="1:23">
      <c r="A131" s="5">
        <f t="shared" si="16"/>
        <v>128</v>
      </c>
      <c r="B131" s="93">
        <f t="shared" si="17"/>
        <v>2005</v>
      </c>
      <c r="C131" s="20" t="str">
        <f>INDEX(Unitinfo!C:C,MATCH(UnitGradeInfo!B131,Unitinfo!A:A,0))</f>
        <v>(원거리)Skeleton_Witch</v>
      </c>
      <c r="D131" s="5">
        <f>COUNTIF($B$4:B131,B131)</f>
        <v>3</v>
      </c>
      <c r="E131" s="5">
        <f>ROUNDDOWN(INDEX(ref_Unit_Balance!$G$31:$G$106,MATCH(UnitGradeInfo!B131,ref_Unit_Balance!$B$31:$B$1048576,0))
+INDEX(ref_Unit_Balance!$G$20:$G$23,MATCH(IFERROR(INDEX(ref_Unit_Balance!$D$31:$D$1048576,MATCH(B131,ref_Unit_Balance!$B$31:$B$1048576,0)),0),ref_Unit_Balance!$B$20:$B$23,0))*D131*ref_Unit_Balance!$C$25,0)</f>
        <v>300</v>
      </c>
      <c r="F131" s="5">
        <f>INDEX(ref_Unit_Balance!$V$31:$V$106,MATCH(UnitGradeInfo!B131,ref_Unit_Balance!$B$31:$B$1048576,0))
+
INDEX(ref_Unit_Balance!$AB$31:$AB$106,MATCH(UnitGradeInfo!B131,ref_Unit_Balance!$B$31:$B$1048576,0))*(D131-1)</f>
        <v>1600</v>
      </c>
      <c r="G131" s="5">
        <f>INDEX(ref_Unit_Balance!$R$31:$R$106,MATCH(UnitGradeInfo!B131,ref_Unit_Balance!$B$31:$B$1048576,0))
+
INDEX(ref_Unit_Balance!$AA$31:$AA$106,MATCH(UnitGradeInfo!B131,ref_Unit_Balance!$B$31:$B$1048576,0))*(D131-1)</f>
        <v>226</v>
      </c>
      <c r="H131" s="39">
        <f>IF(INDEX(Unitinfo!D:D,MATCH(UnitGradeInfo!B131,Unitinfo!A:A,0))=1,50,5)</f>
        <v>50</v>
      </c>
      <c r="I131" s="5">
        <f>IF(INDEX(ref_Unit_Balance!$T$31:$T$106,MATCH(UnitGradeInfo!B131,ref_Unit_Balance!$B$31:$B$1048576,0))=0,1,INDEX(ref_Unit_Balance!$T$31:$T$106,MATCH(UnitGradeInfo!B131,ref_Unit_Balance!$B$31:$B$1048576,0)))</f>
        <v>5</v>
      </c>
      <c r="J131" s="5">
        <f>INDEX(ref_Unit_Balance!$S$31:$S$106,MATCH(UnitGradeInfo!B131,ref_Unit_Balance!$B$31:$B$1048576,0))</f>
        <v>1000</v>
      </c>
      <c r="K131" s="5">
        <v>0</v>
      </c>
      <c r="L131" s="5">
        <f>INDEX(ref_Unit_Balance!$I$31:$I$106,MATCH(UnitGradeInfo!B131,ref_Unit_Balance!$B$31:$B$1048576,0))</f>
        <v>3</v>
      </c>
      <c r="M131" s="5">
        <f t="shared" si="12"/>
        <v>6</v>
      </c>
      <c r="N131" s="5">
        <f t="shared" si="13"/>
        <v>60</v>
      </c>
      <c r="O131" s="5">
        <f>(INDEX(Unitinfo!I:I,MATCH(B131,Unitinfo!A:A,0))+1)*2</f>
        <v>2</v>
      </c>
      <c r="P131" s="5">
        <v>0</v>
      </c>
      <c r="Q131" s="5">
        <v>0</v>
      </c>
      <c r="R131" s="19" t="s">
        <v>121</v>
      </c>
      <c r="S131" s="19" t="s">
        <v>121</v>
      </c>
      <c r="T131" s="5">
        <f t="shared" si="14"/>
        <v>2005</v>
      </c>
      <c r="U131" s="5">
        <f t="shared" si="15"/>
        <v>1</v>
      </c>
      <c r="V131" s="5">
        <v>0</v>
      </c>
      <c r="W131" s="5">
        <v>10</v>
      </c>
    </row>
    <row r="132" spans="1:23">
      <c r="A132" s="5">
        <f t="shared" si="16"/>
        <v>129</v>
      </c>
      <c r="B132" s="93">
        <f t="shared" si="17"/>
        <v>2005</v>
      </c>
      <c r="C132" s="20" t="str">
        <f>INDEX(Unitinfo!C:C,MATCH(UnitGradeInfo!B132,Unitinfo!A:A,0))</f>
        <v>(원거리)Skeleton_Witch</v>
      </c>
      <c r="D132" s="5">
        <f>COUNTIF($B$4:B132,B132)</f>
        <v>4</v>
      </c>
      <c r="E132" s="5">
        <f>ROUNDDOWN(INDEX(ref_Unit_Balance!$G$31:$G$106,MATCH(UnitGradeInfo!B132,ref_Unit_Balance!$B$31:$B$1048576,0))
+INDEX(ref_Unit_Balance!$G$20:$G$23,MATCH(IFERROR(INDEX(ref_Unit_Balance!$D$31:$D$1048576,MATCH(B132,ref_Unit_Balance!$B$31:$B$1048576,0)),0),ref_Unit_Balance!$B$20:$B$23,0))*D132*ref_Unit_Balance!$C$25,0)</f>
        <v>350</v>
      </c>
      <c r="F132" s="5">
        <f>INDEX(ref_Unit_Balance!$V$31:$V$106,MATCH(UnitGradeInfo!B132,ref_Unit_Balance!$B$31:$B$1048576,0))
+
INDEX(ref_Unit_Balance!$AB$31:$AB$106,MATCH(UnitGradeInfo!B132,ref_Unit_Balance!$B$31:$B$1048576,0))*(D132-1)</f>
        <v>1800</v>
      </c>
      <c r="G132" s="5">
        <f>INDEX(ref_Unit_Balance!$R$31:$R$106,MATCH(UnitGradeInfo!B132,ref_Unit_Balance!$B$31:$B$1048576,0))
+
INDEX(ref_Unit_Balance!$AA$31:$AA$106,MATCH(UnitGradeInfo!B132,ref_Unit_Balance!$B$31:$B$1048576,0))*(D132-1)</f>
        <v>239</v>
      </c>
      <c r="H132" s="39">
        <f>IF(INDEX(Unitinfo!D:D,MATCH(UnitGradeInfo!B132,Unitinfo!A:A,0))=1,50,5)</f>
        <v>50</v>
      </c>
      <c r="I132" s="5">
        <f>IF(INDEX(ref_Unit_Balance!$T$31:$T$106,MATCH(UnitGradeInfo!B132,ref_Unit_Balance!$B$31:$B$1048576,0))=0,1,INDEX(ref_Unit_Balance!$T$31:$T$106,MATCH(UnitGradeInfo!B132,ref_Unit_Balance!$B$31:$B$1048576,0)))</f>
        <v>5</v>
      </c>
      <c r="J132" s="5">
        <f>INDEX(ref_Unit_Balance!$S$31:$S$106,MATCH(UnitGradeInfo!B132,ref_Unit_Balance!$B$31:$B$1048576,0))</f>
        <v>1000</v>
      </c>
      <c r="K132" s="5">
        <v>0</v>
      </c>
      <c r="L132" s="5">
        <f>INDEX(ref_Unit_Balance!$I$31:$I$106,MATCH(UnitGradeInfo!B132,ref_Unit_Balance!$B$31:$B$1048576,0))</f>
        <v>3</v>
      </c>
      <c r="M132" s="5">
        <f t="shared" si="12"/>
        <v>8</v>
      </c>
      <c r="N132" s="5">
        <f t="shared" si="13"/>
        <v>80</v>
      </c>
      <c r="O132" s="5">
        <f>(INDEX(Unitinfo!I:I,MATCH(B132,Unitinfo!A:A,0))+1)*2</f>
        <v>2</v>
      </c>
      <c r="P132" s="5">
        <v>0</v>
      </c>
      <c r="Q132" s="5">
        <v>0</v>
      </c>
      <c r="R132" s="19" t="s">
        <v>121</v>
      </c>
      <c r="S132" s="19" t="s">
        <v>121</v>
      </c>
      <c r="T132" s="5">
        <f t="shared" si="14"/>
        <v>2005</v>
      </c>
      <c r="U132" s="5">
        <f t="shared" si="15"/>
        <v>1</v>
      </c>
      <c r="V132" s="5">
        <v>0</v>
      </c>
      <c r="W132" s="5">
        <v>10</v>
      </c>
    </row>
    <row r="133" spans="1:23">
      <c r="A133" s="5">
        <f t="shared" si="16"/>
        <v>130</v>
      </c>
      <c r="B133" s="93">
        <f t="shared" si="17"/>
        <v>2005</v>
      </c>
      <c r="C133" s="20" t="str">
        <f>INDEX(Unitinfo!C:C,MATCH(UnitGradeInfo!B133,Unitinfo!A:A,0))</f>
        <v>(원거리)Skeleton_Witch</v>
      </c>
      <c r="D133" s="5">
        <f>COUNTIF($B$4:B133,B133)</f>
        <v>5</v>
      </c>
      <c r="E133" s="5">
        <f>ROUNDDOWN(INDEX(ref_Unit_Balance!$G$31:$G$106,MATCH(UnitGradeInfo!B133,ref_Unit_Balance!$B$31:$B$1048576,0))
+INDEX(ref_Unit_Balance!$G$20:$G$23,MATCH(IFERROR(INDEX(ref_Unit_Balance!$D$31:$D$1048576,MATCH(B133,ref_Unit_Balance!$B$31:$B$1048576,0)),0),ref_Unit_Balance!$B$20:$B$23,0))*D133*ref_Unit_Balance!$C$25,0)</f>
        <v>400</v>
      </c>
      <c r="F133" s="5">
        <f>INDEX(ref_Unit_Balance!$V$31:$V$106,MATCH(UnitGradeInfo!B133,ref_Unit_Balance!$B$31:$B$1048576,0))
+
INDEX(ref_Unit_Balance!$AB$31:$AB$106,MATCH(UnitGradeInfo!B133,ref_Unit_Balance!$B$31:$B$1048576,0))*(D133-1)</f>
        <v>2000</v>
      </c>
      <c r="G133" s="5">
        <f>INDEX(ref_Unit_Balance!$R$31:$R$106,MATCH(UnitGradeInfo!B133,ref_Unit_Balance!$B$31:$B$1048576,0))
+
INDEX(ref_Unit_Balance!$AA$31:$AA$106,MATCH(UnitGradeInfo!B133,ref_Unit_Balance!$B$31:$B$1048576,0))*(D133-1)</f>
        <v>252</v>
      </c>
      <c r="H133" s="39">
        <f>IF(INDEX(Unitinfo!D:D,MATCH(UnitGradeInfo!B133,Unitinfo!A:A,0))=1,50,5)</f>
        <v>50</v>
      </c>
      <c r="I133" s="5">
        <f>IF(INDEX(ref_Unit_Balance!$T$31:$T$106,MATCH(UnitGradeInfo!B133,ref_Unit_Balance!$B$31:$B$1048576,0))=0,1,INDEX(ref_Unit_Balance!$T$31:$T$106,MATCH(UnitGradeInfo!B133,ref_Unit_Balance!$B$31:$B$1048576,0)))</f>
        <v>5</v>
      </c>
      <c r="J133" s="5">
        <f>INDEX(ref_Unit_Balance!$S$31:$S$106,MATCH(UnitGradeInfo!B133,ref_Unit_Balance!$B$31:$B$1048576,0))</f>
        <v>1000</v>
      </c>
      <c r="K133" s="5">
        <v>0</v>
      </c>
      <c r="L133" s="5">
        <f>INDEX(ref_Unit_Balance!$I$31:$I$106,MATCH(UnitGradeInfo!B133,ref_Unit_Balance!$B$31:$B$1048576,0))</f>
        <v>3</v>
      </c>
      <c r="M133" s="5">
        <f t="shared" ref="M133:M196" si="18">D133*2</f>
        <v>10</v>
      </c>
      <c r="N133" s="5">
        <f t="shared" ref="N133:N196" si="19">D133*20</f>
        <v>100</v>
      </c>
      <c r="O133" s="5">
        <f>(INDEX(Unitinfo!I:I,MATCH(B133,Unitinfo!A:A,0))+1)*2</f>
        <v>2</v>
      </c>
      <c r="P133" s="5">
        <v>0</v>
      </c>
      <c r="Q133" s="5">
        <v>0</v>
      </c>
      <c r="R133" s="19" t="s">
        <v>121</v>
      </c>
      <c r="S133" s="19" t="s">
        <v>121</v>
      </c>
      <c r="T133" s="5">
        <f t="shared" si="14"/>
        <v>2005</v>
      </c>
      <c r="U133" s="5">
        <f t="shared" si="15"/>
        <v>1</v>
      </c>
      <c r="V133" s="5">
        <v>0</v>
      </c>
      <c r="W133" s="5">
        <v>10</v>
      </c>
    </row>
    <row r="134" spans="1:23">
      <c r="A134" s="5">
        <f t="shared" si="16"/>
        <v>131</v>
      </c>
      <c r="B134" s="93">
        <f t="shared" si="17"/>
        <v>2005</v>
      </c>
      <c r="C134" s="20" t="str">
        <f>INDEX(Unitinfo!C:C,MATCH(UnitGradeInfo!B134,Unitinfo!A:A,0))</f>
        <v>(원거리)Skeleton_Witch</v>
      </c>
      <c r="D134" s="5">
        <f>COUNTIF($B$4:B134,B134)</f>
        <v>6</v>
      </c>
      <c r="E134" s="5">
        <f>ROUNDDOWN(INDEX(ref_Unit_Balance!$G$31:$G$106,MATCH(UnitGradeInfo!B134,ref_Unit_Balance!$B$31:$B$1048576,0))
+INDEX(ref_Unit_Balance!$G$20:$G$23,MATCH(IFERROR(INDEX(ref_Unit_Balance!$D$31:$D$1048576,MATCH(B134,ref_Unit_Balance!$B$31:$B$1048576,0)),0),ref_Unit_Balance!$B$20:$B$23,0))*D134*ref_Unit_Balance!$C$25,0)</f>
        <v>450</v>
      </c>
      <c r="F134" s="5">
        <f>INDEX(ref_Unit_Balance!$V$31:$V$106,MATCH(UnitGradeInfo!B134,ref_Unit_Balance!$B$31:$B$1048576,0))
+
INDEX(ref_Unit_Balance!$AB$31:$AB$106,MATCH(UnitGradeInfo!B134,ref_Unit_Balance!$B$31:$B$1048576,0))*(D134-1)</f>
        <v>2200</v>
      </c>
      <c r="G134" s="5">
        <f>INDEX(ref_Unit_Balance!$R$31:$R$106,MATCH(UnitGradeInfo!B134,ref_Unit_Balance!$B$31:$B$1048576,0))
+
INDEX(ref_Unit_Balance!$AA$31:$AA$106,MATCH(UnitGradeInfo!B134,ref_Unit_Balance!$B$31:$B$1048576,0))*(D134-1)</f>
        <v>265</v>
      </c>
      <c r="H134" s="39">
        <f>IF(INDEX(Unitinfo!D:D,MATCH(UnitGradeInfo!B134,Unitinfo!A:A,0))=1,50,5)</f>
        <v>50</v>
      </c>
      <c r="I134" s="5">
        <f>IF(INDEX(ref_Unit_Balance!$T$31:$T$106,MATCH(UnitGradeInfo!B134,ref_Unit_Balance!$B$31:$B$1048576,0))=0,1,INDEX(ref_Unit_Balance!$T$31:$T$106,MATCH(UnitGradeInfo!B134,ref_Unit_Balance!$B$31:$B$1048576,0)))</f>
        <v>5</v>
      </c>
      <c r="J134" s="5">
        <f>INDEX(ref_Unit_Balance!$S$31:$S$106,MATCH(UnitGradeInfo!B134,ref_Unit_Balance!$B$31:$B$1048576,0))</f>
        <v>1000</v>
      </c>
      <c r="K134" s="5">
        <v>0</v>
      </c>
      <c r="L134" s="5">
        <f>INDEX(ref_Unit_Balance!$I$31:$I$106,MATCH(UnitGradeInfo!B134,ref_Unit_Balance!$B$31:$B$1048576,0))</f>
        <v>3</v>
      </c>
      <c r="M134" s="5">
        <f t="shared" si="18"/>
        <v>12</v>
      </c>
      <c r="N134" s="5">
        <f t="shared" si="19"/>
        <v>120</v>
      </c>
      <c r="O134" s="5">
        <f>(INDEX(Unitinfo!I:I,MATCH(B134,Unitinfo!A:A,0))+1)*2</f>
        <v>2</v>
      </c>
      <c r="P134" s="5">
        <v>0</v>
      </c>
      <c r="Q134" s="5">
        <v>0</v>
      </c>
      <c r="R134" s="19" t="s">
        <v>121</v>
      </c>
      <c r="S134" s="19" t="s">
        <v>121</v>
      </c>
      <c r="T134" s="5">
        <f t="shared" si="14"/>
        <v>2005</v>
      </c>
      <c r="U134" s="5">
        <f t="shared" si="15"/>
        <v>1</v>
      </c>
      <c r="V134" s="5">
        <v>0</v>
      </c>
      <c r="W134" s="5">
        <v>10</v>
      </c>
    </row>
    <row r="135" spans="1:23">
      <c r="A135" s="5">
        <f t="shared" si="16"/>
        <v>132</v>
      </c>
      <c r="B135" s="93">
        <f t="shared" si="17"/>
        <v>2005</v>
      </c>
      <c r="C135" s="20" t="str">
        <f>INDEX(Unitinfo!C:C,MATCH(UnitGradeInfo!B135,Unitinfo!A:A,0))</f>
        <v>(원거리)Skeleton_Witch</v>
      </c>
      <c r="D135" s="5">
        <f>COUNTIF($B$4:B135,B135)</f>
        <v>7</v>
      </c>
      <c r="E135" s="5">
        <f>ROUNDDOWN(INDEX(ref_Unit_Balance!$G$31:$G$106,MATCH(UnitGradeInfo!B135,ref_Unit_Balance!$B$31:$B$1048576,0))
+INDEX(ref_Unit_Balance!$G$20:$G$23,MATCH(IFERROR(INDEX(ref_Unit_Balance!$D$31:$D$1048576,MATCH(B135,ref_Unit_Balance!$B$31:$B$1048576,0)),0),ref_Unit_Balance!$B$20:$B$23,0))*D135*ref_Unit_Balance!$C$25,0)</f>
        <v>500</v>
      </c>
      <c r="F135" s="5">
        <f>INDEX(ref_Unit_Balance!$V$31:$V$106,MATCH(UnitGradeInfo!B135,ref_Unit_Balance!$B$31:$B$1048576,0))
+
INDEX(ref_Unit_Balance!$AB$31:$AB$106,MATCH(UnitGradeInfo!B135,ref_Unit_Balance!$B$31:$B$1048576,0))*(D135-1)</f>
        <v>2400</v>
      </c>
      <c r="G135" s="5">
        <f>INDEX(ref_Unit_Balance!$R$31:$R$106,MATCH(UnitGradeInfo!B135,ref_Unit_Balance!$B$31:$B$1048576,0))
+
INDEX(ref_Unit_Balance!$AA$31:$AA$106,MATCH(UnitGradeInfo!B135,ref_Unit_Balance!$B$31:$B$1048576,0))*(D135-1)</f>
        <v>278</v>
      </c>
      <c r="H135" s="39">
        <f>IF(INDEX(Unitinfo!D:D,MATCH(UnitGradeInfo!B135,Unitinfo!A:A,0))=1,50,5)</f>
        <v>50</v>
      </c>
      <c r="I135" s="5">
        <f>IF(INDEX(ref_Unit_Balance!$T$31:$T$106,MATCH(UnitGradeInfo!B135,ref_Unit_Balance!$B$31:$B$1048576,0))=0,1,INDEX(ref_Unit_Balance!$T$31:$T$106,MATCH(UnitGradeInfo!B135,ref_Unit_Balance!$B$31:$B$1048576,0)))</f>
        <v>5</v>
      </c>
      <c r="J135" s="5">
        <f>INDEX(ref_Unit_Balance!$S$31:$S$106,MATCH(UnitGradeInfo!B135,ref_Unit_Balance!$B$31:$B$1048576,0))</f>
        <v>1000</v>
      </c>
      <c r="K135" s="5">
        <v>0</v>
      </c>
      <c r="L135" s="5">
        <f>INDEX(ref_Unit_Balance!$I$31:$I$106,MATCH(UnitGradeInfo!B135,ref_Unit_Balance!$B$31:$B$1048576,0))</f>
        <v>3</v>
      </c>
      <c r="M135" s="5">
        <f t="shared" si="18"/>
        <v>14</v>
      </c>
      <c r="N135" s="5">
        <f t="shared" si="19"/>
        <v>140</v>
      </c>
      <c r="O135" s="5">
        <f>(INDEX(Unitinfo!I:I,MATCH(B135,Unitinfo!A:A,0))+1)*2</f>
        <v>2</v>
      </c>
      <c r="P135" s="5">
        <v>0</v>
      </c>
      <c r="Q135" s="5">
        <v>0</v>
      </c>
      <c r="R135" s="19" t="s">
        <v>121</v>
      </c>
      <c r="S135" s="19" t="s">
        <v>121</v>
      </c>
      <c r="T135" s="5">
        <f t="shared" si="14"/>
        <v>2005</v>
      </c>
      <c r="U135" s="5">
        <f t="shared" si="15"/>
        <v>1</v>
      </c>
      <c r="V135" s="5">
        <v>0</v>
      </c>
      <c r="W135" s="5">
        <v>10</v>
      </c>
    </row>
    <row r="136" spans="1:23">
      <c r="A136" s="5">
        <f t="shared" si="16"/>
        <v>133</v>
      </c>
      <c r="B136" s="93">
        <f t="shared" si="17"/>
        <v>2005</v>
      </c>
      <c r="C136" s="20" t="str">
        <f>INDEX(Unitinfo!C:C,MATCH(UnitGradeInfo!B136,Unitinfo!A:A,0))</f>
        <v>(원거리)Skeleton_Witch</v>
      </c>
      <c r="D136" s="5">
        <f>COUNTIF($B$4:B136,B136)</f>
        <v>8</v>
      </c>
      <c r="E136" s="5">
        <f>ROUNDDOWN(INDEX(ref_Unit_Balance!$G$31:$G$106,MATCH(UnitGradeInfo!B136,ref_Unit_Balance!$B$31:$B$1048576,0))
+INDEX(ref_Unit_Balance!$G$20:$G$23,MATCH(IFERROR(INDEX(ref_Unit_Balance!$D$31:$D$1048576,MATCH(B136,ref_Unit_Balance!$B$31:$B$1048576,0)),0),ref_Unit_Balance!$B$20:$B$23,0))*D136*ref_Unit_Balance!$C$25,0)</f>
        <v>550</v>
      </c>
      <c r="F136" s="5">
        <f>INDEX(ref_Unit_Balance!$V$31:$V$106,MATCH(UnitGradeInfo!B136,ref_Unit_Balance!$B$31:$B$1048576,0))
+
INDEX(ref_Unit_Balance!$AB$31:$AB$106,MATCH(UnitGradeInfo!B136,ref_Unit_Balance!$B$31:$B$1048576,0))*(D136-1)</f>
        <v>2600</v>
      </c>
      <c r="G136" s="5">
        <f>INDEX(ref_Unit_Balance!$R$31:$R$106,MATCH(UnitGradeInfo!B136,ref_Unit_Balance!$B$31:$B$1048576,0))
+
INDEX(ref_Unit_Balance!$AA$31:$AA$106,MATCH(UnitGradeInfo!B136,ref_Unit_Balance!$B$31:$B$1048576,0))*(D136-1)</f>
        <v>291</v>
      </c>
      <c r="H136" s="39">
        <f>IF(INDEX(Unitinfo!D:D,MATCH(UnitGradeInfo!B136,Unitinfo!A:A,0))=1,50,5)</f>
        <v>50</v>
      </c>
      <c r="I136" s="5">
        <f>IF(INDEX(ref_Unit_Balance!$T$31:$T$106,MATCH(UnitGradeInfo!B136,ref_Unit_Balance!$B$31:$B$1048576,0))=0,1,INDEX(ref_Unit_Balance!$T$31:$T$106,MATCH(UnitGradeInfo!B136,ref_Unit_Balance!$B$31:$B$1048576,0)))</f>
        <v>5</v>
      </c>
      <c r="J136" s="5">
        <f>INDEX(ref_Unit_Balance!$S$31:$S$106,MATCH(UnitGradeInfo!B136,ref_Unit_Balance!$B$31:$B$1048576,0))</f>
        <v>1000</v>
      </c>
      <c r="K136" s="5">
        <v>0</v>
      </c>
      <c r="L136" s="5">
        <f>INDEX(ref_Unit_Balance!$I$31:$I$106,MATCH(UnitGradeInfo!B136,ref_Unit_Balance!$B$31:$B$1048576,0))</f>
        <v>3</v>
      </c>
      <c r="M136" s="5">
        <f t="shared" si="18"/>
        <v>16</v>
      </c>
      <c r="N136" s="5">
        <f t="shared" si="19"/>
        <v>160</v>
      </c>
      <c r="O136" s="5">
        <f>(INDEX(Unitinfo!I:I,MATCH(B136,Unitinfo!A:A,0))+1)*2</f>
        <v>2</v>
      </c>
      <c r="P136" s="5">
        <v>0</v>
      </c>
      <c r="Q136" s="5">
        <v>0</v>
      </c>
      <c r="R136" s="19" t="s">
        <v>121</v>
      </c>
      <c r="S136" s="19" t="s">
        <v>121</v>
      </c>
      <c r="T136" s="5">
        <f t="shared" si="14"/>
        <v>2005</v>
      </c>
      <c r="U136" s="5">
        <f t="shared" si="15"/>
        <v>1</v>
      </c>
      <c r="V136" s="5">
        <v>0</v>
      </c>
      <c r="W136" s="5">
        <v>10</v>
      </c>
    </row>
    <row r="137" spans="1:23">
      <c r="A137" s="5">
        <f t="shared" si="16"/>
        <v>134</v>
      </c>
      <c r="B137" s="93">
        <f t="shared" si="17"/>
        <v>2005</v>
      </c>
      <c r="C137" s="20" t="str">
        <f>INDEX(Unitinfo!C:C,MATCH(UnitGradeInfo!B137,Unitinfo!A:A,0))</f>
        <v>(원거리)Skeleton_Witch</v>
      </c>
      <c r="D137" s="5">
        <f>COUNTIF($B$4:B137,B137)</f>
        <v>9</v>
      </c>
      <c r="E137" s="5">
        <f>ROUNDDOWN(INDEX(ref_Unit_Balance!$G$31:$G$106,MATCH(UnitGradeInfo!B137,ref_Unit_Balance!$B$31:$B$1048576,0))
+INDEX(ref_Unit_Balance!$G$20:$G$23,MATCH(IFERROR(INDEX(ref_Unit_Balance!$D$31:$D$1048576,MATCH(B137,ref_Unit_Balance!$B$31:$B$1048576,0)),0),ref_Unit_Balance!$B$20:$B$23,0))*D137*ref_Unit_Balance!$C$25,0)</f>
        <v>600</v>
      </c>
      <c r="F137" s="5">
        <f>INDEX(ref_Unit_Balance!$V$31:$V$106,MATCH(UnitGradeInfo!B137,ref_Unit_Balance!$B$31:$B$1048576,0))
+
INDEX(ref_Unit_Balance!$AB$31:$AB$106,MATCH(UnitGradeInfo!B137,ref_Unit_Balance!$B$31:$B$1048576,0))*(D137-1)</f>
        <v>2800</v>
      </c>
      <c r="G137" s="5">
        <f>INDEX(ref_Unit_Balance!$R$31:$R$106,MATCH(UnitGradeInfo!B137,ref_Unit_Balance!$B$31:$B$1048576,0))
+
INDEX(ref_Unit_Balance!$AA$31:$AA$106,MATCH(UnitGradeInfo!B137,ref_Unit_Balance!$B$31:$B$1048576,0))*(D137-1)</f>
        <v>304</v>
      </c>
      <c r="H137" s="39">
        <f>IF(INDEX(Unitinfo!D:D,MATCH(UnitGradeInfo!B137,Unitinfo!A:A,0))=1,50,5)</f>
        <v>50</v>
      </c>
      <c r="I137" s="5">
        <f>IF(INDEX(ref_Unit_Balance!$T$31:$T$106,MATCH(UnitGradeInfo!B137,ref_Unit_Balance!$B$31:$B$1048576,0))=0,1,INDEX(ref_Unit_Balance!$T$31:$T$106,MATCH(UnitGradeInfo!B137,ref_Unit_Balance!$B$31:$B$1048576,0)))</f>
        <v>5</v>
      </c>
      <c r="J137" s="5">
        <f>INDEX(ref_Unit_Balance!$S$31:$S$106,MATCH(UnitGradeInfo!B137,ref_Unit_Balance!$B$31:$B$1048576,0))</f>
        <v>1000</v>
      </c>
      <c r="K137" s="5">
        <v>0</v>
      </c>
      <c r="L137" s="5">
        <f>INDEX(ref_Unit_Balance!$I$31:$I$106,MATCH(UnitGradeInfo!B137,ref_Unit_Balance!$B$31:$B$1048576,0))</f>
        <v>3</v>
      </c>
      <c r="M137" s="5">
        <f t="shared" si="18"/>
        <v>18</v>
      </c>
      <c r="N137" s="5">
        <f t="shared" si="19"/>
        <v>180</v>
      </c>
      <c r="O137" s="5">
        <f>(INDEX(Unitinfo!I:I,MATCH(B137,Unitinfo!A:A,0))+1)*2</f>
        <v>2</v>
      </c>
      <c r="P137" s="5">
        <v>0</v>
      </c>
      <c r="Q137" s="5">
        <v>0</v>
      </c>
      <c r="R137" s="19" t="s">
        <v>121</v>
      </c>
      <c r="S137" s="19" t="s">
        <v>121</v>
      </c>
      <c r="T137" s="5">
        <f t="shared" si="14"/>
        <v>2005</v>
      </c>
      <c r="U137" s="5">
        <f t="shared" si="15"/>
        <v>1</v>
      </c>
      <c r="V137" s="5">
        <v>0</v>
      </c>
      <c r="W137" s="5">
        <v>10</v>
      </c>
    </row>
    <row r="138" spans="1:23">
      <c r="A138" s="5">
        <f t="shared" si="16"/>
        <v>135</v>
      </c>
      <c r="B138" s="93">
        <f t="shared" si="17"/>
        <v>2005</v>
      </c>
      <c r="C138" s="20" t="str">
        <f>INDEX(Unitinfo!C:C,MATCH(UnitGradeInfo!B138,Unitinfo!A:A,0))</f>
        <v>(원거리)Skeleton_Witch</v>
      </c>
      <c r="D138" s="5">
        <f>COUNTIF($B$4:B138,B138)</f>
        <v>10</v>
      </c>
      <c r="E138" s="5">
        <f>ROUNDDOWN(INDEX(ref_Unit_Balance!$G$31:$G$106,MATCH(UnitGradeInfo!B138,ref_Unit_Balance!$B$31:$B$1048576,0))
+INDEX(ref_Unit_Balance!$G$20:$G$23,MATCH(IFERROR(INDEX(ref_Unit_Balance!$D$31:$D$1048576,MATCH(B138,ref_Unit_Balance!$B$31:$B$1048576,0)),0),ref_Unit_Balance!$B$20:$B$23,0))*D138*ref_Unit_Balance!$C$25,0)</f>
        <v>650</v>
      </c>
      <c r="F138" s="5">
        <f>INDEX(ref_Unit_Balance!$V$31:$V$106,MATCH(UnitGradeInfo!B138,ref_Unit_Balance!$B$31:$B$1048576,0))
+
INDEX(ref_Unit_Balance!$AB$31:$AB$106,MATCH(UnitGradeInfo!B138,ref_Unit_Balance!$B$31:$B$1048576,0))*(D138-1)</f>
        <v>3000</v>
      </c>
      <c r="G138" s="5">
        <f>INDEX(ref_Unit_Balance!$R$31:$R$106,MATCH(UnitGradeInfo!B138,ref_Unit_Balance!$B$31:$B$1048576,0))
+
INDEX(ref_Unit_Balance!$AA$31:$AA$106,MATCH(UnitGradeInfo!B138,ref_Unit_Balance!$B$31:$B$1048576,0))*(D138-1)</f>
        <v>317</v>
      </c>
      <c r="H138" s="39">
        <f>IF(INDEX(Unitinfo!D:D,MATCH(UnitGradeInfo!B138,Unitinfo!A:A,0))=1,50,5)</f>
        <v>50</v>
      </c>
      <c r="I138" s="5">
        <f>IF(INDEX(ref_Unit_Balance!$T$31:$T$106,MATCH(UnitGradeInfo!B138,ref_Unit_Balance!$B$31:$B$1048576,0))=0,1,INDEX(ref_Unit_Balance!$T$31:$T$106,MATCH(UnitGradeInfo!B138,ref_Unit_Balance!$B$31:$B$1048576,0)))</f>
        <v>5</v>
      </c>
      <c r="J138" s="5">
        <f>INDEX(ref_Unit_Balance!$S$31:$S$106,MATCH(UnitGradeInfo!B138,ref_Unit_Balance!$B$31:$B$1048576,0))</f>
        <v>1000</v>
      </c>
      <c r="K138" s="5">
        <v>0</v>
      </c>
      <c r="L138" s="5">
        <f>INDEX(ref_Unit_Balance!$I$31:$I$106,MATCH(UnitGradeInfo!B138,ref_Unit_Balance!$B$31:$B$1048576,0))</f>
        <v>3</v>
      </c>
      <c r="M138" s="5">
        <f t="shared" si="18"/>
        <v>20</v>
      </c>
      <c r="N138" s="5">
        <f t="shared" si="19"/>
        <v>200</v>
      </c>
      <c r="O138" s="5">
        <f>(INDEX(Unitinfo!I:I,MATCH(B138,Unitinfo!A:A,0))+1)*2</f>
        <v>2</v>
      </c>
      <c r="P138" s="5">
        <v>0</v>
      </c>
      <c r="Q138" s="5">
        <v>0</v>
      </c>
      <c r="R138" s="19" t="s">
        <v>121</v>
      </c>
      <c r="S138" s="19" t="s">
        <v>121</v>
      </c>
      <c r="T138" s="5">
        <f t="shared" si="14"/>
        <v>2005</v>
      </c>
      <c r="U138" s="5">
        <f t="shared" si="15"/>
        <v>1</v>
      </c>
      <c r="V138" s="5">
        <v>0</v>
      </c>
      <c r="W138" s="5">
        <v>10</v>
      </c>
    </row>
    <row r="139" spans="1:23">
      <c r="A139" s="5">
        <f t="shared" si="16"/>
        <v>136</v>
      </c>
      <c r="B139" s="93">
        <f t="shared" si="17"/>
        <v>2005</v>
      </c>
      <c r="C139" s="20" t="str">
        <f>INDEX(Unitinfo!C:C,MATCH(UnitGradeInfo!B139,Unitinfo!A:A,0))</f>
        <v>(원거리)Skeleton_Witch</v>
      </c>
      <c r="D139" s="5">
        <f>COUNTIF($B$4:B139,B139)</f>
        <v>11</v>
      </c>
      <c r="E139" s="5">
        <f>ROUNDDOWN(INDEX(ref_Unit_Balance!$G$31:$G$106,MATCH(UnitGradeInfo!B139,ref_Unit_Balance!$B$31:$B$1048576,0))
+INDEX(ref_Unit_Balance!$G$20:$G$23,MATCH(IFERROR(INDEX(ref_Unit_Balance!$D$31:$D$1048576,MATCH(B139,ref_Unit_Balance!$B$31:$B$1048576,0)),0),ref_Unit_Balance!$B$20:$B$23,0))*D139*ref_Unit_Balance!$C$25,0)</f>
        <v>700</v>
      </c>
      <c r="F139" s="5">
        <f>INDEX(ref_Unit_Balance!$V$31:$V$106,MATCH(UnitGradeInfo!B139,ref_Unit_Balance!$B$31:$B$1048576,0))
+
INDEX(ref_Unit_Balance!$AB$31:$AB$106,MATCH(UnitGradeInfo!B139,ref_Unit_Balance!$B$31:$B$1048576,0))*(D139-1)</f>
        <v>3200</v>
      </c>
      <c r="G139" s="5">
        <f>INDEX(ref_Unit_Balance!$R$31:$R$106,MATCH(UnitGradeInfo!B139,ref_Unit_Balance!$B$31:$B$1048576,0))
+
INDEX(ref_Unit_Balance!$AA$31:$AA$106,MATCH(UnitGradeInfo!B139,ref_Unit_Balance!$B$31:$B$1048576,0))*(D139-1)</f>
        <v>330</v>
      </c>
      <c r="H139" s="39">
        <f>IF(INDEX(Unitinfo!D:D,MATCH(UnitGradeInfo!B139,Unitinfo!A:A,0))=1,50,5)</f>
        <v>50</v>
      </c>
      <c r="I139" s="5">
        <f>IF(INDEX(ref_Unit_Balance!$T$31:$T$106,MATCH(UnitGradeInfo!B139,ref_Unit_Balance!$B$31:$B$1048576,0))=0,1,INDEX(ref_Unit_Balance!$T$31:$T$106,MATCH(UnitGradeInfo!B139,ref_Unit_Balance!$B$31:$B$1048576,0)))</f>
        <v>5</v>
      </c>
      <c r="J139" s="5">
        <f>INDEX(ref_Unit_Balance!$S$31:$S$106,MATCH(UnitGradeInfo!B139,ref_Unit_Balance!$B$31:$B$1048576,0))</f>
        <v>1000</v>
      </c>
      <c r="K139" s="5">
        <v>0</v>
      </c>
      <c r="L139" s="5">
        <f>INDEX(ref_Unit_Balance!$I$31:$I$106,MATCH(UnitGradeInfo!B139,ref_Unit_Balance!$B$31:$B$1048576,0))</f>
        <v>3</v>
      </c>
      <c r="M139" s="5">
        <f t="shared" si="18"/>
        <v>22</v>
      </c>
      <c r="N139" s="5">
        <f t="shared" si="19"/>
        <v>220</v>
      </c>
      <c r="O139" s="5">
        <f>(INDEX(Unitinfo!I:I,MATCH(B139,Unitinfo!A:A,0))+1)*2</f>
        <v>2</v>
      </c>
      <c r="P139" s="5">
        <v>0</v>
      </c>
      <c r="Q139" s="5">
        <v>0</v>
      </c>
      <c r="R139" s="19" t="s">
        <v>121</v>
      </c>
      <c r="S139" s="19" t="s">
        <v>121</v>
      </c>
      <c r="T139" s="5">
        <f t="shared" si="14"/>
        <v>2005</v>
      </c>
      <c r="U139" s="5">
        <f t="shared" si="15"/>
        <v>1</v>
      </c>
      <c r="V139" s="5">
        <v>0</v>
      </c>
      <c r="W139" s="5">
        <v>10</v>
      </c>
    </row>
    <row r="140" spans="1:23">
      <c r="A140" s="5">
        <f t="shared" si="16"/>
        <v>137</v>
      </c>
      <c r="B140" s="93">
        <f t="shared" si="17"/>
        <v>2005</v>
      </c>
      <c r="C140" s="20" t="str">
        <f>INDEX(Unitinfo!C:C,MATCH(UnitGradeInfo!B140,Unitinfo!A:A,0))</f>
        <v>(원거리)Skeleton_Witch</v>
      </c>
      <c r="D140" s="5">
        <f>COUNTIF($B$4:B140,B140)</f>
        <v>12</v>
      </c>
      <c r="E140" s="5">
        <f>ROUNDDOWN(INDEX(ref_Unit_Balance!$G$31:$G$106,MATCH(UnitGradeInfo!B140,ref_Unit_Balance!$B$31:$B$1048576,0))
+INDEX(ref_Unit_Balance!$G$20:$G$23,MATCH(IFERROR(INDEX(ref_Unit_Balance!$D$31:$D$1048576,MATCH(B140,ref_Unit_Balance!$B$31:$B$1048576,0)),0),ref_Unit_Balance!$B$20:$B$23,0))*D140*ref_Unit_Balance!$C$25,0)</f>
        <v>750</v>
      </c>
      <c r="F140" s="5">
        <f>INDEX(ref_Unit_Balance!$V$31:$V$106,MATCH(UnitGradeInfo!B140,ref_Unit_Balance!$B$31:$B$1048576,0))
+
INDEX(ref_Unit_Balance!$AB$31:$AB$106,MATCH(UnitGradeInfo!B140,ref_Unit_Balance!$B$31:$B$1048576,0))*(D140-1)</f>
        <v>3400</v>
      </c>
      <c r="G140" s="5">
        <f>INDEX(ref_Unit_Balance!$R$31:$R$106,MATCH(UnitGradeInfo!B140,ref_Unit_Balance!$B$31:$B$1048576,0))
+
INDEX(ref_Unit_Balance!$AA$31:$AA$106,MATCH(UnitGradeInfo!B140,ref_Unit_Balance!$B$31:$B$1048576,0))*(D140-1)</f>
        <v>343</v>
      </c>
      <c r="H140" s="39">
        <f>IF(INDEX(Unitinfo!D:D,MATCH(UnitGradeInfo!B140,Unitinfo!A:A,0))=1,50,5)</f>
        <v>50</v>
      </c>
      <c r="I140" s="5">
        <f>IF(INDEX(ref_Unit_Balance!$T$31:$T$106,MATCH(UnitGradeInfo!B140,ref_Unit_Balance!$B$31:$B$1048576,0))=0,1,INDEX(ref_Unit_Balance!$T$31:$T$106,MATCH(UnitGradeInfo!B140,ref_Unit_Balance!$B$31:$B$1048576,0)))</f>
        <v>5</v>
      </c>
      <c r="J140" s="5">
        <f>INDEX(ref_Unit_Balance!$S$31:$S$106,MATCH(UnitGradeInfo!B140,ref_Unit_Balance!$B$31:$B$1048576,0))</f>
        <v>1000</v>
      </c>
      <c r="K140" s="5">
        <v>0</v>
      </c>
      <c r="L140" s="5">
        <f>INDEX(ref_Unit_Balance!$I$31:$I$106,MATCH(UnitGradeInfo!B140,ref_Unit_Balance!$B$31:$B$1048576,0))</f>
        <v>3</v>
      </c>
      <c r="M140" s="5">
        <f t="shared" si="18"/>
        <v>24</v>
      </c>
      <c r="N140" s="5">
        <f t="shared" si="19"/>
        <v>240</v>
      </c>
      <c r="O140" s="5">
        <f>(INDEX(Unitinfo!I:I,MATCH(B140,Unitinfo!A:A,0))+1)*2</f>
        <v>2</v>
      </c>
      <c r="P140" s="5">
        <v>0</v>
      </c>
      <c r="Q140" s="5">
        <v>0</v>
      </c>
      <c r="R140" s="19" t="s">
        <v>121</v>
      </c>
      <c r="S140" s="19" t="s">
        <v>121</v>
      </c>
      <c r="T140" s="5">
        <f t="shared" si="14"/>
        <v>2005</v>
      </c>
      <c r="U140" s="5">
        <f t="shared" si="15"/>
        <v>1</v>
      </c>
      <c r="V140" s="5">
        <v>0</v>
      </c>
      <c r="W140" s="5">
        <v>10</v>
      </c>
    </row>
    <row r="141" spans="1:23">
      <c r="A141" s="5">
        <f t="shared" si="16"/>
        <v>138</v>
      </c>
      <c r="B141" s="93">
        <f t="shared" si="17"/>
        <v>2005</v>
      </c>
      <c r="C141" s="20" t="str">
        <f>INDEX(Unitinfo!C:C,MATCH(UnitGradeInfo!B141,Unitinfo!A:A,0))</f>
        <v>(원거리)Skeleton_Witch</v>
      </c>
      <c r="D141" s="5">
        <f>COUNTIF($B$4:B141,B141)</f>
        <v>13</v>
      </c>
      <c r="E141" s="5">
        <f>ROUNDDOWN(INDEX(ref_Unit_Balance!$G$31:$G$106,MATCH(UnitGradeInfo!B141,ref_Unit_Balance!$B$31:$B$1048576,0))
+INDEX(ref_Unit_Balance!$G$20:$G$23,MATCH(IFERROR(INDEX(ref_Unit_Balance!$D$31:$D$1048576,MATCH(B141,ref_Unit_Balance!$B$31:$B$1048576,0)),0),ref_Unit_Balance!$B$20:$B$23,0))*D141*ref_Unit_Balance!$C$25,0)</f>
        <v>800</v>
      </c>
      <c r="F141" s="5">
        <f>INDEX(ref_Unit_Balance!$V$31:$V$106,MATCH(UnitGradeInfo!B141,ref_Unit_Balance!$B$31:$B$1048576,0))
+
INDEX(ref_Unit_Balance!$AB$31:$AB$106,MATCH(UnitGradeInfo!B141,ref_Unit_Balance!$B$31:$B$1048576,0))*(D141-1)</f>
        <v>3600</v>
      </c>
      <c r="G141" s="5">
        <f>INDEX(ref_Unit_Balance!$R$31:$R$106,MATCH(UnitGradeInfo!B141,ref_Unit_Balance!$B$31:$B$1048576,0))
+
INDEX(ref_Unit_Balance!$AA$31:$AA$106,MATCH(UnitGradeInfo!B141,ref_Unit_Balance!$B$31:$B$1048576,0))*(D141-1)</f>
        <v>356</v>
      </c>
      <c r="H141" s="39">
        <f>IF(INDEX(Unitinfo!D:D,MATCH(UnitGradeInfo!B141,Unitinfo!A:A,0))=1,50,5)</f>
        <v>50</v>
      </c>
      <c r="I141" s="5">
        <f>IF(INDEX(ref_Unit_Balance!$T$31:$T$106,MATCH(UnitGradeInfo!B141,ref_Unit_Balance!$B$31:$B$1048576,0))=0,1,INDEX(ref_Unit_Balance!$T$31:$T$106,MATCH(UnitGradeInfo!B141,ref_Unit_Balance!$B$31:$B$1048576,0)))</f>
        <v>5</v>
      </c>
      <c r="J141" s="5">
        <f>INDEX(ref_Unit_Balance!$S$31:$S$106,MATCH(UnitGradeInfo!B141,ref_Unit_Balance!$B$31:$B$1048576,0))</f>
        <v>1000</v>
      </c>
      <c r="K141" s="5">
        <v>0</v>
      </c>
      <c r="L141" s="5">
        <f>INDEX(ref_Unit_Balance!$I$31:$I$106,MATCH(UnitGradeInfo!B141,ref_Unit_Balance!$B$31:$B$1048576,0))</f>
        <v>3</v>
      </c>
      <c r="M141" s="5">
        <f t="shared" si="18"/>
        <v>26</v>
      </c>
      <c r="N141" s="5">
        <f t="shared" si="19"/>
        <v>260</v>
      </c>
      <c r="O141" s="5">
        <f>(INDEX(Unitinfo!I:I,MATCH(B141,Unitinfo!A:A,0))+1)*2</f>
        <v>2</v>
      </c>
      <c r="P141" s="5">
        <v>0</v>
      </c>
      <c r="Q141" s="5">
        <v>0</v>
      </c>
      <c r="R141" s="19" t="s">
        <v>121</v>
      </c>
      <c r="S141" s="19" t="s">
        <v>121</v>
      </c>
      <c r="T141" s="5">
        <f t="shared" si="14"/>
        <v>2005</v>
      </c>
      <c r="U141" s="5">
        <f t="shared" si="15"/>
        <v>1</v>
      </c>
      <c r="V141" s="5">
        <v>0</v>
      </c>
      <c r="W141" s="5">
        <v>10</v>
      </c>
    </row>
    <row r="142" spans="1:23">
      <c r="A142" s="5">
        <f t="shared" si="16"/>
        <v>139</v>
      </c>
      <c r="B142" s="93">
        <f t="shared" si="17"/>
        <v>2005</v>
      </c>
      <c r="C142" s="20" t="str">
        <f>INDEX(Unitinfo!C:C,MATCH(UnitGradeInfo!B142,Unitinfo!A:A,0))</f>
        <v>(원거리)Skeleton_Witch</v>
      </c>
      <c r="D142" s="5">
        <f>COUNTIF($B$4:B142,B142)</f>
        <v>14</v>
      </c>
      <c r="E142" s="5">
        <f>ROUNDDOWN(INDEX(ref_Unit_Balance!$G$31:$G$106,MATCH(UnitGradeInfo!B142,ref_Unit_Balance!$B$31:$B$1048576,0))
+INDEX(ref_Unit_Balance!$G$20:$G$23,MATCH(IFERROR(INDEX(ref_Unit_Balance!$D$31:$D$1048576,MATCH(B142,ref_Unit_Balance!$B$31:$B$1048576,0)),0),ref_Unit_Balance!$B$20:$B$23,0))*D142*ref_Unit_Balance!$C$25,0)</f>
        <v>850</v>
      </c>
      <c r="F142" s="5">
        <f>INDEX(ref_Unit_Balance!$V$31:$V$106,MATCH(UnitGradeInfo!B142,ref_Unit_Balance!$B$31:$B$1048576,0))
+
INDEX(ref_Unit_Balance!$AB$31:$AB$106,MATCH(UnitGradeInfo!B142,ref_Unit_Balance!$B$31:$B$1048576,0))*(D142-1)</f>
        <v>3800</v>
      </c>
      <c r="G142" s="5">
        <f>INDEX(ref_Unit_Balance!$R$31:$R$106,MATCH(UnitGradeInfo!B142,ref_Unit_Balance!$B$31:$B$1048576,0))
+
INDEX(ref_Unit_Balance!$AA$31:$AA$106,MATCH(UnitGradeInfo!B142,ref_Unit_Balance!$B$31:$B$1048576,0))*(D142-1)</f>
        <v>369</v>
      </c>
      <c r="H142" s="39">
        <f>IF(INDEX(Unitinfo!D:D,MATCH(UnitGradeInfo!B142,Unitinfo!A:A,0))=1,50,5)</f>
        <v>50</v>
      </c>
      <c r="I142" s="5">
        <f>IF(INDEX(ref_Unit_Balance!$T$31:$T$106,MATCH(UnitGradeInfo!B142,ref_Unit_Balance!$B$31:$B$1048576,0))=0,1,INDEX(ref_Unit_Balance!$T$31:$T$106,MATCH(UnitGradeInfo!B142,ref_Unit_Balance!$B$31:$B$1048576,0)))</f>
        <v>5</v>
      </c>
      <c r="J142" s="5">
        <f>INDEX(ref_Unit_Balance!$S$31:$S$106,MATCH(UnitGradeInfo!B142,ref_Unit_Balance!$B$31:$B$1048576,0))</f>
        <v>1000</v>
      </c>
      <c r="K142" s="5">
        <v>0</v>
      </c>
      <c r="L142" s="5">
        <f>INDEX(ref_Unit_Balance!$I$31:$I$106,MATCH(UnitGradeInfo!B142,ref_Unit_Balance!$B$31:$B$1048576,0))</f>
        <v>3</v>
      </c>
      <c r="M142" s="5">
        <f t="shared" si="18"/>
        <v>28</v>
      </c>
      <c r="N142" s="5">
        <f t="shared" si="19"/>
        <v>280</v>
      </c>
      <c r="O142" s="5">
        <f>(INDEX(Unitinfo!I:I,MATCH(B142,Unitinfo!A:A,0))+1)*2</f>
        <v>2</v>
      </c>
      <c r="P142" s="5">
        <v>0</v>
      </c>
      <c r="Q142" s="5">
        <v>0</v>
      </c>
      <c r="R142" s="19" t="s">
        <v>121</v>
      </c>
      <c r="S142" s="19" t="s">
        <v>121</v>
      </c>
      <c r="T142" s="5">
        <f t="shared" si="14"/>
        <v>2005</v>
      </c>
      <c r="U142" s="5">
        <f t="shared" si="15"/>
        <v>1</v>
      </c>
      <c r="V142" s="5">
        <v>0</v>
      </c>
      <c r="W142" s="5">
        <v>10</v>
      </c>
    </row>
    <row r="143" spans="1:23">
      <c r="A143" s="5">
        <f t="shared" si="16"/>
        <v>140</v>
      </c>
      <c r="B143" s="93">
        <f t="shared" si="17"/>
        <v>2005</v>
      </c>
      <c r="C143" s="20" t="str">
        <f>INDEX(Unitinfo!C:C,MATCH(UnitGradeInfo!B143,Unitinfo!A:A,0))</f>
        <v>(원거리)Skeleton_Witch</v>
      </c>
      <c r="D143" s="5">
        <f>COUNTIF($B$4:B143,B143)</f>
        <v>15</v>
      </c>
      <c r="E143" s="5">
        <f>ROUNDDOWN(INDEX(ref_Unit_Balance!$G$31:$G$106,MATCH(UnitGradeInfo!B143,ref_Unit_Balance!$B$31:$B$1048576,0))
+INDEX(ref_Unit_Balance!$G$20:$G$23,MATCH(IFERROR(INDEX(ref_Unit_Balance!$D$31:$D$1048576,MATCH(B143,ref_Unit_Balance!$B$31:$B$1048576,0)),0),ref_Unit_Balance!$B$20:$B$23,0))*D143*ref_Unit_Balance!$C$25,0)</f>
        <v>900</v>
      </c>
      <c r="F143" s="5">
        <f>INDEX(ref_Unit_Balance!$V$31:$V$106,MATCH(UnitGradeInfo!B143,ref_Unit_Balance!$B$31:$B$1048576,0))
+
INDEX(ref_Unit_Balance!$AB$31:$AB$106,MATCH(UnitGradeInfo!B143,ref_Unit_Balance!$B$31:$B$1048576,0))*(D143-1)</f>
        <v>4000</v>
      </c>
      <c r="G143" s="5">
        <f>INDEX(ref_Unit_Balance!$R$31:$R$106,MATCH(UnitGradeInfo!B143,ref_Unit_Balance!$B$31:$B$1048576,0))
+
INDEX(ref_Unit_Balance!$AA$31:$AA$106,MATCH(UnitGradeInfo!B143,ref_Unit_Balance!$B$31:$B$1048576,0))*(D143-1)</f>
        <v>382</v>
      </c>
      <c r="H143" s="39">
        <f>IF(INDEX(Unitinfo!D:D,MATCH(UnitGradeInfo!B143,Unitinfo!A:A,0))=1,50,5)</f>
        <v>50</v>
      </c>
      <c r="I143" s="5">
        <f>IF(INDEX(ref_Unit_Balance!$T$31:$T$106,MATCH(UnitGradeInfo!B143,ref_Unit_Balance!$B$31:$B$1048576,0))=0,1,INDEX(ref_Unit_Balance!$T$31:$T$106,MATCH(UnitGradeInfo!B143,ref_Unit_Balance!$B$31:$B$1048576,0)))</f>
        <v>5</v>
      </c>
      <c r="J143" s="5">
        <f>INDEX(ref_Unit_Balance!$S$31:$S$106,MATCH(UnitGradeInfo!B143,ref_Unit_Balance!$B$31:$B$1048576,0))</f>
        <v>1000</v>
      </c>
      <c r="K143" s="5">
        <v>0</v>
      </c>
      <c r="L143" s="5">
        <f>INDEX(ref_Unit_Balance!$I$31:$I$106,MATCH(UnitGradeInfo!B143,ref_Unit_Balance!$B$31:$B$1048576,0))</f>
        <v>3</v>
      </c>
      <c r="M143" s="5">
        <f t="shared" si="18"/>
        <v>30</v>
      </c>
      <c r="N143" s="5">
        <f t="shared" si="19"/>
        <v>300</v>
      </c>
      <c r="O143" s="5">
        <f>(INDEX(Unitinfo!I:I,MATCH(B143,Unitinfo!A:A,0))+1)*2</f>
        <v>2</v>
      </c>
      <c r="P143" s="5">
        <v>0</v>
      </c>
      <c r="Q143" s="5">
        <v>0</v>
      </c>
      <c r="R143" s="19" t="s">
        <v>121</v>
      </c>
      <c r="S143" s="19" t="s">
        <v>121</v>
      </c>
      <c r="T143" s="5">
        <f t="shared" si="14"/>
        <v>2005</v>
      </c>
      <c r="U143" s="5">
        <f t="shared" si="15"/>
        <v>1</v>
      </c>
      <c r="V143" s="5">
        <v>0</v>
      </c>
      <c r="W143" s="5">
        <v>10</v>
      </c>
    </row>
    <row r="144" spans="1:23">
      <c r="A144" s="5">
        <f t="shared" si="16"/>
        <v>141</v>
      </c>
      <c r="B144" s="93">
        <f t="shared" si="17"/>
        <v>2005</v>
      </c>
      <c r="C144" s="20" t="str">
        <f>INDEX(Unitinfo!C:C,MATCH(UnitGradeInfo!B144,Unitinfo!A:A,0))</f>
        <v>(원거리)Skeleton_Witch</v>
      </c>
      <c r="D144" s="5">
        <f>COUNTIF($B$4:B144,B144)</f>
        <v>16</v>
      </c>
      <c r="E144" s="5">
        <f>ROUNDDOWN(INDEX(ref_Unit_Balance!$G$31:$G$106,MATCH(UnitGradeInfo!B144,ref_Unit_Balance!$B$31:$B$1048576,0))
+INDEX(ref_Unit_Balance!$G$20:$G$23,MATCH(IFERROR(INDEX(ref_Unit_Balance!$D$31:$D$1048576,MATCH(B144,ref_Unit_Balance!$B$31:$B$1048576,0)),0),ref_Unit_Balance!$B$20:$B$23,0))*D144*ref_Unit_Balance!$C$25,0)</f>
        <v>950</v>
      </c>
      <c r="F144" s="5">
        <f>INDEX(ref_Unit_Balance!$V$31:$V$106,MATCH(UnitGradeInfo!B144,ref_Unit_Balance!$B$31:$B$1048576,0))
+
INDEX(ref_Unit_Balance!$AB$31:$AB$106,MATCH(UnitGradeInfo!B144,ref_Unit_Balance!$B$31:$B$1048576,0))*(D144-1)</f>
        <v>4200</v>
      </c>
      <c r="G144" s="5">
        <f>INDEX(ref_Unit_Balance!$R$31:$R$106,MATCH(UnitGradeInfo!B144,ref_Unit_Balance!$B$31:$B$1048576,0))
+
INDEX(ref_Unit_Balance!$AA$31:$AA$106,MATCH(UnitGradeInfo!B144,ref_Unit_Balance!$B$31:$B$1048576,0))*(D144-1)</f>
        <v>395</v>
      </c>
      <c r="H144" s="39">
        <f>IF(INDEX(Unitinfo!D:D,MATCH(UnitGradeInfo!B144,Unitinfo!A:A,0))=1,50,5)</f>
        <v>50</v>
      </c>
      <c r="I144" s="5">
        <f>IF(INDEX(ref_Unit_Balance!$T$31:$T$106,MATCH(UnitGradeInfo!B144,ref_Unit_Balance!$B$31:$B$1048576,0))=0,1,INDEX(ref_Unit_Balance!$T$31:$T$106,MATCH(UnitGradeInfo!B144,ref_Unit_Balance!$B$31:$B$1048576,0)))</f>
        <v>5</v>
      </c>
      <c r="J144" s="5">
        <f>INDEX(ref_Unit_Balance!$S$31:$S$106,MATCH(UnitGradeInfo!B144,ref_Unit_Balance!$B$31:$B$1048576,0))</f>
        <v>1000</v>
      </c>
      <c r="K144" s="5">
        <v>0</v>
      </c>
      <c r="L144" s="5">
        <f>INDEX(ref_Unit_Balance!$I$31:$I$106,MATCH(UnitGradeInfo!B144,ref_Unit_Balance!$B$31:$B$1048576,0))</f>
        <v>3</v>
      </c>
      <c r="M144" s="5">
        <f t="shared" si="18"/>
        <v>32</v>
      </c>
      <c r="N144" s="5">
        <f t="shared" si="19"/>
        <v>320</v>
      </c>
      <c r="O144" s="5">
        <f>(INDEX(Unitinfo!I:I,MATCH(B144,Unitinfo!A:A,0))+1)*2</f>
        <v>2</v>
      </c>
      <c r="P144" s="5">
        <v>0</v>
      </c>
      <c r="Q144" s="5">
        <v>0</v>
      </c>
      <c r="R144" s="19" t="s">
        <v>121</v>
      </c>
      <c r="S144" s="19" t="s">
        <v>121</v>
      </c>
      <c r="T144" s="5">
        <f t="shared" si="14"/>
        <v>2005</v>
      </c>
      <c r="U144" s="5">
        <f t="shared" si="15"/>
        <v>1</v>
      </c>
      <c r="V144" s="5">
        <v>0</v>
      </c>
      <c r="W144" s="5">
        <v>10</v>
      </c>
    </row>
    <row r="145" spans="1:23">
      <c r="A145" s="5">
        <f t="shared" si="16"/>
        <v>142</v>
      </c>
      <c r="B145" s="93">
        <f t="shared" si="17"/>
        <v>2005</v>
      </c>
      <c r="C145" s="20" t="str">
        <f>INDEX(Unitinfo!C:C,MATCH(UnitGradeInfo!B145,Unitinfo!A:A,0))</f>
        <v>(원거리)Skeleton_Witch</v>
      </c>
      <c r="D145" s="5">
        <f>COUNTIF($B$4:B145,B145)</f>
        <v>17</v>
      </c>
      <c r="E145" s="5">
        <f>ROUNDDOWN(INDEX(ref_Unit_Balance!$G$31:$G$106,MATCH(UnitGradeInfo!B145,ref_Unit_Balance!$B$31:$B$1048576,0))
+INDEX(ref_Unit_Balance!$G$20:$G$23,MATCH(IFERROR(INDEX(ref_Unit_Balance!$D$31:$D$1048576,MATCH(B145,ref_Unit_Balance!$B$31:$B$1048576,0)),0),ref_Unit_Balance!$B$20:$B$23,0))*D145*ref_Unit_Balance!$C$25,0)</f>
        <v>1000</v>
      </c>
      <c r="F145" s="5">
        <f>INDEX(ref_Unit_Balance!$V$31:$V$106,MATCH(UnitGradeInfo!B145,ref_Unit_Balance!$B$31:$B$1048576,0))
+
INDEX(ref_Unit_Balance!$AB$31:$AB$106,MATCH(UnitGradeInfo!B145,ref_Unit_Balance!$B$31:$B$1048576,0))*(D145-1)</f>
        <v>4400</v>
      </c>
      <c r="G145" s="5">
        <f>INDEX(ref_Unit_Balance!$R$31:$R$106,MATCH(UnitGradeInfo!B145,ref_Unit_Balance!$B$31:$B$1048576,0))
+
INDEX(ref_Unit_Balance!$AA$31:$AA$106,MATCH(UnitGradeInfo!B145,ref_Unit_Balance!$B$31:$B$1048576,0))*(D145-1)</f>
        <v>408</v>
      </c>
      <c r="H145" s="39">
        <f>IF(INDEX(Unitinfo!D:D,MATCH(UnitGradeInfo!B145,Unitinfo!A:A,0))=1,50,5)</f>
        <v>50</v>
      </c>
      <c r="I145" s="5">
        <f>IF(INDEX(ref_Unit_Balance!$T$31:$T$106,MATCH(UnitGradeInfo!B145,ref_Unit_Balance!$B$31:$B$1048576,0))=0,1,INDEX(ref_Unit_Balance!$T$31:$T$106,MATCH(UnitGradeInfo!B145,ref_Unit_Balance!$B$31:$B$1048576,0)))</f>
        <v>5</v>
      </c>
      <c r="J145" s="5">
        <f>INDEX(ref_Unit_Balance!$S$31:$S$106,MATCH(UnitGradeInfo!B145,ref_Unit_Balance!$B$31:$B$1048576,0))</f>
        <v>1000</v>
      </c>
      <c r="K145" s="5">
        <v>0</v>
      </c>
      <c r="L145" s="5">
        <f>INDEX(ref_Unit_Balance!$I$31:$I$106,MATCH(UnitGradeInfo!B145,ref_Unit_Balance!$B$31:$B$1048576,0))</f>
        <v>3</v>
      </c>
      <c r="M145" s="5">
        <f t="shared" si="18"/>
        <v>34</v>
      </c>
      <c r="N145" s="5">
        <f t="shared" si="19"/>
        <v>340</v>
      </c>
      <c r="O145" s="5">
        <f>(INDEX(Unitinfo!I:I,MATCH(B145,Unitinfo!A:A,0))+1)*2</f>
        <v>2</v>
      </c>
      <c r="P145" s="5">
        <v>0</v>
      </c>
      <c r="Q145" s="5">
        <v>0</v>
      </c>
      <c r="R145" s="19" t="s">
        <v>121</v>
      </c>
      <c r="S145" s="19" t="s">
        <v>121</v>
      </c>
      <c r="T145" s="5">
        <f t="shared" si="14"/>
        <v>2005</v>
      </c>
      <c r="U145" s="5">
        <f t="shared" si="15"/>
        <v>1</v>
      </c>
      <c r="V145" s="5">
        <v>0</v>
      </c>
      <c r="W145" s="5">
        <v>10</v>
      </c>
    </row>
    <row r="146" spans="1:23">
      <c r="A146" s="5">
        <f t="shared" si="16"/>
        <v>143</v>
      </c>
      <c r="B146" s="93">
        <f t="shared" si="17"/>
        <v>2005</v>
      </c>
      <c r="C146" s="20" t="str">
        <f>INDEX(Unitinfo!C:C,MATCH(UnitGradeInfo!B146,Unitinfo!A:A,0))</f>
        <v>(원거리)Skeleton_Witch</v>
      </c>
      <c r="D146" s="5">
        <f>COUNTIF($B$4:B146,B146)</f>
        <v>18</v>
      </c>
      <c r="E146" s="5">
        <f>ROUNDDOWN(INDEX(ref_Unit_Balance!$G$31:$G$106,MATCH(UnitGradeInfo!B146,ref_Unit_Balance!$B$31:$B$1048576,0))
+INDEX(ref_Unit_Balance!$G$20:$G$23,MATCH(IFERROR(INDEX(ref_Unit_Balance!$D$31:$D$1048576,MATCH(B146,ref_Unit_Balance!$B$31:$B$1048576,0)),0),ref_Unit_Balance!$B$20:$B$23,0))*D146*ref_Unit_Balance!$C$25,0)</f>
        <v>1050</v>
      </c>
      <c r="F146" s="5">
        <f>INDEX(ref_Unit_Balance!$V$31:$V$106,MATCH(UnitGradeInfo!B146,ref_Unit_Balance!$B$31:$B$1048576,0))
+
INDEX(ref_Unit_Balance!$AB$31:$AB$106,MATCH(UnitGradeInfo!B146,ref_Unit_Balance!$B$31:$B$1048576,0))*(D146-1)</f>
        <v>4600</v>
      </c>
      <c r="G146" s="5">
        <f>INDEX(ref_Unit_Balance!$R$31:$R$106,MATCH(UnitGradeInfo!B146,ref_Unit_Balance!$B$31:$B$1048576,0))
+
INDEX(ref_Unit_Balance!$AA$31:$AA$106,MATCH(UnitGradeInfo!B146,ref_Unit_Balance!$B$31:$B$1048576,0))*(D146-1)</f>
        <v>421</v>
      </c>
      <c r="H146" s="39">
        <f>IF(INDEX(Unitinfo!D:D,MATCH(UnitGradeInfo!B146,Unitinfo!A:A,0))=1,50,5)</f>
        <v>50</v>
      </c>
      <c r="I146" s="5">
        <f>IF(INDEX(ref_Unit_Balance!$T$31:$T$106,MATCH(UnitGradeInfo!B146,ref_Unit_Balance!$B$31:$B$1048576,0))=0,1,INDEX(ref_Unit_Balance!$T$31:$T$106,MATCH(UnitGradeInfo!B146,ref_Unit_Balance!$B$31:$B$1048576,0)))</f>
        <v>5</v>
      </c>
      <c r="J146" s="5">
        <f>INDEX(ref_Unit_Balance!$S$31:$S$106,MATCH(UnitGradeInfo!B146,ref_Unit_Balance!$B$31:$B$1048576,0))</f>
        <v>1000</v>
      </c>
      <c r="K146" s="5">
        <v>0</v>
      </c>
      <c r="L146" s="5">
        <f>INDEX(ref_Unit_Balance!$I$31:$I$106,MATCH(UnitGradeInfo!B146,ref_Unit_Balance!$B$31:$B$1048576,0))</f>
        <v>3</v>
      </c>
      <c r="M146" s="5">
        <f t="shared" si="18"/>
        <v>36</v>
      </c>
      <c r="N146" s="5">
        <f t="shared" si="19"/>
        <v>360</v>
      </c>
      <c r="O146" s="5">
        <f>(INDEX(Unitinfo!I:I,MATCH(B146,Unitinfo!A:A,0))+1)*2</f>
        <v>2</v>
      </c>
      <c r="P146" s="5">
        <v>0</v>
      </c>
      <c r="Q146" s="5">
        <v>0</v>
      </c>
      <c r="R146" s="19" t="s">
        <v>121</v>
      </c>
      <c r="S146" s="19" t="s">
        <v>121</v>
      </c>
      <c r="T146" s="5">
        <f t="shared" si="14"/>
        <v>2005</v>
      </c>
      <c r="U146" s="5">
        <f t="shared" si="15"/>
        <v>1</v>
      </c>
      <c r="V146" s="5">
        <v>0</v>
      </c>
      <c r="W146" s="5">
        <v>10</v>
      </c>
    </row>
    <row r="147" spans="1:23">
      <c r="A147" s="5">
        <f t="shared" si="16"/>
        <v>144</v>
      </c>
      <c r="B147" s="93">
        <f t="shared" si="17"/>
        <v>2005</v>
      </c>
      <c r="C147" s="20" t="str">
        <f>INDEX(Unitinfo!C:C,MATCH(UnitGradeInfo!B147,Unitinfo!A:A,0))</f>
        <v>(원거리)Skeleton_Witch</v>
      </c>
      <c r="D147" s="5">
        <f>COUNTIF($B$4:B147,B147)</f>
        <v>19</v>
      </c>
      <c r="E147" s="5">
        <f>ROUNDDOWN(INDEX(ref_Unit_Balance!$G$31:$G$106,MATCH(UnitGradeInfo!B147,ref_Unit_Balance!$B$31:$B$1048576,0))
+INDEX(ref_Unit_Balance!$G$20:$G$23,MATCH(IFERROR(INDEX(ref_Unit_Balance!$D$31:$D$1048576,MATCH(B147,ref_Unit_Balance!$B$31:$B$1048576,0)),0),ref_Unit_Balance!$B$20:$B$23,0))*D147*ref_Unit_Balance!$C$25,0)</f>
        <v>1100</v>
      </c>
      <c r="F147" s="5">
        <f>INDEX(ref_Unit_Balance!$V$31:$V$106,MATCH(UnitGradeInfo!B147,ref_Unit_Balance!$B$31:$B$1048576,0))
+
INDEX(ref_Unit_Balance!$AB$31:$AB$106,MATCH(UnitGradeInfo!B147,ref_Unit_Balance!$B$31:$B$1048576,0))*(D147-1)</f>
        <v>4800</v>
      </c>
      <c r="G147" s="5">
        <f>INDEX(ref_Unit_Balance!$R$31:$R$106,MATCH(UnitGradeInfo!B147,ref_Unit_Balance!$B$31:$B$1048576,0))
+
INDEX(ref_Unit_Balance!$AA$31:$AA$106,MATCH(UnitGradeInfo!B147,ref_Unit_Balance!$B$31:$B$1048576,0))*(D147-1)</f>
        <v>434</v>
      </c>
      <c r="H147" s="39">
        <f>IF(INDEX(Unitinfo!D:D,MATCH(UnitGradeInfo!B147,Unitinfo!A:A,0))=1,50,5)</f>
        <v>50</v>
      </c>
      <c r="I147" s="5">
        <f>IF(INDEX(ref_Unit_Balance!$T$31:$T$106,MATCH(UnitGradeInfo!B147,ref_Unit_Balance!$B$31:$B$1048576,0))=0,1,INDEX(ref_Unit_Balance!$T$31:$T$106,MATCH(UnitGradeInfo!B147,ref_Unit_Balance!$B$31:$B$1048576,0)))</f>
        <v>5</v>
      </c>
      <c r="J147" s="5">
        <f>INDEX(ref_Unit_Balance!$S$31:$S$106,MATCH(UnitGradeInfo!B147,ref_Unit_Balance!$B$31:$B$1048576,0))</f>
        <v>1000</v>
      </c>
      <c r="K147" s="5">
        <v>0</v>
      </c>
      <c r="L147" s="5">
        <f>INDEX(ref_Unit_Balance!$I$31:$I$106,MATCH(UnitGradeInfo!B147,ref_Unit_Balance!$B$31:$B$1048576,0))</f>
        <v>3</v>
      </c>
      <c r="M147" s="5">
        <f t="shared" si="18"/>
        <v>38</v>
      </c>
      <c r="N147" s="5">
        <f t="shared" si="19"/>
        <v>380</v>
      </c>
      <c r="O147" s="5">
        <f>(INDEX(Unitinfo!I:I,MATCH(B147,Unitinfo!A:A,0))+1)*2</f>
        <v>2</v>
      </c>
      <c r="P147" s="5">
        <v>0</v>
      </c>
      <c r="Q147" s="5">
        <v>0</v>
      </c>
      <c r="R147" s="19" t="s">
        <v>121</v>
      </c>
      <c r="S147" s="19" t="s">
        <v>121</v>
      </c>
      <c r="T147" s="5">
        <f t="shared" si="14"/>
        <v>2005</v>
      </c>
      <c r="U147" s="5">
        <f t="shared" si="15"/>
        <v>1</v>
      </c>
      <c r="V147" s="5">
        <v>0</v>
      </c>
      <c r="W147" s="5">
        <v>10</v>
      </c>
    </row>
    <row r="148" spans="1:23">
      <c r="A148" s="5">
        <f t="shared" si="16"/>
        <v>145</v>
      </c>
      <c r="B148" s="93">
        <f t="shared" si="17"/>
        <v>2005</v>
      </c>
      <c r="C148" s="20" t="str">
        <f>INDEX(Unitinfo!C:C,MATCH(UnitGradeInfo!B148,Unitinfo!A:A,0))</f>
        <v>(원거리)Skeleton_Witch</v>
      </c>
      <c r="D148" s="5">
        <f>COUNTIF($B$4:B148,B148)</f>
        <v>20</v>
      </c>
      <c r="E148" s="5">
        <f>ROUNDDOWN(INDEX(ref_Unit_Balance!$G$31:$G$106,MATCH(UnitGradeInfo!B148,ref_Unit_Balance!$B$31:$B$1048576,0))
+INDEX(ref_Unit_Balance!$G$20:$G$23,MATCH(IFERROR(INDEX(ref_Unit_Balance!$D$31:$D$1048576,MATCH(B148,ref_Unit_Balance!$B$31:$B$1048576,0)),0),ref_Unit_Balance!$B$20:$B$23,0))*D148*ref_Unit_Balance!$C$25,0)</f>
        <v>1150</v>
      </c>
      <c r="F148" s="5">
        <f>INDEX(ref_Unit_Balance!$V$31:$V$106,MATCH(UnitGradeInfo!B148,ref_Unit_Balance!$B$31:$B$1048576,0))
+
INDEX(ref_Unit_Balance!$AB$31:$AB$106,MATCH(UnitGradeInfo!B148,ref_Unit_Balance!$B$31:$B$1048576,0))*(D148-1)</f>
        <v>5000</v>
      </c>
      <c r="G148" s="5">
        <f>INDEX(ref_Unit_Balance!$R$31:$R$106,MATCH(UnitGradeInfo!B148,ref_Unit_Balance!$B$31:$B$1048576,0))
+
INDEX(ref_Unit_Balance!$AA$31:$AA$106,MATCH(UnitGradeInfo!B148,ref_Unit_Balance!$B$31:$B$1048576,0))*(D148-1)</f>
        <v>447</v>
      </c>
      <c r="H148" s="39">
        <f>IF(INDEX(Unitinfo!D:D,MATCH(UnitGradeInfo!B148,Unitinfo!A:A,0))=1,50,5)</f>
        <v>50</v>
      </c>
      <c r="I148" s="5">
        <f>IF(INDEX(ref_Unit_Balance!$T$31:$T$106,MATCH(UnitGradeInfo!B148,ref_Unit_Balance!$B$31:$B$1048576,0))=0,1,INDEX(ref_Unit_Balance!$T$31:$T$106,MATCH(UnitGradeInfo!B148,ref_Unit_Balance!$B$31:$B$1048576,0)))</f>
        <v>5</v>
      </c>
      <c r="J148" s="5">
        <f>INDEX(ref_Unit_Balance!$S$31:$S$106,MATCH(UnitGradeInfo!B148,ref_Unit_Balance!$B$31:$B$1048576,0))</f>
        <v>1000</v>
      </c>
      <c r="K148" s="5">
        <v>0</v>
      </c>
      <c r="L148" s="5">
        <f>INDEX(ref_Unit_Balance!$I$31:$I$106,MATCH(UnitGradeInfo!B148,ref_Unit_Balance!$B$31:$B$1048576,0))</f>
        <v>3</v>
      </c>
      <c r="M148" s="5">
        <f t="shared" si="18"/>
        <v>40</v>
      </c>
      <c r="N148" s="5">
        <f t="shared" si="19"/>
        <v>400</v>
      </c>
      <c r="O148" s="5">
        <f>(INDEX(Unitinfo!I:I,MATCH(B148,Unitinfo!A:A,0))+1)*2</f>
        <v>2</v>
      </c>
      <c r="P148" s="5">
        <v>0</v>
      </c>
      <c r="Q148" s="5">
        <v>0</v>
      </c>
      <c r="R148" s="19" t="s">
        <v>121</v>
      </c>
      <c r="S148" s="19" t="s">
        <v>121</v>
      </c>
      <c r="T148" s="5">
        <f t="shared" si="14"/>
        <v>2005</v>
      </c>
      <c r="U148" s="5">
        <f t="shared" si="15"/>
        <v>1</v>
      </c>
      <c r="V148" s="5">
        <v>0</v>
      </c>
      <c r="W148" s="5">
        <v>10</v>
      </c>
    </row>
    <row r="149" spans="1:23">
      <c r="A149" s="5">
        <f t="shared" si="16"/>
        <v>146</v>
      </c>
      <c r="B149" s="93">
        <f t="shared" si="17"/>
        <v>2006</v>
      </c>
      <c r="C149" s="20" t="str">
        <f>INDEX(Unitinfo!C:C,MATCH(UnitGradeInfo!B149,Unitinfo!A:A,0))</f>
        <v>(근거리)Zombie_Hand</v>
      </c>
      <c r="D149" s="5">
        <f>COUNTIF($B$4:B149,B149)</f>
        <v>1</v>
      </c>
      <c r="E149" s="5">
        <f>ROUNDDOWN(INDEX(ref_Unit_Balance!$G$31:$G$106,MATCH(UnitGradeInfo!B149,ref_Unit_Balance!$B$31:$B$1048576,0))
+INDEX(ref_Unit_Balance!$G$20:$G$23,MATCH(IFERROR(INDEX(ref_Unit_Balance!$D$31:$D$1048576,MATCH(B149,ref_Unit_Balance!$B$31:$B$1048576,0)),0),ref_Unit_Balance!$B$20:$B$23,0))*D149*ref_Unit_Balance!$C$25,0)</f>
        <v>200</v>
      </c>
      <c r="F149" s="5">
        <f>INDEX(ref_Unit_Balance!$V$31:$V$106,MATCH(UnitGradeInfo!B149,ref_Unit_Balance!$B$31:$B$1048576,0))
+
INDEX(ref_Unit_Balance!$AB$31:$AB$106,MATCH(UnitGradeInfo!B149,ref_Unit_Balance!$B$31:$B$1048576,0))*(D149-1)</f>
        <v>300</v>
      </c>
      <c r="G149" s="5">
        <f>INDEX(ref_Unit_Balance!$R$31:$R$106,MATCH(UnitGradeInfo!B149,ref_Unit_Balance!$B$31:$B$1048576,0))
+
INDEX(ref_Unit_Balance!$AA$31:$AA$106,MATCH(UnitGradeInfo!B149,ref_Unit_Balance!$B$31:$B$1048576,0))*(D149-1)</f>
        <v>290</v>
      </c>
      <c r="H149" s="39">
        <f>IF(INDEX(Unitinfo!D:D,MATCH(UnitGradeInfo!B149,Unitinfo!A:A,0))=1,50,5)</f>
        <v>5</v>
      </c>
      <c r="I149" s="5">
        <f>IF(INDEX(ref_Unit_Balance!$T$31:$T$106,MATCH(UnitGradeInfo!B149,ref_Unit_Balance!$B$31:$B$1048576,0))=0,1,INDEX(ref_Unit_Balance!$T$31:$T$106,MATCH(UnitGradeInfo!B149,ref_Unit_Balance!$B$31:$B$1048576,0)))</f>
        <v>5</v>
      </c>
      <c r="J149" s="5">
        <f>INDEX(ref_Unit_Balance!$S$31:$S$106,MATCH(UnitGradeInfo!B149,ref_Unit_Balance!$B$31:$B$1048576,0))</f>
        <v>1000</v>
      </c>
      <c r="K149" s="5">
        <v>0</v>
      </c>
      <c r="L149" s="5">
        <f>INDEX(ref_Unit_Balance!$I$31:$I$106,MATCH(UnitGradeInfo!B149,ref_Unit_Balance!$B$31:$B$1048576,0))</f>
        <v>5</v>
      </c>
      <c r="M149" s="5">
        <f t="shared" si="18"/>
        <v>2</v>
      </c>
      <c r="N149" s="5">
        <f t="shared" si="19"/>
        <v>20</v>
      </c>
      <c r="O149" s="5">
        <f>(INDEX(Unitinfo!I:I,MATCH(B149,Unitinfo!A:A,0))+1)*2</f>
        <v>2</v>
      </c>
      <c r="P149" s="5">
        <v>0</v>
      </c>
      <c r="Q149" s="5">
        <v>0</v>
      </c>
      <c r="R149" s="19" t="s">
        <v>121</v>
      </c>
      <c r="S149" s="19" t="s">
        <v>121</v>
      </c>
      <c r="T149" s="5">
        <f t="shared" si="14"/>
        <v>2006</v>
      </c>
      <c r="U149" s="5">
        <f t="shared" si="15"/>
        <v>1</v>
      </c>
      <c r="V149" s="5">
        <v>0</v>
      </c>
      <c r="W149" s="5">
        <v>10</v>
      </c>
    </row>
    <row r="150" spans="1:23">
      <c r="A150" s="5">
        <f t="shared" si="16"/>
        <v>147</v>
      </c>
      <c r="B150" s="93">
        <f t="shared" si="17"/>
        <v>2006</v>
      </c>
      <c r="C150" s="20" t="str">
        <f>INDEX(Unitinfo!C:C,MATCH(UnitGradeInfo!B150,Unitinfo!A:A,0))</f>
        <v>(근거리)Zombie_Hand</v>
      </c>
      <c r="D150" s="5">
        <f>COUNTIF($B$4:B150,B150)</f>
        <v>2</v>
      </c>
      <c r="E150" s="5">
        <f>ROUNDDOWN(INDEX(ref_Unit_Balance!$G$31:$G$106,MATCH(UnitGradeInfo!B150,ref_Unit_Balance!$B$31:$B$1048576,0))
+INDEX(ref_Unit_Balance!$G$20:$G$23,MATCH(IFERROR(INDEX(ref_Unit_Balance!$D$31:$D$1048576,MATCH(B150,ref_Unit_Balance!$B$31:$B$1048576,0)),0),ref_Unit_Balance!$B$20:$B$23,0))*D150*ref_Unit_Balance!$C$25,0)</f>
        <v>250</v>
      </c>
      <c r="F150" s="5">
        <f>INDEX(ref_Unit_Balance!$V$31:$V$106,MATCH(UnitGradeInfo!B150,ref_Unit_Balance!$B$31:$B$1048576,0))
+
INDEX(ref_Unit_Balance!$AB$31:$AB$106,MATCH(UnitGradeInfo!B150,ref_Unit_Balance!$B$31:$B$1048576,0))*(D150-1)</f>
        <v>500</v>
      </c>
      <c r="G150" s="5">
        <f>INDEX(ref_Unit_Balance!$R$31:$R$106,MATCH(UnitGradeInfo!B150,ref_Unit_Balance!$B$31:$B$1048576,0))
+
INDEX(ref_Unit_Balance!$AA$31:$AA$106,MATCH(UnitGradeInfo!B150,ref_Unit_Balance!$B$31:$B$1048576,0))*(D150-1)</f>
        <v>297</v>
      </c>
      <c r="H150" s="39">
        <f>IF(INDEX(Unitinfo!D:D,MATCH(UnitGradeInfo!B150,Unitinfo!A:A,0))=1,50,5)</f>
        <v>5</v>
      </c>
      <c r="I150" s="5">
        <f>IF(INDEX(ref_Unit_Balance!$T$31:$T$106,MATCH(UnitGradeInfo!B150,ref_Unit_Balance!$B$31:$B$1048576,0))=0,1,INDEX(ref_Unit_Balance!$T$31:$T$106,MATCH(UnitGradeInfo!B150,ref_Unit_Balance!$B$31:$B$1048576,0)))</f>
        <v>5</v>
      </c>
      <c r="J150" s="5">
        <f>INDEX(ref_Unit_Balance!$S$31:$S$106,MATCH(UnitGradeInfo!B150,ref_Unit_Balance!$B$31:$B$1048576,0))</f>
        <v>1000</v>
      </c>
      <c r="K150" s="5">
        <v>0</v>
      </c>
      <c r="L150" s="5">
        <f>INDEX(ref_Unit_Balance!$I$31:$I$106,MATCH(UnitGradeInfo!B150,ref_Unit_Balance!$B$31:$B$1048576,0))</f>
        <v>5</v>
      </c>
      <c r="M150" s="5">
        <f t="shared" si="18"/>
        <v>4</v>
      </c>
      <c r="N150" s="5">
        <f t="shared" si="19"/>
        <v>40</v>
      </c>
      <c r="O150" s="5">
        <f>(INDEX(Unitinfo!I:I,MATCH(B150,Unitinfo!A:A,0))+1)*2</f>
        <v>2</v>
      </c>
      <c r="P150" s="5">
        <v>0</v>
      </c>
      <c r="Q150" s="5">
        <v>0</v>
      </c>
      <c r="R150" s="19" t="s">
        <v>121</v>
      </c>
      <c r="S150" s="19" t="s">
        <v>121</v>
      </c>
      <c r="T150" s="5">
        <f t="shared" si="14"/>
        <v>2006</v>
      </c>
      <c r="U150" s="5">
        <f t="shared" si="15"/>
        <v>1</v>
      </c>
      <c r="V150" s="5">
        <v>0</v>
      </c>
      <c r="W150" s="5">
        <v>10</v>
      </c>
    </row>
    <row r="151" spans="1:23">
      <c r="A151" s="5">
        <f t="shared" si="16"/>
        <v>148</v>
      </c>
      <c r="B151" s="93">
        <f t="shared" si="17"/>
        <v>2006</v>
      </c>
      <c r="C151" s="20" t="str">
        <f>INDEX(Unitinfo!C:C,MATCH(UnitGradeInfo!B151,Unitinfo!A:A,0))</f>
        <v>(근거리)Zombie_Hand</v>
      </c>
      <c r="D151" s="5">
        <f>COUNTIF($B$4:B151,B151)</f>
        <v>3</v>
      </c>
      <c r="E151" s="5">
        <f>ROUNDDOWN(INDEX(ref_Unit_Balance!$G$31:$G$106,MATCH(UnitGradeInfo!B151,ref_Unit_Balance!$B$31:$B$1048576,0))
+INDEX(ref_Unit_Balance!$G$20:$G$23,MATCH(IFERROR(INDEX(ref_Unit_Balance!$D$31:$D$1048576,MATCH(B151,ref_Unit_Balance!$B$31:$B$1048576,0)),0),ref_Unit_Balance!$B$20:$B$23,0))*D151*ref_Unit_Balance!$C$25,0)</f>
        <v>300</v>
      </c>
      <c r="F151" s="5">
        <f>INDEX(ref_Unit_Balance!$V$31:$V$106,MATCH(UnitGradeInfo!B151,ref_Unit_Balance!$B$31:$B$1048576,0))
+
INDEX(ref_Unit_Balance!$AB$31:$AB$106,MATCH(UnitGradeInfo!B151,ref_Unit_Balance!$B$31:$B$1048576,0))*(D151-1)</f>
        <v>700</v>
      </c>
      <c r="G151" s="5">
        <f>INDEX(ref_Unit_Balance!$R$31:$R$106,MATCH(UnitGradeInfo!B151,ref_Unit_Balance!$B$31:$B$1048576,0))
+
INDEX(ref_Unit_Balance!$AA$31:$AA$106,MATCH(UnitGradeInfo!B151,ref_Unit_Balance!$B$31:$B$1048576,0))*(D151-1)</f>
        <v>304</v>
      </c>
      <c r="H151" s="39">
        <f>IF(INDEX(Unitinfo!D:D,MATCH(UnitGradeInfo!B151,Unitinfo!A:A,0))=1,50,5)</f>
        <v>5</v>
      </c>
      <c r="I151" s="5">
        <f>IF(INDEX(ref_Unit_Balance!$T$31:$T$106,MATCH(UnitGradeInfo!B151,ref_Unit_Balance!$B$31:$B$1048576,0))=0,1,INDEX(ref_Unit_Balance!$T$31:$T$106,MATCH(UnitGradeInfo!B151,ref_Unit_Balance!$B$31:$B$1048576,0)))</f>
        <v>5</v>
      </c>
      <c r="J151" s="5">
        <f>INDEX(ref_Unit_Balance!$S$31:$S$106,MATCH(UnitGradeInfo!B151,ref_Unit_Balance!$B$31:$B$1048576,0))</f>
        <v>1000</v>
      </c>
      <c r="K151" s="5">
        <v>0</v>
      </c>
      <c r="L151" s="5">
        <f>INDEX(ref_Unit_Balance!$I$31:$I$106,MATCH(UnitGradeInfo!B151,ref_Unit_Balance!$B$31:$B$1048576,0))</f>
        <v>5</v>
      </c>
      <c r="M151" s="5">
        <f t="shared" si="18"/>
        <v>6</v>
      </c>
      <c r="N151" s="5">
        <f t="shared" si="19"/>
        <v>60</v>
      </c>
      <c r="O151" s="5">
        <f>(INDEX(Unitinfo!I:I,MATCH(B151,Unitinfo!A:A,0))+1)*2</f>
        <v>2</v>
      </c>
      <c r="P151" s="5">
        <v>0</v>
      </c>
      <c r="Q151" s="5">
        <v>0</v>
      </c>
      <c r="R151" s="19" t="s">
        <v>121</v>
      </c>
      <c r="S151" s="19" t="s">
        <v>121</v>
      </c>
      <c r="T151" s="5">
        <f t="shared" si="14"/>
        <v>2006</v>
      </c>
      <c r="U151" s="5">
        <f t="shared" si="15"/>
        <v>1</v>
      </c>
      <c r="V151" s="5">
        <v>0</v>
      </c>
      <c r="W151" s="5">
        <v>10</v>
      </c>
    </row>
    <row r="152" spans="1:23">
      <c r="A152" s="5">
        <f t="shared" si="16"/>
        <v>149</v>
      </c>
      <c r="B152" s="93">
        <f t="shared" si="17"/>
        <v>2006</v>
      </c>
      <c r="C152" s="20" t="str">
        <f>INDEX(Unitinfo!C:C,MATCH(UnitGradeInfo!B152,Unitinfo!A:A,0))</f>
        <v>(근거리)Zombie_Hand</v>
      </c>
      <c r="D152" s="5">
        <f>COUNTIF($B$4:B152,B152)</f>
        <v>4</v>
      </c>
      <c r="E152" s="5">
        <f>ROUNDDOWN(INDEX(ref_Unit_Balance!$G$31:$G$106,MATCH(UnitGradeInfo!B152,ref_Unit_Balance!$B$31:$B$1048576,0))
+INDEX(ref_Unit_Balance!$G$20:$G$23,MATCH(IFERROR(INDEX(ref_Unit_Balance!$D$31:$D$1048576,MATCH(B152,ref_Unit_Balance!$B$31:$B$1048576,0)),0),ref_Unit_Balance!$B$20:$B$23,0))*D152*ref_Unit_Balance!$C$25,0)</f>
        <v>350</v>
      </c>
      <c r="F152" s="5">
        <f>INDEX(ref_Unit_Balance!$V$31:$V$106,MATCH(UnitGradeInfo!B152,ref_Unit_Balance!$B$31:$B$1048576,0))
+
INDEX(ref_Unit_Balance!$AB$31:$AB$106,MATCH(UnitGradeInfo!B152,ref_Unit_Balance!$B$31:$B$1048576,0))*(D152-1)</f>
        <v>900</v>
      </c>
      <c r="G152" s="5">
        <f>INDEX(ref_Unit_Balance!$R$31:$R$106,MATCH(UnitGradeInfo!B152,ref_Unit_Balance!$B$31:$B$1048576,0))
+
INDEX(ref_Unit_Balance!$AA$31:$AA$106,MATCH(UnitGradeInfo!B152,ref_Unit_Balance!$B$31:$B$1048576,0))*(D152-1)</f>
        <v>311</v>
      </c>
      <c r="H152" s="39">
        <f>IF(INDEX(Unitinfo!D:D,MATCH(UnitGradeInfo!B152,Unitinfo!A:A,0))=1,50,5)</f>
        <v>5</v>
      </c>
      <c r="I152" s="5">
        <f>IF(INDEX(ref_Unit_Balance!$T$31:$T$106,MATCH(UnitGradeInfo!B152,ref_Unit_Balance!$B$31:$B$1048576,0))=0,1,INDEX(ref_Unit_Balance!$T$31:$T$106,MATCH(UnitGradeInfo!B152,ref_Unit_Balance!$B$31:$B$1048576,0)))</f>
        <v>5</v>
      </c>
      <c r="J152" s="5">
        <f>INDEX(ref_Unit_Balance!$S$31:$S$106,MATCH(UnitGradeInfo!B152,ref_Unit_Balance!$B$31:$B$1048576,0))</f>
        <v>1000</v>
      </c>
      <c r="K152" s="5">
        <v>0</v>
      </c>
      <c r="L152" s="5">
        <f>INDEX(ref_Unit_Balance!$I$31:$I$106,MATCH(UnitGradeInfo!B152,ref_Unit_Balance!$B$31:$B$1048576,0))</f>
        <v>5</v>
      </c>
      <c r="M152" s="5">
        <f t="shared" si="18"/>
        <v>8</v>
      </c>
      <c r="N152" s="5">
        <f t="shared" si="19"/>
        <v>80</v>
      </c>
      <c r="O152" s="5">
        <f>(INDEX(Unitinfo!I:I,MATCH(B152,Unitinfo!A:A,0))+1)*2</f>
        <v>2</v>
      </c>
      <c r="P152" s="5">
        <v>0</v>
      </c>
      <c r="Q152" s="5">
        <v>0</v>
      </c>
      <c r="R152" s="19" t="s">
        <v>121</v>
      </c>
      <c r="S152" s="19" t="s">
        <v>121</v>
      </c>
      <c r="T152" s="5">
        <f t="shared" si="14"/>
        <v>2006</v>
      </c>
      <c r="U152" s="5">
        <f t="shared" si="15"/>
        <v>1</v>
      </c>
      <c r="V152" s="5">
        <v>0</v>
      </c>
      <c r="W152" s="5">
        <v>10</v>
      </c>
    </row>
    <row r="153" spans="1:23">
      <c r="A153" s="5">
        <f t="shared" si="16"/>
        <v>150</v>
      </c>
      <c r="B153" s="93">
        <f t="shared" si="17"/>
        <v>2006</v>
      </c>
      <c r="C153" s="20" t="str">
        <f>INDEX(Unitinfo!C:C,MATCH(UnitGradeInfo!B153,Unitinfo!A:A,0))</f>
        <v>(근거리)Zombie_Hand</v>
      </c>
      <c r="D153" s="5">
        <f>COUNTIF($B$4:B153,B153)</f>
        <v>5</v>
      </c>
      <c r="E153" s="5">
        <f>ROUNDDOWN(INDEX(ref_Unit_Balance!$G$31:$G$106,MATCH(UnitGradeInfo!B153,ref_Unit_Balance!$B$31:$B$1048576,0))
+INDEX(ref_Unit_Balance!$G$20:$G$23,MATCH(IFERROR(INDEX(ref_Unit_Balance!$D$31:$D$1048576,MATCH(B153,ref_Unit_Balance!$B$31:$B$1048576,0)),0),ref_Unit_Balance!$B$20:$B$23,0))*D153*ref_Unit_Balance!$C$25,0)</f>
        <v>400</v>
      </c>
      <c r="F153" s="5">
        <f>INDEX(ref_Unit_Balance!$V$31:$V$106,MATCH(UnitGradeInfo!B153,ref_Unit_Balance!$B$31:$B$1048576,0))
+
INDEX(ref_Unit_Balance!$AB$31:$AB$106,MATCH(UnitGradeInfo!B153,ref_Unit_Balance!$B$31:$B$1048576,0))*(D153-1)</f>
        <v>1100</v>
      </c>
      <c r="G153" s="5">
        <f>INDEX(ref_Unit_Balance!$R$31:$R$106,MATCH(UnitGradeInfo!B153,ref_Unit_Balance!$B$31:$B$1048576,0))
+
INDEX(ref_Unit_Balance!$AA$31:$AA$106,MATCH(UnitGradeInfo!B153,ref_Unit_Balance!$B$31:$B$1048576,0))*(D153-1)</f>
        <v>318</v>
      </c>
      <c r="H153" s="39">
        <f>IF(INDEX(Unitinfo!D:D,MATCH(UnitGradeInfo!B153,Unitinfo!A:A,0))=1,50,5)</f>
        <v>5</v>
      </c>
      <c r="I153" s="5">
        <f>IF(INDEX(ref_Unit_Balance!$T$31:$T$106,MATCH(UnitGradeInfo!B153,ref_Unit_Balance!$B$31:$B$1048576,0))=0,1,INDEX(ref_Unit_Balance!$T$31:$T$106,MATCH(UnitGradeInfo!B153,ref_Unit_Balance!$B$31:$B$1048576,0)))</f>
        <v>5</v>
      </c>
      <c r="J153" s="5">
        <f>INDEX(ref_Unit_Balance!$S$31:$S$106,MATCH(UnitGradeInfo!B153,ref_Unit_Balance!$B$31:$B$1048576,0))</f>
        <v>1000</v>
      </c>
      <c r="K153" s="5">
        <v>0</v>
      </c>
      <c r="L153" s="5">
        <f>INDEX(ref_Unit_Balance!$I$31:$I$106,MATCH(UnitGradeInfo!B153,ref_Unit_Balance!$B$31:$B$1048576,0))</f>
        <v>5</v>
      </c>
      <c r="M153" s="5">
        <f t="shared" si="18"/>
        <v>10</v>
      </c>
      <c r="N153" s="5">
        <f t="shared" si="19"/>
        <v>100</v>
      </c>
      <c r="O153" s="5">
        <f>(INDEX(Unitinfo!I:I,MATCH(B153,Unitinfo!A:A,0))+1)*2</f>
        <v>2</v>
      </c>
      <c r="P153" s="5">
        <v>0</v>
      </c>
      <c r="Q153" s="5">
        <v>0</v>
      </c>
      <c r="R153" s="19" t="s">
        <v>121</v>
      </c>
      <c r="S153" s="19" t="s">
        <v>121</v>
      </c>
      <c r="T153" s="5">
        <f t="shared" si="14"/>
        <v>2006</v>
      </c>
      <c r="U153" s="5">
        <f t="shared" si="15"/>
        <v>1</v>
      </c>
      <c r="V153" s="5">
        <v>0</v>
      </c>
      <c r="W153" s="5">
        <v>10</v>
      </c>
    </row>
    <row r="154" spans="1:23">
      <c r="A154" s="5">
        <f t="shared" si="16"/>
        <v>151</v>
      </c>
      <c r="B154" s="93">
        <f t="shared" si="17"/>
        <v>2006</v>
      </c>
      <c r="C154" s="20" t="str">
        <f>INDEX(Unitinfo!C:C,MATCH(UnitGradeInfo!B154,Unitinfo!A:A,0))</f>
        <v>(근거리)Zombie_Hand</v>
      </c>
      <c r="D154" s="5">
        <f>COUNTIF($B$4:B154,B154)</f>
        <v>6</v>
      </c>
      <c r="E154" s="5">
        <f>ROUNDDOWN(INDEX(ref_Unit_Balance!$G$31:$G$106,MATCH(UnitGradeInfo!B154,ref_Unit_Balance!$B$31:$B$1048576,0))
+INDEX(ref_Unit_Balance!$G$20:$G$23,MATCH(IFERROR(INDEX(ref_Unit_Balance!$D$31:$D$1048576,MATCH(B154,ref_Unit_Balance!$B$31:$B$1048576,0)),0),ref_Unit_Balance!$B$20:$B$23,0))*D154*ref_Unit_Balance!$C$25,0)</f>
        <v>450</v>
      </c>
      <c r="F154" s="5">
        <f>INDEX(ref_Unit_Balance!$V$31:$V$106,MATCH(UnitGradeInfo!B154,ref_Unit_Balance!$B$31:$B$1048576,0))
+
INDEX(ref_Unit_Balance!$AB$31:$AB$106,MATCH(UnitGradeInfo!B154,ref_Unit_Balance!$B$31:$B$1048576,0))*(D154-1)</f>
        <v>1300</v>
      </c>
      <c r="G154" s="5">
        <f>INDEX(ref_Unit_Balance!$R$31:$R$106,MATCH(UnitGradeInfo!B154,ref_Unit_Balance!$B$31:$B$1048576,0))
+
INDEX(ref_Unit_Balance!$AA$31:$AA$106,MATCH(UnitGradeInfo!B154,ref_Unit_Balance!$B$31:$B$1048576,0))*(D154-1)</f>
        <v>325</v>
      </c>
      <c r="H154" s="39">
        <f>IF(INDEX(Unitinfo!D:D,MATCH(UnitGradeInfo!B154,Unitinfo!A:A,0))=1,50,5)</f>
        <v>5</v>
      </c>
      <c r="I154" s="5">
        <f>IF(INDEX(ref_Unit_Balance!$T$31:$T$106,MATCH(UnitGradeInfo!B154,ref_Unit_Balance!$B$31:$B$1048576,0))=0,1,INDEX(ref_Unit_Balance!$T$31:$T$106,MATCH(UnitGradeInfo!B154,ref_Unit_Balance!$B$31:$B$1048576,0)))</f>
        <v>5</v>
      </c>
      <c r="J154" s="5">
        <f>INDEX(ref_Unit_Balance!$S$31:$S$106,MATCH(UnitGradeInfo!B154,ref_Unit_Balance!$B$31:$B$1048576,0))</f>
        <v>1000</v>
      </c>
      <c r="K154" s="5">
        <v>0</v>
      </c>
      <c r="L154" s="5">
        <f>INDEX(ref_Unit_Balance!$I$31:$I$106,MATCH(UnitGradeInfo!B154,ref_Unit_Balance!$B$31:$B$1048576,0))</f>
        <v>5</v>
      </c>
      <c r="M154" s="5">
        <f t="shared" si="18"/>
        <v>12</v>
      </c>
      <c r="N154" s="5">
        <f t="shared" si="19"/>
        <v>120</v>
      </c>
      <c r="O154" s="5">
        <f>(INDEX(Unitinfo!I:I,MATCH(B154,Unitinfo!A:A,0))+1)*2</f>
        <v>2</v>
      </c>
      <c r="P154" s="5">
        <v>0</v>
      </c>
      <c r="Q154" s="5">
        <v>0</v>
      </c>
      <c r="R154" s="19" t="s">
        <v>121</v>
      </c>
      <c r="S154" s="19" t="s">
        <v>121</v>
      </c>
      <c r="T154" s="5">
        <f t="shared" si="14"/>
        <v>2006</v>
      </c>
      <c r="U154" s="5">
        <f t="shared" si="15"/>
        <v>1</v>
      </c>
      <c r="V154" s="5">
        <v>0</v>
      </c>
      <c r="W154" s="5">
        <v>10</v>
      </c>
    </row>
    <row r="155" spans="1:23">
      <c r="A155" s="5">
        <f t="shared" si="16"/>
        <v>152</v>
      </c>
      <c r="B155" s="93">
        <f t="shared" si="17"/>
        <v>2006</v>
      </c>
      <c r="C155" s="20" t="str">
        <f>INDEX(Unitinfo!C:C,MATCH(UnitGradeInfo!B155,Unitinfo!A:A,0))</f>
        <v>(근거리)Zombie_Hand</v>
      </c>
      <c r="D155" s="5">
        <f>COUNTIF($B$4:B155,B155)</f>
        <v>7</v>
      </c>
      <c r="E155" s="5">
        <f>ROUNDDOWN(INDEX(ref_Unit_Balance!$G$31:$G$106,MATCH(UnitGradeInfo!B155,ref_Unit_Balance!$B$31:$B$1048576,0))
+INDEX(ref_Unit_Balance!$G$20:$G$23,MATCH(IFERROR(INDEX(ref_Unit_Balance!$D$31:$D$1048576,MATCH(B155,ref_Unit_Balance!$B$31:$B$1048576,0)),0),ref_Unit_Balance!$B$20:$B$23,0))*D155*ref_Unit_Balance!$C$25,0)</f>
        <v>500</v>
      </c>
      <c r="F155" s="5">
        <f>INDEX(ref_Unit_Balance!$V$31:$V$106,MATCH(UnitGradeInfo!B155,ref_Unit_Balance!$B$31:$B$1048576,0))
+
INDEX(ref_Unit_Balance!$AB$31:$AB$106,MATCH(UnitGradeInfo!B155,ref_Unit_Balance!$B$31:$B$1048576,0))*(D155-1)</f>
        <v>1500</v>
      </c>
      <c r="G155" s="5">
        <f>INDEX(ref_Unit_Balance!$R$31:$R$106,MATCH(UnitGradeInfo!B155,ref_Unit_Balance!$B$31:$B$1048576,0))
+
INDEX(ref_Unit_Balance!$AA$31:$AA$106,MATCH(UnitGradeInfo!B155,ref_Unit_Balance!$B$31:$B$1048576,0))*(D155-1)</f>
        <v>332</v>
      </c>
      <c r="H155" s="39">
        <f>IF(INDEX(Unitinfo!D:D,MATCH(UnitGradeInfo!B155,Unitinfo!A:A,0))=1,50,5)</f>
        <v>5</v>
      </c>
      <c r="I155" s="5">
        <f>IF(INDEX(ref_Unit_Balance!$T$31:$T$106,MATCH(UnitGradeInfo!B155,ref_Unit_Balance!$B$31:$B$1048576,0))=0,1,INDEX(ref_Unit_Balance!$T$31:$T$106,MATCH(UnitGradeInfo!B155,ref_Unit_Balance!$B$31:$B$1048576,0)))</f>
        <v>5</v>
      </c>
      <c r="J155" s="5">
        <f>INDEX(ref_Unit_Balance!$S$31:$S$106,MATCH(UnitGradeInfo!B155,ref_Unit_Balance!$B$31:$B$1048576,0))</f>
        <v>1000</v>
      </c>
      <c r="K155" s="5">
        <v>0</v>
      </c>
      <c r="L155" s="5">
        <f>INDEX(ref_Unit_Balance!$I$31:$I$106,MATCH(UnitGradeInfo!B155,ref_Unit_Balance!$B$31:$B$1048576,0))</f>
        <v>5</v>
      </c>
      <c r="M155" s="5">
        <f t="shared" si="18"/>
        <v>14</v>
      </c>
      <c r="N155" s="5">
        <f t="shared" si="19"/>
        <v>140</v>
      </c>
      <c r="O155" s="5">
        <f>(INDEX(Unitinfo!I:I,MATCH(B155,Unitinfo!A:A,0))+1)*2</f>
        <v>2</v>
      </c>
      <c r="P155" s="5">
        <v>0</v>
      </c>
      <c r="Q155" s="5">
        <v>0</v>
      </c>
      <c r="R155" s="19" t="s">
        <v>121</v>
      </c>
      <c r="S155" s="19" t="s">
        <v>121</v>
      </c>
      <c r="T155" s="5">
        <f t="shared" si="14"/>
        <v>2006</v>
      </c>
      <c r="U155" s="5">
        <f t="shared" si="15"/>
        <v>1</v>
      </c>
      <c r="V155" s="5">
        <v>0</v>
      </c>
      <c r="W155" s="5">
        <v>10</v>
      </c>
    </row>
    <row r="156" spans="1:23">
      <c r="A156" s="5">
        <f t="shared" si="16"/>
        <v>153</v>
      </c>
      <c r="B156" s="93">
        <f t="shared" si="17"/>
        <v>2006</v>
      </c>
      <c r="C156" s="20" t="str">
        <f>INDEX(Unitinfo!C:C,MATCH(UnitGradeInfo!B156,Unitinfo!A:A,0))</f>
        <v>(근거리)Zombie_Hand</v>
      </c>
      <c r="D156" s="5">
        <f>COUNTIF($B$4:B156,B156)</f>
        <v>8</v>
      </c>
      <c r="E156" s="5">
        <f>ROUNDDOWN(INDEX(ref_Unit_Balance!$G$31:$G$106,MATCH(UnitGradeInfo!B156,ref_Unit_Balance!$B$31:$B$1048576,0))
+INDEX(ref_Unit_Balance!$G$20:$G$23,MATCH(IFERROR(INDEX(ref_Unit_Balance!$D$31:$D$1048576,MATCH(B156,ref_Unit_Balance!$B$31:$B$1048576,0)),0),ref_Unit_Balance!$B$20:$B$23,0))*D156*ref_Unit_Balance!$C$25,0)</f>
        <v>550</v>
      </c>
      <c r="F156" s="5">
        <f>INDEX(ref_Unit_Balance!$V$31:$V$106,MATCH(UnitGradeInfo!B156,ref_Unit_Balance!$B$31:$B$1048576,0))
+
INDEX(ref_Unit_Balance!$AB$31:$AB$106,MATCH(UnitGradeInfo!B156,ref_Unit_Balance!$B$31:$B$1048576,0))*(D156-1)</f>
        <v>1700</v>
      </c>
      <c r="G156" s="5">
        <f>INDEX(ref_Unit_Balance!$R$31:$R$106,MATCH(UnitGradeInfo!B156,ref_Unit_Balance!$B$31:$B$1048576,0))
+
INDEX(ref_Unit_Balance!$AA$31:$AA$106,MATCH(UnitGradeInfo!B156,ref_Unit_Balance!$B$31:$B$1048576,0))*(D156-1)</f>
        <v>339</v>
      </c>
      <c r="H156" s="39">
        <f>IF(INDEX(Unitinfo!D:D,MATCH(UnitGradeInfo!B156,Unitinfo!A:A,0))=1,50,5)</f>
        <v>5</v>
      </c>
      <c r="I156" s="5">
        <f>IF(INDEX(ref_Unit_Balance!$T$31:$T$106,MATCH(UnitGradeInfo!B156,ref_Unit_Balance!$B$31:$B$1048576,0))=0,1,INDEX(ref_Unit_Balance!$T$31:$T$106,MATCH(UnitGradeInfo!B156,ref_Unit_Balance!$B$31:$B$1048576,0)))</f>
        <v>5</v>
      </c>
      <c r="J156" s="5">
        <f>INDEX(ref_Unit_Balance!$S$31:$S$106,MATCH(UnitGradeInfo!B156,ref_Unit_Balance!$B$31:$B$1048576,0))</f>
        <v>1000</v>
      </c>
      <c r="K156" s="5">
        <v>0</v>
      </c>
      <c r="L156" s="5">
        <f>INDEX(ref_Unit_Balance!$I$31:$I$106,MATCH(UnitGradeInfo!B156,ref_Unit_Balance!$B$31:$B$1048576,0))</f>
        <v>5</v>
      </c>
      <c r="M156" s="5">
        <f t="shared" si="18"/>
        <v>16</v>
      </c>
      <c r="N156" s="5">
        <f t="shared" si="19"/>
        <v>160</v>
      </c>
      <c r="O156" s="5">
        <f>(INDEX(Unitinfo!I:I,MATCH(B156,Unitinfo!A:A,0))+1)*2</f>
        <v>2</v>
      </c>
      <c r="P156" s="5">
        <v>0</v>
      </c>
      <c r="Q156" s="5">
        <v>0</v>
      </c>
      <c r="R156" s="19" t="s">
        <v>121</v>
      </c>
      <c r="S156" s="19" t="s">
        <v>121</v>
      </c>
      <c r="T156" s="5">
        <f t="shared" ref="T156:T219" si="20">B156</f>
        <v>2006</v>
      </c>
      <c r="U156" s="5">
        <f t="shared" ref="U156:U219" si="21">IF(B156&gt;10000,0,1)</f>
        <v>1</v>
      </c>
      <c r="V156" s="5">
        <v>0</v>
      </c>
      <c r="W156" s="5">
        <v>10</v>
      </c>
    </row>
    <row r="157" spans="1:23">
      <c r="A157" s="5">
        <f t="shared" si="16"/>
        <v>154</v>
      </c>
      <c r="B157" s="93">
        <f t="shared" si="17"/>
        <v>2006</v>
      </c>
      <c r="C157" s="20" t="str">
        <f>INDEX(Unitinfo!C:C,MATCH(UnitGradeInfo!B157,Unitinfo!A:A,0))</f>
        <v>(근거리)Zombie_Hand</v>
      </c>
      <c r="D157" s="5">
        <f>COUNTIF($B$4:B157,B157)</f>
        <v>9</v>
      </c>
      <c r="E157" s="5">
        <f>ROUNDDOWN(INDEX(ref_Unit_Balance!$G$31:$G$106,MATCH(UnitGradeInfo!B157,ref_Unit_Balance!$B$31:$B$1048576,0))
+INDEX(ref_Unit_Balance!$G$20:$G$23,MATCH(IFERROR(INDEX(ref_Unit_Balance!$D$31:$D$1048576,MATCH(B157,ref_Unit_Balance!$B$31:$B$1048576,0)),0),ref_Unit_Balance!$B$20:$B$23,0))*D157*ref_Unit_Balance!$C$25,0)</f>
        <v>600</v>
      </c>
      <c r="F157" s="5">
        <f>INDEX(ref_Unit_Balance!$V$31:$V$106,MATCH(UnitGradeInfo!B157,ref_Unit_Balance!$B$31:$B$1048576,0))
+
INDEX(ref_Unit_Balance!$AB$31:$AB$106,MATCH(UnitGradeInfo!B157,ref_Unit_Balance!$B$31:$B$1048576,0))*(D157-1)</f>
        <v>1900</v>
      </c>
      <c r="G157" s="5">
        <f>INDEX(ref_Unit_Balance!$R$31:$R$106,MATCH(UnitGradeInfo!B157,ref_Unit_Balance!$B$31:$B$1048576,0))
+
INDEX(ref_Unit_Balance!$AA$31:$AA$106,MATCH(UnitGradeInfo!B157,ref_Unit_Balance!$B$31:$B$1048576,0))*(D157-1)</f>
        <v>346</v>
      </c>
      <c r="H157" s="39">
        <f>IF(INDEX(Unitinfo!D:D,MATCH(UnitGradeInfo!B157,Unitinfo!A:A,0))=1,50,5)</f>
        <v>5</v>
      </c>
      <c r="I157" s="5">
        <f>IF(INDEX(ref_Unit_Balance!$T$31:$T$106,MATCH(UnitGradeInfo!B157,ref_Unit_Balance!$B$31:$B$1048576,0))=0,1,INDEX(ref_Unit_Balance!$T$31:$T$106,MATCH(UnitGradeInfo!B157,ref_Unit_Balance!$B$31:$B$1048576,0)))</f>
        <v>5</v>
      </c>
      <c r="J157" s="5">
        <f>INDEX(ref_Unit_Balance!$S$31:$S$106,MATCH(UnitGradeInfo!B157,ref_Unit_Balance!$B$31:$B$1048576,0))</f>
        <v>1000</v>
      </c>
      <c r="K157" s="5">
        <v>0</v>
      </c>
      <c r="L157" s="5">
        <f>INDEX(ref_Unit_Balance!$I$31:$I$106,MATCH(UnitGradeInfo!B157,ref_Unit_Balance!$B$31:$B$1048576,0))</f>
        <v>5</v>
      </c>
      <c r="M157" s="5">
        <f t="shared" si="18"/>
        <v>18</v>
      </c>
      <c r="N157" s="5">
        <f t="shared" si="19"/>
        <v>180</v>
      </c>
      <c r="O157" s="5">
        <f>(INDEX(Unitinfo!I:I,MATCH(B157,Unitinfo!A:A,0))+1)*2</f>
        <v>2</v>
      </c>
      <c r="P157" s="5">
        <v>0</v>
      </c>
      <c r="Q157" s="5">
        <v>0</v>
      </c>
      <c r="R157" s="19" t="s">
        <v>121</v>
      </c>
      <c r="S157" s="19" t="s">
        <v>121</v>
      </c>
      <c r="T157" s="5">
        <f t="shared" si="20"/>
        <v>2006</v>
      </c>
      <c r="U157" s="5">
        <f t="shared" si="21"/>
        <v>1</v>
      </c>
      <c r="V157" s="5">
        <v>0</v>
      </c>
      <c r="W157" s="5">
        <v>10</v>
      </c>
    </row>
    <row r="158" spans="1:23">
      <c r="A158" s="5">
        <f t="shared" si="16"/>
        <v>155</v>
      </c>
      <c r="B158" s="93">
        <f t="shared" si="17"/>
        <v>2006</v>
      </c>
      <c r="C158" s="20" t="str">
        <f>INDEX(Unitinfo!C:C,MATCH(UnitGradeInfo!B158,Unitinfo!A:A,0))</f>
        <v>(근거리)Zombie_Hand</v>
      </c>
      <c r="D158" s="5">
        <f>COUNTIF($B$4:B158,B158)</f>
        <v>10</v>
      </c>
      <c r="E158" s="5">
        <f>ROUNDDOWN(INDEX(ref_Unit_Balance!$G$31:$G$106,MATCH(UnitGradeInfo!B158,ref_Unit_Balance!$B$31:$B$1048576,0))
+INDEX(ref_Unit_Balance!$G$20:$G$23,MATCH(IFERROR(INDEX(ref_Unit_Balance!$D$31:$D$1048576,MATCH(B158,ref_Unit_Balance!$B$31:$B$1048576,0)),0),ref_Unit_Balance!$B$20:$B$23,0))*D158*ref_Unit_Balance!$C$25,0)</f>
        <v>650</v>
      </c>
      <c r="F158" s="5">
        <f>INDEX(ref_Unit_Balance!$V$31:$V$106,MATCH(UnitGradeInfo!B158,ref_Unit_Balance!$B$31:$B$1048576,0))
+
INDEX(ref_Unit_Balance!$AB$31:$AB$106,MATCH(UnitGradeInfo!B158,ref_Unit_Balance!$B$31:$B$1048576,0))*(D158-1)</f>
        <v>2100</v>
      </c>
      <c r="G158" s="5">
        <f>INDEX(ref_Unit_Balance!$R$31:$R$106,MATCH(UnitGradeInfo!B158,ref_Unit_Balance!$B$31:$B$1048576,0))
+
INDEX(ref_Unit_Balance!$AA$31:$AA$106,MATCH(UnitGradeInfo!B158,ref_Unit_Balance!$B$31:$B$1048576,0))*(D158-1)</f>
        <v>353</v>
      </c>
      <c r="H158" s="39">
        <f>IF(INDEX(Unitinfo!D:D,MATCH(UnitGradeInfo!B158,Unitinfo!A:A,0))=1,50,5)</f>
        <v>5</v>
      </c>
      <c r="I158" s="5">
        <f>IF(INDEX(ref_Unit_Balance!$T$31:$T$106,MATCH(UnitGradeInfo!B158,ref_Unit_Balance!$B$31:$B$1048576,0))=0,1,INDEX(ref_Unit_Balance!$T$31:$T$106,MATCH(UnitGradeInfo!B158,ref_Unit_Balance!$B$31:$B$1048576,0)))</f>
        <v>5</v>
      </c>
      <c r="J158" s="5">
        <f>INDEX(ref_Unit_Balance!$S$31:$S$106,MATCH(UnitGradeInfo!B158,ref_Unit_Balance!$B$31:$B$1048576,0))</f>
        <v>1000</v>
      </c>
      <c r="K158" s="5">
        <v>0</v>
      </c>
      <c r="L158" s="5">
        <f>INDEX(ref_Unit_Balance!$I$31:$I$106,MATCH(UnitGradeInfo!B158,ref_Unit_Balance!$B$31:$B$1048576,0))</f>
        <v>5</v>
      </c>
      <c r="M158" s="5">
        <f t="shared" si="18"/>
        <v>20</v>
      </c>
      <c r="N158" s="5">
        <f t="shared" si="19"/>
        <v>200</v>
      </c>
      <c r="O158" s="5">
        <f>(INDEX(Unitinfo!I:I,MATCH(B158,Unitinfo!A:A,0))+1)*2</f>
        <v>2</v>
      </c>
      <c r="P158" s="5">
        <v>0</v>
      </c>
      <c r="Q158" s="5">
        <v>0</v>
      </c>
      <c r="R158" s="19" t="s">
        <v>121</v>
      </c>
      <c r="S158" s="19" t="s">
        <v>121</v>
      </c>
      <c r="T158" s="5">
        <f t="shared" si="20"/>
        <v>2006</v>
      </c>
      <c r="U158" s="5">
        <f t="shared" si="21"/>
        <v>1</v>
      </c>
      <c r="V158" s="5">
        <v>0</v>
      </c>
      <c r="W158" s="5">
        <v>10</v>
      </c>
    </row>
    <row r="159" spans="1:23">
      <c r="A159" s="5">
        <f t="shared" si="16"/>
        <v>156</v>
      </c>
      <c r="B159" s="93">
        <f t="shared" si="17"/>
        <v>2006</v>
      </c>
      <c r="C159" s="20" t="str">
        <f>INDEX(Unitinfo!C:C,MATCH(UnitGradeInfo!B159,Unitinfo!A:A,0))</f>
        <v>(근거리)Zombie_Hand</v>
      </c>
      <c r="D159" s="5">
        <f>COUNTIF($B$4:B159,B159)</f>
        <v>11</v>
      </c>
      <c r="E159" s="5">
        <f>ROUNDDOWN(INDEX(ref_Unit_Balance!$G$31:$G$106,MATCH(UnitGradeInfo!B159,ref_Unit_Balance!$B$31:$B$1048576,0))
+INDEX(ref_Unit_Balance!$G$20:$G$23,MATCH(IFERROR(INDEX(ref_Unit_Balance!$D$31:$D$1048576,MATCH(B159,ref_Unit_Balance!$B$31:$B$1048576,0)),0),ref_Unit_Balance!$B$20:$B$23,0))*D159*ref_Unit_Balance!$C$25,0)</f>
        <v>700</v>
      </c>
      <c r="F159" s="5">
        <f>INDEX(ref_Unit_Balance!$V$31:$V$106,MATCH(UnitGradeInfo!B159,ref_Unit_Balance!$B$31:$B$1048576,0))
+
INDEX(ref_Unit_Balance!$AB$31:$AB$106,MATCH(UnitGradeInfo!B159,ref_Unit_Balance!$B$31:$B$1048576,0))*(D159-1)</f>
        <v>2300</v>
      </c>
      <c r="G159" s="5">
        <f>INDEX(ref_Unit_Balance!$R$31:$R$106,MATCH(UnitGradeInfo!B159,ref_Unit_Balance!$B$31:$B$1048576,0))
+
INDEX(ref_Unit_Balance!$AA$31:$AA$106,MATCH(UnitGradeInfo!B159,ref_Unit_Balance!$B$31:$B$1048576,0))*(D159-1)</f>
        <v>360</v>
      </c>
      <c r="H159" s="39">
        <f>IF(INDEX(Unitinfo!D:D,MATCH(UnitGradeInfo!B159,Unitinfo!A:A,0))=1,50,5)</f>
        <v>5</v>
      </c>
      <c r="I159" s="5">
        <f>IF(INDEX(ref_Unit_Balance!$T$31:$T$106,MATCH(UnitGradeInfo!B159,ref_Unit_Balance!$B$31:$B$1048576,0))=0,1,INDEX(ref_Unit_Balance!$T$31:$T$106,MATCH(UnitGradeInfo!B159,ref_Unit_Balance!$B$31:$B$1048576,0)))</f>
        <v>5</v>
      </c>
      <c r="J159" s="5">
        <f>INDEX(ref_Unit_Balance!$S$31:$S$106,MATCH(UnitGradeInfo!B159,ref_Unit_Balance!$B$31:$B$1048576,0))</f>
        <v>1000</v>
      </c>
      <c r="K159" s="5">
        <v>0</v>
      </c>
      <c r="L159" s="5">
        <f>INDEX(ref_Unit_Balance!$I$31:$I$106,MATCH(UnitGradeInfo!B159,ref_Unit_Balance!$B$31:$B$1048576,0))</f>
        <v>5</v>
      </c>
      <c r="M159" s="5">
        <f t="shared" si="18"/>
        <v>22</v>
      </c>
      <c r="N159" s="5">
        <f t="shared" si="19"/>
        <v>220</v>
      </c>
      <c r="O159" s="5">
        <f>(INDEX(Unitinfo!I:I,MATCH(B159,Unitinfo!A:A,0))+1)*2</f>
        <v>2</v>
      </c>
      <c r="P159" s="5">
        <v>0</v>
      </c>
      <c r="Q159" s="5">
        <v>0</v>
      </c>
      <c r="R159" s="19" t="s">
        <v>121</v>
      </c>
      <c r="S159" s="19" t="s">
        <v>121</v>
      </c>
      <c r="T159" s="5">
        <f t="shared" si="20"/>
        <v>2006</v>
      </c>
      <c r="U159" s="5">
        <f t="shared" si="21"/>
        <v>1</v>
      </c>
      <c r="V159" s="5">
        <v>0</v>
      </c>
      <c r="W159" s="5">
        <v>10</v>
      </c>
    </row>
    <row r="160" spans="1:23">
      <c r="A160" s="5">
        <f t="shared" si="16"/>
        <v>157</v>
      </c>
      <c r="B160" s="93">
        <f t="shared" si="17"/>
        <v>2006</v>
      </c>
      <c r="C160" s="20" t="str">
        <f>INDEX(Unitinfo!C:C,MATCH(UnitGradeInfo!B160,Unitinfo!A:A,0))</f>
        <v>(근거리)Zombie_Hand</v>
      </c>
      <c r="D160" s="5">
        <f>COUNTIF($B$4:B160,B160)</f>
        <v>12</v>
      </c>
      <c r="E160" s="5">
        <f>ROUNDDOWN(INDEX(ref_Unit_Balance!$G$31:$G$106,MATCH(UnitGradeInfo!B160,ref_Unit_Balance!$B$31:$B$1048576,0))
+INDEX(ref_Unit_Balance!$G$20:$G$23,MATCH(IFERROR(INDEX(ref_Unit_Balance!$D$31:$D$1048576,MATCH(B160,ref_Unit_Balance!$B$31:$B$1048576,0)),0),ref_Unit_Balance!$B$20:$B$23,0))*D160*ref_Unit_Balance!$C$25,0)</f>
        <v>750</v>
      </c>
      <c r="F160" s="5">
        <f>INDEX(ref_Unit_Balance!$V$31:$V$106,MATCH(UnitGradeInfo!B160,ref_Unit_Balance!$B$31:$B$1048576,0))
+
INDEX(ref_Unit_Balance!$AB$31:$AB$106,MATCH(UnitGradeInfo!B160,ref_Unit_Balance!$B$31:$B$1048576,0))*(D160-1)</f>
        <v>2500</v>
      </c>
      <c r="G160" s="5">
        <f>INDEX(ref_Unit_Balance!$R$31:$R$106,MATCH(UnitGradeInfo!B160,ref_Unit_Balance!$B$31:$B$1048576,0))
+
INDEX(ref_Unit_Balance!$AA$31:$AA$106,MATCH(UnitGradeInfo!B160,ref_Unit_Balance!$B$31:$B$1048576,0))*(D160-1)</f>
        <v>367</v>
      </c>
      <c r="H160" s="39">
        <f>IF(INDEX(Unitinfo!D:D,MATCH(UnitGradeInfo!B160,Unitinfo!A:A,0))=1,50,5)</f>
        <v>5</v>
      </c>
      <c r="I160" s="5">
        <f>IF(INDEX(ref_Unit_Balance!$T$31:$T$106,MATCH(UnitGradeInfo!B160,ref_Unit_Balance!$B$31:$B$1048576,0))=0,1,INDEX(ref_Unit_Balance!$T$31:$T$106,MATCH(UnitGradeInfo!B160,ref_Unit_Balance!$B$31:$B$1048576,0)))</f>
        <v>5</v>
      </c>
      <c r="J160" s="5">
        <f>INDEX(ref_Unit_Balance!$S$31:$S$106,MATCH(UnitGradeInfo!B160,ref_Unit_Balance!$B$31:$B$1048576,0))</f>
        <v>1000</v>
      </c>
      <c r="K160" s="5">
        <v>0</v>
      </c>
      <c r="L160" s="5">
        <f>INDEX(ref_Unit_Balance!$I$31:$I$106,MATCH(UnitGradeInfo!B160,ref_Unit_Balance!$B$31:$B$1048576,0))</f>
        <v>5</v>
      </c>
      <c r="M160" s="5">
        <f t="shared" si="18"/>
        <v>24</v>
      </c>
      <c r="N160" s="5">
        <f t="shared" si="19"/>
        <v>240</v>
      </c>
      <c r="O160" s="5">
        <f>(INDEX(Unitinfo!I:I,MATCH(B160,Unitinfo!A:A,0))+1)*2</f>
        <v>2</v>
      </c>
      <c r="P160" s="5">
        <v>0</v>
      </c>
      <c r="Q160" s="5">
        <v>0</v>
      </c>
      <c r="R160" s="19" t="s">
        <v>121</v>
      </c>
      <c r="S160" s="19" t="s">
        <v>121</v>
      </c>
      <c r="T160" s="5">
        <f t="shared" si="20"/>
        <v>2006</v>
      </c>
      <c r="U160" s="5">
        <f t="shared" si="21"/>
        <v>1</v>
      </c>
      <c r="V160" s="5">
        <v>0</v>
      </c>
      <c r="W160" s="5">
        <v>10</v>
      </c>
    </row>
    <row r="161" spans="1:23">
      <c r="A161" s="5">
        <f t="shared" si="16"/>
        <v>158</v>
      </c>
      <c r="B161" s="93">
        <f t="shared" si="17"/>
        <v>2006</v>
      </c>
      <c r="C161" s="20" t="str">
        <f>INDEX(Unitinfo!C:C,MATCH(UnitGradeInfo!B161,Unitinfo!A:A,0))</f>
        <v>(근거리)Zombie_Hand</v>
      </c>
      <c r="D161" s="5">
        <f>COUNTIF($B$4:B161,B161)</f>
        <v>13</v>
      </c>
      <c r="E161" s="5">
        <f>ROUNDDOWN(INDEX(ref_Unit_Balance!$G$31:$G$106,MATCH(UnitGradeInfo!B161,ref_Unit_Balance!$B$31:$B$1048576,0))
+INDEX(ref_Unit_Balance!$G$20:$G$23,MATCH(IFERROR(INDEX(ref_Unit_Balance!$D$31:$D$1048576,MATCH(B161,ref_Unit_Balance!$B$31:$B$1048576,0)),0),ref_Unit_Balance!$B$20:$B$23,0))*D161*ref_Unit_Balance!$C$25,0)</f>
        <v>800</v>
      </c>
      <c r="F161" s="5">
        <f>INDEX(ref_Unit_Balance!$V$31:$V$106,MATCH(UnitGradeInfo!B161,ref_Unit_Balance!$B$31:$B$1048576,0))
+
INDEX(ref_Unit_Balance!$AB$31:$AB$106,MATCH(UnitGradeInfo!B161,ref_Unit_Balance!$B$31:$B$1048576,0))*(D161-1)</f>
        <v>2700</v>
      </c>
      <c r="G161" s="5">
        <f>INDEX(ref_Unit_Balance!$R$31:$R$106,MATCH(UnitGradeInfo!B161,ref_Unit_Balance!$B$31:$B$1048576,0))
+
INDEX(ref_Unit_Balance!$AA$31:$AA$106,MATCH(UnitGradeInfo!B161,ref_Unit_Balance!$B$31:$B$1048576,0))*(D161-1)</f>
        <v>374</v>
      </c>
      <c r="H161" s="39">
        <f>IF(INDEX(Unitinfo!D:D,MATCH(UnitGradeInfo!B161,Unitinfo!A:A,0))=1,50,5)</f>
        <v>5</v>
      </c>
      <c r="I161" s="5">
        <f>IF(INDEX(ref_Unit_Balance!$T$31:$T$106,MATCH(UnitGradeInfo!B161,ref_Unit_Balance!$B$31:$B$1048576,0))=0,1,INDEX(ref_Unit_Balance!$T$31:$T$106,MATCH(UnitGradeInfo!B161,ref_Unit_Balance!$B$31:$B$1048576,0)))</f>
        <v>5</v>
      </c>
      <c r="J161" s="5">
        <f>INDEX(ref_Unit_Balance!$S$31:$S$106,MATCH(UnitGradeInfo!B161,ref_Unit_Balance!$B$31:$B$1048576,0))</f>
        <v>1000</v>
      </c>
      <c r="K161" s="5">
        <v>0</v>
      </c>
      <c r="L161" s="5">
        <f>INDEX(ref_Unit_Balance!$I$31:$I$106,MATCH(UnitGradeInfo!B161,ref_Unit_Balance!$B$31:$B$1048576,0))</f>
        <v>5</v>
      </c>
      <c r="M161" s="5">
        <f t="shared" si="18"/>
        <v>26</v>
      </c>
      <c r="N161" s="5">
        <f t="shared" si="19"/>
        <v>260</v>
      </c>
      <c r="O161" s="5">
        <f>(INDEX(Unitinfo!I:I,MATCH(B161,Unitinfo!A:A,0))+1)*2</f>
        <v>2</v>
      </c>
      <c r="P161" s="5">
        <v>0</v>
      </c>
      <c r="Q161" s="5">
        <v>0</v>
      </c>
      <c r="R161" s="19" t="s">
        <v>121</v>
      </c>
      <c r="S161" s="19" t="s">
        <v>121</v>
      </c>
      <c r="T161" s="5">
        <f t="shared" si="20"/>
        <v>2006</v>
      </c>
      <c r="U161" s="5">
        <f t="shared" si="21"/>
        <v>1</v>
      </c>
      <c r="V161" s="5">
        <v>0</v>
      </c>
      <c r="W161" s="5">
        <v>10</v>
      </c>
    </row>
    <row r="162" spans="1:23">
      <c r="A162" s="5">
        <f t="shared" si="16"/>
        <v>159</v>
      </c>
      <c r="B162" s="93">
        <f t="shared" si="17"/>
        <v>2006</v>
      </c>
      <c r="C162" s="20" t="str">
        <f>INDEX(Unitinfo!C:C,MATCH(UnitGradeInfo!B162,Unitinfo!A:A,0))</f>
        <v>(근거리)Zombie_Hand</v>
      </c>
      <c r="D162" s="5">
        <f>COUNTIF($B$4:B162,B162)</f>
        <v>14</v>
      </c>
      <c r="E162" s="5">
        <f>ROUNDDOWN(INDEX(ref_Unit_Balance!$G$31:$G$106,MATCH(UnitGradeInfo!B162,ref_Unit_Balance!$B$31:$B$1048576,0))
+INDEX(ref_Unit_Balance!$G$20:$G$23,MATCH(IFERROR(INDEX(ref_Unit_Balance!$D$31:$D$1048576,MATCH(B162,ref_Unit_Balance!$B$31:$B$1048576,0)),0),ref_Unit_Balance!$B$20:$B$23,0))*D162*ref_Unit_Balance!$C$25,0)</f>
        <v>850</v>
      </c>
      <c r="F162" s="5">
        <f>INDEX(ref_Unit_Balance!$V$31:$V$106,MATCH(UnitGradeInfo!B162,ref_Unit_Balance!$B$31:$B$1048576,0))
+
INDEX(ref_Unit_Balance!$AB$31:$AB$106,MATCH(UnitGradeInfo!B162,ref_Unit_Balance!$B$31:$B$1048576,0))*(D162-1)</f>
        <v>2900</v>
      </c>
      <c r="G162" s="5">
        <f>INDEX(ref_Unit_Balance!$R$31:$R$106,MATCH(UnitGradeInfo!B162,ref_Unit_Balance!$B$31:$B$1048576,0))
+
INDEX(ref_Unit_Balance!$AA$31:$AA$106,MATCH(UnitGradeInfo!B162,ref_Unit_Balance!$B$31:$B$1048576,0))*(D162-1)</f>
        <v>381</v>
      </c>
      <c r="H162" s="39">
        <f>IF(INDEX(Unitinfo!D:D,MATCH(UnitGradeInfo!B162,Unitinfo!A:A,0))=1,50,5)</f>
        <v>5</v>
      </c>
      <c r="I162" s="5">
        <f>IF(INDEX(ref_Unit_Balance!$T$31:$T$106,MATCH(UnitGradeInfo!B162,ref_Unit_Balance!$B$31:$B$1048576,0))=0,1,INDEX(ref_Unit_Balance!$T$31:$T$106,MATCH(UnitGradeInfo!B162,ref_Unit_Balance!$B$31:$B$1048576,0)))</f>
        <v>5</v>
      </c>
      <c r="J162" s="5">
        <f>INDEX(ref_Unit_Balance!$S$31:$S$106,MATCH(UnitGradeInfo!B162,ref_Unit_Balance!$B$31:$B$1048576,0))</f>
        <v>1000</v>
      </c>
      <c r="K162" s="5">
        <v>0</v>
      </c>
      <c r="L162" s="5">
        <f>INDEX(ref_Unit_Balance!$I$31:$I$106,MATCH(UnitGradeInfo!B162,ref_Unit_Balance!$B$31:$B$1048576,0))</f>
        <v>5</v>
      </c>
      <c r="M162" s="5">
        <f t="shared" si="18"/>
        <v>28</v>
      </c>
      <c r="N162" s="5">
        <f t="shared" si="19"/>
        <v>280</v>
      </c>
      <c r="O162" s="5">
        <f>(INDEX(Unitinfo!I:I,MATCH(B162,Unitinfo!A:A,0))+1)*2</f>
        <v>2</v>
      </c>
      <c r="P162" s="5">
        <v>0</v>
      </c>
      <c r="Q162" s="5">
        <v>0</v>
      </c>
      <c r="R162" s="19" t="s">
        <v>121</v>
      </c>
      <c r="S162" s="19" t="s">
        <v>121</v>
      </c>
      <c r="T162" s="5">
        <f t="shared" si="20"/>
        <v>2006</v>
      </c>
      <c r="U162" s="5">
        <f t="shared" si="21"/>
        <v>1</v>
      </c>
      <c r="V162" s="5">
        <v>0</v>
      </c>
      <c r="W162" s="5">
        <v>10</v>
      </c>
    </row>
    <row r="163" spans="1:23">
      <c r="A163" s="5">
        <f t="shared" si="16"/>
        <v>160</v>
      </c>
      <c r="B163" s="93">
        <f t="shared" si="17"/>
        <v>2006</v>
      </c>
      <c r="C163" s="20" t="str">
        <f>INDEX(Unitinfo!C:C,MATCH(UnitGradeInfo!B163,Unitinfo!A:A,0))</f>
        <v>(근거리)Zombie_Hand</v>
      </c>
      <c r="D163" s="5">
        <f>COUNTIF($B$4:B163,B163)</f>
        <v>15</v>
      </c>
      <c r="E163" s="5">
        <f>ROUNDDOWN(INDEX(ref_Unit_Balance!$G$31:$G$106,MATCH(UnitGradeInfo!B163,ref_Unit_Balance!$B$31:$B$1048576,0))
+INDEX(ref_Unit_Balance!$G$20:$G$23,MATCH(IFERROR(INDEX(ref_Unit_Balance!$D$31:$D$1048576,MATCH(B163,ref_Unit_Balance!$B$31:$B$1048576,0)),0),ref_Unit_Balance!$B$20:$B$23,0))*D163*ref_Unit_Balance!$C$25,0)</f>
        <v>900</v>
      </c>
      <c r="F163" s="5">
        <f>INDEX(ref_Unit_Balance!$V$31:$V$106,MATCH(UnitGradeInfo!B163,ref_Unit_Balance!$B$31:$B$1048576,0))
+
INDEX(ref_Unit_Balance!$AB$31:$AB$106,MATCH(UnitGradeInfo!B163,ref_Unit_Balance!$B$31:$B$1048576,0))*(D163-1)</f>
        <v>3100</v>
      </c>
      <c r="G163" s="5">
        <f>INDEX(ref_Unit_Balance!$R$31:$R$106,MATCH(UnitGradeInfo!B163,ref_Unit_Balance!$B$31:$B$1048576,0))
+
INDEX(ref_Unit_Balance!$AA$31:$AA$106,MATCH(UnitGradeInfo!B163,ref_Unit_Balance!$B$31:$B$1048576,0))*(D163-1)</f>
        <v>388</v>
      </c>
      <c r="H163" s="39">
        <f>IF(INDEX(Unitinfo!D:D,MATCH(UnitGradeInfo!B163,Unitinfo!A:A,0))=1,50,5)</f>
        <v>5</v>
      </c>
      <c r="I163" s="5">
        <f>IF(INDEX(ref_Unit_Balance!$T$31:$T$106,MATCH(UnitGradeInfo!B163,ref_Unit_Balance!$B$31:$B$1048576,0))=0,1,INDEX(ref_Unit_Balance!$T$31:$T$106,MATCH(UnitGradeInfo!B163,ref_Unit_Balance!$B$31:$B$1048576,0)))</f>
        <v>5</v>
      </c>
      <c r="J163" s="5">
        <f>INDEX(ref_Unit_Balance!$S$31:$S$106,MATCH(UnitGradeInfo!B163,ref_Unit_Balance!$B$31:$B$1048576,0))</f>
        <v>1000</v>
      </c>
      <c r="K163" s="5">
        <v>0</v>
      </c>
      <c r="L163" s="5">
        <f>INDEX(ref_Unit_Balance!$I$31:$I$106,MATCH(UnitGradeInfo!B163,ref_Unit_Balance!$B$31:$B$1048576,0))</f>
        <v>5</v>
      </c>
      <c r="M163" s="5">
        <f t="shared" si="18"/>
        <v>30</v>
      </c>
      <c r="N163" s="5">
        <f t="shared" si="19"/>
        <v>300</v>
      </c>
      <c r="O163" s="5">
        <f>(INDEX(Unitinfo!I:I,MATCH(B163,Unitinfo!A:A,0))+1)*2</f>
        <v>2</v>
      </c>
      <c r="P163" s="5">
        <v>0</v>
      </c>
      <c r="Q163" s="5">
        <v>0</v>
      </c>
      <c r="R163" s="19" t="s">
        <v>121</v>
      </c>
      <c r="S163" s="19" t="s">
        <v>121</v>
      </c>
      <c r="T163" s="5">
        <f t="shared" si="20"/>
        <v>2006</v>
      </c>
      <c r="U163" s="5">
        <f t="shared" si="21"/>
        <v>1</v>
      </c>
      <c r="V163" s="5">
        <v>0</v>
      </c>
      <c r="W163" s="5">
        <v>10</v>
      </c>
    </row>
    <row r="164" spans="1:23">
      <c r="A164" s="5">
        <f t="shared" si="16"/>
        <v>161</v>
      </c>
      <c r="B164" s="93">
        <f t="shared" si="17"/>
        <v>2006</v>
      </c>
      <c r="C164" s="20" t="str">
        <f>INDEX(Unitinfo!C:C,MATCH(UnitGradeInfo!B164,Unitinfo!A:A,0))</f>
        <v>(근거리)Zombie_Hand</v>
      </c>
      <c r="D164" s="5">
        <f>COUNTIF($B$4:B164,B164)</f>
        <v>16</v>
      </c>
      <c r="E164" s="5">
        <f>ROUNDDOWN(INDEX(ref_Unit_Balance!$G$31:$G$106,MATCH(UnitGradeInfo!B164,ref_Unit_Balance!$B$31:$B$1048576,0))
+INDEX(ref_Unit_Balance!$G$20:$G$23,MATCH(IFERROR(INDEX(ref_Unit_Balance!$D$31:$D$1048576,MATCH(B164,ref_Unit_Balance!$B$31:$B$1048576,0)),0),ref_Unit_Balance!$B$20:$B$23,0))*D164*ref_Unit_Balance!$C$25,0)</f>
        <v>950</v>
      </c>
      <c r="F164" s="5">
        <f>INDEX(ref_Unit_Balance!$V$31:$V$106,MATCH(UnitGradeInfo!B164,ref_Unit_Balance!$B$31:$B$1048576,0))
+
INDEX(ref_Unit_Balance!$AB$31:$AB$106,MATCH(UnitGradeInfo!B164,ref_Unit_Balance!$B$31:$B$1048576,0))*(D164-1)</f>
        <v>3300</v>
      </c>
      <c r="G164" s="5">
        <f>INDEX(ref_Unit_Balance!$R$31:$R$106,MATCH(UnitGradeInfo!B164,ref_Unit_Balance!$B$31:$B$1048576,0))
+
INDEX(ref_Unit_Balance!$AA$31:$AA$106,MATCH(UnitGradeInfo!B164,ref_Unit_Balance!$B$31:$B$1048576,0))*(D164-1)</f>
        <v>395</v>
      </c>
      <c r="H164" s="39">
        <f>IF(INDEX(Unitinfo!D:D,MATCH(UnitGradeInfo!B164,Unitinfo!A:A,0))=1,50,5)</f>
        <v>5</v>
      </c>
      <c r="I164" s="5">
        <f>IF(INDEX(ref_Unit_Balance!$T$31:$T$106,MATCH(UnitGradeInfo!B164,ref_Unit_Balance!$B$31:$B$1048576,0))=0,1,INDEX(ref_Unit_Balance!$T$31:$T$106,MATCH(UnitGradeInfo!B164,ref_Unit_Balance!$B$31:$B$1048576,0)))</f>
        <v>5</v>
      </c>
      <c r="J164" s="5">
        <f>INDEX(ref_Unit_Balance!$S$31:$S$106,MATCH(UnitGradeInfo!B164,ref_Unit_Balance!$B$31:$B$1048576,0))</f>
        <v>1000</v>
      </c>
      <c r="K164" s="5">
        <v>0</v>
      </c>
      <c r="L164" s="5">
        <f>INDEX(ref_Unit_Balance!$I$31:$I$106,MATCH(UnitGradeInfo!B164,ref_Unit_Balance!$B$31:$B$1048576,0))</f>
        <v>5</v>
      </c>
      <c r="M164" s="5">
        <f t="shared" si="18"/>
        <v>32</v>
      </c>
      <c r="N164" s="5">
        <f t="shared" si="19"/>
        <v>320</v>
      </c>
      <c r="O164" s="5">
        <f>(INDEX(Unitinfo!I:I,MATCH(B164,Unitinfo!A:A,0))+1)*2</f>
        <v>2</v>
      </c>
      <c r="P164" s="5">
        <v>0</v>
      </c>
      <c r="Q164" s="5">
        <v>0</v>
      </c>
      <c r="R164" s="19" t="s">
        <v>121</v>
      </c>
      <c r="S164" s="19" t="s">
        <v>121</v>
      </c>
      <c r="T164" s="5">
        <f t="shared" si="20"/>
        <v>2006</v>
      </c>
      <c r="U164" s="5">
        <f t="shared" si="21"/>
        <v>1</v>
      </c>
      <c r="V164" s="5">
        <v>0</v>
      </c>
      <c r="W164" s="5">
        <v>10</v>
      </c>
    </row>
    <row r="165" spans="1:23">
      <c r="A165" s="5">
        <f t="shared" si="16"/>
        <v>162</v>
      </c>
      <c r="B165" s="93">
        <f t="shared" si="17"/>
        <v>2006</v>
      </c>
      <c r="C165" s="20" t="str">
        <f>INDEX(Unitinfo!C:C,MATCH(UnitGradeInfo!B165,Unitinfo!A:A,0))</f>
        <v>(근거리)Zombie_Hand</v>
      </c>
      <c r="D165" s="5">
        <f>COUNTIF($B$4:B165,B165)</f>
        <v>17</v>
      </c>
      <c r="E165" s="5">
        <f>ROUNDDOWN(INDEX(ref_Unit_Balance!$G$31:$G$106,MATCH(UnitGradeInfo!B165,ref_Unit_Balance!$B$31:$B$1048576,0))
+INDEX(ref_Unit_Balance!$G$20:$G$23,MATCH(IFERROR(INDEX(ref_Unit_Balance!$D$31:$D$1048576,MATCH(B165,ref_Unit_Balance!$B$31:$B$1048576,0)),0),ref_Unit_Balance!$B$20:$B$23,0))*D165*ref_Unit_Balance!$C$25,0)</f>
        <v>1000</v>
      </c>
      <c r="F165" s="5">
        <f>INDEX(ref_Unit_Balance!$V$31:$V$106,MATCH(UnitGradeInfo!B165,ref_Unit_Balance!$B$31:$B$1048576,0))
+
INDEX(ref_Unit_Balance!$AB$31:$AB$106,MATCH(UnitGradeInfo!B165,ref_Unit_Balance!$B$31:$B$1048576,0))*(D165-1)</f>
        <v>3500</v>
      </c>
      <c r="G165" s="5">
        <f>INDEX(ref_Unit_Balance!$R$31:$R$106,MATCH(UnitGradeInfo!B165,ref_Unit_Balance!$B$31:$B$1048576,0))
+
INDEX(ref_Unit_Balance!$AA$31:$AA$106,MATCH(UnitGradeInfo!B165,ref_Unit_Balance!$B$31:$B$1048576,0))*(D165-1)</f>
        <v>402</v>
      </c>
      <c r="H165" s="39">
        <f>IF(INDEX(Unitinfo!D:D,MATCH(UnitGradeInfo!B165,Unitinfo!A:A,0))=1,50,5)</f>
        <v>5</v>
      </c>
      <c r="I165" s="5">
        <f>IF(INDEX(ref_Unit_Balance!$T$31:$T$106,MATCH(UnitGradeInfo!B165,ref_Unit_Balance!$B$31:$B$1048576,0))=0,1,INDEX(ref_Unit_Balance!$T$31:$T$106,MATCH(UnitGradeInfo!B165,ref_Unit_Balance!$B$31:$B$1048576,0)))</f>
        <v>5</v>
      </c>
      <c r="J165" s="5">
        <f>INDEX(ref_Unit_Balance!$S$31:$S$106,MATCH(UnitGradeInfo!B165,ref_Unit_Balance!$B$31:$B$1048576,0))</f>
        <v>1000</v>
      </c>
      <c r="K165" s="5">
        <v>0</v>
      </c>
      <c r="L165" s="5">
        <f>INDEX(ref_Unit_Balance!$I$31:$I$106,MATCH(UnitGradeInfo!B165,ref_Unit_Balance!$B$31:$B$1048576,0))</f>
        <v>5</v>
      </c>
      <c r="M165" s="5">
        <f t="shared" si="18"/>
        <v>34</v>
      </c>
      <c r="N165" s="5">
        <f t="shared" si="19"/>
        <v>340</v>
      </c>
      <c r="O165" s="5">
        <f>(INDEX(Unitinfo!I:I,MATCH(B165,Unitinfo!A:A,0))+1)*2</f>
        <v>2</v>
      </c>
      <c r="P165" s="5">
        <v>0</v>
      </c>
      <c r="Q165" s="5">
        <v>0</v>
      </c>
      <c r="R165" s="19" t="s">
        <v>121</v>
      </c>
      <c r="S165" s="19" t="s">
        <v>121</v>
      </c>
      <c r="T165" s="5">
        <f t="shared" si="20"/>
        <v>2006</v>
      </c>
      <c r="U165" s="5">
        <f t="shared" si="21"/>
        <v>1</v>
      </c>
      <c r="V165" s="5">
        <v>0</v>
      </c>
      <c r="W165" s="5">
        <v>10</v>
      </c>
    </row>
    <row r="166" spans="1:23">
      <c r="A166" s="5">
        <f t="shared" si="16"/>
        <v>163</v>
      </c>
      <c r="B166" s="93">
        <f t="shared" si="17"/>
        <v>2006</v>
      </c>
      <c r="C166" s="20" t="str">
        <f>INDEX(Unitinfo!C:C,MATCH(UnitGradeInfo!B166,Unitinfo!A:A,0))</f>
        <v>(근거리)Zombie_Hand</v>
      </c>
      <c r="D166" s="5">
        <f>COUNTIF($B$4:B166,B166)</f>
        <v>18</v>
      </c>
      <c r="E166" s="5">
        <f>ROUNDDOWN(INDEX(ref_Unit_Balance!$G$31:$G$106,MATCH(UnitGradeInfo!B166,ref_Unit_Balance!$B$31:$B$1048576,0))
+INDEX(ref_Unit_Balance!$G$20:$G$23,MATCH(IFERROR(INDEX(ref_Unit_Balance!$D$31:$D$1048576,MATCH(B166,ref_Unit_Balance!$B$31:$B$1048576,0)),0),ref_Unit_Balance!$B$20:$B$23,0))*D166*ref_Unit_Balance!$C$25,0)</f>
        <v>1050</v>
      </c>
      <c r="F166" s="5">
        <f>INDEX(ref_Unit_Balance!$V$31:$V$106,MATCH(UnitGradeInfo!B166,ref_Unit_Balance!$B$31:$B$1048576,0))
+
INDEX(ref_Unit_Balance!$AB$31:$AB$106,MATCH(UnitGradeInfo!B166,ref_Unit_Balance!$B$31:$B$1048576,0))*(D166-1)</f>
        <v>3700</v>
      </c>
      <c r="G166" s="5">
        <f>INDEX(ref_Unit_Balance!$R$31:$R$106,MATCH(UnitGradeInfo!B166,ref_Unit_Balance!$B$31:$B$1048576,0))
+
INDEX(ref_Unit_Balance!$AA$31:$AA$106,MATCH(UnitGradeInfo!B166,ref_Unit_Balance!$B$31:$B$1048576,0))*(D166-1)</f>
        <v>409</v>
      </c>
      <c r="H166" s="39">
        <f>IF(INDEX(Unitinfo!D:D,MATCH(UnitGradeInfo!B166,Unitinfo!A:A,0))=1,50,5)</f>
        <v>5</v>
      </c>
      <c r="I166" s="5">
        <f>IF(INDEX(ref_Unit_Balance!$T$31:$T$106,MATCH(UnitGradeInfo!B166,ref_Unit_Balance!$B$31:$B$1048576,0))=0,1,INDEX(ref_Unit_Balance!$T$31:$T$106,MATCH(UnitGradeInfo!B166,ref_Unit_Balance!$B$31:$B$1048576,0)))</f>
        <v>5</v>
      </c>
      <c r="J166" s="5">
        <f>INDEX(ref_Unit_Balance!$S$31:$S$106,MATCH(UnitGradeInfo!B166,ref_Unit_Balance!$B$31:$B$1048576,0))</f>
        <v>1000</v>
      </c>
      <c r="K166" s="5">
        <v>0</v>
      </c>
      <c r="L166" s="5">
        <f>INDEX(ref_Unit_Balance!$I$31:$I$106,MATCH(UnitGradeInfo!B166,ref_Unit_Balance!$B$31:$B$1048576,0))</f>
        <v>5</v>
      </c>
      <c r="M166" s="5">
        <f t="shared" si="18"/>
        <v>36</v>
      </c>
      <c r="N166" s="5">
        <f t="shared" si="19"/>
        <v>360</v>
      </c>
      <c r="O166" s="5">
        <f>(INDEX(Unitinfo!I:I,MATCH(B166,Unitinfo!A:A,0))+1)*2</f>
        <v>2</v>
      </c>
      <c r="P166" s="5">
        <v>0</v>
      </c>
      <c r="Q166" s="5">
        <v>0</v>
      </c>
      <c r="R166" s="19" t="s">
        <v>121</v>
      </c>
      <c r="S166" s="19" t="s">
        <v>121</v>
      </c>
      <c r="T166" s="5">
        <f t="shared" si="20"/>
        <v>2006</v>
      </c>
      <c r="U166" s="5">
        <f t="shared" si="21"/>
        <v>1</v>
      </c>
      <c r="V166" s="5">
        <v>0</v>
      </c>
      <c r="W166" s="5">
        <v>10</v>
      </c>
    </row>
    <row r="167" spans="1:23">
      <c r="A167" s="5">
        <f t="shared" si="16"/>
        <v>164</v>
      </c>
      <c r="B167" s="93">
        <f t="shared" si="17"/>
        <v>2006</v>
      </c>
      <c r="C167" s="20" t="str">
        <f>INDEX(Unitinfo!C:C,MATCH(UnitGradeInfo!B167,Unitinfo!A:A,0))</f>
        <v>(근거리)Zombie_Hand</v>
      </c>
      <c r="D167" s="5">
        <f>COUNTIF($B$4:B167,B167)</f>
        <v>19</v>
      </c>
      <c r="E167" s="5">
        <f>ROUNDDOWN(INDEX(ref_Unit_Balance!$G$31:$G$106,MATCH(UnitGradeInfo!B167,ref_Unit_Balance!$B$31:$B$1048576,0))
+INDEX(ref_Unit_Balance!$G$20:$G$23,MATCH(IFERROR(INDEX(ref_Unit_Balance!$D$31:$D$1048576,MATCH(B167,ref_Unit_Balance!$B$31:$B$1048576,0)),0),ref_Unit_Balance!$B$20:$B$23,0))*D167*ref_Unit_Balance!$C$25,0)</f>
        <v>1100</v>
      </c>
      <c r="F167" s="5">
        <f>INDEX(ref_Unit_Balance!$V$31:$V$106,MATCH(UnitGradeInfo!B167,ref_Unit_Balance!$B$31:$B$1048576,0))
+
INDEX(ref_Unit_Balance!$AB$31:$AB$106,MATCH(UnitGradeInfo!B167,ref_Unit_Balance!$B$31:$B$1048576,0))*(D167-1)</f>
        <v>3900</v>
      </c>
      <c r="G167" s="5">
        <f>INDEX(ref_Unit_Balance!$R$31:$R$106,MATCH(UnitGradeInfo!B167,ref_Unit_Balance!$B$31:$B$1048576,0))
+
INDEX(ref_Unit_Balance!$AA$31:$AA$106,MATCH(UnitGradeInfo!B167,ref_Unit_Balance!$B$31:$B$1048576,0))*(D167-1)</f>
        <v>416</v>
      </c>
      <c r="H167" s="39">
        <f>IF(INDEX(Unitinfo!D:D,MATCH(UnitGradeInfo!B167,Unitinfo!A:A,0))=1,50,5)</f>
        <v>5</v>
      </c>
      <c r="I167" s="5">
        <f>IF(INDEX(ref_Unit_Balance!$T$31:$T$106,MATCH(UnitGradeInfo!B167,ref_Unit_Balance!$B$31:$B$1048576,0))=0,1,INDEX(ref_Unit_Balance!$T$31:$T$106,MATCH(UnitGradeInfo!B167,ref_Unit_Balance!$B$31:$B$1048576,0)))</f>
        <v>5</v>
      </c>
      <c r="J167" s="5">
        <f>INDEX(ref_Unit_Balance!$S$31:$S$106,MATCH(UnitGradeInfo!B167,ref_Unit_Balance!$B$31:$B$1048576,0))</f>
        <v>1000</v>
      </c>
      <c r="K167" s="5">
        <v>0</v>
      </c>
      <c r="L167" s="5">
        <f>INDEX(ref_Unit_Balance!$I$31:$I$106,MATCH(UnitGradeInfo!B167,ref_Unit_Balance!$B$31:$B$1048576,0))</f>
        <v>5</v>
      </c>
      <c r="M167" s="5">
        <f t="shared" si="18"/>
        <v>38</v>
      </c>
      <c r="N167" s="5">
        <f t="shared" si="19"/>
        <v>380</v>
      </c>
      <c r="O167" s="5">
        <f>(INDEX(Unitinfo!I:I,MATCH(B167,Unitinfo!A:A,0))+1)*2</f>
        <v>2</v>
      </c>
      <c r="P167" s="5">
        <v>0</v>
      </c>
      <c r="Q167" s="5">
        <v>0</v>
      </c>
      <c r="R167" s="19" t="s">
        <v>121</v>
      </c>
      <c r="S167" s="19" t="s">
        <v>121</v>
      </c>
      <c r="T167" s="5">
        <f t="shared" si="20"/>
        <v>2006</v>
      </c>
      <c r="U167" s="5">
        <f t="shared" si="21"/>
        <v>1</v>
      </c>
      <c r="V167" s="5">
        <v>0</v>
      </c>
      <c r="W167" s="5">
        <v>10</v>
      </c>
    </row>
    <row r="168" spans="1:23">
      <c r="A168" s="5">
        <f t="shared" ref="A168:A231" si="22">A167+1</f>
        <v>165</v>
      </c>
      <c r="B168" s="93">
        <f t="shared" si="17"/>
        <v>2006</v>
      </c>
      <c r="C168" s="20" t="str">
        <f>INDEX(Unitinfo!C:C,MATCH(UnitGradeInfo!B168,Unitinfo!A:A,0))</f>
        <v>(근거리)Zombie_Hand</v>
      </c>
      <c r="D168" s="5">
        <f>COUNTIF($B$4:B168,B168)</f>
        <v>20</v>
      </c>
      <c r="E168" s="5">
        <f>ROUNDDOWN(INDEX(ref_Unit_Balance!$G$31:$G$106,MATCH(UnitGradeInfo!B168,ref_Unit_Balance!$B$31:$B$1048576,0))
+INDEX(ref_Unit_Balance!$G$20:$G$23,MATCH(IFERROR(INDEX(ref_Unit_Balance!$D$31:$D$1048576,MATCH(B168,ref_Unit_Balance!$B$31:$B$1048576,0)),0),ref_Unit_Balance!$B$20:$B$23,0))*D168*ref_Unit_Balance!$C$25,0)</f>
        <v>1150</v>
      </c>
      <c r="F168" s="5">
        <f>INDEX(ref_Unit_Balance!$V$31:$V$106,MATCH(UnitGradeInfo!B168,ref_Unit_Balance!$B$31:$B$1048576,0))
+
INDEX(ref_Unit_Balance!$AB$31:$AB$106,MATCH(UnitGradeInfo!B168,ref_Unit_Balance!$B$31:$B$1048576,0))*(D168-1)</f>
        <v>4100</v>
      </c>
      <c r="G168" s="5">
        <f>INDEX(ref_Unit_Balance!$R$31:$R$106,MATCH(UnitGradeInfo!B168,ref_Unit_Balance!$B$31:$B$1048576,0))
+
INDEX(ref_Unit_Balance!$AA$31:$AA$106,MATCH(UnitGradeInfo!B168,ref_Unit_Balance!$B$31:$B$1048576,0))*(D168-1)</f>
        <v>423</v>
      </c>
      <c r="H168" s="39">
        <f>IF(INDEX(Unitinfo!D:D,MATCH(UnitGradeInfo!B168,Unitinfo!A:A,0))=1,50,5)</f>
        <v>5</v>
      </c>
      <c r="I168" s="5">
        <f>IF(INDEX(ref_Unit_Balance!$T$31:$T$106,MATCH(UnitGradeInfo!B168,ref_Unit_Balance!$B$31:$B$1048576,0))=0,1,INDEX(ref_Unit_Balance!$T$31:$T$106,MATCH(UnitGradeInfo!B168,ref_Unit_Balance!$B$31:$B$1048576,0)))</f>
        <v>5</v>
      </c>
      <c r="J168" s="5">
        <f>INDEX(ref_Unit_Balance!$S$31:$S$106,MATCH(UnitGradeInfo!B168,ref_Unit_Balance!$B$31:$B$1048576,0))</f>
        <v>1000</v>
      </c>
      <c r="K168" s="5">
        <v>0</v>
      </c>
      <c r="L168" s="5">
        <f>INDEX(ref_Unit_Balance!$I$31:$I$106,MATCH(UnitGradeInfo!B168,ref_Unit_Balance!$B$31:$B$1048576,0))</f>
        <v>5</v>
      </c>
      <c r="M168" s="5">
        <f t="shared" si="18"/>
        <v>40</v>
      </c>
      <c r="N168" s="5">
        <f t="shared" si="19"/>
        <v>400</v>
      </c>
      <c r="O168" s="5">
        <f>(INDEX(Unitinfo!I:I,MATCH(B168,Unitinfo!A:A,0))+1)*2</f>
        <v>2</v>
      </c>
      <c r="P168" s="5">
        <v>0</v>
      </c>
      <c r="Q168" s="5">
        <v>0</v>
      </c>
      <c r="R168" s="19" t="s">
        <v>121</v>
      </c>
      <c r="S168" s="19" t="s">
        <v>121</v>
      </c>
      <c r="T168" s="5">
        <f t="shared" si="20"/>
        <v>2006</v>
      </c>
      <c r="U168" s="5">
        <f t="shared" si="21"/>
        <v>1</v>
      </c>
      <c r="V168" s="5">
        <v>0</v>
      </c>
      <c r="W168" s="5">
        <v>10</v>
      </c>
    </row>
    <row r="169" spans="1:23">
      <c r="A169" s="5">
        <f t="shared" si="22"/>
        <v>166</v>
      </c>
      <c r="B169" s="93">
        <f t="shared" si="17"/>
        <v>2007</v>
      </c>
      <c r="C169" s="20" t="str">
        <f>INDEX(Unitinfo!C:C,MATCH(UnitGradeInfo!B169,Unitinfo!A:A,0))</f>
        <v>(근거리)Zombie_Shield</v>
      </c>
      <c r="D169" s="5">
        <f>COUNTIF($B$4:B169,B169)</f>
        <v>1</v>
      </c>
      <c r="E169" s="5">
        <f>ROUNDDOWN(INDEX(ref_Unit_Balance!$G$31:$G$106,MATCH(UnitGradeInfo!B169,ref_Unit_Balance!$B$31:$B$1048576,0))
+INDEX(ref_Unit_Balance!$G$20:$G$23,MATCH(IFERROR(INDEX(ref_Unit_Balance!$D$31:$D$1048576,MATCH(B169,ref_Unit_Balance!$B$31:$B$1048576,0)),0),ref_Unit_Balance!$B$20:$B$23,0))*D169*ref_Unit_Balance!$C$25,0)</f>
        <v>200</v>
      </c>
      <c r="F169" s="5">
        <f>INDEX(ref_Unit_Balance!$V$31:$V$106,MATCH(UnitGradeInfo!B169,ref_Unit_Balance!$B$31:$B$1048576,0))
+
INDEX(ref_Unit_Balance!$AB$31:$AB$106,MATCH(UnitGradeInfo!B169,ref_Unit_Balance!$B$31:$B$1048576,0))*(D169-1)</f>
        <v>4500</v>
      </c>
      <c r="G169" s="5">
        <f>INDEX(ref_Unit_Balance!$R$31:$R$106,MATCH(UnitGradeInfo!B169,ref_Unit_Balance!$B$31:$B$1048576,0))
+
INDEX(ref_Unit_Balance!$AA$31:$AA$106,MATCH(UnitGradeInfo!B169,ref_Unit_Balance!$B$31:$B$1048576,0))*(D169-1)</f>
        <v>60</v>
      </c>
      <c r="H169" s="39">
        <f>IF(INDEX(Unitinfo!D:D,MATCH(UnitGradeInfo!B169,Unitinfo!A:A,0))=1,50,5)</f>
        <v>5</v>
      </c>
      <c r="I169" s="5">
        <f>IF(INDEX(ref_Unit_Balance!$T$31:$T$106,MATCH(UnitGradeInfo!B169,ref_Unit_Balance!$B$31:$B$1048576,0))=0,1,INDEX(ref_Unit_Balance!$T$31:$T$106,MATCH(UnitGradeInfo!B169,ref_Unit_Balance!$B$31:$B$1048576,0)))</f>
        <v>1</v>
      </c>
      <c r="J169" s="5">
        <f>INDEX(ref_Unit_Balance!$S$31:$S$106,MATCH(UnitGradeInfo!B169,ref_Unit_Balance!$B$31:$B$1048576,0))</f>
        <v>1000</v>
      </c>
      <c r="K169" s="5">
        <v>0</v>
      </c>
      <c r="L169" s="5">
        <f>INDEX(ref_Unit_Balance!$I$31:$I$106,MATCH(UnitGradeInfo!B169,ref_Unit_Balance!$B$31:$B$1048576,0))</f>
        <v>3</v>
      </c>
      <c r="M169" s="5">
        <f t="shared" si="18"/>
        <v>2</v>
      </c>
      <c r="N169" s="5">
        <f t="shared" si="19"/>
        <v>20</v>
      </c>
      <c r="O169" s="5">
        <f>(INDEX(Unitinfo!I:I,MATCH(B169,Unitinfo!A:A,0))+1)*2</f>
        <v>2</v>
      </c>
      <c r="P169" s="5">
        <v>0</v>
      </c>
      <c r="Q169" s="5">
        <v>0</v>
      </c>
      <c r="R169" s="19" t="s">
        <v>121</v>
      </c>
      <c r="S169" s="19" t="s">
        <v>121</v>
      </c>
      <c r="T169" s="5">
        <f t="shared" si="20"/>
        <v>2007</v>
      </c>
      <c r="U169" s="5">
        <f t="shared" si="21"/>
        <v>1</v>
      </c>
      <c r="V169" s="5">
        <v>0</v>
      </c>
      <c r="W169" s="5">
        <v>10</v>
      </c>
    </row>
    <row r="170" spans="1:23">
      <c r="A170" s="5">
        <f t="shared" si="22"/>
        <v>167</v>
      </c>
      <c r="B170" s="93">
        <f t="shared" si="17"/>
        <v>2007</v>
      </c>
      <c r="C170" s="20" t="str">
        <f>INDEX(Unitinfo!C:C,MATCH(UnitGradeInfo!B170,Unitinfo!A:A,0))</f>
        <v>(근거리)Zombie_Shield</v>
      </c>
      <c r="D170" s="5">
        <f>COUNTIF($B$4:B170,B170)</f>
        <v>2</v>
      </c>
      <c r="E170" s="5">
        <f>ROUNDDOWN(INDEX(ref_Unit_Balance!$G$31:$G$106,MATCH(UnitGradeInfo!B170,ref_Unit_Balance!$B$31:$B$1048576,0))
+INDEX(ref_Unit_Balance!$G$20:$G$23,MATCH(IFERROR(INDEX(ref_Unit_Balance!$D$31:$D$1048576,MATCH(B170,ref_Unit_Balance!$B$31:$B$1048576,0)),0),ref_Unit_Balance!$B$20:$B$23,0))*D170*ref_Unit_Balance!$C$25,0)</f>
        <v>250</v>
      </c>
      <c r="F170" s="5">
        <f>INDEX(ref_Unit_Balance!$V$31:$V$106,MATCH(UnitGradeInfo!B170,ref_Unit_Balance!$B$31:$B$1048576,0))
+
INDEX(ref_Unit_Balance!$AB$31:$AB$106,MATCH(UnitGradeInfo!B170,ref_Unit_Balance!$B$31:$B$1048576,0))*(D170-1)</f>
        <v>4833</v>
      </c>
      <c r="G170" s="5">
        <f>INDEX(ref_Unit_Balance!$R$31:$R$106,MATCH(UnitGradeInfo!B170,ref_Unit_Balance!$B$31:$B$1048576,0))
+
INDEX(ref_Unit_Balance!$AA$31:$AA$106,MATCH(UnitGradeInfo!B170,ref_Unit_Balance!$B$31:$B$1048576,0))*(D170-1)</f>
        <v>80</v>
      </c>
      <c r="H170" s="39">
        <f>IF(INDEX(Unitinfo!D:D,MATCH(UnitGradeInfo!B170,Unitinfo!A:A,0))=1,50,5)</f>
        <v>5</v>
      </c>
      <c r="I170" s="5">
        <f>IF(INDEX(ref_Unit_Balance!$T$31:$T$106,MATCH(UnitGradeInfo!B170,ref_Unit_Balance!$B$31:$B$1048576,0))=0,1,INDEX(ref_Unit_Balance!$T$31:$T$106,MATCH(UnitGradeInfo!B170,ref_Unit_Balance!$B$31:$B$1048576,0)))</f>
        <v>1</v>
      </c>
      <c r="J170" s="5">
        <f>INDEX(ref_Unit_Balance!$S$31:$S$106,MATCH(UnitGradeInfo!B170,ref_Unit_Balance!$B$31:$B$1048576,0))</f>
        <v>1000</v>
      </c>
      <c r="K170" s="5">
        <v>0</v>
      </c>
      <c r="L170" s="5">
        <f>INDEX(ref_Unit_Balance!$I$31:$I$106,MATCH(UnitGradeInfo!B170,ref_Unit_Balance!$B$31:$B$1048576,0))</f>
        <v>3</v>
      </c>
      <c r="M170" s="5">
        <f t="shared" si="18"/>
        <v>4</v>
      </c>
      <c r="N170" s="5">
        <f t="shared" si="19"/>
        <v>40</v>
      </c>
      <c r="O170" s="5">
        <f>(INDEX(Unitinfo!I:I,MATCH(B170,Unitinfo!A:A,0))+1)*2</f>
        <v>2</v>
      </c>
      <c r="P170" s="5">
        <v>0</v>
      </c>
      <c r="Q170" s="5">
        <v>0</v>
      </c>
      <c r="R170" s="19" t="s">
        <v>121</v>
      </c>
      <c r="S170" s="19" t="s">
        <v>121</v>
      </c>
      <c r="T170" s="5">
        <f t="shared" si="20"/>
        <v>2007</v>
      </c>
      <c r="U170" s="5">
        <f t="shared" si="21"/>
        <v>1</v>
      </c>
      <c r="V170" s="5">
        <v>0</v>
      </c>
      <c r="W170" s="5">
        <v>10</v>
      </c>
    </row>
    <row r="171" spans="1:23">
      <c r="A171" s="5">
        <f t="shared" si="22"/>
        <v>168</v>
      </c>
      <c r="B171" s="93">
        <f t="shared" si="17"/>
        <v>2007</v>
      </c>
      <c r="C171" s="20" t="str">
        <f>INDEX(Unitinfo!C:C,MATCH(UnitGradeInfo!B171,Unitinfo!A:A,0))</f>
        <v>(근거리)Zombie_Shield</v>
      </c>
      <c r="D171" s="5">
        <f>COUNTIF($B$4:B171,B171)</f>
        <v>3</v>
      </c>
      <c r="E171" s="5">
        <f>ROUNDDOWN(INDEX(ref_Unit_Balance!$G$31:$G$106,MATCH(UnitGradeInfo!B171,ref_Unit_Balance!$B$31:$B$1048576,0))
+INDEX(ref_Unit_Balance!$G$20:$G$23,MATCH(IFERROR(INDEX(ref_Unit_Balance!$D$31:$D$1048576,MATCH(B171,ref_Unit_Balance!$B$31:$B$1048576,0)),0),ref_Unit_Balance!$B$20:$B$23,0))*D171*ref_Unit_Balance!$C$25,0)</f>
        <v>300</v>
      </c>
      <c r="F171" s="5">
        <f>INDEX(ref_Unit_Balance!$V$31:$V$106,MATCH(UnitGradeInfo!B171,ref_Unit_Balance!$B$31:$B$1048576,0))
+
INDEX(ref_Unit_Balance!$AB$31:$AB$106,MATCH(UnitGradeInfo!B171,ref_Unit_Balance!$B$31:$B$1048576,0))*(D171-1)</f>
        <v>5166</v>
      </c>
      <c r="G171" s="5">
        <f>INDEX(ref_Unit_Balance!$R$31:$R$106,MATCH(UnitGradeInfo!B171,ref_Unit_Balance!$B$31:$B$1048576,0))
+
INDEX(ref_Unit_Balance!$AA$31:$AA$106,MATCH(UnitGradeInfo!B171,ref_Unit_Balance!$B$31:$B$1048576,0))*(D171-1)</f>
        <v>100</v>
      </c>
      <c r="H171" s="39">
        <f>IF(INDEX(Unitinfo!D:D,MATCH(UnitGradeInfo!B171,Unitinfo!A:A,0))=1,50,5)</f>
        <v>5</v>
      </c>
      <c r="I171" s="5">
        <f>IF(INDEX(ref_Unit_Balance!$T$31:$T$106,MATCH(UnitGradeInfo!B171,ref_Unit_Balance!$B$31:$B$1048576,0))=0,1,INDEX(ref_Unit_Balance!$T$31:$T$106,MATCH(UnitGradeInfo!B171,ref_Unit_Balance!$B$31:$B$1048576,0)))</f>
        <v>1</v>
      </c>
      <c r="J171" s="5">
        <f>INDEX(ref_Unit_Balance!$S$31:$S$106,MATCH(UnitGradeInfo!B171,ref_Unit_Balance!$B$31:$B$1048576,0))</f>
        <v>1000</v>
      </c>
      <c r="K171" s="5">
        <v>0</v>
      </c>
      <c r="L171" s="5">
        <f>INDEX(ref_Unit_Balance!$I$31:$I$106,MATCH(UnitGradeInfo!B171,ref_Unit_Balance!$B$31:$B$1048576,0))</f>
        <v>3</v>
      </c>
      <c r="M171" s="5">
        <f t="shared" si="18"/>
        <v>6</v>
      </c>
      <c r="N171" s="5">
        <f t="shared" si="19"/>
        <v>60</v>
      </c>
      <c r="O171" s="5">
        <f>(INDEX(Unitinfo!I:I,MATCH(B171,Unitinfo!A:A,0))+1)*2</f>
        <v>2</v>
      </c>
      <c r="P171" s="5">
        <v>0</v>
      </c>
      <c r="Q171" s="5">
        <v>0</v>
      </c>
      <c r="R171" s="19" t="s">
        <v>121</v>
      </c>
      <c r="S171" s="19" t="s">
        <v>121</v>
      </c>
      <c r="T171" s="5">
        <f t="shared" si="20"/>
        <v>2007</v>
      </c>
      <c r="U171" s="5">
        <f t="shared" si="21"/>
        <v>1</v>
      </c>
      <c r="V171" s="5">
        <v>0</v>
      </c>
      <c r="W171" s="5">
        <v>10</v>
      </c>
    </row>
    <row r="172" spans="1:23">
      <c r="A172" s="5">
        <f t="shared" si="22"/>
        <v>169</v>
      </c>
      <c r="B172" s="93">
        <f t="shared" si="17"/>
        <v>2007</v>
      </c>
      <c r="C172" s="20" t="str">
        <f>INDEX(Unitinfo!C:C,MATCH(UnitGradeInfo!B172,Unitinfo!A:A,0))</f>
        <v>(근거리)Zombie_Shield</v>
      </c>
      <c r="D172" s="5">
        <f>COUNTIF($B$4:B172,B172)</f>
        <v>4</v>
      </c>
      <c r="E172" s="5">
        <f>ROUNDDOWN(INDEX(ref_Unit_Balance!$G$31:$G$106,MATCH(UnitGradeInfo!B172,ref_Unit_Balance!$B$31:$B$1048576,0))
+INDEX(ref_Unit_Balance!$G$20:$G$23,MATCH(IFERROR(INDEX(ref_Unit_Balance!$D$31:$D$1048576,MATCH(B172,ref_Unit_Balance!$B$31:$B$1048576,0)),0),ref_Unit_Balance!$B$20:$B$23,0))*D172*ref_Unit_Balance!$C$25,0)</f>
        <v>350</v>
      </c>
      <c r="F172" s="5">
        <f>INDEX(ref_Unit_Balance!$V$31:$V$106,MATCH(UnitGradeInfo!B172,ref_Unit_Balance!$B$31:$B$1048576,0))
+
INDEX(ref_Unit_Balance!$AB$31:$AB$106,MATCH(UnitGradeInfo!B172,ref_Unit_Balance!$B$31:$B$1048576,0))*(D172-1)</f>
        <v>5499</v>
      </c>
      <c r="G172" s="5">
        <f>INDEX(ref_Unit_Balance!$R$31:$R$106,MATCH(UnitGradeInfo!B172,ref_Unit_Balance!$B$31:$B$1048576,0))
+
INDEX(ref_Unit_Balance!$AA$31:$AA$106,MATCH(UnitGradeInfo!B172,ref_Unit_Balance!$B$31:$B$1048576,0))*(D172-1)</f>
        <v>120</v>
      </c>
      <c r="H172" s="39">
        <f>IF(INDEX(Unitinfo!D:D,MATCH(UnitGradeInfo!B172,Unitinfo!A:A,0))=1,50,5)</f>
        <v>5</v>
      </c>
      <c r="I172" s="5">
        <f>IF(INDEX(ref_Unit_Balance!$T$31:$T$106,MATCH(UnitGradeInfo!B172,ref_Unit_Balance!$B$31:$B$1048576,0))=0,1,INDEX(ref_Unit_Balance!$T$31:$T$106,MATCH(UnitGradeInfo!B172,ref_Unit_Balance!$B$31:$B$1048576,0)))</f>
        <v>1</v>
      </c>
      <c r="J172" s="5">
        <f>INDEX(ref_Unit_Balance!$S$31:$S$106,MATCH(UnitGradeInfo!B172,ref_Unit_Balance!$B$31:$B$1048576,0))</f>
        <v>1000</v>
      </c>
      <c r="K172" s="5">
        <v>0</v>
      </c>
      <c r="L172" s="5">
        <f>INDEX(ref_Unit_Balance!$I$31:$I$106,MATCH(UnitGradeInfo!B172,ref_Unit_Balance!$B$31:$B$1048576,0))</f>
        <v>3</v>
      </c>
      <c r="M172" s="5">
        <f t="shared" si="18"/>
        <v>8</v>
      </c>
      <c r="N172" s="5">
        <f t="shared" si="19"/>
        <v>80</v>
      </c>
      <c r="O172" s="5">
        <f>(INDEX(Unitinfo!I:I,MATCH(B172,Unitinfo!A:A,0))+1)*2</f>
        <v>2</v>
      </c>
      <c r="P172" s="5">
        <v>0</v>
      </c>
      <c r="Q172" s="5">
        <v>0</v>
      </c>
      <c r="R172" s="19" t="s">
        <v>121</v>
      </c>
      <c r="S172" s="19" t="s">
        <v>121</v>
      </c>
      <c r="T172" s="5">
        <f t="shared" si="20"/>
        <v>2007</v>
      </c>
      <c r="U172" s="5">
        <f t="shared" si="21"/>
        <v>1</v>
      </c>
      <c r="V172" s="5">
        <v>0</v>
      </c>
      <c r="W172" s="5">
        <v>10</v>
      </c>
    </row>
    <row r="173" spans="1:23">
      <c r="A173" s="5">
        <f t="shared" si="22"/>
        <v>170</v>
      </c>
      <c r="B173" s="93">
        <f t="shared" si="17"/>
        <v>2007</v>
      </c>
      <c r="C173" s="20" t="str">
        <f>INDEX(Unitinfo!C:C,MATCH(UnitGradeInfo!B173,Unitinfo!A:A,0))</f>
        <v>(근거리)Zombie_Shield</v>
      </c>
      <c r="D173" s="5">
        <f>COUNTIF($B$4:B173,B173)</f>
        <v>5</v>
      </c>
      <c r="E173" s="5">
        <f>ROUNDDOWN(INDEX(ref_Unit_Balance!$G$31:$G$106,MATCH(UnitGradeInfo!B173,ref_Unit_Balance!$B$31:$B$1048576,0))
+INDEX(ref_Unit_Balance!$G$20:$G$23,MATCH(IFERROR(INDEX(ref_Unit_Balance!$D$31:$D$1048576,MATCH(B173,ref_Unit_Balance!$B$31:$B$1048576,0)),0),ref_Unit_Balance!$B$20:$B$23,0))*D173*ref_Unit_Balance!$C$25,0)</f>
        <v>400</v>
      </c>
      <c r="F173" s="5">
        <f>INDEX(ref_Unit_Balance!$V$31:$V$106,MATCH(UnitGradeInfo!B173,ref_Unit_Balance!$B$31:$B$1048576,0))
+
INDEX(ref_Unit_Balance!$AB$31:$AB$106,MATCH(UnitGradeInfo!B173,ref_Unit_Balance!$B$31:$B$1048576,0))*(D173-1)</f>
        <v>5832</v>
      </c>
      <c r="G173" s="5">
        <f>INDEX(ref_Unit_Balance!$R$31:$R$106,MATCH(UnitGradeInfo!B173,ref_Unit_Balance!$B$31:$B$1048576,0))
+
INDEX(ref_Unit_Balance!$AA$31:$AA$106,MATCH(UnitGradeInfo!B173,ref_Unit_Balance!$B$31:$B$1048576,0))*(D173-1)</f>
        <v>140</v>
      </c>
      <c r="H173" s="39">
        <f>IF(INDEX(Unitinfo!D:D,MATCH(UnitGradeInfo!B173,Unitinfo!A:A,0))=1,50,5)</f>
        <v>5</v>
      </c>
      <c r="I173" s="5">
        <f>IF(INDEX(ref_Unit_Balance!$T$31:$T$106,MATCH(UnitGradeInfo!B173,ref_Unit_Balance!$B$31:$B$1048576,0))=0,1,INDEX(ref_Unit_Balance!$T$31:$T$106,MATCH(UnitGradeInfo!B173,ref_Unit_Balance!$B$31:$B$1048576,0)))</f>
        <v>1</v>
      </c>
      <c r="J173" s="5">
        <f>INDEX(ref_Unit_Balance!$S$31:$S$106,MATCH(UnitGradeInfo!B173,ref_Unit_Balance!$B$31:$B$1048576,0))</f>
        <v>1000</v>
      </c>
      <c r="K173" s="5">
        <v>0</v>
      </c>
      <c r="L173" s="5">
        <f>INDEX(ref_Unit_Balance!$I$31:$I$106,MATCH(UnitGradeInfo!B173,ref_Unit_Balance!$B$31:$B$1048576,0))</f>
        <v>3</v>
      </c>
      <c r="M173" s="5">
        <f t="shared" si="18"/>
        <v>10</v>
      </c>
      <c r="N173" s="5">
        <f t="shared" si="19"/>
        <v>100</v>
      </c>
      <c r="O173" s="5">
        <f>(INDEX(Unitinfo!I:I,MATCH(B173,Unitinfo!A:A,0))+1)*2</f>
        <v>2</v>
      </c>
      <c r="P173" s="5">
        <v>0</v>
      </c>
      <c r="Q173" s="5">
        <v>0</v>
      </c>
      <c r="R173" s="19" t="s">
        <v>121</v>
      </c>
      <c r="S173" s="19" t="s">
        <v>121</v>
      </c>
      <c r="T173" s="5">
        <f t="shared" si="20"/>
        <v>2007</v>
      </c>
      <c r="U173" s="5">
        <f t="shared" si="21"/>
        <v>1</v>
      </c>
      <c r="V173" s="5">
        <v>0</v>
      </c>
      <c r="W173" s="5">
        <v>10</v>
      </c>
    </row>
    <row r="174" spans="1:23">
      <c r="A174" s="5">
        <f t="shared" si="22"/>
        <v>171</v>
      </c>
      <c r="B174" s="93">
        <f t="shared" si="17"/>
        <v>2007</v>
      </c>
      <c r="C174" s="20" t="str">
        <f>INDEX(Unitinfo!C:C,MATCH(UnitGradeInfo!B174,Unitinfo!A:A,0))</f>
        <v>(근거리)Zombie_Shield</v>
      </c>
      <c r="D174" s="5">
        <f>COUNTIF($B$4:B174,B174)</f>
        <v>6</v>
      </c>
      <c r="E174" s="5">
        <f>ROUNDDOWN(INDEX(ref_Unit_Balance!$G$31:$G$106,MATCH(UnitGradeInfo!B174,ref_Unit_Balance!$B$31:$B$1048576,0))
+INDEX(ref_Unit_Balance!$G$20:$G$23,MATCH(IFERROR(INDEX(ref_Unit_Balance!$D$31:$D$1048576,MATCH(B174,ref_Unit_Balance!$B$31:$B$1048576,0)),0),ref_Unit_Balance!$B$20:$B$23,0))*D174*ref_Unit_Balance!$C$25,0)</f>
        <v>450</v>
      </c>
      <c r="F174" s="5">
        <f>INDEX(ref_Unit_Balance!$V$31:$V$106,MATCH(UnitGradeInfo!B174,ref_Unit_Balance!$B$31:$B$1048576,0))
+
INDEX(ref_Unit_Balance!$AB$31:$AB$106,MATCH(UnitGradeInfo!B174,ref_Unit_Balance!$B$31:$B$1048576,0))*(D174-1)</f>
        <v>6165</v>
      </c>
      <c r="G174" s="5">
        <f>INDEX(ref_Unit_Balance!$R$31:$R$106,MATCH(UnitGradeInfo!B174,ref_Unit_Balance!$B$31:$B$1048576,0))
+
INDEX(ref_Unit_Balance!$AA$31:$AA$106,MATCH(UnitGradeInfo!B174,ref_Unit_Balance!$B$31:$B$1048576,0))*(D174-1)</f>
        <v>160</v>
      </c>
      <c r="H174" s="39">
        <f>IF(INDEX(Unitinfo!D:D,MATCH(UnitGradeInfo!B174,Unitinfo!A:A,0))=1,50,5)</f>
        <v>5</v>
      </c>
      <c r="I174" s="5">
        <f>IF(INDEX(ref_Unit_Balance!$T$31:$T$106,MATCH(UnitGradeInfo!B174,ref_Unit_Balance!$B$31:$B$1048576,0))=0,1,INDEX(ref_Unit_Balance!$T$31:$T$106,MATCH(UnitGradeInfo!B174,ref_Unit_Balance!$B$31:$B$1048576,0)))</f>
        <v>1</v>
      </c>
      <c r="J174" s="5">
        <f>INDEX(ref_Unit_Balance!$S$31:$S$106,MATCH(UnitGradeInfo!B174,ref_Unit_Balance!$B$31:$B$1048576,0))</f>
        <v>1000</v>
      </c>
      <c r="K174" s="5">
        <v>0</v>
      </c>
      <c r="L174" s="5">
        <f>INDEX(ref_Unit_Balance!$I$31:$I$106,MATCH(UnitGradeInfo!B174,ref_Unit_Balance!$B$31:$B$1048576,0))</f>
        <v>3</v>
      </c>
      <c r="M174" s="5">
        <f t="shared" si="18"/>
        <v>12</v>
      </c>
      <c r="N174" s="5">
        <f t="shared" si="19"/>
        <v>120</v>
      </c>
      <c r="O174" s="5">
        <f>(INDEX(Unitinfo!I:I,MATCH(B174,Unitinfo!A:A,0))+1)*2</f>
        <v>2</v>
      </c>
      <c r="P174" s="5">
        <v>0</v>
      </c>
      <c r="Q174" s="5">
        <v>0</v>
      </c>
      <c r="R174" s="19" t="s">
        <v>121</v>
      </c>
      <c r="S174" s="19" t="s">
        <v>121</v>
      </c>
      <c r="T174" s="5">
        <f t="shared" si="20"/>
        <v>2007</v>
      </c>
      <c r="U174" s="5">
        <f t="shared" si="21"/>
        <v>1</v>
      </c>
      <c r="V174" s="5">
        <v>0</v>
      </c>
      <c r="W174" s="5">
        <v>10</v>
      </c>
    </row>
    <row r="175" spans="1:23">
      <c r="A175" s="5">
        <f t="shared" si="22"/>
        <v>172</v>
      </c>
      <c r="B175" s="93">
        <f t="shared" si="17"/>
        <v>2007</v>
      </c>
      <c r="C175" s="20" t="str">
        <f>INDEX(Unitinfo!C:C,MATCH(UnitGradeInfo!B175,Unitinfo!A:A,0))</f>
        <v>(근거리)Zombie_Shield</v>
      </c>
      <c r="D175" s="5">
        <f>COUNTIF($B$4:B175,B175)</f>
        <v>7</v>
      </c>
      <c r="E175" s="5">
        <f>ROUNDDOWN(INDEX(ref_Unit_Balance!$G$31:$G$106,MATCH(UnitGradeInfo!B175,ref_Unit_Balance!$B$31:$B$1048576,0))
+INDEX(ref_Unit_Balance!$G$20:$G$23,MATCH(IFERROR(INDEX(ref_Unit_Balance!$D$31:$D$1048576,MATCH(B175,ref_Unit_Balance!$B$31:$B$1048576,0)),0),ref_Unit_Balance!$B$20:$B$23,0))*D175*ref_Unit_Balance!$C$25,0)</f>
        <v>500</v>
      </c>
      <c r="F175" s="5">
        <f>INDEX(ref_Unit_Balance!$V$31:$V$106,MATCH(UnitGradeInfo!B175,ref_Unit_Balance!$B$31:$B$1048576,0))
+
INDEX(ref_Unit_Balance!$AB$31:$AB$106,MATCH(UnitGradeInfo!B175,ref_Unit_Balance!$B$31:$B$1048576,0))*(D175-1)</f>
        <v>6498</v>
      </c>
      <c r="G175" s="5">
        <f>INDEX(ref_Unit_Balance!$R$31:$R$106,MATCH(UnitGradeInfo!B175,ref_Unit_Balance!$B$31:$B$1048576,0))
+
INDEX(ref_Unit_Balance!$AA$31:$AA$106,MATCH(UnitGradeInfo!B175,ref_Unit_Balance!$B$31:$B$1048576,0))*(D175-1)</f>
        <v>180</v>
      </c>
      <c r="H175" s="39">
        <f>IF(INDEX(Unitinfo!D:D,MATCH(UnitGradeInfo!B175,Unitinfo!A:A,0))=1,50,5)</f>
        <v>5</v>
      </c>
      <c r="I175" s="5">
        <f>IF(INDEX(ref_Unit_Balance!$T$31:$T$106,MATCH(UnitGradeInfo!B175,ref_Unit_Balance!$B$31:$B$1048576,0))=0,1,INDEX(ref_Unit_Balance!$T$31:$T$106,MATCH(UnitGradeInfo!B175,ref_Unit_Balance!$B$31:$B$1048576,0)))</f>
        <v>1</v>
      </c>
      <c r="J175" s="5">
        <f>INDEX(ref_Unit_Balance!$S$31:$S$106,MATCH(UnitGradeInfo!B175,ref_Unit_Balance!$B$31:$B$1048576,0))</f>
        <v>1000</v>
      </c>
      <c r="K175" s="5">
        <v>0</v>
      </c>
      <c r="L175" s="5">
        <f>INDEX(ref_Unit_Balance!$I$31:$I$106,MATCH(UnitGradeInfo!B175,ref_Unit_Balance!$B$31:$B$1048576,0))</f>
        <v>3</v>
      </c>
      <c r="M175" s="5">
        <f t="shared" si="18"/>
        <v>14</v>
      </c>
      <c r="N175" s="5">
        <f t="shared" si="19"/>
        <v>140</v>
      </c>
      <c r="O175" s="5">
        <f>(INDEX(Unitinfo!I:I,MATCH(B175,Unitinfo!A:A,0))+1)*2</f>
        <v>2</v>
      </c>
      <c r="P175" s="5">
        <v>0</v>
      </c>
      <c r="Q175" s="5">
        <v>0</v>
      </c>
      <c r="R175" s="19" t="s">
        <v>121</v>
      </c>
      <c r="S175" s="19" t="s">
        <v>121</v>
      </c>
      <c r="T175" s="5">
        <f t="shared" si="20"/>
        <v>2007</v>
      </c>
      <c r="U175" s="5">
        <f t="shared" si="21"/>
        <v>1</v>
      </c>
      <c r="V175" s="5">
        <v>0</v>
      </c>
      <c r="W175" s="5">
        <v>10</v>
      </c>
    </row>
    <row r="176" spans="1:23">
      <c r="A176" s="5">
        <f t="shared" si="22"/>
        <v>173</v>
      </c>
      <c r="B176" s="93">
        <f t="shared" si="17"/>
        <v>2007</v>
      </c>
      <c r="C176" s="20" t="str">
        <f>INDEX(Unitinfo!C:C,MATCH(UnitGradeInfo!B176,Unitinfo!A:A,0))</f>
        <v>(근거리)Zombie_Shield</v>
      </c>
      <c r="D176" s="5">
        <f>COUNTIF($B$4:B176,B176)</f>
        <v>8</v>
      </c>
      <c r="E176" s="5">
        <f>ROUNDDOWN(INDEX(ref_Unit_Balance!$G$31:$G$106,MATCH(UnitGradeInfo!B176,ref_Unit_Balance!$B$31:$B$1048576,0))
+INDEX(ref_Unit_Balance!$G$20:$G$23,MATCH(IFERROR(INDEX(ref_Unit_Balance!$D$31:$D$1048576,MATCH(B176,ref_Unit_Balance!$B$31:$B$1048576,0)),0),ref_Unit_Balance!$B$20:$B$23,0))*D176*ref_Unit_Balance!$C$25,0)</f>
        <v>550</v>
      </c>
      <c r="F176" s="5">
        <f>INDEX(ref_Unit_Balance!$V$31:$V$106,MATCH(UnitGradeInfo!B176,ref_Unit_Balance!$B$31:$B$1048576,0))
+
INDEX(ref_Unit_Balance!$AB$31:$AB$106,MATCH(UnitGradeInfo!B176,ref_Unit_Balance!$B$31:$B$1048576,0))*(D176-1)</f>
        <v>6831</v>
      </c>
      <c r="G176" s="5">
        <f>INDEX(ref_Unit_Balance!$R$31:$R$106,MATCH(UnitGradeInfo!B176,ref_Unit_Balance!$B$31:$B$1048576,0))
+
INDEX(ref_Unit_Balance!$AA$31:$AA$106,MATCH(UnitGradeInfo!B176,ref_Unit_Balance!$B$31:$B$1048576,0))*(D176-1)</f>
        <v>200</v>
      </c>
      <c r="H176" s="39">
        <f>IF(INDEX(Unitinfo!D:D,MATCH(UnitGradeInfo!B176,Unitinfo!A:A,0))=1,50,5)</f>
        <v>5</v>
      </c>
      <c r="I176" s="5">
        <f>IF(INDEX(ref_Unit_Balance!$T$31:$T$106,MATCH(UnitGradeInfo!B176,ref_Unit_Balance!$B$31:$B$1048576,0))=0,1,INDEX(ref_Unit_Balance!$T$31:$T$106,MATCH(UnitGradeInfo!B176,ref_Unit_Balance!$B$31:$B$1048576,0)))</f>
        <v>1</v>
      </c>
      <c r="J176" s="5">
        <f>INDEX(ref_Unit_Balance!$S$31:$S$106,MATCH(UnitGradeInfo!B176,ref_Unit_Balance!$B$31:$B$1048576,0))</f>
        <v>1000</v>
      </c>
      <c r="K176" s="5">
        <v>0</v>
      </c>
      <c r="L176" s="5">
        <f>INDEX(ref_Unit_Balance!$I$31:$I$106,MATCH(UnitGradeInfo!B176,ref_Unit_Balance!$B$31:$B$1048576,0))</f>
        <v>3</v>
      </c>
      <c r="M176" s="5">
        <f t="shared" si="18"/>
        <v>16</v>
      </c>
      <c r="N176" s="5">
        <f t="shared" si="19"/>
        <v>160</v>
      </c>
      <c r="O176" s="5">
        <f>(INDEX(Unitinfo!I:I,MATCH(B176,Unitinfo!A:A,0))+1)*2</f>
        <v>2</v>
      </c>
      <c r="P176" s="5">
        <v>0</v>
      </c>
      <c r="Q176" s="5">
        <v>0</v>
      </c>
      <c r="R176" s="19" t="s">
        <v>121</v>
      </c>
      <c r="S176" s="19" t="s">
        <v>121</v>
      </c>
      <c r="T176" s="5">
        <f t="shared" si="20"/>
        <v>2007</v>
      </c>
      <c r="U176" s="5">
        <f t="shared" si="21"/>
        <v>1</v>
      </c>
      <c r="V176" s="5">
        <v>0</v>
      </c>
      <c r="W176" s="5">
        <v>10</v>
      </c>
    </row>
    <row r="177" spans="1:23">
      <c r="A177" s="5">
        <f t="shared" si="22"/>
        <v>174</v>
      </c>
      <c r="B177" s="93">
        <f t="shared" si="17"/>
        <v>2007</v>
      </c>
      <c r="C177" s="20" t="str">
        <f>INDEX(Unitinfo!C:C,MATCH(UnitGradeInfo!B177,Unitinfo!A:A,0))</f>
        <v>(근거리)Zombie_Shield</v>
      </c>
      <c r="D177" s="5">
        <f>COUNTIF($B$4:B177,B177)</f>
        <v>9</v>
      </c>
      <c r="E177" s="5">
        <f>ROUNDDOWN(INDEX(ref_Unit_Balance!$G$31:$G$106,MATCH(UnitGradeInfo!B177,ref_Unit_Balance!$B$31:$B$1048576,0))
+INDEX(ref_Unit_Balance!$G$20:$G$23,MATCH(IFERROR(INDEX(ref_Unit_Balance!$D$31:$D$1048576,MATCH(B177,ref_Unit_Balance!$B$31:$B$1048576,0)),0),ref_Unit_Balance!$B$20:$B$23,0))*D177*ref_Unit_Balance!$C$25,0)</f>
        <v>600</v>
      </c>
      <c r="F177" s="5">
        <f>INDEX(ref_Unit_Balance!$V$31:$V$106,MATCH(UnitGradeInfo!B177,ref_Unit_Balance!$B$31:$B$1048576,0))
+
INDEX(ref_Unit_Balance!$AB$31:$AB$106,MATCH(UnitGradeInfo!B177,ref_Unit_Balance!$B$31:$B$1048576,0))*(D177-1)</f>
        <v>7164</v>
      </c>
      <c r="G177" s="5">
        <f>INDEX(ref_Unit_Balance!$R$31:$R$106,MATCH(UnitGradeInfo!B177,ref_Unit_Balance!$B$31:$B$1048576,0))
+
INDEX(ref_Unit_Balance!$AA$31:$AA$106,MATCH(UnitGradeInfo!B177,ref_Unit_Balance!$B$31:$B$1048576,0))*(D177-1)</f>
        <v>220</v>
      </c>
      <c r="H177" s="39">
        <f>IF(INDEX(Unitinfo!D:D,MATCH(UnitGradeInfo!B177,Unitinfo!A:A,0))=1,50,5)</f>
        <v>5</v>
      </c>
      <c r="I177" s="5">
        <f>IF(INDEX(ref_Unit_Balance!$T$31:$T$106,MATCH(UnitGradeInfo!B177,ref_Unit_Balance!$B$31:$B$1048576,0))=0,1,INDEX(ref_Unit_Balance!$T$31:$T$106,MATCH(UnitGradeInfo!B177,ref_Unit_Balance!$B$31:$B$1048576,0)))</f>
        <v>1</v>
      </c>
      <c r="J177" s="5">
        <f>INDEX(ref_Unit_Balance!$S$31:$S$106,MATCH(UnitGradeInfo!B177,ref_Unit_Balance!$B$31:$B$1048576,0))</f>
        <v>1000</v>
      </c>
      <c r="K177" s="5">
        <v>0</v>
      </c>
      <c r="L177" s="5">
        <f>INDEX(ref_Unit_Balance!$I$31:$I$106,MATCH(UnitGradeInfo!B177,ref_Unit_Balance!$B$31:$B$1048576,0))</f>
        <v>3</v>
      </c>
      <c r="M177" s="5">
        <f t="shared" si="18"/>
        <v>18</v>
      </c>
      <c r="N177" s="5">
        <f t="shared" si="19"/>
        <v>180</v>
      </c>
      <c r="O177" s="5">
        <f>(INDEX(Unitinfo!I:I,MATCH(B177,Unitinfo!A:A,0))+1)*2</f>
        <v>2</v>
      </c>
      <c r="P177" s="5">
        <v>0</v>
      </c>
      <c r="Q177" s="5">
        <v>0</v>
      </c>
      <c r="R177" s="19" t="s">
        <v>121</v>
      </c>
      <c r="S177" s="19" t="s">
        <v>121</v>
      </c>
      <c r="T177" s="5">
        <f t="shared" si="20"/>
        <v>2007</v>
      </c>
      <c r="U177" s="5">
        <f t="shared" si="21"/>
        <v>1</v>
      </c>
      <c r="V177" s="5">
        <v>0</v>
      </c>
      <c r="W177" s="5">
        <v>10</v>
      </c>
    </row>
    <row r="178" spans="1:23">
      <c r="A178" s="5">
        <f t="shared" si="22"/>
        <v>175</v>
      </c>
      <c r="B178" s="93">
        <f t="shared" ref="B178:B241" si="23">QUOTIENT(A178-45-1,20)+2001</f>
        <v>2007</v>
      </c>
      <c r="C178" s="20" t="str">
        <f>INDEX(Unitinfo!C:C,MATCH(UnitGradeInfo!B178,Unitinfo!A:A,0))</f>
        <v>(근거리)Zombie_Shield</v>
      </c>
      <c r="D178" s="5">
        <f>COUNTIF($B$4:B178,B178)</f>
        <v>10</v>
      </c>
      <c r="E178" s="5">
        <f>ROUNDDOWN(INDEX(ref_Unit_Balance!$G$31:$G$106,MATCH(UnitGradeInfo!B178,ref_Unit_Balance!$B$31:$B$1048576,0))
+INDEX(ref_Unit_Balance!$G$20:$G$23,MATCH(IFERROR(INDEX(ref_Unit_Balance!$D$31:$D$1048576,MATCH(B178,ref_Unit_Balance!$B$31:$B$1048576,0)),0),ref_Unit_Balance!$B$20:$B$23,0))*D178*ref_Unit_Balance!$C$25,0)</f>
        <v>650</v>
      </c>
      <c r="F178" s="5">
        <f>INDEX(ref_Unit_Balance!$V$31:$V$106,MATCH(UnitGradeInfo!B178,ref_Unit_Balance!$B$31:$B$1048576,0))
+
INDEX(ref_Unit_Balance!$AB$31:$AB$106,MATCH(UnitGradeInfo!B178,ref_Unit_Balance!$B$31:$B$1048576,0))*(D178-1)</f>
        <v>7497</v>
      </c>
      <c r="G178" s="5">
        <f>INDEX(ref_Unit_Balance!$R$31:$R$106,MATCH(UnitGradeInfo!B178,ref_Unit_Balance!$B$31:$B$1048576,0))
+
INDEX(ref_Unit_Balance!$AA$31:$AA$106,MATCH(UnitGradeInfo!B178,ref_Unit_Balance!$B$31:$B$1048576,0))*(D178-1)</f>
        <v>240</v>
      </c>
      <c r="H178" s="39">
        <f>IF(INDEX(Unitinfo!D:D,MATCH(UnitGradeInfo!B178,Unitinfo!A:A,0))=1,50,5)</f>
        <v>5</v>
      </c>
      <c r="I178" s="5">
        <f>IF(INDEX(ref_Unit_Balance!$T$31:$T$106,MATCH(UnitGradeInfo!B178,ref_Unit_Balance!$B$31:$B$1048576,0))=0,1,INDEX(ref_Unit_Balance!$T$31:$T$106,MATCH(UnitGradeInfo!B178,ref_Unit_Balance!$B$31:$B$1048576,0)))</f>
        <v>1</v>
      </c>
      <c r="J178" s="5">
        <f>INDEX(ref_Unit_Balance!$S$31:$S$106,MATCH(UnitGradeInfo!B178,ref_Unit_Balance!$B$31:$B$1048576,0))</f>
        <v>1000</v>
      </c>
      <c r="K178" s="5">
        <v>0</v>
      </c>
      <c r="L178" s="5">
        <f>INDEX(ref_Unit_Balance!$I$31:$I$106,MATCH(UnitGradeInfo!B178,ref_Unit_Balance!$B$31:$B$1048576,0))</f>
        <v>3</v>
      </c>
      <c r="M178" s="5">
        <f t="shared" si="18"/>
        <v>20</v>
      </c>
      <c r="N178" s="5">
        <f t="shared" si="19"/>
        <v>200</v>
      </c>
      <c r="O178" s="5">
        <f>(INDEX(Unitinfo!I:I,MATCH(B178,Unitinfo!A:A,0))+1)*2</f>
        <v>2</v>
      </c>
      <c r="P178" s="5">
        <v>0</v>
      </c>
      <c r="Q178" s="5">
        <v>0</v>
      </c>
      <c r="R178" s="19" t="s">
        <v>121</v>
      </c>
      <c r="S178" s="19" t="s">
        <v>121</v>
      </c>
      <c r="T178" s="5">
        <f t="shared" si="20"/>
        <v>2007</v>
      </c>
      <c r="U178" s="5">
        <f t="shared" si="21"/>
        <v>1</v>
      </c>
      <c r="V178" s="5">
        <v>0</v>
      </c>
      <c r="W178" s="5">
        <v>10</v>
      </c>
    </row>
    <row r="179" spans="1:23">
      <c r="A179" s="5">
        <f t="shared" si="22"/>
        <v>176</v>
      </c>
      <c r="B179" s="93">
        <f t="shared" si="23"/>
        <v>2007</v>
      </c>
      <c r="C179" s="20" t="str">
        <f>INDEX(Unitinfo!C:C,MATCH(UnitGradeInfo!B179,Unitinfo!A:A,0))</f>
        <v>(근거리)Zombie_Shield</v>
      </c>
      <c r="D179" s="5">
        <f>COUNTIF($B$4:B179,B179)</f>
        <v>11</v>
      </c>
      <c r="E179" s="5">
        <f>ROUNDDOWN(INDEX(ref_Unit_Balance!$G$31:$G$106,MATCH(UnitGradeInfo!B179,ref_Unit_Balance!$B$31:$B$1048576,0))
+INDEX(ref_Unit_Balance!$G$20:$G$23,MATCH(IFERROR(INDEX(ref_Unit_Balance!$D$31:$D$1048576,MATCH(B179,ref_Unit_Balance!$B$31:$B$1048576,0)),0),ref_Unit_Balance!$B$20:$B$23,0))*D179*ref_Unit_Balance!$C$25,0)</f>
        <v>700</v>
      </c>
      <c r="F179" s="5">
        <f>INDEX(ref_Unit_Balance!$V$31:$V$106,MATCH(UnitGradeInfo!B179,ref_Unit_Balance!$B$31:$B$1048576,0))
+
INDEX(ref_Unit_Balance!$AB$31:$AB$106,MATCH(UnitGradeInfo!B179,ref_Unit_Balance!$B$31:$B$1048576,0))*(D179-1)</f>
        <v>7830</v>
      </c>
      <c r="G179" s="5">
        <f>INDEX(ref_Unit_Balance!$R$31:$R$106,MATCH(UnitGradeInfo!B179,ref_Unit_Balance!$B$31:$B$1048576,0))
+
INDEX(ref_Unit_Balance!$AA$31:$AA$106,MATCH(UnitGradeInfo!B179,ref_Unit_Balance!$B$31:$B$1048576,0))*(D179-1)</f>
        <v>260</v>
      </c>
      <c r="H179" s="39">
        <f>IF(INDEX(Unitinfo!D:D,MATCH(UnitGradeInfo!B179,Unitinfo!A:A,0))=1,50,5)</f>
        <v>5</v>
      </c>
      <c r="I179" s="5">
        <f>IF(INDEX(ref_Unit_Balance!$T$31:$T$106,MATCH(UnitGradeInfo!B179,ref_Unit_Balance!$B$31:$B$1048576,0))=0,1,INDEX(ref_Unit_Balance!$T$31:$T$106,MATCH(UnitGradeInfo!B179,ref_Unit_Balance!$B$31:$B$1048576,0)))</f>
        <v>1</v>
      </c>
      <c r="J179" s="5">
        <f>INDEX(ref_Unit_Balance!$S$31:$S$106,MATCH(UnitGradeInfo!B179,ref_Unit_Balance!$B$31:$B$1048576,0))</f>
        <v>1000</v>
      </c>
      <c r="K179" s="5">
        <v>0</v>
      </c>
      <c r="L179" s="5">
        <f>INDEX(ref_Unit_Balance!$I$31:$I$106,MATCH(UnitGradeInfo!B179,ref_Unit_Balance!$B$31:$B$1048576,0))</f>
        <v>3</v>
      </c>
      <c r="M179" s="5">
        <f t="shared" si="18"/>
        <v>22</v>
      </c>
      <c r="N179" s="5">
        <f t="shared" si="19"/>
        <v>220</v>
      </c>
      <c r="O179" s="5">
        <f>(INDEX(Unitinfo!I:I,MATCH(B179,Unitinfo!A:A,0))+1)*2</f>
        <v>2</v>
      </c>
      <c r="P179" s="5">
        <v>0</v>
      </c>
      <c r="Q179" s="5">
        <v>0</v>
      </c>
      <c r="R179" s="19" t="s">
        <v>121</v>
      </c>
      <c r="S179" s="19" t="s">
        <v>121</v>
      </c>
      <c r="T179" s="5">
        <f t="shared" si="20"/>
        <v>2007</v>
      </c>
      <c r="U179" s="5">
        <f t="shared" si="21"/>
        <v>1</v>
      </c>
      <c r="V179" s="5">
        <v>0</v>
      </c>
      <c r="W179" s="5">
        <v>10</v>
      </c>
    </row>
    <row r="180" spans="1:23">
      <c r="A180" s="5">
        <f t="shared" si="22"/>
        <v>177</v>
      </c>
      <c r="B180" s="93">
        <f t="shared" si="23"/>
        <v>2007</v>
      </c>
      <c r="C180" s="20" t="str">
        <f>INDEX(Unitinfo!C:C,MATCH(UnitGradeInfo!B180,Unitinfo!A:A,0))</f>
        <v>(근거리)Zombie_Shield</v>
      </c>
      <c r="D180" s="5">
        <f>COUNTIF($B$4:B180,B180)</f>
        <v>12</v>
      </c>
      <c r="E180" s="5">
        <f>ROUNDDOWN(INDEX(ref_Unit_Balance!$G$31:$G$106,MATCH(UnitGradeInfo!B180,ref_Unit_Balance!$B$31:$B$1048576,0))
+INDEX(ref_Unit_Balance!$G$20:$G$23,MATCH(IFERROR(INDEX(ref_Unit_Balance!$D$31:$D$1048576,MATCH(B180,ref_Unit_Balance!$B$31:$B$1048576,0)),0),ref_Unit_Balance!$B$20:$B$23,0))*D180*ref_Unit_Balance!$C$25,0)</f>
        <v>750</v>
      </c>
      <c r="F180" s="5">
        <f>INDEX(ref_Unit_Balance!$V$31:$V$106,MATCH(UnitGradeInfo!B180,ref_Unit_Balance!$B$31:$B$1048576,0))
+
INDEX(ref_Unit_Balance!$AB$31:$AB$106,MATCH(UnitGradeInfo!B180,ref_Unit_Balance!$B$31:$B$1048576,0))*(D180-1)</f>
        <v>8163</v>
      </c>
      <c r="G180" s="5">
        <f>INDEX(ref_Unit_Balance!$R$31:$R$106,MATCH(UnitGradeInfo!B180,ref_Unit_Balance!$B$31:$B$1048576,0))
+
INDEX(ref_Unit_Balance!$AA$31:$AA$106,MATCH(UnitGradeInfo!B180,ref_Unit_Balance!$B$31:$B$1048576,0))*(D180-1)</f>
        <v>280</v>
      </c>
      <c r="H180" s="39">
        <f>IF(INDEX(Unitinfo!D:D,MATCH(UnitGradeInfo!B180,Unitinfo!A:A,0))=1,50,5)</f>
        <v>5</v>
      </c>
      <c r="I180" s="5">
        <f>IF(INDEX(ref_Unit_Balance!$T$31:$T$106,MATCH(UnitGradeInfo!B180,ref_Unit_Balance!$B$31:$B$1048576,0))=0,1,INDEX(ref_Unit_Balance!$T$31:$T$106,MATCH(UnitGradeInfo!B180,ref_Unit_Balance!$B$31:$B$1048576,0)))</f>
        <v>1</v>
      </c>
      <c r="J180" s="5">
        <f>INDEX(ref_Unit_Balance!$S$31:$S$106,MATCH(UnitGradeInfo!B180,ref_Unit_Balance!$B$31:$B$1048576,0))</f>
        <v>1000</v>
      </c>
      <c r="K180" s="5">
        <v>0</v>
      </c>
      <c r="L180" s="5">
        <f>INDEX(ref_Unit_Balance!$I$31:$I$106,MATCH(UnitGradeInfo!B180,ref_Unit_Balance!$B$31:$B$1048576,0))</f>
        <v>3</v>
      </c>
      <c r="M180" s="5">
        <f t="shared" si="18"/>
        <v>24</v>
      </c>
      <c r="N180" s="5">
        <f t="shared" si="19"/>
        <v>240</v>
      </c>
      <c r="O180" s="5">
        <f>(INDEX(Unitinfo!I:I,MATCH(B180,Unitinfo!A:A,0))+1)*2</f>
        <v>2</v>
      </c>
      <c r="P180" s="5">
        <v>0</v>
      </c>
      <c r="Q180" s="5">
        <v>0</v>
      </c>
      <c r="R180" s="19" t="s">
        <v>121</v>
      </c>
      <c r="S180" s="19" t="s">
        <v>121</v>
      </c>
      <c r="T180" s="5">
        <f t="shared" si="20"/>
        <v>2007</v>
      </c>
      <c r="U180" s="5">
        <f t="shared" si="21"/>
        <v>1</v>
      </c>
      <c r="V180" s="5">
        <v>0</v>
      </c>
      <c r="W180" s="5">
        <v>10</v>
      </c>
    </row>
    <row r="181" spans="1:23">
      <c r="A181" s="5">
        <f t="shared" si="22"/>
        <v>178</v>
      </c>
      <c r="B181" s="93">
        <f t="shared" si="23"/>
        <v>2007</v>
      </c>
      <c r="C181" s="20" t="str">
        <f>INDEX(Unitinfo!C:C,MATCH(UnitGradeInfo!B181,Unitinfo!A:A,0))</f>
        <v>(근거리)Zombie_Shield</v>
      </c>
      <c r="D181" s="5">
        <f>COUNTIF($B$4:B181,B181)</f>
        <v>13</v>
      </c>
      <c r="E181" s="5">
        <f>ROUNDDOWN(INDEX(ref_Unit_Balance!$G$31:$G$106,MATCH(UnitGradeInfo!B181,ref_Unit_Balance!$B$31:$B$1048576,0))
+INDEX(ref_Unit_Balance!$G$20:$G$23,MATCH(IFERROR(INDEX(ref_Unit_Balance!$D$31:$D$1048576,MATCH(B181,ref_Unit_Balance!$B$31:$B$1048576,0)),0),ref_Unit_Balance!$B$20:$B$23,0))*D181*ref_Unit_Balance!$C$25,0)</f>
        <v>800</v>
      </c>
      <c r="F181" s="5">
        <f>INDEX(ref_Unit_Balance!$V$31:$V$106,MATCH(UnitGradeInfo!B181,ref_Unit_Balance!$B$31:$B$1048576,0))
+
INDEX(ref_Unit_Balance!$AB$31:$AB$106,MATCH(UnitGradeInfo!B181,ref_Unit_Balance!$B$31:$B$1048576,0))*(D181-1)</f>
        <v>8496</v>
      </c>
      <c r="G181" s="5">
        <f>INDEX(ref_Unit_Balance!$R$31:$R$106,MATCH(UnitGradeInfo!B181,ref_Unit_Balance!$B$31:$B$1048576,0))
+
INDEX(ref_Unit_Balance!$AA$31:$AA$106,MATCH(UnitGradeInfo!B181,ref_Unit_Balance!$B$31:$B$1048576,0))*(D181-1)</f>
        <v>300</v>
      </c>
      <c r="H181" s="39">
        <f>IF(INDEX(Unitinfo!D:D,MATCH(UnitGradeInfo!B181,Unitinfo!A:A,0))=1,50,5)</f>
        <v>5</v>
      </c>
      <c r="I181" s="5">
        <f>IF(INDEX(ref_Unit_Balance!$T$31:$T$106,MATCH(UnitGradeInfo!B181,ref_Unit_Balance!$B$31:$B$1048576,0))=0,1,INDEX(ref_Unit_Balance!$T$31:$T$106,MATCH(UnitGradeInfo!B181,ref_Unit_Balance!$B$31:$B$1048576,0)))</f>
        <v>1</v>
      </c>
      <c r="J181" s="5">
        <f>INDEX(ref_Unit_Balance!$S$31:$S$106,MATCH(UnitGradeInfo!B181,ref_Unit_Balance!$B$31:$B$1048576,0))</f>
        <v>1000</v>
      </c>
      <c r="K181" s="5">
        <v>0</v>
      </c>
      <c r="L181" s="5">
        <f>INDEX(ref_Unit_Balance!$I$31:$I$106,MATCH(UnitGradeInfo!B181,ref_Unit_Balance!$B$31:$B$1048576,0))</f>
        <v>3</v>
      </c>
      <c r="M181" s="5">
        <f t="shared" si="18"/>
        <v>26</v>
      </c>
      <c r="N181" s="5">
        <f t="shared" si="19"/>
        <v>260</v>
      </c>
      <c r="O181" s="5">
        <f>(INDEX(Unitinfo!I:I,MATCH(B181,Unitinfo!A:A,0))+1)*2</f>
        <v>2</v>
      </c>
      <c r="P181" s="5">
        <v>0</v>
      </c>
      <c r="Q181" s="5">
        <v>0</v>
      </c>
      <c r="R181" s="19" t="s">
        <v>121</v>
      </c>
      <c r="S181" s="19" t="s">
        <v>121</v>
      </c>
      <c r="T181" s="5">
        <f t="shared" si="20"/>
        <v>2007</v>
      </c>
      <c r="U181" s="5">
        <f t="shared" si="21"/>
        <v>1</v>
      </c>
      <c r="V181" s="5">
        <v>0</v>
      </c>
      <c r="W181" s="5">
        <v>10</v>
      </c>
    </row>
    <row r="182" spans="1:23">
      <c r="A182" s="5">
        <f t="shared" si="22"/>
        <v>179</v>
      </c>
      <c r="B182" s="93">
        <f t="shared" si="23"/>
        <v>2007</v>
      </c>
      <c r="C182" s="20" t="str">
        <f>INDEX(Unitinfo!C:C,MATCH(UnitGradeInfo!B182,Unitinfo!A:A,0))</f>
        <v>(근거리)Zombie_Shield</v>
      </c>
      <c r="D182" s="5">
        <f>COUNTIF($B$4:B182,B182)</f>
        <v>14</v>
      </c>
      <c r="E182" s="5">
        <f>ROUNDDOWN(INDEX(ref_Unit_Balance!$G$31:$G$106,MATCH(UnitGradeInfo!B182,ref_Unit_Balance!$B$31:$B$1048576,0))
+INDEX(ref_Unit_Balance!$G$20:$G$23,MATCH(IFERROR(INDEX(ref_Unit_Balance!$D$31:$D$1048576,MATCH(B182,ref_Unit_Balance!$B$31:$B$1048576,0)),0),ref_Unit_Balance!$B$20:$B$23,0))*D182*ref_Unit_Balance!$C$25,0)</f>
        <v>850</v>
      </c>
      <c r="F182" s="5">
        <f>INDEX(ref_Unit_Balance!$V$31:$V$106,MATCH(UnitGradeInfo!B182,ref_Unit_Balance!$B$31:$B$1048576,0))
+
INDEX(ref_Unit_Balance!$AB$31:$AB$106,MATCH(UnitGradeInfo!B182,ref_Unit_Balance!$B$31:$B$1048576,0))*(D182-1)</f>
        <v>8829</v>
      </c>
      <c r="G182" s="5">
        <f>INDEX(ref_Unit_Balance!$R$31:$R$106,MATCH(UnitGradeInfo!B182,ref_Unit_Balance!$B$31:$B$1048576,0))
+
INDEX(ref_Unit_Balance!$AA$31:$AA$106,MATCH(UnitGradeInfo!B182,ref_Unit_Balance!$B$31:$B$1048576,0))*(D182-1)</f>
        <v>320</v>
      </c>
      <c r="H182" s="39">
        <f>IF(INDEX(Unitinfo!D:D,MATCH(UnitGradeInfo!B182,Unitinfo!A:A,0))=1,50,5)</f>
        <v>5</v>
      </c>
      <c r="I182" s="5">
        <f>IF(INDEX(ref_Unit_Balance!$T$31:$T$106,MATCH(UnitGradeInfo!B182,ref_Unit_Balance!$B$31:$B$1048576,0))=0,1,INDEX(ref_Unit_Balance!$T$31:$T$106,MATCH(UnitGradeInfo!B182,ref_Unit_Balance!$B$31:$B$1048576,0)))</f>
        <v>1</v>
      </c>
      <c r="J182" s="5">
        <f>INDEX(ref_Unit_Balance!$S$31:$S$106,MATCH(UnitGradeInfo!B182,ref_Unit_Balance!$B$31:$B$1048576,0))</f>
        <v>1000</v>
      </c>
      <c r="K182" s="5">
        <v>0</v>
      </c>
      <c r="L182" s="5">
        <f>INDEX(ref_Unit_Balance!$I$31:$I$106,MATCH(UnitGradeInfo!B182,ref_Unit_Balance!$B$31:$B$1048576,0))</f>
        <v>3</v>
      </c>
      <c r="M182" s="5">
        <f t="shared" si="18"/>
        <v>28</v>
      </c>
      <c r="N182" s="5">
        <f t="shared" si="19"/>
        <v>280</v>
      </c>
      <c r="O182" s="5">
        <f>(INDEX(Unitinfo!I:I,MATCH(B182,Unitinfo!A:A,0))+1)*2</f>
        <v>2</v>
      </c>
      <c r="P182" s="5">
        <v>0</v>
      </c>
      <c r="Q182" s="5">
        <v>0</v>
      </c>
      <c r="R182" s="19" t="s">
        <v>121</v>
      </c>
      <c r="S182" s="19" t="s">
        <v>121</v>
      </c>
      <c r="T182" s="5">
        <f t="shared" si="20"/>
        <v>2007</v>
      </c>
      <c r="U182" s="5">
        <f t="shared" si="21"/>
        <v>1</v>
      </c>
      <c r="V182" s="5">
        <v>0</v>
      </c>
      <c r="W182" s="5">
        <v>10</v>
      </c>
    </row>
    <row r="183" spans="1:23">
      <c r="A183" s="5">
        <f t="shared" si="22"/>
        <v>180</v>
      </c>
      <c r="B183" s="93">
        <f t="shared" si="23"/>
        <v>2007</v>
      </c>
      <c r="C183" s="20" t="str">
        <f>INDEX(Unitinfo!C:C,MATCH(UnitGradeInfo!B183,Unitinfo!A:A,0))</f>
        <v>(근거리)Zombie_Shield</v>
      </c>
      <c r="D183" s="5">
        <f>COUNTIF($B$4:B183,B183)</f>
        <v>15</v>
      </c>
      <c r="E183" s="5">
        <f>ROUNDDOWN(INDEX(ref_Unit_Balance!$G$31:$G$106,MATCH(UnitGradeInfo!B183,ref_Unit_Balance!$B$31:$B$1048576,0))
+INDEX(ref_Unit_Balance!$G$20:$G$23,MATCH(IFERROR(INDEX(ref_Unit_Balance!$D$31:$D$1048576,MATCH(B183,ref_Unit_Balance!$B$31:$B$1048576,0)),0),ref_Unit_Balance!$B$20:$B$23,0))*D183*ref_Unit_Balance!$C$25,0)</f>
        <v>900</v>
      </c>
      <c r="F183" s="5">
        <f>INDEX(ref_Unit_Balance!$V$31:$V$106,MATCH(UnitGradeInfo!B183,ref_Unit_Balance!$B$31:$B$1048576,0))
+
INDEX(ref_Unit_Balance!$AB$31:$AB$106,MATCH(UnitGradeInfo!B183,ref_Unit_Balance!$B$31:$B$1048576,0))*(D183-1)</f>
        <v>9162</v>
      </c>
      <c r="G183" s="5">
        <f>INDEX(ref_Unit_Balance!$R$31:$R$106,MATCH(UnitGradeInfo!B183,ref_Unit_Balance!$B$31:$B$1048576,0))
+
INDEX(ref_Unit_Balance!$AA$31:$AA$106,MATCH(UnitGradeInfo!B183,ref_Unit_Balance!$B$31:$B$1048576,0))*(D183-1)</f>
        <v>340</v>
      </c>
      <c r="H183" s="39">
        <f>IF(INDEX(Unitinfo!D:D,MATCH(UnitGradeInfo!B183,Unitinfo!A:A,0))=1,50,5)</f>
        <v>5</v>
      </c>
      <c r="I183" s="5">
        <f>IF(INDEX(ref_Unit_Balance!$T$31:$T$106,MATCH(UnitGradeInfo!B183,ref_Unit_Balance!$B$31:$B$1048576,0))=0,1,INDEX(ref_Unit_Balance!$T$31:$T$106,MATCH(UnitGradeInfo!B183,ref_Unit_Balance!$B$31:$B$1048576,0)))</f>
        <v>1</v>
      </c>
      <c r="J183" s="5">
        <f>INDEX(ref_Unit_Balance!$S$31:$S$106,MATCH(UnitGradeInfo!B183,ref_Unit_Balance!$B$31:$B$1048576,0))</f>
        <v>1000</v>
      </c>
      <c r="K183" s="5">
        <v>0</v>
      </c>
      <c r="L183" s="5">
        <f>INDEX(ref_Unit_Balance!$I$31:$I$106,MATCH(UnitGradeInfo!B183,ref_Unit_Balance!$B$31:$B$1048576,0))</f>
        <v>3</v>
      </c>
      <c r="M183" s="5">
        <f t="shared" si="18"/>
        <v>30</v>
      </c>
      <c r="N183" s="5">
        <f t="shared" si="19"/>
        <v>300</v>
      </c>
      <c r="O183" s="5">
        <f>(INDEX(Unitinfo!I:I,MATCH(B183,Unitinfo!A:A,0))+1)*2</f>
        <v>2</v>
      </c>
      <c r="P183" s="5">
        <v>0</v>
      </c>
      <c r="Q183" s="5">
        <v>0</v>
      </c>
      <c r="R183" s="19" t="s">
        <v>121</v>
      </c>
      <c r="S183" s="19" t="s">
        <v>121</v>
      </c>
      <c r="T183" s="5">
        <f t="shared" si="20"/>
        <v>2007</v>
      </c>
      <c r="U183" s="5">
        <f t="shared" si="21"/>
        <v>1</v>
      </c>
      <c r="V183" s="5">
        <v>0</v>
      </c>
      <c r="W183" s="5">
        <v>10</v>
      </c>
    </row>
    <row r="184" spans="1:23">
      <c r="A184" s="5">
        <f t="shared" si="22"/>
        <v>181</v>
      </c>
      <c r="B184" s="93">
        <f t="shared" si="23"/>
        <v>2007</v>
      </c>
      <c r="C184" s="20" t="str">
        <f>INDEX(Unitinfo!C:C,MATCH(UnitGradeInfo!B184,Unitinfo!A:A,0))</f>
        <v>(근거리)Zombie_Shield</v>
      </c>
      <c r="D184" s="5">
        <f>COUNTIF($B$4:B184,B184)</f>
        <v>16</v>
      </c>
      <c r="E184" s="5">
        <f>ROUNDDOWN(INDEX(ref_Unit_Balance!$G$31:$G$106,MATCH(UnitGradeInfo!B184,ref_Unit_Balance!$B$31:$B$1048576,0))
+INDEX(ref_Unit_Balance!$G$20:$G$23,MATCH(IFERROR(INDEX(ref_Unit_Balance!$D$31:$D$1048576,MATCH(B184,ref_Unit_Balance!$B$31:$B$1048576,0)),0),ref_Unit_Balance!$B$20:$B$23,0))*D184*ref_Unit_Balance!$C$25,0)</f>
        <v>950</v>
      </c>
      <c r="F184" s="5">
        <f>INDEX(ref_Unit_Balance!$V$31:$V$106,MATCH(UnitGradeInfo!B184,ref_Unit_Balance!$B$31:$B$1048576,0))
+
INDEX(ref_Unit_Balance!$AB$31:$AB$106,MATCH(UnitGradeInfo!B184,ref_Unit_Balance!$B$31:$B$1048576,0))*(D184-1)</f>
        <v>9495</v>
      </c>
      <c r="G184" s="5">
        <f>INDEX(ref_Unit_Balance!$R$31:$R$106,MATCH(UnitGradeInfo!B184,ref_Unit_Balance!$B$31:$B$1048576,0))
+
INDEX(ref_Unit_Balance!$AA$31:$AA$106,MATCH(UnitGradeInfo!B184,ref_Unit_Balance!$B$31:$B$1048576,0))*(D184-1)</f>
        <v>360</v>
      </c>
      <c r="H184" s="39">
        <f>IF(INDEX(Unitinfo!D:D,MATCH(UnitGradeInfo!B184,Unitinfo!A:A,0))=1,50,5)</f>
        <v>5</v>
      </c>
      <c r="I184" s="5">
        <f>IF(INDEX(ref_Unit_Balance!$T$31:$T$106,MATCH(UnitGradeInfo!B184,ref_Unit_Balance!$B$31:$B$1048576,0))=0,1,INDEX(ref_Unit_Balance!$T$31:$T$106,MATCH(UnitGradeInfo!B184,ref_Unit_Balance!$B$31:$B$1048576,0)))</f>
        <v>1</v>
      </c>
      <c r="J184" s="5">
        <f>INDEX(ref_Unit_Balance!$S$31:$S$106,MATCH(UnitGradeInfo!B184,ref_Unit_Balance!$B$31:$B$1048576,0))</f>
        <v>1000</v>
      </c>
      <c r="K184" s="5">
        <v>0</v>
      </c>
      <c r="L184" s="5">
        <f>INDEX(ref_Unit_Balance!$I$31:$I$106,MATCH(UnitGradeInfo!B184,ref_Unit_Balance!$B$31:$B$1048576,0))</f>
        <v>3</v>
      </c>
      <c r="M184" s="5">
        <f t="shared" si="18"/>
        <v>32</v>
      </c>
      <c r="N184" s="5">
        <f t="shared" si="19"/>
        <v>320</v>
      </c>
      <c r="O184" s="5">
        <f>(INDEX(Unitinfo!I:I,MATCH(B184,Unitinfo!A:A,0))+1)*2</f>
        <v>2</v>
      </c>
      <c r="P184" s="5">
        <v>0</v>
      </c>
      <c r="Q184" s="5">
        <v>0</v>
      </c>
      <c r="R184" s="19" t="s">
        <v>121</v>
      </c>
      <c r="S184" s="19" t="s">
        <v>121</v>
      </c>
      <c r="T184" s="5">
        <f t="shared" si="20"/>
        <v>2007</v>
      </c>
      <c r="U184" s="5">
        <f t="shared" si="21"/>
        <v>1</v>
      </c>
      <c r="V184" s="5">
        <v>0</v>
      </c>
      <c r="W184" s="5">
        <v>10</v>
      </c>
    </row>
    <row r="185" spans="1:23">
      <c r="A185" s="5">
        <f t="shared" si="22"/>
        <v>182</v>
      </c>
      <c r="B185" s="93">
        <f t="shared" si="23"/>
        <v>2007</v>
      </c>
      <c r="C185" s="20" t="str">
        <f>INDEX(Unitinfo!C:C,MATCH(UnitGradeInfo!B185,Unitinfo!A:A,0))</f>
        <v>(근거리)Zombie_Shield</v>
      </c>
      <c r="D185" s="5">
        <f>COUNTIF($B$4:B185,B185)</f>
        <v>17</v>
      </c>
      <c r="E185" s="5">
        <f>ROUNDDOWN(INDEX(ref_Unit_Balance!$G$31:$G$106,MATCH(UnitGradeInfo!B185,ref_Unit_Balance!$B$31:$B$1048576,0))
+INDEX(ref_Unit_Balance!$G$20:$G$23,MATCH(IFERROR(INDEX(ref_Unit_Balance!$D$31:$D$1048576,MATCH(B185,ref_Unit_Balance!$B$31:$B$1048576,0)),0),ref_Unit_Balance!$B$20:$B$23,0))*D185*ref_Unit_Balance!$C$25,0)</f>
        <v>1000</v>
      </c>
      <c r="F185" s="5">
        <f>INDEX(ref_Unit_Balance!$V$31:$V$106,MATCH(UnitGradeInfo!B185,ref_Unit_Balance!$B$31:$B$1048576,0))
+
INDEX(ref_Unit_Balance!$AB$31:$AB$106,MATCH(UnitGradeInfo!B185,ref_Unit_Balance!$B$31:$B$1048576,0))*(D185-1)</f>
        <v>9828</v>
      </c>
      <c r="G185" s="5">
        <f>INDEX(ref_Unit_Balance!$R$31:$R$106,MATCH(UnitGradeInfo!B185,ref_Unit_Balance!$B$31:$B$1048576,0))
+
INDEX(ref_Unit_Balance!$AA$31:$AA$106,MATCH(UnitGradeInfo!B185,ref_Unit_Balance!$B$31:$B$1048576,0))*(D185-1)</f>
        <v>380</v>
      </c>
      <c r="H185" s="39">
        <f>IF(INDEX(Unitinfo!D:D,MATCH(UnitGradeInfo!B185,Unitinfo!A:A,0))=1,50,5)</f>
        <v>5</v>
      </c>
      <c r="I185" s="5">
        <f>IF(INDEX(ref_Unit_Balance!$T$31:$T$106,MATCH(UnitGradeInfo!B185,ref_Unit_Balance!$B$31:$B$1048576,0))=0,1,INDEX(ref_Unit_Balance!$T$31:$T$106,MATCH(UnitGradeInfo!B185,ref_Unit_Balance!$B$31:$B$1048576,0)))</f>
        <v>1</v>
      </c>
      <c r="J185" s="5">
        <f>INDEX(ref_Unit_Balance!$S$31:$S$106,MATCH(UnitGradeInfo!B185,ref_Unit_Balance!$B$31:$B$1048576,0))</f>
        <v>1000</v>
      </c>
      <c r="K185" s="5">
        <v>0</v>
      </c>
      <c r="L185" s="5">
        <f>INDEX(ref_Unit_Balance!$I$31:$I$106,MATCH(UnitGradeInfo!B185,ref_Unit_Balance!$B$31:$B$1048576,0))</f>
        <v>3</v>
      </c>
      <c r="M185" s="5">
        <f t="shared" si="18"/>
        <v>34</v>
      </c>
      <c r="N185" s="5">
        <f t="shared" si="19"/>
        <v>340</v>
      </c>
      <c r="O185" s="5">
        <f>(INDEX(Unitinfo!I:I,MATCH(B185,Unitinfo!A:A,0))+1)*2</f>
        <v>2</v>
      </c>
      <c r="P185" s="5">
        <v>0</v>
      </c>
      <c r="Q185" s="5">
        <v>0</v>
      </c>
      <c r="R185" s="19" t="s">
        <v>121</v>
      </c>
      <c r="S185" s="19" t="s">
        <v>121</v>
      </c>
      <c r="T185" s="5">
        <f t="shared" si="20"/>
        <v>2007</v>
      </c>
      <c r="U185" s="5">
        <f t="shared" si="21"/>
        <v>1</v>
      </c>
      <c r="V185" s="5">
        <v>0</v>
      </c>
      <c r="W185" s="5">
        <v>10</v>
      </c>
    </row>
    <row r="186" spans="1:23">
      <c r="A186" s="5">
        <f t="shared" si="22"/>
        <v>183</v>
      </c>
      <c r="B186" s="93">
        <f t="shared" si="23"/>
        <v>2007</v>
      </c>
      <c r="C186" s="20" t="str">
        <f>INDEX(Unitinfo!C:C,MATCH(UnitGradeInfo!B186,Unitinfo!A:A,0))</f>
        <v>(근거리)Zombie_Shield</v>
      </c>
      <c r="D186" s="5">
        <f>COUNTIF($B$4:B186,B186)</f>
        <v>18</v>
      </c>
      <c r="E186" s="5">
        <f>ROUNDDOWN(INDEX(ref_Unit_Balance!$G$31:$G$106,MATCH(UnitGradeInfo!B186,ref_Unit_Balance!$B$31:$B$1048576,0))
+INDEX(ref_Unit_Balance!$G$20:$G$23,MATCH(IFERROR(INDEX(ref_Unit_Balance!$D$31:$D$1048576,MATCH(B186,ref_Unit_Balance!$B$31:$B$1048576,0)),0),ref_Unit_Balance!$B$20:$B$23,0))*D186*ref_Unit_Balance!$C$25,0)</f>
        <v>1050</v>
      </c>
      <c r="F186" s="5">
        <f>INDEX(ref_Unit_Balance!$V$31:$V$106,MATCH(UnitGradeInfo!B186,ref_Unit_Balance!$B$31:$B$1048576,0))
+
INDEX(ref_Unit_Balance!$AB$31:$AB$106,MATCH(UnitGradeInfo!B186,ref_Unit_Balance!$B$31:$B$1048576,0))*(D186-1)</f>
        <v>10161</v>
      </c>
      <c r="G186" s="5">
        <f>INDEX(ref_Unit_Balance!$R$31:$R$106,MATCH(UnitGradeInfo!B186,ref_Unit_Balance!$B$31:$B$1048576,0))
+
INDEX(ref_Unit_Balance!$AA$31:$AA$106,MATCH(UnitGradeInfo!B186,ref_Unit_Balance!$B$31:$B$1048576,0))*(D186-1)</f>
        <v>400</v>
      </c>
      <c r="H186" s="39">
        <f>IF(INDEX(Unitinfo!D:D,MATCH(UnitGradeInfo!B186,Unitinfo!A:A,0))=1,50,5)</f>
        <v>5</v>
      </c>
      <c r="I186" s="5">
        <f>IF(INDEX(ref_Unit_Balance!$T$31:$T$106,MATCH(UnitGradeInfo!B186,ref_Unit_Balance!$B$31:$B$1048576,0))=0,1,INDEX(ref_Unit_Balance!$T$31:$T$106,MATCH(UnitGradeInfo!B186,ref_Unit_Balance!$B$31:$B$1048576,0)))</f>
        <v>1</v>
      </c>
      <c r="J186" s="5">
        <f>INDEX(ref_Unit_Balance!$S$31:$S$106,MATCH(UnitGradeInfo!B186,ref_Unit_Balance!$B$31:$B$1048576,0))</f>
        <v>1000</v>
      </c>
      <c r="K186" s="5">
        <v>0</v>
      </c>
      <c r="L186" s="5">
        <f>INDEX(ref_Unit_Balance!$I$31:$I$106,MATCH(UnitGradeInfo!B186,ref_Unit_Balance!$B$31:$B$1048576,0))</f>
        <v>3</v>
      </c>
      <c r="M186" s="5">
        <f t="shared" si="18"/>
        <v>36</v>
      </c>
      <c r="N186" s="5">
        <f t="shared" si="19"/>
        <v>360</v>
      </c>
      <c r="O186" s="5">
        <f>(INDEX(Unitinfo!I:I,MATCH(B186,Unitinfo!A:A,0))+1)*2</f>
        <v>2</v>
      </c>
      <c r="P186" s="5">
        <v>0</v>
      </c>
      <c r="Q186" s="5">
        <v>0</v>
      </c>
      <c r="R186" s="19" t="s">
        <v>121</v>
      </c>
      <c r="S186" s="19" t="s">
        <v>121</v>
      </c>
      <c r="T186" s="5">
        <f t="shared" si="20"/>
        <v>2007</v>
      </c>
      <c r="U186" s="5">
        <f t="shared" si="21"/>
        <v>1</v>
      </c>
      <c r="V186" s="5">
        <v>0</v>
      </c>
      <c r="W186" s="5">
        <v>10</v>
      </c>
    </row>
    <row r="187" spans="1:23">
      <c r="A187" s="5">
        <f t="shared" si="22"/>
        <v>184</v>
      </c>
      <c r="B187" s="93">
        <f t="shared" si="23"/>
        <v>2007</v>
      </c>
      <c r="C187" s="20" t="str">
        <f>INDEX(Unitinfo!C:C,MATCH(UnitGradeInfo!B187,Unitinfo!A:A,0))</f>
        <v>(근거리)Zombie_Shield</v>
      </c>
      <c r="D187" s="5">
        <f>COUNTIF($B$4:B187,B187)</f>
        <v>19</v>
      </c>
      <c r="E187" s="5">
        <f>ROUNDDOWN(INDEX(ref_Unit_Balance!$G$31:$G$106,MATCH(UnitGradeInfo!B187,ref_Unit_Balance!$B$31:$B$1048576,0))
+INDEX(ref_Unit_Balance!$G$20:$G$23,MATCH(IFERROR(INDEX(ref_Unit_Balance!$D$31:$D$1048576,MATCH(B187,ref_Unit_Balance!$B$31:$B$1048576,0)),0),ref_Unit_Balance!$B$20:$B$23,0))*D187*ref_Unit_Balance!$C$25,0)</f>
        <v>1100</v>
      </c>
      <c r="F187" s="5">
        <f>INDEX(ref_Unit_Balance!$V$31:$V$106,MATCH(UnitGradeInfo!B187,ref_Unit_Balance!$B$31:$B$1048576,0))
+
INDEX(ref_Unit_Balance!$AB$31:$AB$106,MATCH(UnitGradeInfo!B187,ref_Unit_Balance!$B$31:$B$1048576,0))*(D187-1)</f>
        <v>10494</v>
      </c>
      <c r="G187" s="5">
        <f>INDEX(ref_Unit_Balance!$R$31:$R$106,MATCH(UnitGradeInfo!B187,ref_Unit_Balance!$B$31:$B$1048576,0))
+
INDEX(ref_Unit_Balance!$AA$31:$AA$106,MATCH(UnitGradeInfo!B187,ref_Unit_Balance!$B$31:$B$1048576,0))*(D187-1)</f>
        <v>420</v>
      </c>
      <c r="H187" s="39">
        <f>IF(INDEX(Unitinfo!D:D,MATCH(UnitGradeInfo!B187,Unitinfo!A:A,0))=1,50,5)</f>
        <v>5</v>
      </c>
      <c r="I187" s="5">
        <f>IF(INDEX(ref_Unit_Balance!$T$31:$T$106,MATCH(UnitGradeInfo!B187,ref_Unit_Balance!$B$31:$B$1048576,0))=0,1,INDEX(ref_Unit_Balance!$T$31:$T$106,MATCH(UnitGradeInfo!B187,ref_Unit_Balance!$B$31:$B$1048576,0)))</f>
        <v>1</v>
      </c>
      <c r="J187" s="5">
        <f>INDEX(ref_Unit_Balance!$S$31:$S$106,MATCH(UnitGradeInfo!B187,ref_Unit_Balance!$B$31:$B$1048576,0))</f>
        <v>1000</v>
      </c>
      <c r="K187" s="5">
        <v>0</v>
      </c>
      <c r="L187" s="5">
        <f>INDEX(ref_Unit_Balance!$I$31:$I$106,MATCH(UnitGradeInfo!B187,ref_Unit_Balance!$B$31:$B$1048576,0))</f>
        <v>3</v>
      </c>
      <c r="M187" s="5">
        <f t="shared" si="18"/>
        <v>38</v>
      </c>
      <c r="N187" s="5">
        <f t="shared" si="19"/>
        <v>380</v>
      </c>
      <c r="O187" s="5">
        <f>(INDEX(Unitinfo!I:I,MATCH(B187,Unitinfo!A:A,0))+1)*2</f>
        <v>2</v>
      </c>
      <c r="P187" s="5">
        <v>0</v>
      </c>
      <c r="Q187" s="5">
        <v>0</v>
      </c>
      <c r="R187" s="19" t="s">
        <v>121</v>
      </c>
      <c r="S187" s="19" t="s">
        <v>121</v>
      </c>
      <c r="T187" s="5">
        <f t="shared" si="20"/>
        <v>2007</v>
      </c>
      <c r="U187" s="5">
        <f t="shared" si="21"/>
        <v>1</v>
      </c>
      <c r="V187" s="5">
        <v>0</v>
      </c>
      <c r="W187" s="5">
        <v>10</v>
      </c>
    </row>
    <row r="188" spans="1:23">
      <c r="A188" s="5">
        <f t="shared" si="22"/>
        <v>185</v>
      </c>
      <c r="B188" s="93">
        <f t="shared" si="23"/>
        <v>2007</v>
      </c>
      <c r="C188" s="20" t="str">
        <f>INDEX(Unitinfo!C:C,MATCH(UnitGradeInfo!B188,Unitinfo!A:A,0))</f>
        <v>(근거리)Zombie_Shield</v>
      </c>
      <c r="D188" s="5">
        <f>COUNTIF($B$4:B188,B188)</f>
        <v>20</v>
      </c>
      <c r="E188" s="5">
        <f>ROUNDDOWN(INDEX(ref_Unit_Balance!$G$31:$G$106,MATCH(UnitGradeInfo!B188,ref_Unit_Balance!$B$31:$B$1048576,0))
+INDEX(ref_Unit_Balance!$G$20:$G$23,MATCH(IFERROR(INDEX(ref_Unit_Balance!$D$31:$D$1048576,MATCH(B188,ref_Unit_Balance!$B$31:$B$1048576,0)),0),ref_Unit_Balance!$B$20:$B$23,0))*D188*ref_Unit_Balance!$C$25,0)</f>
        <v>1150</v>
      </c>
      <c r="F188" s="5">
        <f>INDEX(ref_Unit_Balance!$V$31:$V$106,MATCH(UnitGradeInfo!B188,ref_Unit_Balance!$B$31:$B$1048576,0))
+
INDEX(ref_Unit_Balance!$AB$31:$AB$106,MATCH(UnitGradeInfo!B188,ref_Unit_Balance!$B$31:$B$1048576,0))*(D188-1)</f>
        <v>10827</v>
      </c>
      <c r="G188" s="5">
        <f>INDEX(ref_Unit_Balance!$R$31:$R$106,MATCH(UnitGradeInfo!B188,ref_Unit_Balance!$B$31:$B$1048576,0))
+
INDEX(ref_Unit_Balance!$AA$31:$AA$106,MATCH(UnitGradeInfo!B188,ref_Unit_Balance!$B$31:$B$1048576,0))*(D188-1)</f>
        <v>440</v>
      </c>
      <c r="H188" s="39">
        <f>IF(INDEX(Unitinfo!D:D,MATCH(UnitGradeInfo!B188,Unitinfo!A:A,0))=1,50,5)</f>
        <v>5</v>
      </c>
      <c r="I188" s="5">
        <f>IF(INDEX(ref_Unit_Balance!$T$31:$T$106,MATCH(UnitGradeInfo!B188,ref_Unit_Balance!$B$31:$B$1048576,0))=0,1,INDEX(ref_Unit_Balance!$T$31:$T$106,MATCH(UnitGradeInfo!B188,ref_Unit_Balance!$B$31:$B$1048576,0)))</f>
        <v>1</v>
      </c>
      <c r="J188" s="5">
        <f>INDEX(ref_Unit_Balance!$S$31:$S$106,MATCH(UnitGradeInfo!B188,ref_Unit_Balance!$B$31:$B$1048576,0))</f>
        <v>1000</v>
      </c>
      <c r="K188" s="5">
        <v>0</v>
      </c>
      <c r="L188" s="5">
        <f>INDEX(ref_Unit_Balance!$I$31:$I$106,MATCH(UnitGradeInfo!B188,ref_Unit_Balance!$B$31:$B$1048576,0))</f>
        <v>3</v>
      </c>
      <c r="M188" s="5">
        <f t="shared" si="18"/>
        <v>40</v>
      </c>
      <c r="N188" s="5">
        <f t="shared" si="19"/>
        <v>400</v>
      </c>
      <c r="O188" s="5">
        <f>(INDEX(Unitinfo!I:I,MATCH(B188,Unitinfo!A:A,0))+1)*2</f>
        <v>2</v>
      </c>
      <c r="P188" s="5">
        <v>0</v>
      </c>
      <c r="Q188" s="5">
        <v>0</v>
      </c>
      <c r="R188" s="19" t="s">
        <v>121</v>
      </c>
      <c r="S188" s="19" t="s">
        <v>121</v>
      </c>
      <c r="T188" s="5">
        <f t="shared" si="20"/>
        <v>2007</v>
      </c>
      <c r="U188" s="5">
        <f t="shared" si="21"/>
        <v>1</v>
      </c>
      <c r="V188" s="5">
        <v>0</v>
      </c>
      <c r="W188" s="5">
        <v>10</v>
      </c>
    </row>
    <row r="189" spans="1:23">
      <c r="A189" s="5">
        <f t="shared" si="22"/>
        <v>186</v>
      </c>
      <c r="B189" s="93">
        <f t="shared" si="23"/>
        <v>2008</v>
      </c>
      <c r="C189" s="20" t="str">
        <f>INDEX(Unitinfo!C:C,MATCH(UnitGradeInfo!B189,Unitinfo!A:A,0))</f>
        <v>(근거리)Zombie_Sword</v>
      </c>
      <c r="D189" s="5">
        <f>COUNTIF($B$4:B189,B189)</f>
        <v>1</v>
      </c>
      <c r="E189" s="5">
        <f>ROUNDDOWN(INDEX(ref_Unit_Balance!$G$31:$G$106,MATCH(UnitGradeInfo!B189,ref_Unit_Balance!$B$31:$B$1048576,0))
+INDEX(ref_Unit_Balance!$G$20:$G$23,MATCH(IFERROR(INDEX(ref_Unit_Balance!$D$31:$D$1048576,MATCH(B189,ref_Unit_Balance!$B$31:$B$1048576,0)),0),ref_Unit_Balance!$B$20:$B$23,0))*D189*ref_Unit_Balance!$C$25,0)</f>
        <v>200</v>
      </c>
      <c r="F189" s="5">
        <f>INDEX(ref_Unit_Balance!$V$31:$V$106,MATCH(UnitGradeInfo!B189,ref_Unit_Balance!$B$31:$B$1048576,0))
+
INDEX(ref_Unit_Balance!$AB$31:$AB$106,MATCH(UnitGradeInfo!B189,ref_Unit_Balance!$B$31:$B$1048576,0))*(D189-1)</f>
        <v>2000</v>
      </c>
      <c r="G189" s="5">
        <f>INDEX(ref_Unit_Balance!$R$31:$R$106,MATCH(UnitGradeInfo!B189,ref_Unit_Balance!$B$31:$B$1048576,0))
+
INDEX(ref_Unit_Balance!$AA$31:$AA$106,MATCH(UnitGradeInfo!B189,ref_Unit_Balance!$B$31:$B$1048576,0))*(D189-1)</f>
        <v>300</v>
      </c>
      <c r="H189" s="39">
        <f>IF(INDEX(Unitinfo!D:D,MATCH(UnitGradeInfo!B189,Unitinfo!A:A,0))=1,50,5)</f>
        <v>5</v>
      </c>
      <c r="I189" s="5">
        <f>IF(INDEX(ref_Unit_Balance!$T$31:$T$106,MATCH(UnitGradeInfo!B189,ref_Unit_Balance!$B$31:$B$1048576,0))=0,1,INDEX(ref_Unit_Balance!$T$31:$T$106,MATCH(UnitGradeInfo!B189,ref_Unit_Balance!$B$31:$B$1048576,0)))</f>
        <v>5</v>
      </c>
      <c r="J189" s="5">
        <f>INDEX(ref_Unit_Balance!$S$31:$S$106,MATCH(UnitGradeInfo!B189,ref_Unit_Balance!$B$31:$B$1048576,0))</f>
        <v>1000</v>
      </c>
      <c r="K189" s="5">
        <v>0</v>
      </c>
      <c r="L189" s="5">
        <f>INDEX(ref_Unit_Balance!$I$31:$I$106,MATCH(UnitGradeInfo!B189,ref_Unit_Balance!$B$31:$B$1048576,0))</f>
        <v>3</v>
      </c>
      <c r="M189" s="5">
        <f t="shared" si="18"/>
        <v>2</v>
      </c>
      <c r="N189" s="5">
        <f t="shared" si="19"/>
        <v>20</v>
      </c>
      <c r="O189" s="5">
        <f>(INDEX(Unitinfo!I:I,MATCH(B189,Unitinfo!A:A,0))+1)*2</f>
        <v>2</v>
      </c>
      <c r="P189" s="5">
        <v>0</v>
      </c>
      <c r="Q189" s="5">
        <v>0</v>
      </c>
      <c r="R189" s="19" t="s">
        <v>121</v>
      </c>
      <c r="S189" s="19" t="s">
        <v>121</v>
      </c>
      <c r="T189" s="5">
        <f t="shared" si="20"/>
        <v>2008</v>
      </c>
      <c r="U189" s="5">
        <f t="shared" si="21"/>
        <v>1</v>
      </c>
      <c r="V189" s="5">
        <v>0</v>
      </c>
      <c r="W189" s="5">
        <v>10</v>
      </c>
    </row>
    <row r="190" spans="1:23">
      <c r="A190" s="5">
        <f t="shared" si="22"/>
        <v>187</v>
      </c>
      <c r="B190" s="93">
        <f t="shared" si="23"/>
        <v>2008</v>
      </c>
      <c r="C190" s="20" t="str">
        <f>INDEX(Unitinfo!C:C,MATCH(UnitGradeInfo!B190,Unitinfo!A:A,0))</f>
        <v>(근거리)Zombie_Sword</v>
      </c>
      <c r="D190" s="5">
        <f>COUNTIF($B$4:B190,B190)</f>
        <v>2</v>
      </c>
      <c r="E190" s="5">
        <f>ROUNDDOWN(INDEX(ref_Unit_Balance!$G$31:$G$106,MATCH(UnitGradeInfo!B190,ref_Unit_Balance!$B$31:$B$1048576,0))
+INDEX(ref_Unit_Balance!$G$20:$G$23,MATCH(IFERROR(INDEX(ref_Unit_Balance!$D$31:$D$1048576,MATCH(B190,ref_Unit_Balance!$B$31:$B$1048576,0)),0),ref_Unit_Balance!$B$20:$B$23,0))*D190*ref_Unit_Balance!$C$25,0)</f>
        <v>250</v>
      </c>
      <c r="F190" s="5">
        <f>INDEX(ref_Unit_Balance!$V$31:$V$106,MATCH(UnitGradeInfo!B190,ref_Unit_Balance!$B$31:$B$1048576,0))
+
INDEX(ref_Unit_Balance!$AB$31:$AB$106,MATCH(UnitGradeInfo!B190,ref_Unit_Balance!$B$31:$B$1048576,0))*(D190-1)</f>
        <v>2333</v>
      </c>
      <c r="G190" s="5">
        <f>INDEX(ref_Unit_Balance!$R$31:$R$106,MATCH(UnitGradeInfo!B190,ref_Unit_Balance!$B$31:$B$1048576,0))
+
INDEX(ref_Unit_Balance!$AA$31:$AA$106,MATCH(UnitGradeInfo!B190,ref_Unit_Balance!$B$31:$B$1048576,0))*(D190-1)</f>
        <v>320</v>
      </c>
      <c r="H190" s="39">
        <f>IF(INDEX(Unitinfo!D:D,MATCH(UnitGradeInfo!B190,Unitinfo!A:A,0))=1,50,5)</f>
        <v>5</v>
      </c>
      <c r="I190" s="5">
        <f>IF(INDEX(ref_Unit_Balance!$T$31:$T$106,MATCH(UnitGradeInfo!B190,ref_Unit_Balance!$B$31:$B$1048576,0))=0,1,INDEX(ref_Unit_Balance!$T$31:$T$106,MATCH(UnitGradeInfo!B190,ref_Unit_Balance!$B$31:$B$1048576,0)))</f>
        <v>5</v>
      </c>
      <c r="J190" s="5">
        <f>INDEX(ref_Unit_Balance!$S$31:$S$106,MATCH(UnitGradeInfo!B190,ref_Unit_Balance!$B$31:$B$1048576,0))</f>
        <v>1000</v>
      </c>
      <c r="K190" s="5">
        <v>0</v>
      </c>
      <c r="L190" s="5">
        <f>INDEX(ref_Unit_Balance!$I$31:$I$106,MATCH(UnitGradeInfo!B190,ref_Unit_Balance!$B$31:$B$1048576,0))</f>
        <v>3</v>
      </c>
      <c r="M190" s="5">
        <f t="shared" si="18"/>
        <v>4</v>
      </c>
      <c r="N190" s="5">
        <f t="shared" si="19"/>
        <v>40</v>
      </c>
      <c r="O190" s="5">
        <f>(INDEX(Unitinfo!I:I,MATCH(B190,Unitinfo!A:A,0))+1)*2</f>
        <v>2</v>
      </c>
      <c r="P190" s="5">
        <v>0</v>
      </c>
      <c r="Q190" s="5">
        <v>0</v>
      </c>
      <c r="R190" s="19" t="s">
        <v>121</v>
      </c>
      <c r="S190" s="19" t="s">
        <v>121</v>
      </c>
      <c r="T190" s="5">
        <f t="shared" si="20"/>
        <v>2008</v>
      </c>
      <c r="U190" s="5">
        <f t="shared" si="21"/>
        <v>1</v>
      </c>
      <c r="V190" s="5">
        <v>0</v>
      </c>
      <c r="W190" s="5">
        <v>10</v>
      </c>
    </row>
    <row r="191" spans="1:23">
      <c r="A191" s="5">
        <f t="shared" si="22"/>
        <v>188</v>
      </c>
      <c r="B191" s="93">
        <f t="shared" si="23"/>
        <v>2008</v>
      </c>
      <c r="C191" s="20" t="str">
        <f>INDEX(Unitinfo!C:C,MATCH(UnitGradeInfo!B191,Unitinfo!A:A,0))</f>
        <v>(근거리)Zombie_Sword</v>
      </c>
      <c r="D191" s="5">
        <f>COUNTIF($B$4:B191,B191)</f>
        <v>3</v>
      </c>
      <c r="E191" s="5">
        <f>ROUNDDOWN(INDEX(ref_Unit_Balance!$G$31:$G$106,MATCH(UnitGradeInfo!B191,ref_Unit_Balance!$B$31:$B$1048576,0))
+INDEX(ref_Unit_Balance!$G$20:$G$23,MATCH(IFERROR(INDEX(ref_Unit_Balance!$D$31:$D$1048576,MATCH(B191,ref_Unit_Balance!$B$31:$B$1048576,0)),0),ref_Unit_Balance!$B$20:$B$23,0))*D191*ref_Unit_Balance!$C$25,0)</f>
        <v>300</v>
      </c>
      <c r="F191" s="5">
        <f>INDEX(ref_Unit_Balance!$V$31:$V$106,MATCH(UnitGradeInfo!B191,ref_Unit_Balance!$B$31:$B$1048576,0))
+
INDEX(ref_Unit_Balance!$AB$31:$AB$106,MATCH(UnitGradeInfo!B191,ref_Unit_Balance!$B$31:$B$1048576,0))*(D191-1)</f>
        <v>2666</v>
      </c>
      <c r="G191" s="5">
        <f>INDEX(ref_Unit_Balance!$R$31:$R$106,MATCH(UnitGradeInfo!B191,ref_Unit_Balance!$B$31:$B$1048576,0))
+
INDEX(ref_Unit_Balance!$AA$31:$AA$106,MATCH(UnitGradeInfo!B191,ref_Unit_Balance!$B$31:$B$1048576,0))*(D191-1)</f>
        <v>340</v>
      </c>
      <c r="H191" s="39">
        <f>IF(INDEX(Unitinfo!D:D,MATCH(UnitGradeInfo!B191,Unitinfo!A:A,0))=1,50,5)</f>
        <v>5</v>
      </c>
      <c r="I191" s="5">
        <f>IF(INDEX(ref_Unit_Balance!$T$31:$T$106,MATCH(UnitGradeInfo!B191,ref_Unit_Balance!$B$31:$B$1048576,0))=0,1,INDEX(ref_Unit_Balance!$T$31:$T$106,MATCH(UnitGradeInfo!B191,ref_Unit_Balance!$B$31:$B$1048576,0)))</f>
        <v>5</v>
      </c>
      <c r="J191" s="5">
        <f>INDEX(ref_Unit_Balance!$S$31:$S$106,MATCH(UnitGradeInfo!B191,ref_Unit_Balance!$B$31:$B$1048576,0))</f>
        <v>1000</v>
      </c>
      <c r="K191" s="5">
        <v>0</v>
      </c>
      <c r="L191" s="5">
        <f>INDEX(ref_Unit_Balance!$I$31:$I$106,MATCH(UnitGradeInfo!B191,ref_Unit_Balance!$B$31:$B$1048576,0))</f>
        <v>3</v>
      </c>
      <c r="M191" s="5">
        <f t="shared" si="18"/>
        <v>6</v>
      </c>
      <c r="N191" s="5">
        <f t="shared" si="19"/>
        <v>60</v>
      </c>
      <c r="O191" s="5">
        <f>(INDEX(Unitinfo!I:I,MATCH(B191,Unitinfo!A:A,0))+1)*2</f>
        <v>2</v>
      </c>
      <c r="P191" s="5">
        <v>0</v>
      </c>
      <c r="Q191" s="5">
        <v>0</v>
      </c>
      <c r="R191" s="19" t="s">
        <v>121</v>
      </c>
      <c r="S191" s="19" t="s">
        <v>121</v>
      </c>
      <c r="T191" s="5">
        <f t="shared" si="20"/>
        <v>2008</v>
      </c>
      <c r="U191" s="5">
        <f t="shared" si="21"/>
        <v>1</v>
      </c>
      <c r="V191" s="5">
        <v>0</v>
      </c>
      <c r="W191" s="5">
        <v>10</v>
      </c>
    </row>
    <row r="192" spans="1:23">
      <c r="A192" s="5">
        <f t="shared" si="22"/>
        <v>189</v>
      </c>
      <c r="B192" s="93">
        <f t="shared" si="23"/>
        <v>2008</v>
      </c>
      <c r="C192" s="20" t="str">
        <f>INDEX(Unitinfo!C:C,MATCH(UnitGradeInfo!B192,Unitinfo!A:A,0))</f>
        <v>(근거리)Zombie_Sword</v>
      </c>
      <c r="D192" s="5">
        <f>COUNTIF($B$4:B192,B192)</f>
        <v>4</v>
      </c>
      <c r="E192" s="5">
        <f>ROUNDDOWN(INDEX(ref_Unit_Balance!$G$31:$G$106,MATCH(UnitGradeInfo!B192,ref_Unit_Balance!$B$31:$B$1048576,0))
+INDEX(ref_Unit_Balance!$G$20:$G$23,MATCH(IFERROR(INDEX(ref_Unit_Balance!$D$31:$D$1048576,MATCH(B192,ref_Unit_Balance!$B$31:$B$1048576,0)),0),ref_Unit_Balance!$B$20:$B$23,0))*D192*ref_Unit_Balance!$C$25,0)</f>
        <v>350</v>
      </c>
      <c r="F192" s="5">
        <f>INDEX(ref_Unit_Balance!$V$31:$V$106,MATCH(UnitGradeInfo!B192,ref_Unit_Balance!$B$31:$B$1048576,0))
+
INDEX(ref_Unit_Balance!$AB$31:$AB$106,MATCH(UnitGradeInfo!B192,ref_Unit_Balance!$B$31:$B$1048576,0))*(D192-1)</f>
        <v>2999</v>
      </c>
      <c r="G192" s="5">
        <f>INDEX(ref_Unit_Balance!$R$31:$R$106,MATCH(UnitGradeInfo!B192,ref_Unit_Balance!$B$31:$B$1048576,0))
+
INDEX(ref_Unit_Balance!$AA$31:$AA$106,MATCH(UnitGradeInfo!B192,ref_Unit_Balance!$B$31:$B$1048576,0))*(D192-1)</f>
        <v>360</v>
      </c>
      <c r="H192" s="39">
        <f>IF(INDEX(Unitinfo!D:D,MATCH(UnitGradeInfo!B192,Unitinfo!A:A,0))=1,50,5)</f>
        <v>5</v>
      </c>
      <c r="I192" s="5">
        <f>IF(INDEX(ref_Unit_Balance!$T$31:$T$106,MATCH(UnitGradeInfo!B192,ref_Unit_Balance!$B$31:$B$1048576,0))=0,1,INDEX(ref_Unit_Balance!$T$31:$T$106,MATCH(UnitGradeInfo!B192,ref_Unit_Balance!$B$31:$B$1048576,0)))</f>
        <v>5</v>
      </c>
      <c r="J192" s="5">
        <f>INDEX(ref_Unit_Balance!$S$31:$S$106,MATCH(UnitGradeInfo!B192,ref_Unit_Balance!$B$31:$B$1048576,0))</f>
        <v>1000</v>
      </c>
      <c r="K192" s="5">
        <v>0</v>
      </c>
      <c r="L192" s="5">
        <f>INDEX(ref_Unit_Balance!$I$31:$I$106,MATCH(UnitGradeInfo!B192,ref_Unit_Balance!$B$31:$B$1048576,0))</f>
        <v>3</v>
      </c>
      <c r="M192" s="5">
        <f t="shared" si="18"/>
        <v>8</v>
      </c>
      <c r="N192" s="5">
        <f t="shared" si="19"/>
        <v>80</v>
      </c>
      <c r="O192" s="5">
        <f>(INDEX(Unitinfo!I:I,MATCH(B192,Unitinfo!A:A,0))+1)*2</f>
        <v>2</v>
      </c>
      <c r="P192" s="5">
        <v>0</v>
      </c>
      <c r="Q192" s="5">
        <v>0</v>
      </c>
      <c r="R192" s="19" t="s">
        <v>121</v>
      </c>
      <c r="S192" s="19" t="s">
        <v>121</v>
      </c>
      <c r="T192" s="5">
        <f t="shared" si="20"/>
        <v>2008</v>
      </c>
      <c r="U192" s="5">
        <f t="shared" si="21"/>
        <v>1</v>
      </c>
      <c r="V192" s="5">
        <v>0</v>
      </c>
      <c r="W192" s="5">
        <v>10</v>
      </c>
    </row>
    <row r="193" spans="1:23">
      <c r="A193" s="5">
        <f t="shared" si="22"/>
        <v>190</v>
      </c>
      <c r="B193" s="93">
        <f t="shared" si="23"/>
        <v>2008</v>
      </c>
      <c r="C193" s="20" t="str">
        <f>INDEX(Unitinfo!C:C,MATCH(UnitGradeInfo!B193,Unitinfo!A:A,0))</f>
        <v>(근거리)Zombie_Sword</v>
      </c>
      <c r="D193" s="5">
        <f>COUNTIF($B$4:B193,B193)</f>
        <v>5</v>
      </c>
      <c r="E193" s="5">
        <f>ROUNDDOWN(INDEX(ref_Unit_Balance!$G$31:$G$106,MATCH(UnitGradeInfo!B193,ref_Unit_Balance!$B$31:$B$1048576,0))
+INDEX(ref_Unit_Balance!$G$20:$G$23,MATCH(IFERROR(INDEX(ref_Unit_Balance!$D$31:$D$1048576,MATCH(B193,ref_Unit_Balance!$B$31:$B$1048576,0)),0),ref_Unit_Balance!$B$20:$B$23,0))*D193*ref_Unit_Balance!$C$25,0)</f>
        <v>400</v>
      </c>
      <c r="F193" s="5">
        <f>INDEX(ref_Unit_Balance!$V$31:$V$106,MATCH(UnitGradeInfo!B193,ref_Unit_Balance!$B$31:$B$1048576,0))
+
INDEX(ref_Unit_Balance!$AB$31:$AB$106,MATCH(UnitGradeInfo!B193,ref_Unit_Balance!$B$31:$B$1048576,0))*(D193-1)</f>
        <v>3332</v>
      </c>
      <c r="G193" s="5">
        <f>INDEX(ref_Unit_Balance!$R$31:$R$106,MATCH(UnitGradeInfo!B193,ref_Unit_Balance!$B$31:$B$1048576,0))
+
INDEX(ref_Unit_Balance!$AA$31:$AA$106,MATCH(UnitGradeInfo!B193,ref_Unit_Balance!$B$31:$B$1048576,0))*(D193-1)</f>
        <v>380</v>
      </c>
      <c r="H193" s="39">
        <f>IF(INDEX(Unitinfo!D:D,MATCH(UnitGradeInfo!B193,Unitinfo!A:A,0))=1,50,5)</f>
        <v>5</v>
      </c>
      <c r="I193" s="5">
        <f>IF(INDEX(ref_Unit_Balance!$T$31:$T$106,MATCH(UnitGradeInfo!B193,ref_Unit_Balance!$B$31:$B$1048576,0))=0,1,INDEX(ref_Unit_Balance!$T$31:$T$106,MATCH(UnitGradeInfo!B193,ref_Unit_Balance!$B$31:$B$1048576,0)))</f>
        <v>5</v>
      </c>
      <c r="J193" s="5">
        <f>INDEX(ref_Unit_Balance!$S$31:$S$106,MATCH(UnitGradeInfo!B193,ref_Unit_Balance!$B$31:$B$1048576,0))</f>
        <v>1000</v>
      </c>
      <c r="K193" s="5">
        <v>0</v>
      </c>
      <c r="L193" s="5">
        <f>INDEX(ref_Unit_Balance!$I$31:$I$106,MATCH(UnitGradeInfo!B193,ref_Unit_Balance!$B$31:$B$1048576,0))</f>
        <v>3</v>
      </c>
      <c r="M193" s="5">
        <f t="shared" si="18"/>
        <v>10</v>
      </c>
      <c r="N193" s="5">
        <f t="shared" si="19"/>
        <v>100</v>
      </c>
      <c r="O193" s="5">
        <f>(INDEX(Unitinfo!I:I,MATCH(B193,Unitinfo!A:A,0))+1)*2</f>
        <v>2</v>
      </c>
      <c r="P193" s="5">
        <v>0</v>
      </c>
      <c r="Q193" s="5">
        <v>0</v>
      </c>
      <c r="R193" s="19" t="s">
        <v>121</v>
      </c>
      <c r="S193" s="19" t="s">
        <v>121</v>
      </c>
      <c r="T193" s="5">
        <f t="shared" si="20"/>
        <v>2008</v>
      </c>
      <c r="U193" s="5">
        <f t="shared" si="21"/>
        <v>1</v>
      </c>
      <c r="V193" s="5">
        <v>0</v>
      </c>
      <c r="W193" s="5">
        <v>10</v>
      </c>
    </row>
    <row r="194" spans="1:23">
      <c r="A194" s="5">
        <f t="shared" si="22"/>
        <v>191</v>
      </c>
      <c r="B194" s="93">
        <f t="shared" si="23"/>
        <v>2008</v>
      </c>
      <c r="C194" s="20" t="str">
        <f>INDEX(Unitinfo!C:C,MATCH(UnitGradeInfo!B194,Unitinfo!A:A,0))</f>
        <v>(근거리)Zombie_Sword</v>
      </c>
      <c r="D194" s="5">
        <f>COUNTIF($B$4:B194,B194)</f>
        <v>6</v>
      </c>
      <c r="E194" s="5">
        <f>ROUNDDOWN(INDEX(ref_Unit_Balance!$G$31:$G$106,MATCH(UnitGradeInfo!B194,ref_Unit_Balance!$B$31:$B$1048576,0))
+INDEX(ref_Unit_Balance!$G$20:$G$23,MATCH(IFERROR(INDEX(ref_Unit_Balance!$D$31:$D$1048576,MATCH(B194,ref_Unit_Balance!$B$31:$B$1048576,0)),0),ref_Unit_Balance!$B$20:$B$23,0))*D194*ref_Unit_Balance!$C$25,0)</f>
        <v>450</v>
      </c>
      <c r="F194" s="5">
        <f>INDEX(ref_Unit_Balance!$V$31:$V$106,MATCH(UnitGradeInfo!B194,ref_Unit_Balance!$B$31:$B$1048576,0))
+
INDEX(ref_Unit_Balance!$AB$31:$AB$106,MATCH(UnitGradeInfo!B194,ref_Unit_Balance!$B$31:$B$1048576,0))*(D194-1)</f>
        <v>3665</v>
      </c>
      <c r="G194" s="5">
        <f>INDEX(ref_Unit_Balance!$R$31:$R$106,MATCH(UnitGradeInfo!B194,ref_Unit_Balance!$B$31:$B$1048576,0))
+
INDEX(ref_Unit_Balance!$AA$31:$AA$106,MATCH(UnitGradeInfo!B194,ref_Unit_Balance!$B$31:$B$1048576,0))*(D194-1)</f>
        <v>400</v>
      </c>
      <c r="H194" s="39">
        <f>IF(INDEX(Unitinfo!D:D,MATCH(UnitGradeInfo!B194,Unitinfo!A:A,0))=1,50,5)</f>
        <v>5</v>
      </c>
      <c r="I194" s="5">
        <f>IF(INDEX(ref_Unit_Balance!$T$31:$T$106,MATCH(UnitGradeInfo!B194,ref_Unit_Balance!$B$31:$B$1048576,0))=0,1,INDEX(ref_Unit_Balance!$T$31:$T$106,MATCH(UnitGradeInfo!B194,ref_Unit_Balance!$B$31:$B$1048576,0)))</f>
        <v>5</v>
      </c>
      <c r="J194" s="5">
        <f>INDEX(ref_Unit_Balance!$S$31:$S$106,MATCH(UnitGradeInfo!B194,ref_Unit_Balance!$B$31:$B$1048576,0))</f>
        <v>1000</v>
      </c>
      <c r="K194" s="5">
        <v>0</v>
      </c>
      <c r="L194" s="5">
        <f>INDEX(ref_Unit_Balance!$I$31:$I$106,MATCH(UnitGradeInfo!B194,ref_Unit_Balance!$B$31:$B$1048576,0))</f>
        <v>3</v>
      </c>
      <c r="M194" s="5">
        <f t="shared" si="18"/>
        <v>12</v>
      </c>
      <c r="N194" s="5">
        <f t="shared" si="19"/>
        <v>120</v>
      </c>
      <c r="O194" s="5">
        <f>(INDEX(Unitinfo!I:I,MATCH(B194,Unitinfo!A:A,0))+1)*2</f>
        <v>2</v>
      </c>
      <c r="P194" s="5">
        <v>0</v>
      </c>
      <c r="Q194" s="5">
        <v>0</v>
      </c>
      <c r="R194" s="19" t="s">
        <v>121</v>
      </c>
      <c r="S194" s="19" t="s">
        <v>121</v>
      </c>
      <c r="T194" s="5">
        <f t="shared" si="20"/>
        <v>2008</v>
      </c>
      <c r="U194" s="5">
        <f t="shared" si="21"/>
        <v>1</v>
      </c>
      <c r="V194" s="5">
        <v>0</v>
      </c>
      <c r="W194" s="5">
        <v>10</v>
      </c>
    </row>
    <row r="195" spans="1:23">
      <c r="A195" s="5">
        <f t="shared" si="22"/>
        <v>192</v>
      </c>
      <c r="B195" s="93">
        <f t="shared" si="23"/>
        <v>2008</v>
      </c>
      <c r="C195" s="20" t="str">
        <f>INDEX(Unitinfo!C:C,MATCH(UnitGradeInfo!B195,Unitinfo!A:A,0))</f>
        <v>(근거리)Zombie_Sword</v>
      </c>
      <c r="D195" s="5">
        <f>COUNTIF($B$4:B195,B195)</f>
        <v>7</v>
      </c>
      <c r="E195" s="5">
        <f>ROUNDDOWN(INDEX(ref_Unit_Balance!$G$31:$G$106,MATCH(UnitGradeInfo!B195,ref_Unit_Balance!$B$31:$B$1048576,0))
+INDEX(ref_Unit_Balance!$G$20:$G$23,MATCH(IFERROR(INDEX(ref_Unit_Balance!$D$31:$D$1048576,MATCH(B195,ref_Unit_Balance!$B$31:$B$1048576,0)),0),ref_Unit_Balance!$B$20:$B$23,0))*D195*ref_Unit_Balance!$C$25,0)</f>
        <v>500</v>
      </c>
      <c r="F195" s="5">
        <f>INDEX(ref_Unit_Balance!$V$31:$V$106,MATCH(UnitGradeInfo!B195,ref_Unit_Balance!$B$31:$B$1048576,0))
+
INDEX(ref_Unit_Balance!$AB$31:$AB$106,MATCH(UnitGradeInfo!B195,ref_Unit_Balance!$B$31:$B$1048576,0))*(D195-1)</f>
        <v>3998</v>
      </c>
      <c r="G195" s="5">
        <f>INDEX(ref_Unit_Balance!$R$31:$R$106,MATCH(UnitGradeInfo!B195,ref_Unit_Balance!$B$31:$B$1048576,0))
+
INDEX(ref_Unit_Balance!$AA$31:$AA$106,MATCH(UnitGradeInfo!B195,ref_Unit_Balance!$B$31:$B$1048576,0))*(D195-1)</f>
        <v>420</v>
      </c>
      <c r="H195" s="39">
        <f>IF(INDEX(Unitinfo!D:D,MATCH(UnitGradeInfo!B195,Unitinfo!A:A,0))=1,50,5)</f>
        <v>5</v>
      </c>
      <c r="I195" s="5">
        <f>IF(INDEX(ref_Unit_Balance!$T$31:$T$106,MATCH(UnitGradeInfo!B195,ref_Unit_Balance!$B$31:$B$1048576,0))=0,1,INDEX(ref_Unit_Balance!$T$31:$T$106,MATCH(UnitGradeInfo!B195,ref_Unit_Balance!$B$31:$B$1048576,0)))</f>
        <v>5</v>
      </c>
      <c r="J195" s="5">
        <f>INDEX(ref_Unit_Balance!$S$31:$S$106,MATCH(UnitGradeInfo!B195,ref_Unit_Balance!$B$31:$B$1048576,0))</f>
        <v>1000</v>
      </c>
      <c r="K195" s="5">
        <v>0</v>
      </c>
      <c r="L195" s="5">
        <f>INDEX(ref_Unit_Balance!$I$31:$I$106,MATCH(UnitGradeInfo!B195,ref_Unit_Balance!$B$31:$B$1048576,0))</f>
        <v>3</v>
      </c>
      <c r="M195" s="5">
        <f t="shared" si="18"/>
        <v>14</v>
      </c>
      <c r="N195" s="5">
        <f t="shared" si="19"/>
        <v>140</v>
      </c>
      <c r="O195" s="5">
        <f>(INDEX(Unitinfo!I:I,MATCH(B195,Unitinfo!A:A,0))+1)*2</f>
        <v>2</v>
      </c>
      <c r="P195" s="5">
        <v>0</v>
      </c>
      <c r="Q195" s="5">
        <v>0</v>
      </c>
      <c r="R195" s="19" t="s">
        <v>121</v>
      </c>
      <c r="S195" s="19" t="s">
        <v>121</v>
      </c>
      <c r="T195" s="5">
        <f t="shared" si="20"/>
        <v>2008</v>
      </c>
      <c r="U195" s="5">
        <f t="shared" si="21"/>
        <v>1</v>
      </c>
      <c r="V195" s="5">
        <v>0</v>
      </c>
      <c r="W195" s="5">
        <v>10</v>
      </c>
    </row>
    <row r="196" spans="1:23">
      <c r="A196" s="5">
        <f t="shared" si="22"/>
        <v>193</v>
      </c>
      <c r="B196" s="93">
        <f t="shared" si="23"/>
        <v>2008</v>
      </c>
      <c r="C196" s="20" t="str">
        <f>INDEX(Unitinfo!C:C,MATCH(UnitGradeInfo!B196,Unitinfo!A:A,0))</f>
        <v>(근거리)Zombie_Sword</v>
      </c>
      <c r="D196" s="5">
        <f>COUNTIF($B$4:B196,B196)</f>
        <v>8</v>
      </c>
      <c r="E196" s="5">
        <f>ROUNDDOWN(INDEX(ref_Unit_Balance!$G$31:$G$106,MATCH(UnitGradeInfo!B196,ref_Unit_Balance!$B$31:$B$1048576,0))
+INDEX(ref_Unit_Balance!$G$20:$G$23,MATCH(IFERROR(INDEX(ref_Unit_Balance!$D$31:$D$1048576,MATCH(B196,ref_Unit_Balance!$B$31:$B$1048576,0)),0),ref_Unit_Balance!$B$20:$B$23,0))*D196*ref_Unit_Balance!$C$25,0)</f>
        <v>550</v>
      </c>
      <c r="F196" s="5">
        <f>INDEX(ref_Unit_Balance!$V$31:$V$106,MATCH(UnitGradeInfo!B196,ref_Unit_Balance!$B$31:$B$1048576,0))
+
INDEX(ref_Unit_Balance!$AB$31:$AB$106,MATCH(UnitGradeInfo!B196,ref_Unit_Balance!$B$31:$B$1048576,0))*(D196-1)</f>
        <v>4331</v>
      </c>
      <c r="G196" s="5">
        <f>INDEX(ref_Unit_Balance!$R$31:$R$106,MATCH(UnitGradeInfo!B196,ref_Unit_Balance!$B$31:$B$1048576,0))
+
INDEX(ref_Unit_Balance!$AA$31:$AA$106,MATCH(UnitGradeInfo!B196,ref_Unit_Balance!$B$31:$B$1048576,0))*(D196-1)</f>
        <v>440</v>
      </c>
      <c r="H196" s="39">
        <f>IF(INDEX(Unitinfo!D:D,MATCH(UnitGradeInfo!B196,Unitinfo!A:A,0))=1,50,5)</f>
        <v>5</v>
      </c>
      <c r="I196" s="5">
        <f>IF(INDEX(ref_Unit_Balance!$T$31:$T$106,MATCH(UnitGradeInfo!B196,ref_Unit_Balance!$B$31:$B$1048576,0))=0,1,INDEX(ref_Unit_Balance!$T$31:$T$106,MATCH(UnitGradeInfo!B196,ref_Unit_Balance!$B$31:$B$1048576,0)))</f>
        <v>5</v>
      </c>
      <c r="J196" s="5">
        <f>INDEX(ref_Unit_Balance!$S$31:$S$106,MATCH(UnitGradeInfo!B196,ref_Unit_Balance!$B$31:$B$1048576,0))</f>
        <v>1000</v>
      </c>
      <c r="K196" s="5">
        <v>0</v>
      </c>
      <c r="L196" s="5">
        <f>INDEX(ref_Unit_Balance!$I$31:$I$106,MATCH(UnitGradeInfo!B196,ref_Unit_Balance!$B$31:$B$1048576,0))</f>
        <v>3</v>
      </c>
      <c r="M196" s="5">
        <f t="shared" si="18"/>
        <v>16</v>
      </c>
      <c r="N196" s="5">
        <f t="shared" si="19"/>
        <v>160</v>
      </c>
      <c r="O196" s="5">
        <f>(INDEX(Unitinfo!I:I,MATCH(B196,Unitinfo!A:A,0))+1)*2</f>
        <v>2</v>
      </c>
      <c r="P196" s="5">
        <v>0</v>
      </c>
      <c r="Q196" s="5">
        <v>0</v>
      </c>
      <c r="R196" s="19" t="s">
        <v>121</v>
      </c>
      <c r="S196" s="19" t="s">
        <v>121</v>
      </c>
      <c r="T196" s="5">
        <f t="shared" si="20"/>
        <v>2008</v>
      </c>
      <c r="U196" s="5">
        <f t="shared" si="21"/>
        <v>1</v>
      </c>
      <c r="V196" s="5">
        <v>0</v>
      </c>
      <c r="W196" s="5">
        <v>10</v>
      </c>
    </row>
    <row r="197" spans="1:23">
      <c r="A197" s="5">
        <f t="shared" si="22"/>
        <v>194</v>
      </c>
      <c r="B197" s="93">
        <f t="shared" si="23"/>
        <v>2008</v>
      </c>
      <c r="C197" s="20" t="str">
        <f>INDEX(Unitinfo!C:C,MATCH(UnitGradeInfo!B197,Unitinfo!A:A,0))</f>
        <v>(근거리)Zombie_Sword</v>
      </c>
      <c r="D197" s="5">
        <f>COUNTIF($B$4:B197,B197)</f>
        <v>9</v>
      </c>
      <c r="E197" s="5">
        <f>ROUNDDOWN(INDEX(ref_Unit_Balance!$G$31:$G$106,MATCH(UnitGradeInfo!B197,ref_Unit_Balance!$B$31:$B$1048576,0))
+INDEX(ref_Unit_Balance!$G$20:$G$23,MATCH(IFERROR(INDEX(ref_Unit_Balance!$D$31:$D$1048576,MATCH(B197,ref_Unit_Balance!$B$31:$B$1048576,0)),0),ref_Unit_Balance!$B$20:$B$23,0))*D197*ref_Unit_Balance!$C$25,0)</f>
        <v>600</v>
      </c>
      <c r="F197" s="5">
        <f>INDEX(ref_Unit_Balance!$V$31:$V$106,MATCH(UnitGradeInfo!B197,ref_Unit_Balance!$B$31:$B$1048576,0))
+
INDEX(ref_Unit_Balance!$AB$31:$AB$106,MATCH(UnitGradeInfo!B197,ref_Unit_Balance!$B$31:$B$1048576,0))*(D197-1)</f>
        <v>4664</v>
      </c>
      <c r="G197" s="5">
        <f>INDEX(ref_Unit_Balance!$R$31:$R$106,MATCH(UnitGradeInfo!B197,ref_Unit_Balance!$B$31:$B$1048576,0))
+
INDEX(ref_Unit_Balance!$AA$31:$AA$106,MATCH(UnitGradeInfo!B197,ref_Unit_Balance!$B$31:$B$1048576,0))*(D197-1)</f>
        <v>460</v>
      </c>
      <c r="H197" s="39">
        <f>IF(INDEX(Unitinfo!D:D,MATCH(UnitGradeInfo!B197,Unitinfo!A:A,0))=1,50,5)</f>
        <v>5</v>
      </c>
      <c r="I197" s="5">
        <f>IF(INDEX(ref_Unit_Balance!$T$31:$T$106,MATCH(UnitGradeInfo!B197,ref_Unit_Balance!$B$31:$B$1048576,0))=0,1,INDEX(ref_Unit_Balance!$T$31:$T$106,MATCH(UnitGradeInfo!B197,ref_Unit_Balance!$B$31:$B$1048576,0)))</f>
        <v>5</v>
      </c>
      <c r="J197" s="5">
        <f>INDEX(ref_Unit_Balance!$S$31:$S$106,MATCH(UnitGradeInfo!B197,ref_Unit_Balance!$B$31:$B$1048576,0))</f>
        <v>1000</v>
      </c>
      <c r="K197" s="5">
        <v>0</v>
      </c>
      <c r="L197" s="5">
        <f>INDEX(ref_Unit_Balance!$I$31:$I$106,MATCH(UnitGradeInfo!B197,ref_Unit_Balance!$B$31:$B$1048576,0))</f>
        <v>3</v>
      </c>
      <c r="M197" s="5">
        <f t="shared" ref="M197:M260" si="24">D197*2</f>
        <v>18</v>
      </c>
      <c r="N197" s="5">
        <f t="shared" ref="N197:N260" si="25">D197*20</f>
        <v>180</v>
      </c>
      <c r="O197" s="5">
        <f>(INDEX(Unitinfo!I:I,MATCH(B197,Unitinfo!A:A,0))+1)*2</f>
        <v>2</v>
      </c>
      <c r="P197" s="5">
        <v>0</v>
      </c>
      <c r="Q197" s="5">
        <v>0</v>
      </c>
      <c r="R197" s="19" t="s">
        <v>121</v>
      </c>
      <c r="S197" s="19" t="s">
        <v>121</v>
      </c>
      <c r="T197" s="5">
        <f t="shared" si="20"/>
        <v>2008</v>
      </c>
      <c r="U197" s="5">
        <f t="shared" si="21"/>
        <v>1</v>
      </c>
      <c r="V197" s="5">
        <v>0</v>
      </c>
      <c r="W197" s="5">
        <v>10</v>
      </c>
    </row>
    <row r="198" spans="1:23">
      <c r="A198" s="5">
        <f t="shared" si="22"/>
        <v>195</v>
      </c>
      <c r="B198" s="93">
        <f t="shared" si="23"/>
        <v>2008</v>
      </c>
      <c r="C198" s="20" t="str">
        <f>INDEX(Unitinfo!C:C,MATCH(UnitGradeInfo!B198,Unitinfo!A:A,0))</f>
        <v>(근거리)Zombie_Sword</v>
      </c>
      <c r="D198" s="5">
        <f>COUNTIF($B$4:B198,B198)</f>
        <v>10</v>
      </c>
      <c r="E198" s="5">
        <f>ROUNDDOWN(INDEX(ref_Unit_Balance!$G$31:$G$106,MATCH(UnitGradeInfo!B198,ref_Unit_Balance!$B$31:$B$1048576,0))
+INDEX(ref_Unit_Balance!$G$20:$G$23,MATCH(IFERROR(INDEX(ref_Unit_Balance!$D$31:$D$1048576,MATCH(B198,ref_Unit_Balance!$B$31:$B$1048576,0)),0),ref_Unit_Balance!$B$20:$B$23,0))*D198*ref_Unit_Balance!$C$25,0)</f>
        <v>650</v>
      </c>
      <c r="F198" s="5">
        <f>INDEX(ref_Unit_Balance!$V$31:$V$106,MATCH(UnitGradeInfo!B198,ref_Unit_Balance!$B$31:$B$1048576,0))
+
INDEX(ref_Unit_Balance!$AB$31:$AB$106,MATCH(UnitGradeInfo!B198,ref_Unit_Balance!$B$31:$B$1048576,0))*(D198-1)</f>
        <v>4997</v>
      </c>
      <c r="G198" s="5">
        <f>INDEX(ref_Unit_Balance!$R$31:$R$106,MATCH(UnitGradeInfo!B198,ref_Unit_Balance!$B$31:$B$1048576,0))
+
INDEX(ref_Unit_Balance!$AA$31:$AA$106,MATCH(UnitGradeInfo!B198,ref_Unit_Balance!$B$31:$B$1048576,0))*(D198-1)</f>
        <v>480</v>
      </c>
      <c r="H198" s="39">
        <f>IF(INDEX(Unitinfo!D:D,MATCH(UnitGradeInfo!B198,Unitinfo!A:A,0))=1,50,5)</f>
        <v>5</v>
      </c>
      <c r="I198" s="5">
        <f>IF(INDEX(ref_Unit_Balance!$T$31:$T$106,MATCH(UnitGradeInfo!B198,ref_Unit_Balance!$B$31:$B$1048576,0))=0,1,INDEX(ref_Unit_Balance!$T$31:$T$106,MATCH(UnitGradeInfo!B198,ref_Unit_Balance!$B$31:$B$1048576,0)))</f>
        <v>5</v>
      </c>
      <c r="J198" s="5">
        <f>INDEX(ref_Unit_Balance!$S$31:$S$106,MATCH(UnitGradeInfo!B198,ref_Unit_Balance!$B$31:$B$1048576,0))</f>
        <v>1000</v>
      </c>
      <c r="K198" s="5">
        <v>0</v>
      </c>
      <c r="L198" s="5">
        <f>INDEX(ref_Unit_Balance!$I$31:$I$106,MATCH(UnitGradeInfo!B198,ref_Unit_Balance!$B$31:$B$1048576,0))</f>
        <v>3</v>
      </c>
      <c r="M198" s="5">
        <f t="shared" si="24"/>
        <v>20</v>
      </c>
      <c r="N198" s="5">
        <f t="shared" si="25"/>
        <v>200</v>
      </c>
      <c r="O198" s="5">
        <f>(INDEX(Unitinfo!I:I,MATCH(B198,Unitinfo!A:A,0))+1)*2</f>
        <v>2</v>
      </c>
      <c r="P198" s="5">
        <v>0</v>
      </c>
      <c r="Q198" s="5">
        <v>0</v>
      </c>
      <c r="R198" s="19" t="s">
        <v>121</v>
      </c>
      <c r="S198" s="19" t="s">
        <v>121</v>
      </c>
      <c r="T198" s="5">
        <f t="shared" si="20"/>
        <v>2008</v>
      </c>
      <c r="U198" s="5">
        <f t="shared" si="21"/>
        <v>1</v>
      </c>
      <c r="V198" s="5">
        <v>0</v>
      </c>
      <c r="W198" s="5">
        <v>10</v>
      </c>
    </row>
    <row r="199" spans="1:23">
      <c r="A199" s="5">
        <f t="shared" si="22"/>
        <v>196</v>
      </c>
      <c r="B199" s="93">
        <f t="shared" si="23"/>
        <v>2008</v>
      </c>
      <c r="C199" s="20" t="str">
        <f>INDEX(Unitinfo!C:C,MATCH(UnitGradeInfo!B199,Unitinfo!A:A,0))</f>
        <v>(근거리)Zombie_Sword</v>
      </c>
      <c r="D199" s="5">
        <f>COUNTIF($B$4:B199,B199)</f>
        <v>11</v>
      </c>
      <c r="E199" s="5">
        <f>ROUNDDOWN(INDEX(ref_Unit_Balance!$G$31:$G$106,MATCH(UnitGradeInfo!B199,ref_Unit_Balance!$B$31:$B$1048576,0))
+INDEX(ref_Unit_Balance!$G$20:$G$23,MATCH(IFERROR(INDEX(ref_Unit_Balance!$D$31:$D$1048576,MATCH(B199,ref_Unit_Balance!$B$31:$B$1048576,0)),0),ref_Unit_Balance!$B$20:$B$23,0))*D199*ref_Unit_Balance!$C$25,0)</f>
        <v>700</v>
      </c>
      <c r="F199" s="5">
        <f>INDEX(ref_Unit_Balance!$V$31:$V$106,MATCH(UnitGradeInfo!B199,ref_Unit_Balance!$B$31:$B$1048576,0))
+
INDEX(ref_Unit_Balance!$AB$31:$AB$106,MATCH(UnitGradeInfo!B199,ref_Unit_Balance!$B$31:$B$1048576,0))*(D199-1)</f>
        <v>5330</v>
      </c>
      <c r="G199" s="5">
        <f>INDEX(ref_Unit_Balance!$R$31:$R$106,MATCH(UnitGradeInfo!B199,ref_Unit_Balance!$B$31:$B$1048576,0))
+
INDEX(ref_Unit_Balance!$AA$31:$AA$106,MATCH(UnitGradeInfo!B199,ref_Unit_Balance!$B$31:$B$1048576,0))*(D199-1)</f>
        <v>500</v>
      </c>
      <c r="H199" s="39">
        <f>IF(INDEX(Unitinfo!D:D,MATCH(UnitGradeInfo!B199,Unitinfo!A:A,0))=1,50,5)</f>
        <v>5</v>
      </c>
      <c r="I199" s="5">
        <f>IF(INDEX(ref_Unit_Balance!$T$31:$T$106,MATCH(UnitGradeInfo!B199,ref_Unit_Balance!$B$31:$B$1048576,0))=0,1,INDEX(ref_Unit_Balance!$T$31:$T$106,MATCH(UnitGradeInfo!B199,ref_Unit_Balance!$B$31:$B$1048576,0)))</f>
        <v>5</v>
      </c>
      <c r="J199" s="5">
        <f>INDEX(ref_Unit_Balance!$S$31:$S$106,MATCH(UnitGradeInfo!B199,ref_Unit_Balance!$B$31:$B$1048576,0))</f>
        <v>1000</v>
      </c>
      <c r="K199" s="5">
        <v>0</v>
      </c>
      <c r="L199" s="5">
        <f>INDEX(ref_Unit_Balance!$I$31:$I$106,MATCH(UnitGradeInfo!B199,ref_Unit_Balance!$B$31:$B$1048576,0))</f>
        <v>3</v>
      </c>
      <c r="M199" s="5">
        <f t="shared" si="24"/>
        <v>22</v>
      </c>
      <c r="N199" s="5">
        <f t="shared" si="25"/>
        <v>220</v>
      </c>
      <c r="O199" s="5">
        <f>(INDEX(Unitinfo!I:I,MATCH(B199,Unitinfo!A:A,0))+1)*2</f>
        <v>2</v>
      </c>
      <c r="P199" s="5">
        <v>0</v>
      </c>
      <c r="Q199" s="5">
        <v>0</v>
      </c>
      <c r="R199" s="19" t="s">
        <v>121</v>
      </c>
      <c r="S199" s="19" t="s">
        <v>121</v>
      </c>
      <c r="T199" s="5">
        <f t="shared" si="20"/>
        <v>2008</v>
      </c>
      <c r="U199" s="5">
        <f t="shared" si="21"/>
        <v>1</v>
      </c>
      <c r="V199" s="5">
        <v>0</v>
      </c>
      <c r="W199" s="5">
        <v>10</v>
      </c>
    </row>
    <row r="200" spans="1:23">
      <c r="A200" s="5">
        <f t="shared" si="22"/>
        <v>197</v>
      </c>
      <c r="B200" s="93">
        <f t="shared" si="23"/>
        <v>2008</v>
      </c>
      <c r="C200" s="20" t="str">
        <f>INDEX(Unitinfo!C:C,MATCH(UnitGradeInfo!B200,Unitinfo!A:A,0))</f>
        <v>(근거리)Zombie_Sword</v>
      </c>
      <c r="D200" s="5">
        <f>COUNTIF($B$4:B200,B200)</f>
        <v>12</v>
      </c>
      <c r="E200" s="5">
        <f>ROUNDDOWN(INDEX(ref_Unit_Balance!$G$31:$G$106,MATCH(UnitGradeInfo!B200,ref_Unit_Balance!$B$31:$B$1048576,0))
+INDEX(ref_Unit_Balance!$G$20:$G$23,MATCH(IFERROR(INDEX(ref_Unit_Balance!$D$31:$D$1048576,MATCH(B200,ref_Unit_Balance!$B$31:$B$1048576,0)),0),ref_Unit_Balance!$B$20:$B$23,0))*D200*ref_Unit_Balance!$C$25,0)</f>
        <v>750</v>
      </c>
      <c r="F200" s="5">
        <f>INDEX(ref_Unit_Balance!$V$31:$V$106,MATCH(UnitGradeInfo!B200,ref_Unit_Balance!$B$31:$B$1048576,0))
+
INDEX(ref_Unit_Balance!$AB$31:$AB$106,MATCH(UnitGradeInfo!B200,ref_Unit_Balance!$B$31:$B$1048576,0))*(D200-1)</f>
        <v>5663</v>
      </c>
      <c r="G200" s="5">
        <f>INDEX(ref_Unit_Balance!$R$31:$R$106,MATCH(UnitGradeInfo!B200,ref_Unit_Balance!$B$31:$B$1048576,0))
+
INDEX(ref_Unit_Balance!$AA$31:$AA$106,MATCH(UnitGradeInfo!B200,ref_Unit_Balance!$B$31:$B$1048576,0))*(D200-1)</f>
        <v>520</v>
      </c>
      <c r="H200" s="39">
        <f>IF(INDEX(Unitinfo!D:D,MATCH(UnitGradeInfo!B200,Unitinfo!A:A,0))=1,50,5)</f>
        <v>5</v>
      </c>
      <c r="I200" s="5">
        <f>IF(INDEX(ref_Unit_Balance!$T$31:$T$106,MATCH(UnitGradeInfo!B200,ref_Unit_Balance!$B$31:$B$1048576,0))=0,1,INDEX(ref_Unit_Balance!$T$31:$T$106,MATCH(UnitGradeInfo!B200,ref_Unit_Balance!$B$31:$B$1048576,0)))</f>
        <v>5</v>
      </c>
      <c r="J200" s="5">
        <f>INDEX(ref_Unit_Balance!$S$31:$S$106,MATCH(UnitGradeInfo!B200,ref_Unit_Balance!$B$31:$B$1048576,0))</f>
        <v>1000</v>
      </c>
      <c r="K200" s="5">
        <v>0</v>
      </c>
      <c r="L200" s="5">
        <f>INDEX(ref_Unit_Balance!$I$31:$I$106,MATCH(UnitGradeInfo!B200,ref_Unit_Balance!$B$31:$B$1048576,0))</f>
        <v>3</v>
      </c>
      <c r="M200" s="5">
        <f t="shared" si="24"/>
        <v>24</v>
      </c>
      <c r="N200" s="5">
        <f t="shared" si="25"/>
        <v>240</v>
      </c>
      <c r="O200" s="5">
        <f>(INDEX(Unitinfo!I:I,MATCH(B200,Unitinfo!A:A,0))+1)*2</f>
        <v>2</v>
      </c>
      <c r="P200" s="5">
        <v>0</v>
      </c>
      <c r="Q200" s="5">
        <v>0</v>
      </c>
      <c r="R200" s="19" t="s">
        <v>121</v>
      </c>
      <c r="S200" s="19" t="s">
        <v>121</v>
      </c>
      <c r="T200" s="5">
        <f t="shared" si="20"/>
        <v>2008</v>
      </c>
      <c r="U200" s="5">
        <f t="shared" si="21"/>
        <v>1</v>
      </c>
      <c r="V200" s="5">
        <v>0</v>
      </c>
      <c r="W200" s="5">
        <v>10</v>
      </c>
    </row>
    <row r="201" spans="1:23">
      <c r="A201" s="5">
        <f t="shared" si="22"/>
        <v>198</v>
      </c>
      <c r="B201" s="93">
        <f t="shared" si="23"/>
        <v>2008</v>
      </c>
      <c r="C201" s="20" t="str">
        <f>INDEX(Unitinfo!C:C,MATCH(UnitGradeInfo!B201,Unitinfo!A:A,0))</f>
        <v>(근거리)Zombie_Sword</v>
      </c>
      <c r="D201" s="5">
        <f>COUNTIF($B$4:B201,B201)</f>
        <v>13</v>
      </c>
      <c r="E201" s="5">
        <f>ROUNDDOWN(INDEX(ref_Unit_Balance!$G$31:$G$106,MATCH(UnitGradeInfo!B201,ref_Unit_Balance!$B$31:$B$1048576,0))
+INDEX(ref_Unit_Balance!$G$20:$G$23,MATCH(IFERROR(INDEX(ref_Unit_Balance!$D$31:$D$1048576,MATCH(B201,ref_Unit_Balance!$B$31:$B$1048576,0)),0),ref_Unit_Balance!$B$20:$B$23,0))*D201*ref_Unit_Balance!$C$25,0)</f>
        <v>800</v>
      </c>
      <c r="F201" s="5">
        <f>INDEX(ref_Unit_Balance!$V$31:$V$106,MATCH(UnitGradeInfo!B201,ref_Unit_Balance!$B$31:$B$1048576,0))
+
INDEX(ref_Unit_Balance!$AB$31:$AB$106,MATCH(UnitGradeInfo!B201,ref_Unit_Balance!$B$31:$B$1048576,0))*(D201-1)</f>
        <v>5996</v>
      </c>
      <c r="G201" s="5">
        <f>INDEX(ref_Unit_Balance!$R$31:$R$106,MATCH(UnitGradeInfo!B201,ref_Unit_Balance!$B$31:$B$1048576,0))
+
INDEX(ref_Unit_Balance!$AA$31:$AA$106,MATCH(UnitGradeInfo!B201,ref_Unit_Balance!$B$31:$B$1048576,0))*(D201-1)</f>
        <v>540</v>
      </c>
      <c r="H201" s="39">
        <f>IF(INDEX(Unitinfo!D:D,MATCH(UnitGradeInfo!B201,Unitinfo!A:A,0))=1,50,5)</f>
        <v>5</v>
      </c>
      <c r="I201" s="5">
        <f>IF(INDEX(ref_Unit_Balance!$T$31:$T$106,MATCH(UnitGradeInfo!B201,ref_Unit_Balance!$B$31:$B$1048576,0))=0,1,INDEX(ref_Unit_Balance!$T$31:$T$106,MATCH(UnitGradeInfo!B201,ref_Unit_Balance!$B$31:$B$1048576,0)))</f>
        <v>5</v>
      </c>
      <c r="J201" s="5">
        <f>INDEX(ref_Unit_Balance!$S$31:$S$106,MATCH(UnitGradeInfo!B201,ref_Unit_Balance!$B$31:$B$1048576,0))</f>
        <v>1000</v>
      </c>
      <c r="K201" s="5">
        <v>0</v>
      </c>
      <c r="L201" s="5">
        <f>INDEX(ref_Unit_Balance!$I$31:$I$106,MATCH(UnitGradeInfo!B201,ref_Unit_Balance!$B$31:$B$1048576,0))</f>
        <v>3</v>
      </c>
      <c r="M201" s="5">
        <f t="shared" si="24"/>
        <v>26</v>
      </c>
      <c r="N201" s="5">
        <f t="shared" si="25"/>
        <v>260</v>
      </c>
      <c r="O201" s="5">
        <f>(INDEX(Unitinfo!I:I,MATCH(B201,Unitinfo!A:A,0))+1)*2</f>
        <v>2</v>
      </c>
      <c r="P201" s="5">
        <v>0</v>
      </c>
      <c r="Q201" s="5">
        <v>0</v>
      </c>
      <c r="R201" s="19" t="s">
        <v>121</v>
      </c>
      <c r="S201" s="19" t="s">
        <v>121</v>
      </c>
      <c r="T201" s="5">
        <f t="shared" si="20"/>
        <v>2008</v>
      </c>
      <c r="U201" s="5">
        <f t="shared" si="21"/>
        <v>1</v>
      </c>
      <c r="V201" s="5">
        <v>0</v>
      </c>
      <c r="W201" s="5">
        <v>10</v>
      </c>
    </row>
    <row r="202" spans="1:23">
      <c r="A202" s="5">
        <f t="shared" si="22"/>
        <v>199</v>
      </c>
      <c r="B202" s="93">
        <f t="shared" si="23"/>
        <v>2008</v>
      </c>
      <c r="C202" s="20" t="str">
        <f>INDEX(Unitinfo!C:C,MATCH(UnitGradeInfo!B202,Unitinfo!A:A,0))</f>
        <v>(근거리)Zombie_Sword</v>
      </c>
      <c r="D202" s="5">
        <f>COUNTIF($B$4:B202,B202)</f>
        <v>14</v>
      </c>
      <c r="E202" s="5">
        <f>ROUNDDOWN(INDEX(ref_Unit_Balance!$G$31:$G$106,MATCH(UnitGradeInfo!B202,ref_Unit_Balance!$B$31:$B$1048576,0))
+INDEX(ref_Unit_Balance!$G$20:$G$23,MATCH(IFERROR(INDEX(ref_Unit_Balance!$D$31:$D$1048576,MATCH(B202,ref_Unit_Balance!$B$31:$B$1048576,0)),0),ref_Unit_Balance!$B$20:$B$23,0))*D202*ref_Unit_Balance!$C$25,0)</f>
        <v>850</v>
      </c>
      <c r="F202" s="5">
        <f>INDEX(ref_Unit_Balance!$V$31:$V$106,MATCH(UnitGradeInfo!B202,ref_Unit_Balance!$B$31:$B$1048576,0))
+
INDEX(ref_Unit_Balance!$AB$31:$AB$106,MATCH(UnitGradeInfo!B202,ref_Unit_Balance!$B$31:$B$1048576,0))*(D202-1)</f>
        <v>6329</v>
      </c>
      <c r="G202" s="5">
        <f>INDEX(ref_Unit_Balance!$R$31:$R$106,MATCH(UnitGradeInfo!B202,ref_Unit_Balance!$B$31:$B$1048576,0))
+
INDEX(ref_Unit_Balance!$AA$31:$AA$106,MATCH(UnitGradeInfo!B202,ref_Unit_Balance!$B$31:$B$1048576,0))*(D202-1)</f>
        <v>560</v>
      </c>
      <c r="H202" s="39">
        <f>IF(INDEX(Unitinfo!D:D,MATCH(UnitGradeInfo!B202,Unitinfo!A:A,0))=1,50,5)</f>
        <v>5</v>
      </c>
      <c r="I202" s="5">
        <f>IF(INDEX(ref_Unit_Balance!$T$31:$T$106,MATCH(UnitGradeInfo!B202,ref_Unit_Balance!$B$31:$B$1048576,0))=0,1,INDEX(ref_Unit_Balance!$T$31:$T$106,MATCH(UnitGradeInfo!B202,ref_Unit_Balance!$B$31:$B$1048576,0)))</f>
        <v>5</v>
      </c>
      <c r="J202" s="5">
        <f>INDEX(ref_Unit_Balance!$S$31:$S$106,MATCH(UnitGradeInfo!B202,ref_Unit_Balance!$B$31:$B$1048576,0))</f>
        <v>1000</v>
      </c>
      <c r="K202" s="5">
        <v>0</v>
      </c>
      <c r="L202" s="5">
        <f>INDEX(ref_Unit_Balance!$I$31:$I$106,MATCH(UnitGradeInfo!B202,ref_Unit_Balance!$B$31:$B$1048576,0))</f>
        <v>3</v>
      </c>
      <c r="M202" s="5">
        <f t="shared" si="24"/>
        <v>28</v>
      </c>
      <c r="N202" s="5">
        <f t="shared" si="25"/>
        <v>280</v>
      </c>
      <c r="O202" s="5">
        <f>(INDEX(Unitinfo!I:I,MATCH(B202,Unitinfo!A:A,0))+1)*2</f>
        <v>2</v>
      </c>
      <c r="P202" s="5">
        <v>0</v>
      </c>
      <c r="Q202" s="5">
        <v>0</v>
      </c>
      <c r="R202" s="19" t="s">
        <v>121</v>
      </c>
      <c r="S202" s="19" t="s">
        <v>121</v>
      </c>
      <c r="T202" s="5">
        <f t="shared" si="20"/>
        <v>2008</v>
      </c>
      <c r="U202" s="5">
        <f t="shared" si="21"/>
        <v>1</v>
      </c>
      <c r="V202" s="5">
        <v>0</v>
      </c>
      <c r="W202" s="5">
        <v>10</v>
      </c>
    </row>
    <row r="203" spans="1:23">
      <c r="A203" s="5">
        <f t="shared" si="22"/>
        <v>200</v>
      </c>
      <c r="B203" s="93">
        <f t="shared" si="23"/>
        <v>2008</v>
      </c>
      <c r="C203" s="20" t="str">
        <f>INDEX(Unitinfo!C:C,MATCH(UnitGradeInfo!B203,Unitinfo!A:A,0))</f>
        <v>(근거리)Zombie_Sword</v>
      </c>
      <c r="D203" s="5">
        <f>COUNTIF($B$4:B203,B203)</f>
        <v>15</v>
      </c>
      <c r="E203" s="5">
        <f>ROUNDDOWN(INDEX(ref_Unit_Balance!$G$31:$G$106,MATCH(UnitGradeInfo!B203,ref_Unit_Balance!$B$31:$B$1048576,0))
+INDEX(ref_Unit_Balance!$G$20:$G$23,MATCH(IFERROR(INDEX(ref_Unit_Balance!$D$31:$D$1048576,MATCH(B203,ref_Unit_Balance!$B$31:$B$1048576,0)),0),ref_Unit_Balance!$B$20:$B$23,0))*D203*ref_Unit_Balance!$C$25,0)</f>
        <v>900</v>
      </c>
      <c r="F203" s="5">
        <f>INDEX(ref_Unit_Balance!$V$31:$V$106,MATCH(UnitGradeInfo!B203,ref_Unit_Balance!$B$31:$B$1048576,0))
+
INDEX(ref_Unit_Balance!$AB$31:$AB$106,MATCH(UnitGradeInfo!B203,ref_Unit_Balance!$B$31:$B$1048576,0))*(D203-1)</f>
        <v>6662</v>
      </c>
      <c r="G203" s="5">
        <f>INDEX(ref_Unit_Balance!$R$31:$R$106,MATCH(UnitGradeInfo!B203,ref_Unit_Balance!$B$31:$B$1048576,0))
+
INDEX(ref_Unit_Balance!$AA$31:$AA$106,MATCH(UnitGradeInfo!B203,ref_Unit_Balance!$B$31:$B$1048576,0))*(D203-1)</f>
        <v>580</v>
      </c>
      <c r="H203" s="39">
        <f>IF(INDEX(Unitinfo!D:D,MATCH(UnitGradeInfo!B203,Unitinfo!A:A,0))=1,50,5)</f>
        <v>5</v>
      </c>
      <c r="I203" s="5">
        <f>IF(INDEX(ref_Unit_Balance!$T$31:$T$106,MATCH(UnitGradeInfo!B203,ref_Unit_Balance!$B$31:$B$1048576,0))=0,1,INDEX(ref_Unit_Balance!$T$31:$T$106,MATCH(UnitGradeInfo!B203,ref_Unit_Balance!$B$31:$B$1048576,0)))</f>
        <v>5</v>
      </c>
      <c r="J203" s="5">
        <f>INDEX(ref_Unit_Balance!$S$31:$S$106,MATCH(UnitGradeInfo!B203,ref_Unit_Balance!$B$31:$B$1048576,0))</f>
        <v>1000</v>
      </c>
      <c r="K203" s="5">
        <v>0</v>
      </c>
      <c r="L203" s="5">
        <f>INDEX(ref_Unit_Balance!$I$31:$I$106,MATCH(UnitGradeInfo!B203,ref_Unit_Balance!$B$31:$B$1048576,0))</f>
        <v>3</v>
      </c>
      <c r="M203" s="5">
        <f t="shared" si="24"/>
        <v>30</v>
      </c>
      <c r="N203" s="5">
        <f t="shared" si="25"/>
        <v>300</v>
      </c>
      <c r="O203" s="5">
        <f>(INDEX(Unitinfo!I:I,MATCH(B203,Unitinfo!A:A,0))+1)*2</f>
        <v>2</v>
      </c>
      <c r="P203" s="5">
        <v>0</v>
      </c>
      <c r="Q203" s="5">
        <v>0</v>
      </c>
      <c r="R203" s="19" t="s">
        <v>121</v>
      </c>
      <c r="S203" s="19" t="s">
        <v>121</v>
      </c>
      <c r="T203" s="5">
        <f t="shared" si="20"/>
        <v>2008</v>
      </c>
      <c r="U203" s="5">
        <f t="shared" si="21"/>
        <v>1</v>
      </c>
      <c r="V203" s="5">
        <v>0</v>
      </c>
      <c r="W203" s="5">
        <v>10</v>
      </c>
    </row>
    <row r="204" spans="1:23">
      <c r="A204" s="5">
        <f t="shared" si="22"/>
        <v>201</v>
      </c>
      <c r="B204" s="93">
        <f t="shared" si="23"/>
        <v>2008</v>
      </c>
      <c r="C204" s="20" t="str">
        <f>INDEX(Unitinfo!C:C,MATCH(UnitGradeInfo!B204,Unitinfo!A:A,0))</f>
        <v>(근거리)Zombie_Sword</v>
      </c>
      <c r="D204" s="5">
        <f>COUNTIF($B$4:B204,B204)</f>
        <v>16</v>
      </c>
      <c r="E204" s="5">
        <f>ROUNDDOWN(INDEX(ref_Unit_Balance!$G$31:$G$106,MATCH(UnitGradeInfo!B204,ref_Unit_Balance!$B$31:$B$1048576,0))
+INDEX(ref_Unit_Balance!$G$20:$G$23,MATCH(IFERROR(INDEX(ref_Unit_Balance!$D$31:$D$1048576,MATCH(B204,ref_Unit_Balance!$B$31:$B$1048576,0)),0),ref_Unit_Balance!$B$20:$B$23,0))*D204*ref_Unit_Balance!$C$25,0)</f>
        <v>950</v>
      </c>
      <c r="F204" s="5">
        <f>INDEX(ref_Unit_Balance!$V$31:$V$106,MATCH(UnitGradeInfo!B204,ref_Unit_Balance!$B$31:$B$1048576,0))
+
INDEX(ref_Unit_Balance!$AB$31:$AB$106,MATCH(UnitGradeInfo!B204,ref_Unit_Balance!$B$31:$B$1048576,0))*(D204-1)</f>
        <v>6995</v>
      </c>
      <c r="G204" s="5">
        <f>INDEX(ref_Unit_Balance!$R$31:$R$106,MATCH(UnitGradeInfo!B204,ref_Unit_Balance!$B$31:$B$1048576,0))
+
INDEX(ref_Unit_Balance!$AA$31:$AA$106,MATCH(UnitGradeInfo!B204,ref_Unit_Balance!$B$31:$B$1048576,0))*(D204-1)</f>
        <v>600</v>
      </c>
      <c r="H204" s="39">
        <f>IF(INDEX(Unitinfo!D:D,MATCH(UnitGradeInfo!B204,Unitinfo!A:A,0))=1,50,5)</f>
        <v>5</v>
      </c>
      <c r="I204" s="5">
        <f>IF(INDEX(ref_Unit_Balance!$T$31:$T$106,MATCH(UnitGradeInfo!B204,ref_Unit_Balance!$B$31:$B$1048576,0))=0,1,INDEX(ref_Unit_Balance!$T$31:$T$106,MATCH(UnitGradeInfo!B204,ref_Unit_Balance!$B$31:$B$1048576,0)))</f>
        <v>5</v>
      </c>
      <c r="J204" s="5">
        <f>INDEX(ref_Unit_Balance!$S$31:$S$106,MATCH(UnitGradeInfo!B204,ref_Unit_Balance!$B$31:$B$1048576,0))</f>
        <v>1000</v>
      </c>
      <c r="K204" s="5">
        <v>0</v>
      </c>
      <c r="L204" s="5">
        <f>INDEX(ref_Unit_Balance!$I$31:$I$106,MATCH(UnitGradeInfo!B204,ref_Unit_Balance!$B$31:$B$1048576,0))</f>
        <v>3</v>
      </c>
      <c r="M204" s="5">
        <f t="shared" si="24"/>
        <v>32</v>
      </c>
      <c r="N204" s="5">
        <f t="shared" si="25"/>
        <v>320</v>
      </c>
      <c r="O204" s="5">
        <f>(INDEX(Unitinfo!I:I,MATCH(B204,Unitinfo!A:A,0))+1)*2</f>
        <v>2</v>
      </c>
      <c r="P204" s="5">
        <v>0</v>
      </c>
      <c r="Q204" s="5">
        <v>0</v>
      </c>
      <c r="R204" s="19" t="s">
        <v>121</v>
      </c>
      <c r="S204" s="19" t="s">
        <v>121</v>
      </c>
      <c r="T204" s="5">
        <f t="shared" si="20"/>
        <v>2008</v>
      </c>
      <c r="U204" s="5">
        <f t="shared" si="21"/>
        <v>1</v>
      </c>
      <c r="V204" s="5">
        <v>0</v>
      </c>
      <c r="W204" s="5">
        <v>10</v>
      </c>
    </row>
    <row r="205" spans="1:23">
      <c r="A205" s="5">
        <f t="shared" si="22"/>
        <v>202</v>
      </c>
      <c r="B205" s="93">
        <f t="shared" si="23"/>
        <v>2008</v>
      </c>
      <c r="C205" s="20" t="str">
        <f>INDEX(Unitinfo!C:C,MATCH(UnitGradeInfo!B205,Unitinfo!A:A,0))</f>
        <v>(근거리)Zombie_Sword</v>
      </c>
      <c r="D205" s="5">
        <f>COUNTIF($B$4:B205,B205)</f>
        <v>17</v>
      </c>
      <c r="E205" s="5">
        <f>ROUNDDOWN(INDEX(ref_Unit_Balance!$G$31:$G$106,MATCH(UnitGradeInfo!B205,ref_Unit_Balance!$B$31:$B$1048576,0))
+INDEX(ref_Unit_Balance!$G$20:$G$23,MATCH(IFERROR(INDEX(ref_Unit_Balance!$D$31:$D$1048576,MATCH(B205,ref_Unit_Balance!$B$31:$B$1048576,0)),0),ref_Unit_Balance!$B$20:$B$23,0))*D205*ref_Unit_Balance!$C$25,0)</f>
        <v>1000</v>
      </c>
      <c r="F205" s="5">
        <f>INDEX(ref_Unit_Balance!$V$31:$V$106,MATCH(UnitGradeInfo!B205,ref_Unit_Balance!$B$31:$B$1048576,0))
+
INDEX(ref_Unit_Balance!$AB$31:$AB$106,MATCH(UnitGradeInfo!B205,ref_Unit_Balance!$B$31:$B$1048576,0))*(D205-1)</f>
        <v>7328</v>
      </c>
      <c r="G205" s="5">
        <f>INDEX(ref_Unit_Balance!$R$31:$R$106,MATCH(UnitGradeInfo!B205,ref_Unit_Balance!$B$31:$B$1048576,0))
+
INDEX(ref_Unit_Balance!$AA$31:$AA$106,MATCH(UnitGradeInfo!B205,ref_Unit_Balance!$B$31:$B$1048576,0))*(D205-1)</f>
        <v>620</v>
      </c>
      <c r="H205" s="39">
        <f>IF(INDEX(Unitinfo!D:D,MATCH(UnitGradeInfo!B205,Unitinfo!A:A,0))=1,50,5)</f>
        <v>5</v>
      </c>
      <c r="I205" s="5">
        <f>IF(INDEX(ref_Unit_Balance!$T$31:$T$106,MATCH(UnitGradeInfo!B205,ref_Unit_Balance!$B$31:$B$1048576,0))=0,1,INDEX(ref_Unit_Balance!$T$31:$T$106,MATCH(UnitGradeInfo!B205,ref_Unit_Balance!$B$31:$B$1048576,0)))</f>
        <v>5</v>
      </c>
      <c r="J205" s="5">
        <f>INDEX(ref_Unit_Balance!$S$31:$S$106,MATCH(UnitGradeInfo!B205,ref_Unit_Balance!$B$31:$B$1048576,0))</f>
        <v>1000</v>
      </c>
      <c r="K205" s="5">
        <v>0</v>
      </c>
      <c r="L205" s="5">
        <f>INDEX(ref_Unit_Balance!$I$31:$I$106,MATCH(UnitGradeInfo!B205,ref_Unit_Balance!$B$31:$B$1048576,0))</f>
        <v>3</v>
      </c>
      <c r="M205" s="5">
        <f t="shared" si="24"/>
        <v>34</v>
      </c>
      <c r="N205" s="5">
        <f t="shared" si="25"/>
        <v>340</v>
      </c>
      <c r="O205" s="5">
        <f>(INDEX(Unitinfo!I:I,MATCH(B205,Unitinfo!A:A,0))+1)*2</f>
        <v>2</v>
      </c>
      <c r="P205" s="5">
        <v>0</v>
      </c>
      <c r="Q205" s="5">
        <v>0</v>
      </c>
      <c r="R205" s="19" t="s">
        <v>121</v>
      </c>
      <c r="S205" s="19" t="s">
        <v>121</v>
      </c>
      <c r="T205" s="5">
        <f t="shared" si="20"/>
        <v>2008</v>
      </c>
      <c r="U205" s="5">
        <f t="shared" si="21"/>
        <v>1</v>
      </c>
      <c r="V205" s="5">
        <v>0</v>
      </c>
      <c r="W205" s="5">
        <v>10</v>
      </c>
    </row>
    <row r="206" spans="1:23">
      <c r="A206" s="5">
        <f t="shared" si="22"/>
        <v>203</v>
      </c>
      <c r="B206" s="93">
        <f t="shared" si="23"/>
        <v>2008</v>
      </c>
      <c r="C206" s="20" t="str">
        <f>INDEX(Unitinfo!C:C,MATCH(UnitGradeInfo!B206,Unitinfo!A:A,0))</f>
        <v>(근거리)Zombie_Sword</v>
      </c>
      <c r="D206" s="5">
        <f>COUNTIF($B$4:B206,B206)</f>
        <v>18</v>
      </c>
      <c r="E206" s="5">
        <f>ROUNDDOWN(INDEX(ref_Unit_Balance!$G$31:$G$106,MATCH(UnitGradeInfo!B206,ref_Unit_Balance!$B$31:$B$1048576,0))
+INDEX(ref_Unit_Balance!$G$20:$G$23,MATCH(IFERROR(INDEX(ref_Unit_Balance!$D$31:$D$1048576,MATCH(B206,ref_Unit_Balance!$B$31:$B$1048576,0)),0),ref_Unit_Balance!$B$20:$B$23,0))*D206*ref_Unit_Balance!$C$25,0)</f>
        <v>1050</v>
      </c>
      <c r="F206" s="5">
        <f>INDEX(ref_Unit_Balance!$V$31:$V$106,MATCH(UnitGradeInfo!B206,ref_Unit_Balance!$B$31:$B$1048576,0))
+
INDEX(ref_Unit_Balance!$AB$31:$AB$106,MATCH(UnitGradeInfo!B206,ref_Unit_Balance!$B$31:$B$1048576,0))*(D206-1)</f>
        <v>7661</v>
      </c>
      <c r="G206" s="5">
        <f>INDEX(ref_Unit_Balance!$R$31:$R$106,MATCH(UnitGradeInfo!B206,ref_Unit_Balance!$B$31:$B$1048576,0))
+
INDEX(ref_Unit_Balance!$AA$31:$AA$106,MATCH(UnitGradeInfo!B206,ref_Unit_Balance!$B$31:$B$1048576,0))*(D206-1)</f>
        <v>640</v>
      </c>
      <c r="H206" s="39">
        <f>IF(INDEX(Unitinfo!D:D,MATCH(UnitGradeInfo!B206,Unitinfo!A:A,0))=1,50,5)</f>
        <v>5</v>
      </c>
      <c r="I206" s="5">
        <f>IF(INDEX(ref_Unit_Balance!$T$31:$T$106,MATCH(UnitGradeInfo!B206,ref_Unit_Balance!$B$31:$B$1048576,0))=0,1,INDEX(ref_Unit_Balance!$T$31:$T$106,MATCH(UnitGradeInfo!B206,ref_Unit_Balance!$B$31:$B$1048576,0)))</f>
        <v>5</v>
      </c>
      <c r="J206" s="5">
        <f>INDEX(ref_Unit_Balance!$S$31:$S$106,MATCH(UnitGradeInfo!B206,ref_Unit_Balance!$B$31:$B$1048576,0))</f>
        <v>1000</v>
      </c>
      <c r="K206" s="5">
        <v>0</v>
      </c>
      <c r="L206" s="5">
        <f>INDEX(ref_Unit_Balance!$I$31:$I$106,MATCH(UnitGradeInfo!B206,ref_Unit_Balance!$B$31:$B$1048576,0))</f>
        <v>3</v>
      </c>
      <c r="M206" s="5">
        <f t="shared" si="24"/>
        <v>36</v>
      </c>
      <c r="N206" s="5">
        <f t="shared" si="25"/>
        <v>360</v>
      </c>
      <c r="O206" s="5">
        <f>(INDEX(Unitinfo!I:I,MATCH(B206,Unitinfo!A:A,0))+1)*2</f>
        <v>2</v>
      </c>
      <c r="P206" s="5">
        <v>0</v>
      </c>
      <c r="Q206" s="5">
        <v>0</v>
      </c>
      <c r="R206" s="19" t="s">
        <v>121</v>
      </c>
      <c r="S206" s="19" t="s">
        <v>121</v>
      </c>
      <c r="T206" s="5">
        <f t="shared" si="20"/>
        <v>2008</v>
      </c>
      <c r="U206" s="5">
        <f t="shared" si="21"/>
        <v>1</v>
      </c>
      <c r="V206" s="5">
        <v>0</v>
      </c>
      <c r="W206" s="5">
        <v>10</v>
      </c>
    </row>
    <row r="207" spans="1:23">
      <c r="A207" s="5">
        <f t="shared" si="22"/>
        <v>204</v>
      </c>
      <c r="B207" s="93">
        <f t="shared" si="23"/>
        <v>2008</v>
      </c>
      <c r="C207" s="20" t="str">
        <f>INDEX(Unitinfo!C:C,MATCH(UnitGradeInfo!B207,Unitinfo!A:A,0))</f>
        <v>(근거리)Zombie_Sword</v>
      </c>
      <c r="D207" s="5">
        <f>COUNTIF($B$4:B207,B207)</f>
        <v>19</v>
      </c>
      <c r="E207" s="5">
        <f>ROUNDDOWN(INDEX(ref_Unit_Balance!$G$31:$G$106,MATCH(UnitGradeInfo!B207,ref_Unit_Balance!$B$31:$B$1048576,0))
+INDEX(ref_Unit_Balance!$G$20:$G$23,MATCH(IFERROR(INDEX(ref_Unit_Balance!$D$31:$D$1048576,MATCH(B207,ref_Unit_Balance!$B$31:$B$1048576,0)),0),ref_Unit_Balance!$B$20:$B$23,0))*D207*ref_Unit_Balance!$C$25,0)</f>
        <v>1100</v>
      </c>
      <c r="F207" s="5">
        <f>INDEX(ref_Unit_Balance!$V$31:$V$106,MATCH(UnitGradeInfo!B207,ref_Unit_Balance!$B$31:$B$1048576,0))
+
INDEX(ref_Unit_Balance!$AB$31:$AB$106,MATCH(UnitGradeInfo!B207,ref_Unit_Balance!$B$31:$B$1048576,0))*(D207-1)</f>
        <v>7994</v>
      </c>
      <c r="G207" s="5">
        <f>INDEX(ref_Unit_Balance!$R$31:$R$106,MATCH(UnitGradeInfo!B207,ref_Unit_Balance!$B$31:$B$1048576,0))
+
INDEX(ref_Unit_Balance!$AA$31:$AA$106,MATCH(UnitGradeInfo!B207,ref_Unit_Balance!$B$31:$B$1048576,0))*(D207-1)</f>
        <v>660</v>
      </c>
      <c r="H207" s="39">
        <f>IF(INDEX(Unitinfo!D:D,MATCH(UnitGradeInfo!B207,Unitinfo!A:A,0))=1,50,5)</f>
        <v>5</v>
      </c>
      <c r="I207" s="5">
        <f>IF(INDEX(ref_Unit_Balance!$T$31:$T$106,MATCH(UnitGradeInfo!B207,ref_Unit_Balance!$B$31:$B$1048576,0))=0,1,INDEX(ref_Unit_Balance!$T$31:$T$106,MATCH(UnitGradeInfo!B207,ref_Unit_Balance!$B$31:$B$1048576,0)))</f>
        <v>5</v>
      </c>
      <c r="J207" s="5">
        <f>INDEX(ref_Unit_Balance!$S$31:$S$106,MATCH(UnitGradeInfo!B207,ref_Unit_Balance!$B$31:$B$1048576,0))</f>
        <v>1000</v>
      </c>
      <c r="K207" s="5">
        <v>0</v>
      </c>
      <c r="L207" s="5">
        <f>INDEX(ref_Unit_Balance!$I$31:$I$106,MATCH(UnitGradeInfo!B207,ref_Unit_Balance!$B$31:$B$1048576,0))</f>
        <v>3</v>
      </c>
      <c r="M207" s="5">
        <f t="shared" si="24"/>
        <v>38</v>
      </c>
      <c r="N207" s="5">
        <f t="shared" si="25"/>
        <v>380</v>
      </c>
      <c r="O207" s="5">
        <f>(INDEX(Unitinfo!I:I,MATCH(B207,Unitinfo!A:A,0))+1)*2</f>
        <v>2</v>
      </c>
      <c r="P207" s="5">
        <v>0</v>
      </c>
      <c r="Q207" s="5">
        <v>0</v>
      </c>
      <c r="R207" s="19" t="s">
        <v>121</v>
      </c>
      <c r="S207" s="19" t="s">
        <v>121</v>
      </c>
      <c r="T207" s="5">
        <f t="shared" si="20"/>
        <v>2008</v>
      </c>
      <c r="U207" s="5">
        <f t="shared" si="21"/>
        <v>1</v>
      </c>
      <c r="V207" s="5">
        <v>0</v>
      </c>
      <c r="W207" s="5">
        <v>10</v>
      </c>
    </row>
    <row r="208" spans="1:23">
      <c r="A208" s="5">
        <f t="shared" si="22"/>
        <v>205</v>
      </c>
      <c r="B208" s="93">
        <f t="shared" si="23"/>
        <v>2008</v>
      </c>
      <c r="C208" s="20" t="str">
        <f>INDEX(Unitinfo!C:C,MATCH(UnitGradeInfo!B208,Unitinfo!A:A,0))</f>
        <v>(근거리)Zombie_Sword</v>
      </c>
      <c r="D208" s="5">
        <f>COUNTIF($B$4:B208,B208)</f>
        <v>20</v>
      </c>
      <c r="E208" s="5">
        <f>ROUNDDOWN(INDEX(ref_Unit_Balance!$G$31:$G$106,MATCH(UnitGradeInfo!B208,ref_Unit_Balance!$B$31:$B$1048576,0))
+INDEX(ref_Unit_Balance!$G$20:$G$23,MATCH(IFERROR(INDEX(ref_Unit_Balance!$D$31:$D$1048576,MATCH(B208,ref_Unit_Balance!$B$31:$B$1048576,0)),0),ref_Unit_Balance!$B$20:$B$23,0))*D208*ref_Unit_Balance!$C$25,0)</f>
        <v>1150</v>
      </c>
      <c r="F208" s="5">
        <f>INDEX(ref_Unit_Balance!$V$31:$V$106,MATCH(UnitGradeInfo!B208,ref_Unit_Balance!$B$31:$B$1048576,0))
+
INDEX(ref_Unit_Balance!$AB$31:$AB$106,MATCH(UnitGradeInfo!B208,ref_Unit_Balance!$B$31:$B$1048576,0))*(D208-1)</f>
        <v>8327</v>
      </c>
      <c r="G208" s="5">
        <f>INDEX(ref_Unit_Balance!$R$31:$R$106,MATCH(UnitGradeInfo!B208,ref_Unit_Balance!$B$31:$B$1048576,0))
+
INDEX(ref_Unit_Balance!$AA$31:$AA$106,MATCH(UnitGradeInfo!B208,ref_Unit_Balance!$B$31:$B$1048576,0))*(D208-1)</f>
        <v>680</v>
      </c>
      <c r="H208" s="39">
        <f>IF(INDEX(Unitinfo!D:D,MATCH(UnitGradeInfo!B208,Unitinfo!A:A,0))=1,50,5)</f>
        <v>5</v>
      </c>
      <c r="I208" s="5">
        <f>IF(INDEX(ref_Unit_Balance!$T$31:$T$106,MATCH(UnitGradeInfo!B208,ref_Unit_Balance!$B$31:$B$1048576,0))=0,1,INDEX(ref_Unit_Balance!$T$31:$T$106,MATCH(UnitGradeInfo!B208,ref_Unit_Balance!$B$31:$B$1048576,0)))</f>
        <v>5</v>
      </c>
      <c r="J208" s="5">
        <f>INDEX(ref_Unit_Balance!$S$31:$S$106,MATCH(UnitGradeInfo!B208,ref_Unit_Balance!$B$31:$B$1048576,0))</f>
        <v>1000</v>
      </c>
      <c r="K208" s="5">
        <v>0</v>
      </c>
      <c r="L208" s="5">
        <f>INDEX(ref_Unit_Balance!$I$31:$I$106,MATCH(UnitGradeInfo!B208,ref_Unit_Balance!$B$31:$B$1048576,0))</f>
        <v>3</v>
      </c>
      <c r="M208" s="5">
        <f t="shared" si="24"/>
        <v>40</v>
      </c>
      <c r="N208" s="5">
        <f t="shared" si="25"/>
        <v>400</v>
      </c>
      <c r="O208" s="5">
        <f>(INDEX(Unitinfo!I:I,MATCH(B208,Unitinfo!A:A,0))+1)*2</f>
        <v>2</v>
      </c>
      <c r="P208" s="5">
        <v>0</v>
      </c>
      <c r="Q208" s="5">
        <v>0</v>
      </c>
      <c r="R208" s="19" t="s">
        <v>121</v>
      </c>
      <c r="S208" s="19" t="s">
        <v>121</v>
      </c>
      <c r="T208" s="5">
        <f t="shared" si="20"/>
        <v>2008</v>
      </c>
      <c r="U208" s="5">
        <f t="shared" si="21"/>
        <v>1</v>
      </c>
      <c r="V208" s="5">
        <v>0</v>
      </c>
      <c r="W208" s="5">
        <v>10</v>
      </c>
    </row>
    <row r="209" spans="1:23">
      <c r="A209" s="5">
        <f t="shared" si="22"/>
        <v>206</v>
      </c>
      <c r="B209" s="93">
        <f t="shared" si="23"/>
        <v>2009</v>
      </c>
      <c r="C209" s="20" t="str">
        <f>INDEX(Unitinfo!C:C,MATCH(UnitGradeInfo!B209,Unitinfo!A:A,0))</f>
        <v>(원거리)Witch_Fire</v>
      </c>
      <c r="D209" s="5">
        <f>COUNTIF($B$4:B209,B209)</f>
        <v>1</v>
      </c>
      <c r="E209" s="5">
        <f>ROUNDDOWN(INDEX(ref_Unit_Balance!$G$31:$G$106,MATCH(UnitGradeInfo!B209,ref_Unit_Balance!$B$31:$B$1048576,0))
+INDEX(ref_Unit_Balance!$G$20:$G$23,MATCH(IFERROR(INDEX(ref_Unit_Balance!$D$31:$D$1048576,MATCH(B209,ref_Unit_Balance!$B$31:$B$1048576,0)),0),ref_Unit_Balance!$B$20:$B$23,0))*D209*ref_Unit_Balance!$C$25,0)</f>
        <v>275</v>
      </c>
      <c r="F209" s="5">
        <f>INDEX(ref_Unit_Balance!$V$31:$V$106,MATCH(UnitGradeInfo!B209,ref_Unit_Balance!$B$31:$B$1048576,0))
+
INDEX(ref_Unit_Balance!$AB$31:$AB$106,MATCH(UnitGradeInfo!B209,ref_Unit_Balance!$B$31:$B$1048576,0))*(D209-1)</f>
        <v>4800</v>
      </c>
      <c r="G209" s="5">
        <f>INDEX(ref_Unit_Balance!$R$31:$R$106,MATCH(UnitGradeInfo!B209,ref_Unit_Balance!$B$31:$B$1048576,0))
+
INDEX(ref_Unit_Balance!$AA$31:$AA$106,MATCH(UnitGradeInfo!B209,ref_Unit_Balance!$B$31:$B$1048576,0))*(D209-1)</f>
        <v>400</v>
      </c>
      <c r="H209" s="39">
        <f>IF(INDEX(Unitinfo!D:D,MATCH(UnitGradeInfo!B209,Unitinfo!A:A,0))=1,50,5)</f>
        <v>50</v>
      </c>
      <c r="I209" s="5">
        <f>IF(INDEX(ref_Unit_Balance!$T$31:$T$106,MATCH(UnitGradeInfo!B209,ref_Unit_Balance!$B$31:$B$1048576,0))=0,1,INDEX(ref_Unit_Balance!$T$31:$T$106,MATCH(UnitGradeInfo!B209,ref_Unit_Balance!$B$31:$B$1048576,0)))</f>
        <v>5</v>
      </c>
      <c r="J209" s="5">
        <f>INDEX(ref_Unit_Balance!$S$31:$S$106,MATCH(UnitGradeInfo!B209,ref_Unit_Balance!$B$31:$B$1048576,0))</f>
        <v>500</v>
      </c>
      <c r="K209" s="5">
        <v>0</v>
      </c>
      <c r="L209" s="5">
        <f>INDEX(ref_Unit_Balance!$I$31:$I$106,MATCH(UnitGradeInfo!B209,ref_Unit_Balance!$B$31:$B$1048576,0))</f>
        <v>1</v>
      </c>
      <c r="M209" s="5">
        <f t="shared" si="24"/>
        <v>2</v>
      </c>
      <c r="N209" s="5">
        <f t="shared" si="25"/>
        <v>20</v>
      </c>
      <c r="O209" s="5">
        <f>(INDEX(Unitinfo!I:I,MATCH(B209,Unitinfo!A:A,0))+1)*2</f>
        <v>6</v>
      </c>
      <c r="P209" s="5">
        <v>0</v>
      </c>
      <c r="Q209" s="5">
        <v>0</v>
      </c>
      <c r="R209" s="19" t="s">
        <v>121</v>
      </c>
      <c r="S209" s="19" t="s">
        <v>121</v>
      </c>
      <c r="T209" s="5">
        <f t="shared" si="20"/>
        <v>2009</v>
      </c>
      <c r="U209" s="5">
        <f t="shared" si="21"/>
        <v>1</v>
      </c>
      <c r="V209" s="5">
        <v>0</v>
      </c>
      <c r="W209" s="5">
        <v>10</v>
      </c>
    </row>
    <row r="210" spans="1:23">
      <c r="A210" s="5">
        <f t="shared" si="22"/>
        <v>207</v>
      </c>
      <c r="B210" s="93">
        <f t="shared" si="23"/>
        <v>2009</v>
      </c>
      <c r="C210" s="20" t="str">
        <f>INDEX(Unitinfo!C:C,MATCH(UnitGradeInfo!B210,Unitinfo!A:A,0))</f>
        <v>(원거리)Witch_Fire</v>
      </c>
      <c r="D210" s="5">
        <f>COUNTIF($B$4:B210,B210)</f>
        <v>2</v>
      </c>
      <c r="E210" s="5">
        <f>ROUNDDOWN(INDEX(ref_Unit_Balance!$G$31:$G$106,MATCH(UnitGradeInfo!B210,ref_Unit_Balance!$B$31:$B$1048576,0))
+INDEX(ref_Unit_Balance!$G$20:$G$23,MATCH(IFERROR(INDEX(ref_Unit_Balance!$D$31:$D$1048576,MATCH(B210,ref_Unit_Balance!$B$31:$B$1048576,0)),0),ref_Unit_Balance!$B$20:$B$23,0))*D210*ref_Unit_Balance!$C$25,0)</f>
        <v>350</v>
      </c>
      <c r="F210" s="5">
        <f>INDEX(ref_Unit_Balance!$V$31:$V$106,MATCH(UnitGradeInfo!B210,ref_Unit_Balance!$B$31:$B$1048576,0))
+
INDEX(ref_Unit_Balance!$AB$31:$AB$106,MATCH(UnitGradeInfo!B210,ref_Unit_Balance!$B$31:$B$1048576,0))*(D210-1)</f>
        <v>5400</v>
      </c>
      <c r="G210" s="5">
        <f>INDEX(ref_Unit_Balance!$R$31:$R$106,MATCH(UnitGradeInfo!B210,ref_Unit_Balance!$B$31:$B$1048576,0))
+
INDEX(ref_Unit_Balance!$AA$31:$AA$106,MATCH(UnitGradeInfo!B210,ref_Unit_Balance!$B$31:$B$1048576,0))*(D210-1)</f>
        <v>460</v>
      </c>
      <c r="H210" s="39">
        <f>IF(INDEX(Unitinfo!D:D,MATCH(UnitGradeInfo!B210,Unitinfo!A:A,0))=1,50,5)</f>
        <v>50</v>
      </c>
      <c r="I210" s="5">
        <f>IF(INDEX(ref_Unit_Balance!$T$31:$T$106,MATCH(UnitGradeInfo!B210,ref_Unit_Balance!$B$31:$B$1048576,0))=0,1,INDEX(ref_Unit_Balance!$T$31:$T$106,MATCH(UnitGradeInfo!B210,ref_Unit_Balance!$B$31:$B$1048576,0)))</f>
        <v>5</v>
      </c>
      <c r="J210" s="5">
        <f>INDEX(ref_Unit_Balance!$S$31:$S$106,MATCH(UnitGradeInfo!B210,ref_Unit_Balance!$B$31:$B$1048576,0))</f>
        <v>500</v>
      </c>
      <c r="K210" s="5">
        <v>0</v>
      </c>
      <c r="L210" s="5">
        <f>INDEX(ref_Unit_Balance!$I$31:$I$106,MATCH(UnitGradeInfo!B210,ref_Unit_Balance!$B$31:$B$1048576,0))</f>
        <v>1</v>
      </c>
      <c r="M210" s="5">
        <f t="shared" si="24"/>
        <v>4</v>
      </c>
      <c r="N210" s="5">
        <f t="shared" si="25"/>
        <v>40</v>
      </c>
      <c r="O210" s="5">
        <f>(INDEX(Unitinfo!I:I,MATCH(B210,Unitinfo!A:A,0))+1)*2</f>
        <v>6</v>
      </c>
      <c r="P210" s="5">
        <v>0</v>
      </c>
      <c r="Q210" s="5">
        <v>0</v>
      </c>
      <c r="R210" s="19" t="s">
        <v>121</v>
      </c>
      <c r="S210" s="19" t="s">
        <v>121</v>
      </c>
      <c r="T210" s="5">
        <f t="shared" si="20"/>
        <v>2009</v>
      </c>
      <c r="U210" s="5">
        <f t="shared" si="21"/>
        <v>1</v>
      </c>
      <c r="V210" s="5">
        <v>0</v>
      </c>
      <c r="W210" s="5">
        <v>10</v>
      </c>
    </row>
    <row r="211" spans="1:23">
      <c r="A211" s="5">
        <f t="shared" si="22"/>
        <v>208</v>
      </c>
      <c r="B211" s="93">
        <f t="shared" si="23"/>
        <v>2009</v>
      </c>
      <c r="C211" s="20" t="str">
        <f>INDEX(Unitinfo!C:C,MATCH(UnitGradeInfo!B211,Unitinfo!A:A,0))</f>
        <v>(원거리)Witch_Fire</v>
      </c>
      <c r="D211" s="5">
        <f>COUNTIF($B$4:B211,B211)</f>
        <v>3</v>
      </c>
      <c r="E211" s="5">
        <f>ROUNDDOWN(INDEX(ref_Unit_Balance!$G$31:$G$106,MATCH(UnitGradeInfo!B211,ref_Unit_Balance!$B$31:$B$1048576,0))
+INDEX(ref_Unit_Balance!$G$20:$G$23,MATCH(IFERROR(INDEX(ref_Unit_Balance!$D$31:$D$1048576,MATCH(B211,ref_Unit_Balance!$B$31:$B$1048576,0)),0),ref_Unit_Balance!$B$20:$B$23,0))*D211*ref_Unit_Balance!$C$25,0)</f>
        <v>425</v>
      </c>
      <c r="F211" s="5">
        <f>INDEX(ref_Unit_Balance!$V$31:$V$106,MATCH(UnitGradeInfo!B211,ref_Unit_Balance!$B$31:$B$1048576,0))
+
INDEX(ref_Unit_Balance!$AB$31:$AB$106,MATCH(UnitGradeInfo!B211,ref_Unit_Balance!$B$31:$B$1048576,0))*(D211-1)</f>
        <v>6000</v>
      </c>
      <c r="G211" s="5">
        <f>INDEX(ref_Unit_Balance!$R$31:$R$106,MATCH(UnitGradeInfo!B211,ref_Unit_Balance!$B$31:$B$1048576,0))
+
INDEX(ref_Unit_Balance!$AA$31:$AA$106,MATCH(UnitGradeInfo!B211,ref_Unit_Balance!$B$31:$B$1048576,0))*(D211-1)</f>
        <v>520</v>
      </c>
      <c r="H211" s="39">
        <f>IF(INDEX(Unitinfo!D:D,MATCH(UnitGradeInfo!B211,Unitinfo!A:A,0))=1,50,5)</f>
        <v>50</v>
      </c>
      <c r="I211" s="5">
        <f>IF(INDEX(ref_Unit_Balance!$T$31:$T$106,MATCH(UnitGradeInfo!B211,ref_Unit_Balance!$B$31:$B$1048576,0))=0,1,INDEX(ref_Unit_Balance!$T$31:$T$106,MATCH(UnitGradeInfo!B211,ref_Unit_Balance!$B$31:$B$1048576,0)))</f>
        <v>5</v>
      </c>
      <c r="J211" s="5">
        <f>INDEX(ref_Unit_Balance!$S$31:$S$106,MATCH(UnitGradeInfo!B211,ref_Unit_Balance!$B$31:$B$1048576,0))</f>
        <v>500</v>
      </c>
      <c r="K211" s="5">
        <v>0</v>
      </c>
      <c r="L211" s="5">
        <f>INDEX(ref_Unit_Balance!$I$31:$I$106,MATCH(UnitGradeInfo!B211,ref_Unit_Balance!$B$31:$B$1048576,0))</f>
        <v>1</v>
      </c>
      <c r="M211" s="5">
        <f t="shared" si="24"/>
        <v>6</v>
      </c>
      <c r="N211" s="5">
        <f t="shared" si="25"/>
        <v>60</v>
      </c>
      <c r="O211" s="5">
        <f>(INDEX(Unitinfo!I:I,MATCH(B211,Unitinfo!A:A,0))+1)*2</f>
        <v>6</v>
      </c>
      <c r="P211" s="5">
        <v>0</v>
      </c>
      <c r="Q211" s="5">
        <v>0</v>
      </c>
      <c r="R211" s="19" t="s">
        <v>121</v>
      </c>
      <c r="S211" s="19" t="s">
        <v>121</v>
      </c>
      <c r="T211" s="5">
        <f t="shared" si="20"/>
        <v>2009</v>
      </c>
      <c r="U211" s="5">
        <f t="shared" si="21"/>
        <v>1</v>
      </c>
      <c r="V211" s="5">
        <v>0</v>
      </c>
      <c r="W211" s="5">
        <v>10</v>
      </c>
    </row>
    <row r="212" spans="1:23">
      <c r="A212" s="5">
        <f t="shared" si="22"/>
        <v>209</v>
      </c>
      <c r="B212" s="93">
        <f t="shared" si="23"/>
        <v>2009</v>
      </c>
      <c r="C212" s="20" t="str">
        <f>INDEX(Unitinfo!C:C,MATCH(UnitGradeInfo!B212,Unitinfo!A:A,0))</f>
        <v>(원거리)Witch_Fire</v>
      </c>
      <c r="D212" s="5">
        <f>COUNTIF($B$4:B212,B212)</f>
        <v>4</v>
      </c>
      <c r="E212" s="5">
        <f>ROUNDDOWN(INDEX(ref_Unit_Balance!$G$31:$G$106,MATCH(UnitGradeInfo!B212,ref_Unit_Balance!$B$31:$B$1048576,0))
+INDEX(ref_Unit_Balance!$G$20:$G$23,MATCH(IFERROR(INDEX(ref_Unit_Balance!$D$31:$D$1048576,MATCH(B212,ref_Unit_Balance!$B$31:$B$1048576,0)),0),ref_Unit_Balance!$B$20:$B$23,0))*D212*ref_Unit_Balance!$C$25,0)</f>
        <v>500</v>
      </c>
      <c r="F212" s="5">
        <f>INDEX(ref_Unit_Balance!$V$31:$V$106,MATCH(UnitGradeInfo!B212,ref_Unit_Balance!$B$31:$B$1048576,0))
+
INDEX(ref_Unit_Balance!$AB$31:$AB$106,MATCH(UnitGradeInfo!B212,ref_Unit_Balance!$B$31:$B$1048576,0))*(D212-1)</f>
        <v>6600</v>
      </c>
      <c r="G212" s="5">
        <f>INDEX(ref_Unit_Balance!$R$31:$R$106,MATCH(UnitGradeInfo!B212,ref_Unit_Balance!$B$31:$B$1048576,0))
+
INDEX(ref_Unit_Balance!$AA$31:$AA$106,MATCH(UnitGradeInfo!B212,ref_Unit_Balance!$B$31:$B$1048576,0))*(D212-1)</f>
        <v>580</v>
      </c>
      <c r="H212" s="39">
        <f>IF(INDEX(Unitinfo!D:D,MATCH(UnitGradeInfo!B212,Unitinfo!A:A,0))=1,50,5)</f>
        <v>50</v>
      </c>
      <c r="I212" s="5">
        <f>IF(INDEX(ref_Unit_Balance!$T$31:$T$106,MATCH(UnitGradeInfo!B212,ref_Unit_Balance!$B$31:$B$1048576,0))=0,1,INDEX(ref_Unit_Balance!$T$31:$T$106,MATCH(UnitGradeInfo!B212,ref_Unit_Balance!$B$31:$B$1048576,0)))</f>
        <v>5</v>
      </c>
      <c r="J212" s="5">
        <f>INDEX(ref_Unit_Balance!$S$31:$S$106,MATCH(UnitGradeInfo!B212,ref_Unit_Balance!$B$31:$B$1048576,0))</f>
        <v>500</v>
      </c>
      <c r="K212" s="5">
        <v>0</v>
      </c>
      <c r="L212" s="5">
        <f>INDEX(ref_Unit_Balance!$I$31:$I$106,MATCH(UnitGradeInfo!B212,ref_Unit_Balance!$B$31:$B$1048576,0))</f>
        <v>1</v>
      </c>
      <c r="M212" s="5">
        <f t="shared" si="24"/>
        <v>8</v>
      </c>
      <c r="N212" s="5">
        <f t="shared" si="25"/>
        <v>80</v>
      </c>
      <c r="O212" s="5">
        <f>(INDEX(Unitinfo!I:I,MATCH(B212,Unitinfo!A:A,0))+1)*2</f>
        <v>6</v>
      </c>
      <c r="P212" s="5">
        <v>0</v>
      </c>
      <c r="Q212" s="5">
        <v>0</v>
      </c>
      <c r="R212" s="19" t="s">
        <v>121</v>
      </c>
      <c r="S212" s="19" t="s">
        <v>121</v>
      </c>
      <c r="T212" s="5">
        <f t="shared" si="20"/>
        <v>2009</v>
      </c>
      <c r="U212" s="5">
        <f t="shared" si="21"/>
        <v>1</v>
      </c>
      <c r="V212" s="5">
        <v>0</v>
      </c>
      <c r="W212" s="5">
        <v>10</v>
      </c>
    </row>
    <row r="213" spans="1:23">
      <c r="A213" s="5">
        <f t="shared" si="22"/>
        <v>210</v>
      </c>
      <c r="B213" s="93">
        <f t="shared" si="23"/>
        <v>2009</v>
      </c>
      <c r="C213" s="20" t="str">
        <f>INDEX(Unitinfo!C:C,MATCH(UnitGradeInfo!B213,Unitinfo!A:A,0))</f>
        <v>(원거리)Witch_Fire</v>
      </c>
      <c r="D213" s="5">
        <f>COUNTIF($B$4:B213,B213)</f>
        <v>5</v>
      </c>
      <c r="E213" s="5">
        <f>ROUNDDOWN(INDEX(ref_Unit_Balance!$G$31:$G$106,MATCH(UnitGradeInfo!B213,ref_Unit_Balance!$B$31:$B$1048576,0))
+INDEX(ref_Unit_Balance!$G$20:$G$23,MATCH(IFERROR(INDEX(ref_Unit_Balance!$D$31:$D$1048576,MATCH(B213,ref_Unit_Balance!$B$31:$B$1048576,0)),0),ref_Unit_Balance!$B$20:$B$23,0))*D213*ref_Unit_Balance!$C$25,0)</f>
        <v>575</v>
      </c>
      <c r="F213" s="5">
        <f>INDEX(ref_Unit_Balance!$V$31:$V$106,MATCH(UnitGradeInfo!B213,ref_Unit_Balance!$B$31:$B$1048576,0))
+
INDEX(ref_Unit_Balance!$AB$31:$AB$106,MATCH(UnitGradeInfo!B213,ref_Unit_Balance!$B$31:$B$1048576,0))*(D213-1)</f>
        <v>7200</v>
      </c>
      <c r="G213" s="5">
        <f>INDEX(ref_Unit_Balance!$R$31:$R$106,MATCH(UnitGradeInfo!B213,ref_Unit_Balance!$B$31:$B$1048576,0))
+
INDEX(ref_Unit_Balance!$AA$31:$AA$106,MATCH(UnitGradeInfo!B213,ref_Unit_Balance!$B$31:$B$1048576,0))*(D213-1)</f>
        <v>640</v>
      </c>
      <c r="H213" s="39">
        <f>IF(INDEX(Unitinfo!D:D,MATCH(UnitGradeInfo!B213,Unitinfo!A:A,0))=1,50,5)</f>
        <v>50</v>
      </c>
      <c r="I213" s="5">
        <f>IF(INDEX(ref_Unit_Balance!$T$31:$T$106,MATCH(UnitGradeInfo!B213,ref_Unit_Balance!$B$31:$B$1048576,0))=0,1,INDEX(ref_Unit_Balance!$T$31:$T$106,MATCH(UnitGradeInfo!B213,ref_Unit_Balance!$B$31:$B$1048576,0)))</f>
        <v>5</v>
      </c>
      <c r="J213" s="5">
        <f>INDEX(ref_Unit_Balance!$S$31:$S$106,MATCH(UnitGradeInfo!B213,ref_Unit_Balance!$B$31:$B$1048576,0))</f>
        <v>500</v>
      </c>
      <c r="K213" s="5">
        <v>0</v>
      </c>
      <c r="L213" s="5">
        <f>INDEX(ref_Unit_Balance!$I$31:$I$106,MATCH(UnitGradeInfo!B213,ref_Unit_Balance!$B$31:$B$1048576,0))</f>
        <v>1</v>
      </c>
      <c r="M213" s="5">
        <f t="shared" si="24"/>
        <v>10</v>
      </c>
      <c r="N213" s="5">
        <f t="shared" si="25"/>
        <v>100</v>
      </c>
      <c r="O213" s="5">
        <f>(INDEX(Unitinfo!I:I,MATCH(B213,Unitinfo!A:A,0))+1)*2</f>
        <v>6</v>
      </c>
      <c r="P213" s="5">
        <v>0</v>
      </c>
      <c r="Q213" s="5">
        <v>0</v>
      </c>
      <c r="R213" s="19" t="s">
        <v>121</v>
      </c>
      <c r="S213" s="19" t="s">
        <v>121</v>
      </c>
      <c r="T213" s="5">
        <f t="shared" si="20"/>
        <v>2009</v>
      </c>
      <c r="U213" s="5">
        <f t="shared" si="21"/>
        <v>1</v>
      </c>
      <c r="V213" s="5">
        <v>0</v>
      </c>
      <c r="W213" s="5">
        <v>10</v>
      </c>
    </row>
    <row r="214" spans="1:23">
      <c r="A214" s="5">
        <f t="shared" si="22"/>
        <v>211</v>
      </c>
      <c r="B214" s="93">
        <f t="shared" si="23"/>
        <v>2009</v>
      </c>
      <c r="C214" s="20" t="str">
        <f>INDEX(Unitinfo!C:C,MATCH(UnitGradeInfo!B214,Unitinfo!A:A,0))</f>
        <v>(원거리)Witch_Fire</v>
      </c>
      <c r="D214" s="5">
        <f>COUNTIF($B$4:B214,B214)</f>
        <v>6</v>
      </c>
      <c r="E214" s="5">
        <f>ROUNDDOWN(INDEX(ref_Unit_Balance!$G$31:$G$106,MATCH(UnitGradeInfo!B214,ref_Unit_Balance!$B$31:$B$1048576,0))
+INDEX(ref_Unit_Balance!$G$20:$G$23,MATCH(IFERROR(INDEX(ref_Unit_Balance!$D$31:$D$1048576,MATCH(B214,ref_Unit_Balance!$B$31:$B$1048576,0)),0),ref_Unit_Balance!$B$20:$B$23,0))*D214*ref_Unit_Balance!$C$25,0)</f>
        <v>650</v>
      </c>
      <c r="F214" s="5">
        <f>INDEX(ref_Unit_Balance!$V$31:$V$106,MATCH(UnitGradeInfo!B214,ref_Unit_Balance!$B$31:$B$1048576,0))
+
INDEX(ref_Unit_Balance!$AB$31:$AB$106,MATCH(UnitGradeInfo!B214,ref_Unit_Balance!$B$31:$B$1048576,0))*(D214-1)</f>
        <v>7800</v>
      </c>
      <c r="G214" s="5">
        <f>INDEX(ref_Unit_Balance!$R$31:$R$106,MATCH(UnitGradeInfo!B214,ref_Unit_Balance!$B$31:$B$1048576,0))
+
INDEX(ref_Unit_Balance!$AA$31:$AA$106,MATCH(UnitGradeInfo!B214,ref_Unit_Balance!$B$31:$B$1048576,0))*(D214-1)</f>
        <v>700</v>
      </c>
      <c r="H214" s="39">
        <f>IF(INDEX(Unitinfo!D:D,MATCH(UnitGradeInfo!B214,Unitinfo!A:A,0))=1,50,5)</f>
        <v>50</v>
      </c>
      <c r="I214" s="5">
        <f>IF(INDEX(ref_Unit_Balance!$T$31:$T$106,MATCH(UnitGradeInfo!B214,ref_Unit_Balance!$B$31:$B$1048576,0))=0,1,INDEX(ref_Unit_Balance!$T$31:$T$106,MATCH(UnitGradeInfo!B214,ref_Unit_Balance!$B$31:$B$1048576,0)))</f>
        <v>5</v>
      </c>
      <c r="J214" s="5">
        <f>INDEX(ref_Unit_Balance!$S$31:$S$106,MATCH(UnitGradeInfo!B214,ref_Unit_Balance!$B$31:$B$1048576,0))</f>
        <v>500</v>
      </c>
      <c r="K214" s="5">
        <v>0</v>
      </c>
      <c r="L214" s="5">
        <f>INDEX(ref_Unit_Balance!$I$31:$I$106,MATCH(UnitGradeInfo!B214,ref_Unit_Balance!$B$31:$B$1048576,0))</f>
        <v>1</v>
      </c>
      <c r="M214" s="5">
        <f t="shared" si="24"/>
        <v>12</v>
      </c>
      <c r="N214" s="5">
        <f t="shared" si="25"/>
        <v>120</v>
      </c>
      <c r="O214" s="5">
        <f>(INDEX(Unitinfo!I:I,MATCH(B214,Unitinfo!A:A,0))+1)*2</f>
        <v>6</v>
      </c>
      <c r="P214" s="5">
        <v>0</v>
      </c>
      <c r="Q214" s="5">
        <v>0</v>
      </c>
      <c r="R214" s="19" t="s">
        <v>121</v>
      </c>
      <c r="S214" s="19" t="s">
        <v>121</v>
      </c>
      <c r="T214" s="5">
        <f t="shared" si="20"/>
        <v>2009</v>
      </c>
      <c r="U214" s="5">
        <f t="shared" si="21"/>
        <v>1</v>
      </c>
      <c r="V214" s="5">
        <v>0</v>
      </c>
      <c r="W214" s="5">
        <v>10</v>
      </c>
    </row>
    <row r="215" spans="1:23">
      <c r="A215" s="5">
        <f t="shared" si="22"/>
        <v>212</v>
      </c>
      <c r="B215" s="93">
        <f t="shared" si="23"/>
        <v>2009</v>
      </c>
      <c r="C215" s="20" t="str">
        <f>INDEX(Unitinfo!C:C,MATCH(UnitGradeInfo!B215,Unitinfo!A:A,0))</f>
        <v>(원거리)Witch_Fire</v>
      </c>
      <c r="D215" s="5">
        <f>COUNTIF($B$4:B215,B215)</f>
        <v>7</v>
      </c>
      <c r="E215" s="5">
        <f>ROUNDDOWN(INDEX(ref_Unit_Balance!$G$31:$G$106,MATCH(UnitGradeInfo!B215,ref_Unit_Balance!$B$31:$B$1048576,0))
+INDEX(ref_Unit_Balance!$G$20:$G$23,MATCH(IFERROR(INDEX(ref_Unit_Balance!$D$31:$D$1048576,MATCH(B215,ref_Unit_Balance!$B$31:$B$1048576,0)),0),ref_Unit_Balance!$B$20:$B$23,0))*D215*ref_Unit_Balance!$C$25,0)</f>
        <v>725</v>
      </c>
      <c r="F215" s="5">
        <f>INDEX(ref_Unit_Balance!$V$31:$V$106,MATCH(UnitGradeInfo!B215,ref_Unit_Balance!$B$31:$B$1048576,0))
+
INDEX(ref_Unit_Balance!$AB$31:$AB$106,MATCH(UnitGradeInfo!B215,ref_Unit_Balance!$B$31:$B$1048576,0))*(D215-1)</f>
        <v>8400</v>
      </c>
      <c r="G215" s="5">
        <f>INDEX(ref_Unit_Balance!$R$31:$R$106,MATCH(UnitGradeInfo!B215,ref_Unit_Balance!$B$31:$B$1048576,0))
+
INDEX(ref_Unit_Balance!$AA$31:$AA$106,MATCH(UnitGradeInfo!B215,ref_Unit_Balance!$B$31:$B$1048576,0))*(D215-1)</f>
        <v>760</v>
      </c>
      <c r="H215" s="39">
        <f>IF(INDEX(Unitinfo!D:D,MATCH(UnitGradeInfo!B215,Unitinfo!A:A,0))=1,50,5)</f>
        <v>50</v>
      </c>
      <c r="I215" s="5">
        <f>IF(INDEX(ref_Unit_Balance!$T$31:$T$106,MATCH(UnitGradeInfo!B215,ref_Unit_Balance!$B$31:$B$1048576,0))=0,1,INDEX(ref_Unit_Balance!$T$31:$T$106,MATCH(UnitGradeInfo!B215,ref_Unit_Balance!$B$31:$B$1048576,0)))</f>
        <v>5</v>
      </c>
      <c r="J215" s="5">
        <f>INDEX(ref_Unit_Balance!$S$31:$S$106,MATCH(UnitGradeInfo!B215,ref_Unit_Balance!$B$31:$B$1048576,0))</f>
        <v>500</v>
      </c>
      <c r="K215" s="5">
        <v>0</v>
      </c>
      <c r="L215" s="5">
        <f>INDEX(ref_Unit_Balance!$I$31:$I$106,MATCH(UnitGradeInfo!B215,ref_Unit_Balance!$B$31:$B$1048576,0))</f>
        <v>1</v>
      </c>
      <c r="M215" s="5">
        <f t="shared" si="24"/>
        <v>14</v>
      </c>
      <c r="N215" s="5">
        <f t="shared" si="25"/>
        <v>140</v>
      </c>
      <c r="O215" s="5">
        <f>(INDEX(Unitinfo!I:I,MATCH(B215,Unitinfo!A:A,0))+1)*2</f>
        <v>6</v>
      </c>
      <c r="P215" s="5">
        <v>0</v>
      </c>
      <c r="Q215" s="5">
        <v>0</v>
      </c>
      <c r="R215" s="19" t="s">
        <v>121</v>
      </c>
      <c r="S215" s="19" t="s">
        <v>121</v>
      </c>
      <c r="T215" s="5">
        <f t="shared" si="20"/>
        <v>2009</v>
      </c>
      <c r="U215" s="5">
        <f t="shared" si="21"/>
        <v>1</v>
      </c>
      <c r="V215" s="5">
        <v>0</v>
      </c>
      <c r="W215" s="5">
        <v>10</v>
      </c>
    </row>
    <row r="216" spans="1:23">
      <c r="A216" s="5">
        <f t="shared" si="22"/>
        <v>213</v>
      </c>
      <c r="B216" s="93">
        <f t="shared" si="23"/>
        <v>2009</v>
      </c>
      <c r="C216" s="20" t="str">
        <f>INDEX(Unitinfo!C:C,MATCH(UnitGradeInfo!B216,Unitinfo!A:A,0))</f>
        <v>(원거리)Witch_Fire</v>
      </c>
      <c r="D216" s="5">
        <f>COUNTIF($B$4:B216,B216)</f>
        <v>8</v>
      </c>
      <c r="E216" s="5">
        <f>ROUNDDOWN(INDEX(ref_Unit_Balance!$G$31:$G$106,MATCH(UnitGradeInfo!B216,ref_Unit_Balance!$B$31:$B$1048576,0))
+INDEX(ref_Unit_Balance!$G$20:$G$23,MATCH(IFERROR(INDEX(ref_Unit_Balance!$D$31:$D$1048576,MATCH(B216,ref_Unit_Balance!$B$31:$B$1048576,0)),0),ref_Unit_Balance!$B$20:$B$23,0))*D216*ref_Unit_Balance!$C$25,0)</f>
        <v>800</v>
      </c>
      <c r="F216" s="5">
        <f>INDEX(ref_Unit_Balance!$V$31:$V$106,MATCH(UnitGradeInfo!B216,ref_Unit_Balance!$B$31:$B$1048576,0))
+
INDEX(ref_Unit_Balance!$AB$31:$AB$106,MATCH(UnitGradeInfo!B216,ref_Unit_Balance!$B$31:$B$1048576,0))*(D216-1)</f>
        <v>9000</v>
      </c>
      <c r="G216" s="5">
        <f>INDEX(ref_Unit_Balance!$R$31:$R$106,MATCH(UnitGradeInfo!B216,ref_Unit_Balance!$B$31:$B$1048576,0))
+
INDEX(ref_Unit_Balance!$AA$31:$AA$106,MATCH(UnitGradeInfo!B216,ref_Unit_Balance!$B$31:$B$1048576,0))*(D216-1)</f>
        <v>820</v>
      </c>
      <c r="H216" s="39">
        <f>IF(INDEX(Unitinfo!D:D,MATCH(UnitGradeInfo!B216,Unitinfo!A:A,0))=1,50,5)</f>
        <v>50</v>
      </c>
      <c r="I216" s="5">
        <f>IF(INDEX(ref_Unit_Balance!$T$31:$T$106,MATCH(UnitGradeInfo!B216,ref_Unit_Balance!$B$31:$B$1048576,0))=0,1,INDEX(ref_Unit_Balance!$T$31:$T$106,MATCH(UnitGradeInfo!B216,ref_Unit_Balance!$B$31:$B$1048576,0)))</f>
        <v>5</v>
      </c>
      <c r="J216" s="5">
        <f>INDEX(ref_Unit_Balance!$S$31:$S$106,MATCH(UnitGradeInfo!B216,ref_Unit_Balance!$B$31:$B$1048576,0))</f>
        <v>500</v>
      </c>
      <c r="K216" s="5">
        <v>0</v>
      </c>
      <c r="L216" s="5">
        <f>INDEX(ref_Unit_Balance!$I$31:$I$106,MATCH(UnitGradeInfo!B216,ref_Unit_Balance!$B$31:$B$1048576,0))</f>
        <v>1</v>
      </c>
      <c r="M216" s="5">
        <f t="shared" si="24"/>
        <v>16</v>
      </c>
      <c r="N216" s="5">
        <f t="shared" si="25"/>
        <v>160</v>
      </c>
      <c r="O216" s="5">
        <f>(INDEX(Unitinfo!I:I,MATCH(B216,Unitinfo!A:A,0))+1)*2</f>
        <v>6</v>
      </c>
      <c r="P216" s="5">
        <v>0</v>
      </c>
      <c r="Q216" s="5">
        <v>0</v>
      </c>
      <c r="R216" s="19" t="s">
        <v>121</v>
      </c>
      <c r="S216" s="19" t="s">
        <v>121</v>
      </c>
      <c r="T216" s="5">
        <f t="shared" si="20"/>
        <v>2009</v>
      </c>
      <c r="U216" s="5">
        <f t="shared" si="21"/>
        <v>1</v>
      </c>
      <c r="V216" s="5">
        <v>0</v>
      </c>
      <c r="W216" s="5">
        <v>10</v>
      </c>
    </row>
    <row r="217" spans="1:23">
      <c r="A217" s="5">
        <f t="shared" si="22"/>
        <v>214</v>
      </c>
      <c r="B217" s="93">
        <f t="shared" si="23"/>
        <v>2009</v>
      </c>
      <c r="C217" s="20" t="str">
        <f>INDEX(Unitinfo!C:C,MATCH(UnitGradeInfo!B217,Unitinfo!A:A,0))</f>
        <v>(원거리)Witch_Fire</v>
      </c>
      <c r="D217" s="5">
        <f>COUNTIF($B$4:B217,B217)</f>
        <v>9</v>
      </c>
      <c r="E217" s="5">
        <f>ROUNDDOWN(INDEX(ref_Unit_Balance!$G$31:$G$106,MATCH(UnitGradeInfo!B217,ref_Unit_Balance!$B$31:$B$1048576,0))
+INDEX(ref_Unit_Balance!$G$20:$G$23,MATCH(IFERROR(INDEX(ref_Unit_Balance!$D$31:$D$1048576,MATCH(B217,ref_Unit_Balance!$B$31:$B$1048576,0)),0),ref_Unit_Balance!$B$20:$B$23,0))*D217*ref_Unit_Balance!$C$25,0)</f>
        <v>875</v>
      </c>
      <c r="F217" s="5">
        <f>INDEX(ref_Unit_Balance!$V$31:$V$106,MATCH(UnitGradeInfo!B217,ref_Unit_Balance!$B$31:$B$1048576,0))
+
INDEX(ref_Unit_Balance!$AB$31:$AB$106,MATCH(UnitGradeInfo!B217,ref_Unit_Balance!$B$31:$B$1048576,0))*(D217-1)</f>
        <v>9600</v>
      </c>
      <c r="G217" s="5">
        <f>INDEX(ref_Unit_Balance!$R$31:$R$106,MATCH(UnitGradeInfo!B217,ref_Unit_Balance!$B$31:$B$1048576,0))
+
INDEX(ref_Unit_Balance!$AA$31:$AA$106,MATCH(UnitGradeInfo!B217,ref_Unit_Balance!$B$31:$B$1048576,0))*(D217-1)</f>
        <v>880</v>
      </c>
      <c r="H217" s="39">
        <f>IF(INDEX(Unitinfo!D:D,MATCH(UnitGradeInfo!B217,Unitinfo!A:A,0))=1,50,5)</f>
        <v>50</v>
      </c>
      <c r="I217" s="5">
        <f>IF(INDEX(ref_Unit_Balance!$T$31:$T$106,MATCH(UnitGradeInfo!B217,ref_Unit_Balance!$B$31:$B$1048576,0))=0,1,INDEX(ref_Unit_Balance!$T$31:$T$106,MATCH(UnitGradeInfo!B217,ref_Unit_Balance!$B$31:$B$1048576,0)))</f>
        <v>5</v>
      </c>
      <c r="J217" s="5">
        <f>INDEX(ref_Unit_Balance!$S$31:$S$106,MATCH(UnitGradeInfo!B217,ref_Unit_Balance!$B$31:$B$1048576,0))</f>
        <v>500</v>
      </c>
      <c r="K217" s="5">
        <v>0</v>
      </c>
      <c r="L217" s="5">
        <f>INDEX(ref_Unit_Balance!$I$31:$I$106,MATCH(UnitGradeInfo!B217,ref_Unit_Balance!$B$31:$B$1048576,0))</f>
        <v>1</v>
      </c>
      <c r="M217" s="5">
        <f t="shared" si="24"/>
        <v>18</v>
      </c>
      <c r="N217" s="5">
        <f t="shared" si="25"/>
        <v>180</v>
      </c>
      <c r="O217" s="5">
        <f>(INDEX(Unitinfo!I:I,MATCH(B217,Unitinfo!A:A,0))+1)*2</f>
        <v>6</v>
      </c>
      <c r="P217" s="5">
        <v>0</v>
      </c>
      <c r="Q217" s="5">
        <v>0</v>
      </c>
      <c r="R217" s="19" t="s">
        <v>121</v>
      </c>
      <c r="S217" s="19" t="s">
        <v>121</v>
      </c>
      <c r="T217" s="5">
        <f t="shared" si="20"/>
        <v>2009</v>
      </c>
      <c r="U217" s="5">
        <f t="shared" si="21"/>
        <v>1</v>
      </c>
      <c r="V217" s="5">
        <v>0</v>
      </c>
      <c r="W217" s="5">
        <v>10</v>
      </c>
    </row>
    <row r="218" spans="1:23">
      <c r="A218" s="5">
        <f t="shared" si="22"/>
        <v>215</v>
      </c>
      <c r="B218" s="93">
        <f t="shared" si="23"/>
        <v>2009</v>
      </c>
      <c r="C218" s="20" t="str">
        <f>INDEX(Unitinfo!C:C,MATCH(UnitGradeInfo!B218,Unitinfo!A:A,0))</f>
        <v>(원거리)Witch_Fire</v>
      </c>
      <c r="D218" s="5">
        <f>COUNTIF($B$4:B218,B218)</f>
        <v>10</v>
      </c>
      <c r="E218" s="5">
        <f>ROUNDDOWN(INDEX(ref_Unit_Balance!$G$31:$G$106,MATCH(UnitGradeInfo!B218,ref_Unit_Balance!$B$31:$B$1048576,0))
+INDEX(ref_Unit_Balance!$G$20:$G$23,MATCH(IFERROR(INDEX(ref_Unit_Balance!$D$31:$D$1048576,MATCH(B218,ref_Unit_Balance!$B$31:$B$1048576,0)),0),ref_Unit_Balance!$B$20:$B$23,0))*D218*ref_Unit_Balance!$C$25,0)</f>
        <v>950</v>
      </c>
      <c r="F218" s="5">
        <f>INDEX(ref_Unit_Balance!$V$31:$V$106,MATCH(UnitGradeInfo!B218,ref_Unit_Balance!$B$31:$B$1048576,0))
+
INDEX(ref_Unit_Balance!$AB$31:$AB$106,MATCH(UnitGradeInfo!B218,ref_Unit_Balance!$B$31:$B$1048576,0))*(D218-1)</f>
        <v>10200</v>
      </c>
      <c r="G218" s="5">
        <f>INDEX(ref_Unit_Balance!$R$31:$R$106,MATCH(UnitGradeInfo!B218,ref_Unit_Balance!$B$31:$B$1048576,0))
+
INDEX(ref_Unit_Balance!$AA$31:$AA$106,MATCH(UnitGradeInfo!B218,ref_Unit_Balance!$B$31:$B$1048576,0))*(D218-1)</f>
        <v>940</v>
      </c>
      <c r="H218" s="39">
        <f>IF(INDEX(Unitinfo!D:D,MATCH(UnitGradeInfo!B218,Unitinfo!A:A,0))=1,50,5)</f>
        <v>50</v>
      </c>
      <c r="I218" s="5">
        <f>IF(INDEX(ref_Unit_Balance!$T$31:$T$106,MATCH(UnitGradeInfo!B218,ref_Unit_Balance!$B$31:$B$1048576,0))=0,1,INDEX(ref_Unit_Balance!$T$31:$T$106,MATCH(UnitGradeInfo!B218,ref_Unit_Balance!$B$31:$B$1048576,0)))</f>
        <v>5</v>
      </c>
      <c r="J218" s="5">
        <f>INDEX(ref_Unit_Balance!$S$31:$S$106,MATCH(UnitGradeInfo!B218,ref_Unit_Balance!$B$31:$B$1048576,0))</f>
        <v>500</v>
      </c>
      <c r="K218" s="5">
        <v>0</v>
      </c>
      <c r="L218" s="5">
        <f>INDEX(ref_Unit_Balance!$I$31:$I$106,MATCH(UnitGradeInfo!B218,ref_Unit_Balance!$B$31:$B$1048576,0))</f>
        <v>1</v>
      </c>
      <c r="M218" s="5">
        <f t="shared" si="24"/>
        <v>20</v>
      </c>
      <c r="N218" s="5">
        <f t="shared" si="25"/>
        <v>200</v>
      </c>
      <c r="O218" s="5">
        <f>(INDEX(Unitinfo!I:I,MATCH(B218,Unitinfo!A:A,0))+1)*2</f>
        <v>6</v>
      </c>
      <c r="P218" s="5">
        <v>0</v>
      </c>
      <c r="Q218" s="5">
        <v>0</v>
      </c>
      <c r="R218" s="19" t="s">
        <v>121</v>
      </c>
      <c r="S218" s="19" t="s">
        <v>121</v>
      </c>
      <c r="T218" s="5">
        <f t="shared" si="20"/>
        <v>2009</v>
      </c>
      <c r="U218" s="5">
        <f t="shared" si="21"/>
        <v>1</v>
      </c>
      <c r="V218" s="5">
        <v>0</v>
      </c>
      <c r="W218" s="5">
        <v>10</v>
      </c>
    </row>
    <row r="219" spans="1:23">
      <c r="A219" s="5">
        <f t="shared" si="22"/>
        <v>216</v>
      </c>
      <c r="B219" s="93">
        <f t="shared" si="23"/>
        <v>2009</v>
      </c>
      <c r="C219" s="20" t="str">
        <f>INDEX(Unitinfo!C:C,MATCH(UnitGradeInfo!B219,Unitinfo!A:A,0))</f>
        <v>(원거리)Witch_Fire</v>
      </c>
      <c r="D219" s="5">
        <f>COUNTIF($B$4:B219,B219)</f>
        <v>11</v>
      </c>
      <c r="E219" s="5">
        <f>ROUNDDOWN(INDEX(ref_Unit_Balance!$G$31:$G$106,MATCH(UnitGradeInfo!B219,ref_Unit_Balance!$B$31:$B$1048576,0))
+INDEX(ref_Unit_Balance!$G$20:$G$23,MATCH(IFERROR(INDEX(ref_Unit_Balance!$D$31:$D$1048576,MATCH(B219,ref_Unit_Balance!$B$31:$B$1048576,0)),0),ref_Unit_Balance!$B$20:$B$23,0))*D219*ref_Unit_Balance!$C$25,0)</f>
        <v>1025</v>
      </c>
      <c r="F219" s="5">
        <f>INDEX(ref_Unit_Balance!$V$31:$V$106,MATCH(UnitGradeInfo!B219,ref_Unit_Balance!$B$31:$B$1048576,0))
+
INDEX(ref_Unit_Balance!$AB$31:$AB$106,MATCH(UnitGradeInfo!B219,ref_Unit_Balance!$B$31:$B$1048576,0))*(D219-1)</f>
        <v>10800</v>
      </c>
      <c r="G219" s="5">
        <f>INDEX(ref_Unit_Balance!$R$31:$R$106,MATCH(UnitGradeInfo!B219,ref_Unit_Balance!$B$31:$B$1048576,0))
+
INDEX(ref_Unit_Balance!$AA$31:$AA$106,MATCH(UnitGradeInfo!B219,ref_Unit_Balance!$B$31:$B$1048576,0))*(D219-1)</f>
        <v>1000</v>
      </c>
      <c r="H219" s="39">
        <f>IF(INDEX(Unitinfo!D:D,MATCH(UnitGradeInfo!B219,Unitinfo!A:A,0))=1,50,5)</f>
        <v>50</v>
      </c>
      <c r="I219" s="5">
        <f>IF(INDEX(ref_Unit_Balance!$T$31:$T$106,MATCH(UnitGradeInfo!B219,ref_Unit_Balance!$B$31:$B$1048576,0))=0,1,INDEX(ref_Unit_Balance!$T$31:$T$106,MATCH(UnitGradeInfo!B219,ref_Unit_Balance!$B$31:$B$1048576,0)))</f>
        <v>5</v>
      </c>
      <c r="J219" s="5">
        <f>INDEX(ref_Unit_Balance!$S$31:$S$106,MATCH(UnitGradeInfo!B219,ref_Unit_Balance!$B$31:$B$1048576,0))</f>
        <v>500</v>
      </c>
      <c r="K219" s="5">
        <v>0</v>
      </c>
      <c r="L219" s="5">
        <f>INDEX(ref_Unit_Balance!$I$31:$I$106,MATCH(UnitGradeInfo!B219,ref_Unit_Balance!$B$31:$B$1048576,0))</f>
        <v>1</v>
      </c>
      <c r="M219" s="5">
        <f t="shared" si="24"/>
        <v>22</v>
      </c>
      <c r="N219" s="5">
        <f t="shared" si="25"/>
        <v>220</v>
      </c>
      <c r="O219" s="5">
        <f>(INDEX(Unitinfo!I:I,MATCH(B219,Unitinfo!A:A,0))+1)*2</f>
        <v>6</v>
      </c>
      <c r="P219" s="5">
        <v>0</v>
      </c>
      <c r="Q219" s="5">
        <v>0</v>
      </c>
      <c r="R219" s="19" t="s">
        <v>121</v>
      </c>
      <c r="S219" s="19" t="s">
        <v>121</v>
      </c>
      <c r="T219" s="5">
        <f t="shared" si="20"/>
        <v>2009</v>
      </c>
      <c r="U219" s="5">
        <f t="shared" si="21"/>
        <v>1</v>
      </c>
      <c r="V219" s="5">
        <v>0</v>
      </c>
      <c r="W219" s="5">
        <v>10</v>
      </c>
    </row>
    <row r="220" spans="1:23">
      <c r="A220" s="5">
        <f t="shared" si="22"/>
        <v>217</v>
      </c>
      <c r="B220" s="93">
        <f t="shared" si="23"/>
        <v>2009</v>
      </c>
      <c r="C220" s="20" t="str">
        <f>INDEX(Unitinfo!C:C,MATCH(UnitGradeInfo!B220,Unitinfo!A:A,0))</f>
        <v>(원거리)Witch_Fire</v>
      </c>
      <c r="D220" s="5">
        <f>COUNTIF($B$4:B220,B220)</f>
        <v>12</v>
      </c>
      <c r="E220" s="5">
        <f>ROUNDDOWN(INDEX(ref_Unit_Balance!$G$31:$G$106,MATCH(UnitGradeInfo!B220,ref_Unit_Balance!$B$31:$B$1048576,0))
+INDEX(ref_Unit_Balance!$G$20:$G$23,MATCH(IFERROR(INDEX(ref_Unit_Balance!$D$31:$D$1048576,MATCH(B220,ref_Unit_Balance!$B$31:$B$1048576,0)),0),ref_Unit_Balance!$B$20:$B$23,0))*D220*ref_Unit_Balance!$C$25,0)</f>
        <v>1100</v>
      </c>
      <c r="F220" s="5">
        <f>INDEX(ref_Unit_Balance!$V$31:$V$106,MATCH(UnitGradeInfo!B220,ref_Unit_Balance!$B$31:$B$1048576,0))
+
INDEX(ref_Unit_Balance!$AB$31:$AB$106,MATCH(UnitGradeInfo!B220,ref_Unit_Balance!$B$31:$B$1048576,0))*(D220-1)</f>
        <v>11400</v>
      </c>
      <c r="G220" s="5">
        <f>INDEX(ref_Unit_Balance!$R$31:$R$106,MATCH(UnitGradeInfo!B220,ref_Unit_Balance!$B$31:$B$1048576,0))
+
INDEX(ref_Unit_Balance!$AA$31:$AA$106,MATCH(UnitGradeInfo!B220,ref_Unit_Balance!$B$31:$B$1048576,0))*(D220-1)</f>
        <v>1060</v>
      </c>
      <c r="H220" s="39">
        <f>IF(INDEX(Unitinfo!D:D,MATCH(UnitGradeInfo!B220,Unitinfo!A:A,0))=1,50,5)</f>
        <v>50</v>
      </c>
      <c r="I220" s="5">
        <f>IF(INDEX(ref_Unit_Balance!$T$31:$T$106,MATCH(UnitGradeInfo!B220,ref_Unit_Balance!$B$31:$B$1048576,0))=0,1,INDEX(ref_Unit_Balance!$T$31:$T$106,MATCH(UnitGradeInfo!B220,ref_Unit_Balance!$B$31:$B$1048576,0)))</f>
        <v>5</v>
      </c>
      <c r="J220" s="5">
        <f>INDEX(ref_Unit_Balance!$S$31:$S$106,MATCH(UnitGradeInfo!B220,ref_Unit_Balance!$B$31:$B$1048576,0))</f>
        <v>500</v>
      </c>
      <c r="K220" s="5">
        <v>0</v>
      </c>
      <c r="L220" s="5">
        <f>INDEX(ref_Unit_Balance!$I$31:$I$106,MATCH(UnitGradeInfo!B220,ref_Unit_Balance!$B$31:$B$1048576,0))</f>
        <v>1</v>
      </c>
      <c r="M220" s="5">
        <f t="shared" si="24"/>
        <v>24</v>
      </c>
      <c r="N220" s="5">
        <f t="shared" si="25"/>
        <v>240</v>
      </c>
      <c r="O220" s="5">
        <f>(INDEX(Unitinfo!I:I,MATCH(B220,Unitinfo!A:A,0))+1)*2</f>
        <v>6</v>
      </c>
      <c r="P220" s="5">
        <v>0</v>
      </c>
      <c r="Q220" s="5">
        <v>0</v>
      </c>
      <c r="R220" s="19" t="s">
        <v>121</v>
      </c>
      <c r="S220" s="19" t="s">
        <v>121</v>
      </c>
      <c r="T220" s="5">
        <f t="shared" ref="T220:T283" si="26">B220</f>
        <v>2009</v>
      </c>
      <c r="U220" s="5">
        <f t="shared" ref="U220:U283" si="27">IF(B220&gt;10000,0,1)</f>
        <v>1</v>
      </c>
      <c r="V220" s="5">
        <v>0</v>
      </c>
      <c r="W220" s="5">
        <v>10</v>
      </c>
    </row>
    <row r="221" spans="1:23">
      <c r="A221" s="5">
        <f t="shared" si="22"/>
        <v>218</v>
      </c>
      <c r="B221" s="93">
        <f t="shared" si="23"/>
        <v>2009</v>
      </c>
      <c r="C221" s="20" t="str">
        <f>INDEX(Unitinfo!C:C,MATCH(UnitGradeInfo!B221,Unitinfo!A:A,0))</f>
        <v>(원거리)Witch_Fire</v>
      </c>
      <c r="D221" s="5">
        <f>COUNTIF($B$4:B221,B221)</f>
        <v>13</v>
      </c>
      <c r="E221" s="5">
        <f>ROUNDDOWN(INDEX(ref_Unit_Balance!$G$31:$G$106,MATCH(UnitGradeInfo!B221,ref_Unit_Balance!$B$31:$B$1048576,0))
+INDEX(ref_Unit_Balance!$G$20:$G$23,MATCH(IFERROR(INDEX(ref_Unit_Balance!$D$31:$D$1048576,MATCH(B221,ref_Unit_Balance!$B$31:$B$1048576,0)),0),ref_Unit_Balance!$B$20:$B$23,0))*D221*ref_Unit_Balance!$C$25,0)</f>
        <v>1175</v>
      </c>
      <c r="F221" s="5">
        <f>INDEX(ref_Unit_Balance!$V$31:$V$106,MATCH(UnitGradeInfo!B221,ref_Unit_Balance!$B$31:$B$1048576,0))
+
INDEX(ref_Unit_Balance!$AB$31:$AB$106,MATCH(UnitGradeInfo!B221,ref_Unit_Balance!$B$31:$B$1048576,0))*(D221-1)</f>
        <v>12000</v>
      </c>
      <c r="G221" s="5">
        <f>INDEX(ref_Unit_Balance!$R$31:$R$106,MATCH(UnitGradeInfo!B221,ref_Unit_Balance!$B$31:$B$1048576,0))
+
INDEX(ref_Unit_Balance!$AA$31:$AA$106,MATCH(UnitGradeInfo!B221,ref_Unit_Balance!$B$31:$B$1048576,0))*(D221-1)</f>
        <v>1120</v>
      </c>
      <c r="H221" s="39">
        <f>IF(INDEX(Unitinfo!D:D,MATCH(UnitGradeInfo!B221,Unitinfo!A:A,0))=1,50,5)</f>
        <v>50</v>
      </c>
      <c r="I221" s="5">
        <f>IF(INDEX(ref_Unit_Balance!$T$31:$T$106,MATCH(UnitGradeInfo!B221,ref_Unit_Balance!$B$31:$B$1048576,0))=0,1,INDEX(ref_Unit_Balance!$T$31:$T$106,MATCH(UnitGradeInfo!B221,ref_Unit_Balance!$B$31:$B$1048576,0)))</f>
        <v>5</v>
      </c>
      <c r="J221" s="5">
        <f>INDEX(ref_Unit_Balance!$S$31:$S$106,MATCH(UnitGradeInfo!B221,ref_Unit_Balance!$B$31:$B$1048576,0))</f>
        <v>500</v>
      </c>
      <c r="K221" s="5">
        <v>0</v>
      </c>
      <c r="L221" s="5">
        <f>INDEX(ref_Unit_Balance!$I$31:$I$106,MATCH(UnitGradeInfo!B221,ref_Unit_Balance!$B$31:$B$1048576,0))</f>
        <v>1</v>
      </c>
      <c r="M221" s="5">
        <f t="shared" si="24"/>
        <v>26</v>
      </c>
      <c r="N221" s="5">
        <f t="shared" si="25"/>
        <v>260</v>
      </c>
      <c r="O221" s="5">
        <f>(INDEX(Unitinfo!I:I,MATCH(B221,Unitinfo!A:A,0))+1)*2</f>
        <v>6</v>
      </c>
      <c r="P221" s="5">
        <v>0</v>
      </c>
      <c r="Q221" s="5">
        <v>0</v>
      </c>
      <c r="R221" s="19" t="s">
        <v>121</v>
      </c>
      <c r="S221" s="19" t="s">
        <v>121</v>
      </c>
      <c r="T221" s="5">
        <f t="shared" si="26"/>
        <v>2009</v>
      </c>
      <c r="U221" s="5">
        <f t="shared" si="27"/>
        <v>1</v>
      </c>
      <c r="V221" s="5">
        <v>0</v>
      </c>
      <c r="W221" s="5">
        <v>10</v>
      </c>
    </row>
    <row r="222" spans="1:23">
      <c r="A222" s="5">
        <f t="shared" si="22"/>
        <v>219</v>
      </c>
      <c r="B222" s="93">
        <f t="shared" si="23"/>
        <v>2009</v>
      </c>
      <c r="C222" s="20" t="str">
        <f>INDEX(Unitinfo!C:C,MATCH(UnitGradeInfo!B222,Unitinfo!A:A,0))</f>
        <v>(원거리)Witch_Fire</v>
      </c>
      <c r="D222" s="5">
        <f>COUNTIF($B$4:B222,B222)</f>
        <v>14</v>
      </c>
      <c r="E222" s="5">
        <f>ROUNDDOWN(INDEX(ref_Unit_Balance!$G$31:$G$106,MATCH(UnitGradeInfo!B222,ref_Unit_Balance!$B$31:$B$1048576,0))
+INDEX(ref_Unit_Balance!$G$20:$G$23,MATCH(IFERROR(INDEX(ref_Unit_Balance!$D$31:$D$1048576,MATCH(B222,ref_Unit_Balance!$B$31:$B$1048576,0)),0),ref_Unit_Balance!$B$20:$B$23,0))*D222*ref_Unit_Balance!$C$25,0)</f>
        <v>1250</v>
      </c>
      <c r="F222" s="5">
        <f>INDEX(ref_Unit_Balance!$V$31:$V$106,MATCH(UnitGradeInfo!B222,ref_Unit_Balance!$B$31:$B$1048576,0))
+
INDEX(ref_Unit_Balance!$AB$31:$AB$106,MATCH(UnitGradeInfo!B222,ref_Unit_Balance!$B$31:$B$1048576,0))*(D222-1)</f>
        <v>12600</v>
      </c>
      <c r="G222" s="5">
        <f>INDEX(ref_Unit_Balance!$R$31:$R$106,MATCH(UnitGradeInfo!B222,ref_Unit_Balance!$B$31:$B$1048576,0))
+
INDEX(ref_Unit_Balance!$AA$31:$AA$106,MATCH(UnitGradeInfo!B222,ref_Unit_Balance!$B$31:$B$1048576,0))*(D222-1)</f>
        <v>1180</v>
      </c>
      <c r="H222" s="39">
        <f>IF(INDEX(Unitinfo!D:D,MATCH(UnitGradeInfo!B222,Unitinfo!A:A,0))=1,50,5)</f>
        <v>50</v>
      </c>
      <c r="I222" s="5">
        <f>IF(INDEX(ref_Unit_Balance!$T$31:$T$106,MATCH(UnitGradeInfo!B222,ref_Unit_Balance!$B$31:$B$1048576,0))=0,1,INDEX(ref_Unit_Balance!$T$31:$T$106,MATCH(UnitGradeInfo!B222,ref_Unit_Balance!$B$31:$B$1048576,0)))</f>
        <v>5</v>
      </c>
      <c r="J222" s="5">
        <f>INDEX(ref_Unit_Balance!$S$31:$S$106,MATCH(UnitGradeInfo!B222,ref_Unit_Balance!$B$31:$B$1048576,0))</f>
        <v>500</v>
      </c>
      <c r="K222" s="5">
        <v>0</v>
      </c>
      <c r="L222" s="5">
        <f>INDEX(ref_Unit_Balance!$I$31:$I$106,MATCH(UnitGradeInfo!B222,ref_Unit_Balance!$B$31:$B$1048576,0))</f>
        <v>1</v>
      </c>
      <c r="M222" s="5">
        <f t="shared" si="24"/>
        <v>28</v>
      </c>
      <c r="N222" s="5">
        <f t="shared" si="25"/>
        <v>280</v>
      </c>
      <c r="O222" s="5">
        <f>(INDEX(Unitinfo!I:I,MATCH(B222,Unitinfo!A:A,0))+1)*2</f>
        <v>6</v>
      </c>
      <c r="P222" s="5">
        <v>0</v>
      </c>
      <c r="Q222" s="5">
        <v>0</v>
      </c>
      <c r="R222" s="19" t="s">
        <v>121</v>
      </c>
      <c r="S222" s="19" t="s">
        <v>121</v>
      </c>
      <c r="T222" s="5">
        <f t="shared" si="26"/>
        <v>2009</v>
      </c>
      <c r="U222" s="5">
        <f t="shared" si="27"/>
        <v>1</v>
      </c>
      <c r="V222" s="5">
        <v>0</v>
      </c>
      <c r="W222" s="5">
        <v>10</v>
      </c>
    </row>
    <row r="223" spans="1:23">
      <c r="A223" s="5">
        <f t="shared" si="22"/>
        <v>220</v>
      </c>
      <c r="B223" s="93">
        <f t="shared" si="23"/>
        <v>2009</v>
      </c>
      <c r="C223" s="20" t="str">
        <f>INDEX(Unitinfo!C:C,MATCH(UnitGradeInfo!B223,Unitinfo!A:A,0))</f>
        <v>(원거리)Witch_Fire</v>
      </c>
      <c r="D223" s="5">
        <f>COUNTIF($B$4:B223,B223)</f>
        <v>15</v>
      </c>
      <c r="E223" s="5">
        <f>ROUNDDOWN(INDEX(ref_Unit_Balance!$G$31:$G$106,MATCH(UnitGradeInfo!B223,ref_Unit_Balance!$B$31:$B$1048576,0))
+INDEX(ref_Unit_Balance!$G$20:$G$23,MATCH(IFERROR(INDEX(ref_Unit_Balance!$D$31:$D$1048576,MATCH(B223,ref_Unit_Balance!$B$31:$B$1048576,0)),0),ref_Unit_Balance!$B$20:$B$23,0))*D223*ref_Unit_Balance!$C$25,0)</f>
        <v>1325</v>
      </c>
      <c r="F223" s="5">
        <f>INDEX(ref_Unit_Balance!$V$31:$V$106,MATCH(UnitGradeInfo!B223,ref_Unit_Balance!$B$31:$B$1048576,0))
+
INDEX(ref_Unit_Balance!$AB$31:$AB$106,MATCH(UnitGradeInfo!B223,ref_Unit_Balance!$B$31:$B$1048576,0))*(D223-1)</f>
        <v>13200</v>
      </c>
      <c r="G223" s="5">
        <f>INDEX(ref_Unit_Balance!$R$31:$R$106,MATCH(UnitGradeInfo!B223,ref_Unit_Balance!$B$31:$B$1048576,0))
+
INDEX(ref_Unit_Balance!$AA$31:$AA$106,MATCH(UnitGradeInfo!B223,ref_Unit_Balance!$B$31:$B$1048576,0))*(D223-1)</f>
        <v>1240</v>
      </c>
      <c r="H223" s="39">
        <f>IF(INDEX(Unitinfo!D:D,MATCH(UnitGradeInfo!B223,Unitinfo!A:A,0))=1,50,5)</f>
        <v>50</v>
      </c>
      <c r="I223" s="5">
        <f>IF(INDEX(ref_Unit_Balance!$T$31:$T$106,MATCH(UnitGradeInfo!B223,ref_Unit_Balance!$B$31:$B$1048576,0))=0,1,INDEX(ref_Unit_Balance!$T$31:$T$106,MATCH(UnitGradeInfo!B223,ref_Unit_Balance!$B$31:$B$1048576,0)))</f>
        <v>5</v>
      </c>
      <c r="J223" s="5">
        <f>INDEX(ref_Unit_Balance!$S$31:$S$106,MATCH(UnitGradeInfo!B223,ref_Unit_Balance!$B$31:$B$1048576,0))</f>
        <v>500</v>
      </c>
      <c r="K223" s="5">
        <v>0</v>
      </c>
      <c r="L223" s="5">
        <f>INDEX(ref_Unit_Balance!$I$31:$I$106,MATCH(UnitGradeInfo!B223,ref_Unit_Balance!$B$31:$B$1048576,0))</f>
        <v>1</v>
      </c>
      <c r="M223" s="5">
        <f t="shared" si="24"/>
        <v>30</v>
      </c>
      <c r="N223" s="5">
        <f t="shared" si="25"/>
        <v>300</v>
      </c>
      <c r="O223" s="5">
        <f>(INDEX(Unitinfo!I:I,MATCH(B223,Unitinfo!A:A,0))+1)*2</f>
        <v>6</v>
      </c>
      <c r="P223" s="5">
        <v>0</v>
      </c>
      <c r="Q223" s="5">
        <v>0</v>
      </c>
      <c r="R223" s="19" t="s">
        <v>121</v>
      </c>
      <c r="S223" s="19" t="s">
        <v>121</v>
      </c>
      <c r="T223" s="5">
        <f t="shared" si="26"/>
        <v>2009</v>
      </c>
      <c r="U223" s="5">
        <f t="shared" si="27"/>
        <v>1</v>
      </c>
      <c r="V223" s="5">
        <v>0</v>
      </c>
      <c r="W223" s="5">
        <v>10</v>
      </c>
    </row>
    <row r="224" spans="1:23">
      <c r="A224" s="5">
        <f t="shared" si="22"/>
        <v>221</v>
      </c>
      <c r="B224" s="93">
        <f t="shared" si="23"/>
        <v>2009</v>
      </c>
      <c r="C224" s="20" t="str">
        <f>INDEX(Unitinfo!C:C,MATCH(UnitGradeInfo!B224,Unitinfo!A:A,0))</f>
        <v>(원거리)Witch_Fire</v>
      </c>
      <c r="D224" s="5">
        <f>COUNTIF($B$4:B224,B224)</f>
        <v>16</v>
      </c>
      <c r="E224" s="5">
        <f>ROUNDDOWN(INDEX(ref_Unit_Balance!$G$31:$G$106,MATCH(UnitGradeInfo!B224,ref_Unit_Balance!$B$31:$B$1048576,0))
+INDEX(ref_Unit_Balance!$G$20:$G$23,MATCH(IFERROR(INDEX(ref_Unit_Balance!$D$31:$D$1048576,MATCH(B224,ref_Unit_Balance!$B$31:$B$1048576,0)),0),ref_Unit_Balance!$B$20:$B$23,0))*D224*ref_Unit_Balance!$C$25,0)</f>
        <v>1400</v>
      </c>
      <c r="F224" s="5">
        <f>INDEX(ref_Unit_Balance!$V$31:$V$106,MATCH(UnitGradeInfo!B224,ref_Unit_Balance!$B$31:$B$1048576,0))
+
INDEX(ref_Unit_Balance!$AB$31:$AB$106,MATCH(UnitGradeInfo!B224,ref_Unit_Balance!$B$31:$B$1048576,0))*(D224-1)</f>
        <v>13800</v>
      </c>
      <c r="G224" s="5">
        <f>INDEX(ref_Unit_Balance!$R$31:$R$106,MATCH(UnitGradeInfo!B224,ref_Unit_Balance!$B$31:$B$1048576,0))
+
INDEX(ref_Unit_Balance!$AA$31:$AA$106,MATCH(UnitGradeInfo!B224,ref_Unit_Balance!$B$31:$B$1048576,0))*(D224-1)</f>
        <v>1300</v>
      </c>
      <c r="H224" s="39">
        <f>IF(INDEX(Unitinfo!D:D,MATCH(UnitGradeInfo!B224,Unitinfo!A:A,0))=1,50,5)</f>
        <v>50</v>
      </c>
      <c r="I224" s="5">
        <f>IF(INDEX(ref_Unit_Balance!$T$31:$T$106,MATCH(UnitGradeInfo!B224,ref_Unit_Balance!$B$31:$B$1048576,0))=0,1,INDEX(ref_Unit_Balance!$T$31:$T$106,MATCH(UnitGradeInfo!B224,ref_Unit_Balance!$B$31:$B$1048576,0)))</f>
        <v>5</v>
      </c>
      <c r="J224" s="5">
        <f>INDEX(ref_Unit_Balance!$S$31:$S$106,MATCH(UnitGradeInfo!B224,ref_Unit_Balance!$B$31:$B$1048576,0))</f>
        <v>500</v>
      </c>
      <c r="K224" s="5">
        <v>0</v>
      </c>
      <c r="L224" s="5">
        <f>INDEX(ref_Unit_Balance!$I$31:$I$106,MATCH(UnitGradeInfo!B224,ref_Unit_Balance!$B$31:$B$1048576,0))</f>
        <v>1</v>
      </c>
      <c r="M224" s="5">
        <f t="shared" si="24"/>
        <v>32</v>
      </c>
      <c r="N224" s="5">
        <f t="shared" si="25"/>
        <v>320</v>
      </c>
      <c r="O224" s="5">
        <f>(INDEX(Unitinfo!I:I,MATCH(B224,Unitinfo!A:A,0))+1)*2</f>
        <v>6</v>
      </c>
      <c r="P224" s="5">
        <v>0</v>
      </c>
      <c r="Q224" s="5">
        <v>0</v>
      </c>
      <c r="R224" s="19" t="s">
        <v>121</v>
      </c>
      <c r="S224" s="19" t="s">
        <v>121</v>
      </c>
      <c r="T224" s="5">
        <f t="shared" si="26"/>
        <v>2009</v>
      </c>
      <c r="U224" s="5">
        <f t="shared" si="27"/>
        <v>1</v>
      </c>
      <c r="V224" s="5">
        <v>0</v>
      </c>
      <c r="W224" s="5">
        <v>10</v>
      </c>
    </row>
    <row r="225" spans="1:23">
      <c r="A225" s="5">
        <f t="shared" si="22"/>
        <v>222</v>
      </c>
      <c r="B225" s="93">
        <f t="shared" si="23"/>
        <v>2009</v>
      </c>
      <c r="C225" s="20" t="str">
        <f>INDEX(Unitinfo!C:C,MATCH(UnitGradeInfo!B225,Unitinfo!A:A,0))</f>
        <v>(원거리)Witch_Fire</v>
      </c>
      <c r="D225" s="5">
        <f>COUNTIF($B$4:B225,B225)</f>
        <v>17</v>
      </c>
      <c r="E225" s="5">
        <f>ROUNDDOWN(INDEX(ref_Unit_Balance!$G$31:$G$106,MATCH(UnitGradeInfo!B225,ref_Unit_Balance!$B$31:$B$1048576,0))
+INDEX(ref_Unit_Balance!$G$20:$G$23,MATCH(IFERROR(INDEX(ref_Unit_Balance!$D$31:$D$1048576,MATCH(B225,ref_Unit_Balance!$B$31:$B$1048576,0)),0),ref_Unit_Balance!$B$20:$B$23,0))*D225*ref_Unit_Balance!$C$25,0)</f>
        <v>1475</v>
      </c>
      <c r="F225" s="5">
        <f>INDEX(ref_Unit_Balance!$V$31:$V$106,MATCH(UnitGradeInfo!B225,ref_Unit_Balance!$B$31:$B$1048576,0))
+
INDEX(ref_Unit_Balance!$AB$31:$AB$106,MATCH(UnitGradeInfo!B225,ref_Unit_Balance!$B$31:$B$1048576,0))*(D225-1)</f>
        <v>14400</v>
      </c>
      <c r="G225" s="5">
        <f>INDEX(ref_Unit_Balance!$R$31:$R$106,MATCH(UnitGradeInfo!B225,ref_Unit_Balance!$B$31:$B$1048576,0))
+
INDEX(ref_Unit_Balance!$AA$31:$AA$106,MATCH(UnitGradeInfo!B225,ref_Unit_Balance!$B$31:$B$1048576,0))*(D225-1)</f>
        <v>1360</v>
      </c>
      <c r="H225" s="39">
        <f>IF(INDEX(Unitinfo!D:D,MATCH(UnitGradeInfo!B225,Unitinfo!A:A,0))=1,50,5)</f>
        <v>50</v>
      </c>
      <c r="I225" s="5">
        <f>IF(INDEX(ref_Unit_Balance!$T$31:$T$106,MATCH(UnitGradeInfo!B225,ref_Unit_Balance!$B$31:$B$1048576,0))=0,1,INDEX(ref_Unit_Balance!$T$31:$T$106,MATCH(UnitGradeInfo!B225,ref_Unit_Balance!$B$31:$B$1048576,0)))</f>
        <v>5</v>
      </c>
      <c r="J225" s="5">
        <f>INDEX(ref_Unit_Balance!$S$31:$S$106,MATCH(UnitGradeInfo!B225,ref_Unit_Balance!$B$31:$B$1048576,0))</f>
        <v>500</v>
      </c>
      <c r="K225" s="5">
        <v>0</v>
      </c>
      <c r="L225" s="5">
        <f>INDEX(ref_Unit_Balance!$I$31:$I$106,MATCH(UnitGradeInfo!B225,ref_Unit_Balance!$B$31:$B$1048576,0))</f>
        <v>1</v>
      </c>
      <c r="M225" s="5">
        <f t="shared" si="24"/>
        <v>34</v>
      </c>
      <c r="N225" s="5">
        <f t="shared" si="25"/>
        <v>340</v>
      </c>
      <c r="O225" s="5">
        <f>(INDEX(Unitinfo!I:I,MATCH(B225,Unitinfo!A:A,0))+1)*2</f>
        <v>6</v>
      </c>
      <c r="P225" s="5">
        <v>0</v>
      </c>
      <c r="Q225" s="5">
        <v>0</v>
      </c>
      <c r="R225" s="19" t="s">
        <v>121</v>
      </c>
      <c r="S225" s="19" t="s">
        <v>121</v>
      </c>
      <c r="T225" s="5">
        <f t="shared" si="26"/>
        <v>2009</v>
      </c>
      <c r="U225" s="5">
        <f t="shared" si="27"/>
        <v>1</v>
      </c>
      <c r="V225" s="5">
        <v>0</v>
      </c>
      <c r="W225" s="5">
        <v>10</v>
      </c>
    </row>
    <row r="226" spans="1:23">
      <c r="A226" s="5">
        <f t="shared" si="22"/>
        <v>223</v>
      </c>
      <c r="B226" s="93">
        <f t="shared" si="23"/>
        <v>2009</v>
      </c>
      <c r="C226" s="20" t="str">
        <f>INDEX(Unitinfo!C:C,MATCH(UnitGradeInfo!B226,Unitinfo!A:A,0))</f>
        <v>(원거리)Witch_Fire</v>
      </c>
      <c r="D226" s="5">
        <f>COUNTIF($B$4:B226,B226)</f>
        <v>18</v>
      </c>
      <c r="E226" s="5">
        <f>ROUNDDOWN(INDEX(ref_Unit_Balance!$G$31:$G$106,MATCH(UnitGradeInfo!B226,ref_Unit_Balance!$B$31:$B$1048576,0))
+INDEX(ref_Unit_Balance!$G$20:$G$23,MATCH(IFERROR(INDEX(ref_Unit_Balance!$D$31:$D$1048576,MATCH(B226,ref_Unit_Balance!$B$31:$B$1048576,0)),0),ref_Unit_Balance!$B$20:$B$23,0))*D226*ref_Unit_Balance!$C$25,0)</f>
        <v>1550</v>
      </c>
      <c r="F226" s="5">
        <f>INDEX(ref_Unit_Balance!$V$31:$V$106,MATCH(UnitGradeInfo!B226,ref_Unit_Balance!$B$31:$B$1048576,0))
+
INDEX(ref_Unit_Balance!$AB$31:$AB$106,MATCH(UnitGradeInfo!B226,ref_Unit_Balance!$B$31:$B$1048576,0))*(D226-1)</f>
        <v>15000</v>
      </c>
      <c r="G226" s="5">
        <f>INDEX(ref_Unit_Balance!$R$31:$R$106,MATCH(UnitGradeInfo!B226,ref_Unit_Balance!$B$31:$B$1048576,0))
+
INDEX(ref_Unit_Balance!$AA$31:$AA$106,MATCH(UnitGradeInfo!B226,ref_Unit_Balance!$B$31:$B$1048576,0))*(D226-1)</f>
        <v>1420</v>
      </c>
      <c r="H226" s="39">
        <f>IF(INDEX(Unitinfo!D:D,MATCH(UnitGradeInfo!B226,Unitinfo!A:A,0))=1,50,5)</f>
        <v>50</v>
      </c>
      <c r="I226" s="5">
        <f>IF(INDEX(ref_Unit_Balance!$T$31:$T$106,MATCH(UnitGradeInfo!B226,ref_Unit_Balance!$B$31:$B$1048576,0))=0,1,INDEX(ref_Unit_Balance!$T$31:$T$106,MATCH(UnitGradeInfo!B226,ref_Unit_Balance!$B$31:$B$1048576,0)))</f>
        <v>5</v>
      </c>
      <c r="J226" s="5">
        <f>INDEX(ref_Unit_Balance!$S$31:$S$106,MATCH(UnitGradeInfo!B226,ref_Unit_Balance!$B$31:$B$1048576,0))</f>
        <v>500</v>
      </c>
      <c r="K226" s="5">
        <v>0</v>
      </c>
      <c r="L226" s="5">
        <f>INDEX(ref_Unit_Balance!$I$31:$I$106,MATCH(UnitGradeInfo!B226,ref_Unit_Balance!$B$31:$B$1048576,0))</f>
        <v>1</v>
      </c>
      <c r="M226" s="5">
        <f t="shared" si="24"/>
        <v>36</v>
      </c>
      <c r="N226" s="5">
        <f t="shared" si="25"/>
        <v>360</v>
      </c>
      <c r="O226" s="5">
        <f>(INDEX(Unitinfo!I:I,MATCH(B226,Unitinfo!A:A,0))+1)*2</f>
        <v>6</v>
      </c>
      <c r="P226" s="5">
        <v>0</v>
      </c>
      <c r="Q226" s="5">
        <v>0</v>
      </c>
      <c r="R226" s="19" t="s">
        <v>121</v>
      </c>
      <c r="S226" s="19" t="s">
        <v>121</v>
      </c>
      <c r="T226" s="5">
        <f t="shared" si="26"/>
        <v>2009</v>
      </c>
      <c r="U226" s="5">
        <f t="shared" si="27"/>
        <v>1</v>
      </c>
      <c r="V226" s="5">
        <v>0</v>
      </c>
      <c r="W226" s="5">
        <v>10</v>
      </c>
    </row>
    <row r="227" spans="1:23">
      <c r="A227" s="5">
        <f t="shared" si="22"/>
        <v>224</v>
      </c>
      <c r="B227" s="93">
        <f t="shared" si="23"/>
        <v>2009</v>
      </c>
      <c r="C227" s="20" t="str">
        <f>INDEX(Unitinfo!C:C,MATCH(UnitGradeInfo!B227,Unitinfo!A:A,0))</f>
        <v>(원거리)Witch_Fire</v>
      </c>
      <c r="D227" s="5">
        <f>COUNTIF($B$4:B227,B227)</f>
        <v>19</v>
      </c>
      <c r="E227" s="5">
        <f>ROUNDDOWN(INDEX(ref_Unit_Balance!$G$31:$G$106,MATCH(UnitGradeInfo!B227,ref_Unit_Balance!$B$31:$B$1048576,0))
+INDEX(ref_Unit_Balance!$G$20:$G$23,MATCH(IFERROR(INDEX(ref_Unit_Balance!$D$31:$D$1048576,MATCH(B227,ref_Unit_Balance!$B$31:$B$1048576,0)),0),ref_Unit_Balance!$B$20:$B$23,0))*D227*ref_Unit_Balance!$C$25,0)</f>
        <v>1625</v>
      </c>
      <c r="F227" s="5">
        <f>INDEX(ref_Unit_Balance!$V$31:$V$106,MATCH(UnitGradeInfo!B227,ref_Unit_Balance!$B$31:$B$1048576,0))
+
INDEX(ref_Unit_Balance!$AB$31:$AB$106,MATCH(UnitGradeInfo!B227,ref_Unit_Balance!$B$31:$B$1048576,0))*(D227-1)</f>
        <v>15600</v>
      </c>
      <c r="G227" s="5">
        <f>INDEX(ref_Unit_Balance!$R$31:$R$106,MATCH(UnitGradeInfo!B227,ref_Unit_Balance!$B$31:$B$1048576,0))
+
INDEX(ref_Unit_Balance!$AA$31:$AA$106,MATCH(UnitGradeInfo!B227,ref_Unit_Balance!$B$31:$B$1048576,0))*(D227-1)</f>
        <v>1480</v>
      </c>
      <c r="H227" s="39">
        <f>IF(INDEX(Unitinfo!D:D,MATCH(UnitGradeInfo!B227,Unitinfo!A:A,0))=1,50,5)</f>
        <v>50</v>
      </c>
      <c r="I227" s="5">
        <f>IF(INDEX(ref_Unit_Balance!$T$31:$T$106,MATCH(UnitGradeInfo!B227,ref_Unit_Balance!$B$31:$B$1048576,0))=0,1,INDEX(ref_Unit_Balance!$T$31:$T$106,MATCH(UnitGradeInfo!B227,ref_Unit_Balance!$B$31:$B$1048576,0)))</f>
        <v>5</v>
      </c>
      <c r="J227" s="5">
        <f>INDEX(ref_Unit_Balance!$S$31:$S$106,MATCH(UnitGradeInfo!B227,ref_Unit_Balance!$B$31:$B$1048576,0))</f>
        <v>500</v>
      </c>
      <c r="K227" s="5">
        <v>0</v>
      </c>
      <c r="L227" s="5">
        <f>INDEX(ref_Unit_Balance!$I$31:$I$106,MATCH(UnitGradeInfo!B227,ref_Unit_Balance!$B$31:$B$1048576,0))</f>
        <v>1</v>
      </c>
      <c r="M227" s="5">
        <f t="shared" si="24"/>
        <v>38</v>
      </c>
      <c r="N227" s="5">
        <f t="shared" si="25"/>
        <v>380</v>
      </c>
      <c r="O227" s="5">
        <f>(INDEX(Unitinfo!I:I,MATCH(B227,Unitinfo!A:A,0))+1)*2</f>
        <v>6</v>
      </c>
      <c r="P227" s="5">
        <v>0</v>
      </c>
      <c r="Q227" s="5">
        <v>0</v>
      </c>
      <c r="R227" s="19" t="s">
        <v>121</v>
      </c>
      <c r="S227" s="19" t="s">
        <v>121</v>
      </c>
      <c r="T227" s="5">
        <f t="shared" si="26"/>
        <v>2009</v>
      </c>
      <c r="U227" s="5">
        <f t="shared" si="27"/>
        <v>1</v>
      </c>
      <c r="V227" s="5">
        <v>0</v>
      </c>
      <c r="W227" s="5">
        <v>10</v>
      </c>
    </row>
    <row r="228" spans="1:23">
      <c r="A228" s="5">
        <f t="shared" si="22"/>
        <v>225</v>
      </c>
      <c r="B228" s="93">
        <f t="shared" si="23"/>
        <v>2009</v>
      </c>
      <c r="C228" s="20" t="str">
        <f>INDEX(Unitinfo!C:C,MATCH(UnitGradeInfo!B228,Unitinfo!A:A,0))</f>
        <v>(원거리)Witch_Fire</v>
      </c>
      <c r="D228" s="5">
        <f>COUNTIF($B$4:B228,B228)</f>
        <v>20</v>
      </c>
      <c r="E228" s="5">
        <f>ROUNDDOWN(INDEX(ref_Unit_Balance!$G$31:$G$106,MATCH(UnitGradeInfo!B228,ref_Unit_Balance!$B$31:$B$1048576,0))
+INDEX(ref_Unit_Balance!$G$20:$G$23,MATCH(IFERROR(INDEX(ref_Unit_Balance!$D$31:$D$1048576,MATCH(B228,ref_Unit_Balance!$B$31:$B$1048576,0)),0),ref_Unit_Balance!$B$20:$B$23,0))*D228*ref_Unit_Balance!$C$25,0)</f>
        <v>1700</v>
      </c>
      <c r="F228" s="5">
        <f>INDEX(ref_Unit_Balance!$V$31:$V$106,MATCH(UnitGradeInfo!B228,ref_Unit_Balance!$B$31:$B$1048576,0))
+
INDEX(ref_Unit_Balance!$AB$31:$AB$106,MATCH(UnitGradeInfo!B228,ref_Unit_Balance!$B$31:$B$1048576,0))*(D228-1)</f>
        <v>16200</v>
      </c>
      <c r="G228" s="5">
        <f>INDEX(ref_Unit_Balance!$R$31:$R$106,MATCH(UnitGradeInfo!B228,ref_Unit_Balance!$B$31:$B$1048576,0))
+
INDEX(ref_Unit_Balance!$AA$31:$AA$106,MATCH(UnitGradeInfo!B228,ref_Unit_Balance!$B$31:$B$1048576,0))*(D228-1)</f>
        <v>1540</v>
      </c>
      <c r="H228" s="39">
        <f>IF(INDEX(Unitinfo!D:D,MATCH(UnitGradeInfo!B228,Unitinfo!A:A,0))=1,50,5)</f>
        <v>50</v>
      </c>
      <c r="I228" s="5">
        <f>IF(INDEX(ref_Unit_Balance!$T$31:$T$106,MATCH(UnitGradeInfo!B228,ref_Unit_Balance!$B$31:$B$1048576,0))=0,1,INDEX(ref_Unit_Balance!$T$31:$T$106,MATCH(UnitGradeInfo!B228,ref_Unit_Balance!$B$31:$B$1048576,0)))</f>
        <v>5</v>
      </c>
      <c r="J228" s="5">
        <f>INDEX(ref_Unit_Balance!$S$31:$S$106,MATCH(UnitGradeInfo!B228,ref_Unit_Balance!$B$31:$B$1048576,0))</f>
        <v>500</v>
      </c>
      <c r="K228" s="5">
        <v>0</v>
      </c>
      <c r="L228" s="5">
        <f>INDEX(ref_Unit_Balance!$I$31:$I$106,MATCH(UnitGradeInfo!B228,ref_Unit_Balance!$B$31:$B$1048576,0))</f>
        <v>1</v>
      </c>
      <c r="M228" s="5">
        <f t="shared" si="24"/>
        <v>40</v>
      </c>
      <c r="N228" s="5">
        <f t="shared" si="25"/>
        <v>400</v>
      </c>
      <c r="O228" s="5">
        <f>(INDEX(Unitinfo!I:I,MATCH(B228,Unitinfo!A:A,0))+1)*2</f>
        <v>6</v>
      </c>
      <c r="P228" s="5">
        <v>0</v>
      </c>
      <c r="Q228" s="5">
        <v>0</v>
      </c>
      <c r="R228" s="19" t="s">
        <v>121</v>
      </c>
      <c r="S228" s="19" t="s">
        <v>121</v>
      </c>
      <c r="T228" s="5">
        <f t="shared" si="26"/>
        <v>2009</v>
      </c>
      <c r="U228" s="5">
        <f t="shared" si="27"/>
        <v>1</v>
      </c>
      <c r="V228" s="5">
        <v>0</v>
      </c>
      <c r="W228" s="5">
        <v>10</v>
      </c>
    </row>
    <row r="229" spans="1:23">
      <c r="A229" s="5">
        <f t="shared" si="22"/>
        <v>226</v>
      </c>
      <c r="B229" s="93">
        <f t="shared" si="23"/>
        <v>2010</v>
      </c>
      <c r="C229" s="20" t="str">
        <f>INDEX(Unitinfo!C:C,MATCH(UnitGradeInfo!B229,Unitinfo!A:A,0))</f>
        <v>(원거리)Witch_Thunder</v>
      </c>
      <c r="D229" s="5">
        <f>COUNTIF($B$4:B229,B229)</f>
        <v>1</v>
      </c>
      <c r="E229" s="5">
        <f>ROUNDDOWN(INDEX(ref_Unit_Balance!$G$31:$G$106,MATCH(UnitGradeInfo!B229,ref_Unit_Balance!$B$31:$B$1048576,0))
+INDEX(ref_Unit_Balance!$G$20:$G$23,MATCH(IFERROR(INDEX(ref_Unit_Balance!$D$31:$D$1048576,MATCH(B229,ref_Unit_Balance!$B$31:$B$1048576,0)),0),ref_Unit_Balance!$B$20:$B$23,0))*D229*ref_Unit_Balance!$C$25,0)</f>
        <v>275</v>
      </c>
      <c r="F229" s="5">
        <f>INDEX(ref_Unit_Balance!$V$31:$V$106,MATCH(UnitGradeInfo!B229,ref_Unit_Balance!$B$31:$B$1048576,0))
+
INDEX(ref_Unit_Balance!$AB$31:$AB$106,MATCH(UnitGradeInfo!B229,ref_Unit_Balance!$B$31:$B$1048576,0))*(D229-1)</f>
        <v>7200</v>
      </c>
      <c r="G229" s="5">
        <f>INDEX(ref_Unit_Balance!$R$31:$R$106,MATCH(UnitGradeInfo!B229,ref_Unit_Balance!$B$31:$B$1048576,0))
+
INDEX(ref_Unit_Balance!$AA$31:$AA$106,MATCH(UnitGradeInfo!B229,ref_Unit_Balance!$B$31:$B$1048576,0))*(D229-1)</f>
        <v>120</v>
      </c>
      <c r="H229" s="39">
        <f>IF(INDEX(Unitinfo!D:D,MATCH(UnitGradeInfo!B229,Unitinfo!A:A,0))=1,50,5)</f>
        <v>50</v>
      </c>
      <c r="I229" s="5">
        <f>IF(INDEX(ref_Unit_Balance!$T$31:$T$106,MATCH(UnitGradeInfo!B229,ref_Unit_Balance!$B$31:$B$1048576,0))=0,1,INDEX(ref_Unit_Balance!$T$31:$T$106,MATCH(UnitGradeInfo!B229,ref_Unit_Balance!$B$31:$B$1048576,0)))</f>
        <v>5</v>
      </c>
      <c r="J229" s="5">
        <f>INDEX(ref_Unit_Balance!$S$31:$S$106,MATCH(UnitGradeInfo!B229,ref_Unit_Balance!$B$31:$B$1048576,0))</f>
        <v>250</v>
      </c>
      <c r="K229" s="5">
        <v>0</v>
      </c>
      <c r="L229" s="5">
        <f>INDEX(ref_Unit_Balance!$I$31:$I$106,MATCH(UnitGradeInfo!B229,ref_Unit_Balance!$B$31:$B$1048576,0))</f>
        <v>1</v>
      </c>
      <c r="M229" s="5">
        <f t="shared" si="24"/>
        <v>2</v>
      </c>
      <c r="N229" s="5">
        <f t="shared" si="25"/>
        <v>20</v>
      </c>
      <c r="O229" s="5">
        <f>(INDEX(Unitinfo!I:I,MATCH(B229,Unitinfo!A:A,0))+1)*2</f>
        <v>6</v>
      </c>
      <c r="P229" s="5">
        <v>0</v>
      </c>
      <c r="Q229" s="5">
        <v>0</v>
      </c>
      <c r="R229" s="19" t="s">
        <v>121</v>
      </c>
      <c r="S229" s="19" t="s">
        <v>121</v>
      </c>
      <c r="T229" s="5">
        <f t="shared" si="26"/>
        <v>2010</v>
      </c>
      <c r="U229" s="5">
        <f t="shared" si="27"/>
        <v>1</v>
      </c>
      <c r="V229" s="5">
        <v>0</v>
      </c>
      <c r="W229" s="5">
        <v>10</v>
      </c>
    </row>
    <row r="230" spans="1:23">
      <c r="A230" s="5">
        <f t="shared" si="22"/>
        <v>227</v>
      </c>
      <c r="B230" s="93">
        <f t="shared" si="23"/>
        <v>2010</v>
      </c>
      <c r="C230" s="20" t="str">
        <f>INDEX(Unitinfo!C:C,MATCH(UnitGradeInfo!B230,Unitinfo!A:A,0))</f>
        <v>(원거리)Witch_Thunder</v>
      </c>
      <c r="D230" s="5">
        <f>COUNTIF($B$4:B230,B230)</f>
        <v>2</v>
      </c>
      <c r="E230" s="5">
        <f>ROUNDDOWN(INDEX(ref_Unit_Balance!$G$31:$G$106,MATCH(UnitGradeInfo!B230,ref_Unit_Balance!$B$31:$B$1048576,0))
+INDEX(ref_Unit_Balance!$G$20:$G$23,MATCH(IFERROR(INDEX(ref_Unit_Balance!$D$31:$D$1048576,MATCH(B230,ref_Unit_Balance!$B$31:$B$1048576,0)),0),ref_Unit_Balance!$B$20:$B$23,0))*D230*ref_Unit_Balance!$C$25,0)</f>
        <v>350</v>
      </c>
      <c r="F230" s="5">
        <f>INDEX(ref_Unit_Balance!$V$31:$V$106,MATCH(UnitGradeInfo!B230,ref_Unit_Balance!$B$31:$B$1048576,0))
+
INDEX(ref_Unit_Balance!$AB$31:$AB$106,MATCH(UnitGradeInfo!B230,ref_Unit_Balance!$B$31:$B$1048576,0))*(D230-1)</f>
        <v>7800</v>
      </c>
      <c r="G230" s="5">
        <f>INDEX(ref_Unit_Balance!$R$31:$R$106,MATCH(UnitGradeInfo!B230,ref_Unit_Balance!$B$31:$B$1048576,0))
+
INDEX(ref_Unit_Balance!$AA$31:$AA$106,MATCH(UnitGradeInfo!B230,ref_Unit_Balance!$B$31:$B$1048576,0))*(D230-1)</f>
        <v>150</v>
      </c>
      <c r="H230" s="39">
        <f>IF(INDEX(Unitinfo!D:D,MATCH(UnitGradeInfo!B230,Unitinfo!A:A,0))=1,50,5)</f>
        <v>50</v>
      </c>
      <c r="I230" s="5">
        <f>IF(INDEX(ref_Unit_Balance!$T$31:$T$106,MATCH(UnitGradeInfo!B230,ref_Unit_Balance!$B$31:$B$1048576,0))=0,1,INDEX(ref_Unit_Balance!$T$31:$T$106,MATCH(UnitGradeInfo!B230,ref_Unit_Balance!$B$31:$B$1048576,0)))</f>
        <v>5</v>
      </c>
      <c r="J230" s="5">
        <f>INDEX(ref_Unit_Balance!$S$31:$S$106,MATCH(UnitGradeInfo!B230,ref_Unit_Balance!$B$31:$B$1048576,0))</f>
        <v>250</v>
      </c>
      <c r="K230" s="5">
        <v>0</v>
      </c>
      <c r="L230" s="5">
        <f>INDEX(ref_Unit_Balance!$I$31:$I$106,MATCH(UnitGradeInfo!B230,ref_Unit_Balance!$B$31:$B$1048576,0))</f>
        <v>1</v>
      </c>
      <c r="M230" s="5">
        <f t="shared" si="24"/>
        <v>4</v>
      </c>
      <c r="N230" s="5">
        <f t="shared" si="25"/>
        <v>40</v>
      </c>
      <c r="O230" s="5">
        <f>(INDEX(Unitinfo!I:I,MATCH(B230,Unitinfo!A:A,0))+1)*2</f>
        <v>6</v>
      </c>
      <c r="P230" s="5">
        <v>0</v>
      </c>
      <c r="Q230" s="5">
        <v>0</v>
      </c>
      <c r="R230" s="19" t="s">
        <v>121</v>
      </c>
      <c r="S230" s="19" t="s">
        <v>121</v>
      </c>
      <c r="T230" s="5">
        <f t="shared" si="26"/>
        <v>2010</v>
      </c>
      <c r="U230" s="5">
        <f t="shared" si="27"/>
        <v>1</v>
      </c>
      <c r="V230" s="5">
        <v>0</v>
      </c>
      <c r="W230" s="5">
        <v>10</v>
      </c>
    </row>
    <row r="231" spans="1:23">
      <c r="A231" s="5">
        <f t="shared" si="22"/>
        <v>228</v>
      </c>
      <c r="B231" s="93">
        <f t="shared" si="23"/>
        <v>2010</v>
      </c>
      <c r="C231" s="20" t="str">
        <f>INDEX(Unitinfo!C:C,MATCH(UnitGradeInfo!B231,Unitinfo!A:A,0))</f>
        <v>(원거리)Witch_Thunder</v>
      </c>
      <c r="D231" s="5">
        <f>COUNTIF($B$4:B231,B231)</f>
        <v>3</v>
      </c>
      <c r="E231" s="5">
        <f>ROUNDDOWN(INDEX(ref_Unit_Balance!$G$31:$G$106,MATCH(UnitGradeInfo!B231,ref_Unit_Balance!$B$31:$B$1048576,0))
+INDEX(ref_Unit_Balance!$G$20:$G$23,MATCH(IFERROR(INDEX(ref_Unit_Balance!$D$31:$D$1048576,MATCH(B231,ref_Unit_Balance!$B$31:$B$1048576,0)),0),ref_Unit_Balance!$B$20:$B$23,0))*D231*ref_Unit_Balance!$C$25,0)</f>
        <v>425</v>
      </c>
      <c r="F231" s="5">
        <f>INDEX(ref_Unit_Balance!$V$31:$V$106,MATCH(UnitGradeInfo!B231,ref_Unit_Balance!$B$31:$B$1048576,0))
+
INDEX(ref_Unit_Balance!$AB$31:$AB$106,MATCH(UnitGradeInfo!B231,ref_Unit_Balance!$B$31:$B$1048576,0))*(D231-1)</f>
        <v>8400</v>
      </c>
      <c r="G231" s="5">
        <f>INDEX(ref_Unit_Balance!$R$31:$R$106,MATCH(UnitGradeInfo!B231,ref_Unit_Balance!$B$31:$B$1048576,0))
+
INDEX(ref_Unit_Balance!$AA$31:$AA$106,MATCH(UnitGradeInfo!B231,ref_Unit_Balance!$B$31:$B$1048576,0))*(D231-1)</f>
        <v>180</v>
      </c>
      <c r="H231" s="39">
        <f>IF(INDEX(Unitinfo!D:D,MATCH(UnitGradeInfo!B231,Unitinfo!A:A,0))=1,50,5)</f>
        <v>50</v>
      </c>
      <c r="I231" s="5">
        <f>IF(INDEX(ref_Unit_Balance!$T$31:$T$106,MATCH(UnitGradeInfo!B231,ref_Unit_Balance!$B$31:$B$1048576,0))=0,1,INDEX(ref_Unit_Balance!$T$31:$T$106,MATCH(UnitGradeInfo!B231,ref_Unit_Balance!$B$31:$B$1048576,0)))</f>
        <v>5</v>
      </c>
      <c r="J231" s="5">
        <f>INDEX(ref_Unit_Balance!$S$31:$S$106,MATCH(UnitGradeInfo!B231,ref_Unit_Balance!$B$31:$B$1048576,0))</f>
        <v>250</v>
      </c>
      <c r="K231" s="5">
        <v>0</v>
      </c>
      <c r="L231" s="5">
        <f>INDEX(ref_Unit_Balance!$I$31:$I$106,MATCH(UnitGradeInfo!B231,ref_Unit_Balance!$B$31:$B$1048576,0))</f>
        <v>1</v>
      </c>
      <c r="M231" s="5">
        <f t="shared" si="24"/>
        <v>6</v>
      </c>
      <c r="N231" s="5">
        <f t="shared" si="25"/>
        <v>60</v>
      </c>
      <c r="O231" s="5">
        <f>(INDEX(Unitinfo!I:I,MATCH(B231,Unitinfo!A:A,0))+1)*2</f>
        <v>6</v>
      </c>
      <c r="P231" s="5">
        <v>0</v>
      </c>
      <c r="Q231" s="5">
        <v>0</v>
      </c>
      <c r="R231" s="19" t="s">
        <v>121</v>
      </c>
      <c r="S231" s="19" t="s">
        <v>121</v>
      </c>
      <c r="T231" s="5">
        <f t="shared" si="26"/>
        <v>2010</v>
      </c>
      <c r="U231" s="5">
        <f t="shared" si="27"/>
        <v>1</v>
      </c>
      <c r="V231" s="5">
        <v>0</v>
      </c>
      <c r="W231" s="5">
        <v>10</v>
      </c>
    </row>
    <row r="232" spans="1:23">
      <c r="A232" s="5">
        <f t="shared" ref="A232:A295" si="28">A231+1</f>
        <v>229</v>
      </c>
      <c r="B232" s="93">
        <f t="shared" si="23"/>
        <v>2010</v>
      </c>
      <c r="C232" s="20" t="str">
        <f>INDEX(Unitinfo!C:C,MATCH(UnitGradeInfo!B232,Unitinfo!A:A,0))</f>
        <v>(원거리)Witch_Thunder</v>
      </c>
      <c r="D232" s="5">
        <f>COUNTIF($B$4:B232,B232)</f>
        <v>4</v>
      </c>
      <c r="E232" s="5">
        <f>ROUNDDOWN(INDEX(ref_Unit_Balance!$G$31:$G$106,MATCH(UnitGradeInfo!B232,ref_Unit_Balance!$B$31:$B$1048576,0))
+INDEX(ref_Unit_Balance!$G$20:$G$23,MATCH(IFERROR(INDEX(ref_Unit_Balance!$D$31:$D$1048576,MATCH(B232,ref_Unit_Balance!$B$31:$B$1048576,0)),0),ref_Unit_Balance!$B$20:$B$23,0))*D232*ref_Unit_Balance!$C$25,0)</f>
        <v>500</v>
      </c>
      <c r="F232" s="5">
        <f>INDEX(ref_Unit_Balance!$V$31:$V$106,MATCH(UnitGradeInfo!B232,ref_Unit_Balance!$B$31:$B$1048576,0))
+
INDEX(ref_Unit_Balance!$AB$31:$AB$106,MATCH(UnitGradeInfo!B232,ref_Unit_Balance!$B$31:$B$1048576,0))*(D232-1)</f>
        <v>9000</v>
      </c>
      <c r="G232" s="5">
        <f>INDEX(ref_Unit_Balance!$R$31:$R$106,MATCH(UnitGradeInfo!B232,ref_Unit_Balance!$B$31:$B$1048576,0))
+
INDEX(ref_Unit_Balance!$AA$31:$AA$106,MATCH(UnitGradeInfo!B232,ref_Unit_Balance!$B$31:$B$1048576,0))*(D232-1)</f>
        <v>210</v>
      </c>
      <c r="H232" s="39">
        <f>IF(INDEX(Unitinfo!D:D,MATCH(UnitGradeInfo!B232,Unitinfo!A:A,0))=1,50,5)</f>
        <v>50</v>
      </c>
      <c r="I232" s="5">
        <f>IF(INDEX(ref_Unit_Balance!$T$31:$T$106,MATCH(UnitGradeInfo!B232,ref_Unit_Balance!$B$31:$B$1048576,0))=0,1,INDEX(ref_Unit_Balance!$T$31:$T$106,MATCH(UnitGradeInfo!B232,ref_Unit_Balance!$B$31:$B$1048576,0)))</f>
        <v>5</v>
      </c>
      <c r="J232" s="5">
        <f>INDEX(ref_Unit_Balance!$S$31:$S$106,MATCH(UnitGradeInfo!B232,ref_Unit_Balance!$B$31:$B$1048576,0))</f>
        <v>250</v>
      </c>
      <c r="K232" s="5">
        <v>0</v>
      </c>
      <c r="L232" s="5">
        <f>INDEX(ref_Unit_Balance!$I$31:$I$106,MATCH(UnitGradeInfo!B232,ref_Unit_Balance!$B$31:$B$1048576,0))</f>
        <v>1</v>
      </c>
      <c r="M232" s="5">
        <f t="shared" si="24"/>
        <v>8</v>
      </c>
      <c r="N232" s="5">
        <f t="shared" si="25"/>
        <v>80</v>
      </c>
      <c r="O232" s="5">
        <f>(INDEX(Unitinfo!I:I,MATCH(B232,Unitinfo!A:A,0))+1)*2</f>
        <v>6</v>
      </c>
      <c r="P232" s="5">
        <v>0</v>
      </c>
      <c r="Q232" s="5">
        <v>0</v>
      </c>
      <c r="R232" s="19" t="s">
        <v>121</v>
      </c>
      <c r="S232" s="19" t="s">
        <v>121</v>
      </c>
      <c r="T232" s="5">
        <f t="shared" si="26"/>
        <v>2010</v>
      </c>
      <c r="U232" s="5">
        <f t="shared" si="27"/>
        <v>1</v>
      </c>
      <c r="V232" s="5">
        <v>0</v>
      </c>
      <c r="W232" s="5">
        <v>10</v>
      </c>
    </row>
    <row r="233" spans="1:23">
      <c r="A233" s="5">
        <f t="shared" si="28"/>
        <v>230</v>
      </c>
      <c r="B233" s="93">
        <f t="shared" si="23"/>
        <v>2010</v>
      </c>
      <c r="C233" s="20" t="str">
        <f>INDEX(Unitinfo!C:C,MATCH(UnitGradeInfo!B233,Unitinfo!A:A,0))</f>
        <v>(원거리)Witch_Thunder</v>
      </c>
      <c r="D233" s="5">
        <f>COUNTIF($B$4:B233,B233)</f>
        <v>5</v>
      </c>
      <c r="E233" s="5">
        <f>ROUNDDOWN(INDEX(ref_Unit_Balance!$G$31:$G$106,MATCH(UnitGradeInfo!B233,ref_Unit_Balance!$B$31:$B$1048576,0))
+INDEX(ref_Unit_Balance!$G$20:$G$23,MATCH(IFERROR(INDEX(ref_Unit_Balance!$D$31:$D$1048576,MATCH(B233,ref_Unit_Balance!$B$31:$B$1048576,0)),0),ref_Unit_Balance!$B$20:$B$23,0))*D233*ref_Unit_Balance!$C$25,0)</f>
        <v>575</v>
      </c>
      <c r="F233" s="5">
        <f>INDEX(ref_Unit_Balance!$V$31:$V$106,MATCH(UnitGradeInfo!B233,ref_Unit_Balance!$B$31:$B$1048576,0))
+
INDEX(ref_Unit_Balance!$AB$31:$AB$106,MATCH(UnitGradeInfo!B233,ref_Unit_Balance!$B$31:$B$1048576,0))*(D233-1)</f>
        <v>9600</v>
      </c>
      <c r="G233" s="5">
        <f>INDEX(ref_Unit_Balance!$R$31:$R$106,MATCH(UnitGradeInfo!B233,ref_Unit_Balance!$B$31:$B$1048576,0))
+
INDEX(ref_Unit_Balance!$AA$31:$AA$106,MATCH(UnitGradeInfo!B233,ref_Unit_Balance!$B$31:$B$1048576,0))*(D233-1)</f>
        <v>240</v>
      </c>
      <c r="H233" s="39">
        <f>IF(INDEX(Unitinfo!D:D,MATCH(UnitGradeInfo!B233,Unitinfo!A:A,0))=1,50,5)</f>
        <v>50</v>
      </c>
      <c r="I233" s="5">
        <f>IF(INDEX(ref_Unit_Balance!$T$31:$T$106,MATCH(UnitGradeInfo!B233,ref_Unit_Balance!$B$31:$B$1048576,0))=0,1,INDEX(ref_Unit_Balance!$T$31:$T$106,MATCH(UnitGradeInfo!B233,ref_Unit_Balance!$B$31:$B$1048576,0)))</f>
        <v>5</v>
      </c>
      <c r="J233" s="5">
        <f>INDEX(ref_Unit_Balance!$S$31:$S$106,MATCH(UnitGradeInfo!B233,ref_Unit_Balance!$B$31:$B$1048576,0))</f>
        <v>250</v>
      </c>
      <c r="K233" s="5">
        <v>0</v>
      </c>
      <c r="L233" s="5">
        <f>INDEX(ref_Unit_Balance!$I$31:$I$106,MATCH(UnitGradeInfo!B233,ref_Unit_Balance!$B$31:$B$1048576,0))</f>
        <v>1</v>
      </c>
      <c r="M233" s="5">
        <f t="shared" si="24"/>
        <v>10</v>
      </c>
      <c r="N233" s="5">
        <f t="shared" si="25"/>
        <v>100</v>
      </c>
      <c r="O233" s="5">
        <f>(INDEX(Unitinfo!I:I,MATCH(B233,Unitinfo!A:A,0))+1)*2</f>
        <v>6</v>
      </c>
      <c r="P233" s="5">
        <v>0</v>
      </c>
      <c r="Q233" s="5">
        <v>0</v>
      </c>
      <c r="R233" s="19" t="s">
        <v>121</v>
      </c>
      <c r="S233" s="19" t="s">
        <v>121</v>
      </c>
      <c r="T233" s="5">
        <f t="shared" si="26"/>
        <v>2010</v>
      </c>
      <c r="U233" s="5">
        <f t="shared" si="27"/>
        <v>1</v>
      </c>
      <c r="V233" s="5">
        <v>0</v>
      </c>
      <c r="W233" s="5">
        <v>10</v>
      </c>
    </row>
    <row r="234" spans="1:23">
      <c r="A234" s="5">
        <f t="shared" si="28"/>
        <v>231</v>
      </c>
      <c r="B234" s="93">
        <f t="shared" si="23"/>
        <v>2010</v>
      </c>
      <c r="C234" s="20" t="str">
        <f>INDEX(Unitinfo!C:C,MATCH(UnitGradeInfo!B234,Unitinfo!A:A,0))</f>
        <v>(원거리)Witch_Thunder</v>
      </c>
      <c r="D234" s="5">
        <f>COUNTIF($B$4:B234,B234)</f>
        <v>6</v>
      </c>
      <c r="E234" s="5">
        <f>ROUNDDOWN(INDEX(ref_Unit_Balance!$G$31:$G$106,MATCH(UnitGradeInfo!B234,ref_Unit_Balance!$B$31:$B$1048576,0))
+INDEX(ref_Unit_Balance!$G$20:$G$23,MATCH(IFERROR(INDEX(ref_Unit_Balance!$D$31:$D$1048576,MATCH(B234,ref_Unit_Balance!$B$31:$B$1048576,0)),0),ref_Unit_Balance!$B$20:$B$23,0))*D234*ref_Unit_Balance!$C$25,0)</f>
        <v>650</v>
      </c>
      <c r="F234" s="5">
        <f>INDEX(ref_Unit_Balance!$V$31:$V$106,MATCH(UnitGradeInfo!B234,ref_Unit_Balance!$B$31:$B$1048576,0))
+
INDEX(ref_Unit_Balance!$AB$31:$AB$106,MATCH(UnitGradeInfo!B234,ref_Unit_Balance!$B$31:$B$1048576,0))*(D234-1)</f>
        <v>10200</v>
      </c>
      <c r="G234" s="5">
        <f>INDEX(ref_Unit_Balance!$R$31:$R$106,MATCH(UnitGradeInfo!B234,ref_Unit_Balance!$B$31:$B$1048576,0))
+
INDEX(ref_Unit_Balance!$AA$31:$AA$106,MATCH(UnitGradeInfo!B234,ref_Unit_Balance!$B$31:$B$1048576,0))*(D234-1)</f>
        <v>270</v>
      </c>
      <c r="H234" s="39">
        <f>IF(INDEX(Unitinfo!D:D,MATCH(UnitGradeInfo!B234,Unitinfo!A:A,0))=1,50,5)</f>
        <v>50</v>
      </c>
      <c r="I234" s="5">
        <f>IF(INDEX(ref_Unit_Balance!$T$31:$T$106,MATCH(UnitGradeInfo!B234,ref_Unit_Balance!$B$31:$B$1048576,0))=0,1,INDEX(ref_Unit_Balance!$T$31:$T$106,MATCH(UnitGradeInfo!B234,ref_Unit_Balance!$B$31:$B$1048576,0)))</f>
        <v>5</v>
      </c>
      <c r="J234" s="5">
        <f>INDEX(ref_Unit_Balance!$S$31:$S$106,MATCH(UnitGradeInfo!B234,ref_Unit_Balance!$B$31:$B$1048576,0))</f>
        <v>250</v>
      </c>
      <c r="K234" s="5">
        <v>0</v>
      </c>
      <c r="L234" s="5">
        <f>INDEX(ref_Unit_Balance!$I$31:$I$106,MATCH(UnitGradeInfo!B234,ref_Unit_Balance!$B$31:$B$1048576,0))</f>
        <v>1</v>
      </c>
      <c r="M234" s="5">
        <f t="shared" si="24"/>
        <v>12</v>
      </c>
      <c r="N234" s="5">
        <f t="shared" si="25"/>
        <v>120</v>
      </c>
      <c r="O234" s="5">
        <f>(INDEX(Unitinfo!I:I,MATCH(B234,Unitinfo!A:A,0))+1)*2</f>
        <v>6</v>
      </c>
      <c r="P234" s="5">
        <v>0</v>
      </c>
      <c r="Q234" s="5">
        <v>0</v>
      </c>
      <c r="R234" s="19" t="s">
        <v>121</v>
      </c>
      <c r="S234" s="19" t="s">
        <v>121</v>
      </c>
      <c r="T234" s="5">
        <f t="shared" si="26"/>
        <v>2010</v>
      </c>
      <c r="U234" s="5">
        <f t="shared" si="27"/>
        <v>1</v>
      </c>
      <c r="V234" s="5">
        <v>0</v>
      </c>
      <c r="W234" s="5">
        <v>10</v>
      </c>
    </row>
    <row r="235" spans="1:23">
      <c r="A235" s="5">
        <f t="shared" si="28"/>
        <v>232</v>
      </c>
      <c r="B235" s="93">
        <f t="shared" si="23"/>
        <v>2010</v>
      </c>
      <c r="C235" s="20" t="str">
        <f>INDEX(Unitinfo!C:C,MATCH(UnitGradeInfo!B235,Unitinfo!A:A,0))</f>
        <v>(원거리)Witch_Thunder</v>
      </c>
      <c r="D235" s="5">
        <f>COUNTIF($B$4:B235,B235)</f>
        <v>7</v>
      </c>
      <c r="E235" s="5">
        <f>ROUNDDOWN(INDEX(ref_Unit_Balance!$G$31:$G$106,MATCH(UnitGradeInfo!B235,ref_Unit_Balance!$B$31:$B$1048576,0))
+INDEX(ref_Unit_Balance!$G$20:$G$23,MATCH(IFERROR(INDEX(ref_Unit_Balance!$D$31:$D$1048576,MATCH(B235,ref_Unit_Balance!$B$31:$B$1048576,0)),0),ref_Unit_Balance!$B$20:$B$23,0))*D235*ref_Unit_Balance!$C$25,0)</f>
        <v>725</v>
      </c>
      <c r="F235" s="5">
        <f>INDEX(ref_Unit_Balance!$V$31:$V$106,MATCH(UnitGradeInfo!B235,ref_Unit_Balance!$B$31:$B$1048576,0))
+
INDEX(ref_Unit_Balance!$AB$31:$AB$106,MATCH(UnitGradeInfo!B235,ref_Unit_Balance!$B$31:$B$1048576,0))*(D235-1)</f>
        <v>10800</v>
      </c>
      <c r="G235" s="5">
        <f>INDEX(ref_Unit_Balance!$R$31:$R$106,MATCH(UnitGradeInfo!B235,ref_Unit_Balance!$B$31:$B$1048576,0))
+
INDEX(ref_Unit_Balance!$AA$31:$AA$106,MATCH(UnitGradeInfo!B235,ref_Unit_Balance!$B$31:$B$1048576,0))*(D235-1)</f>
        <v>300</v>
      </c>
      <c r="H235" s="39">
        <f>IF(INDEX(Unitinfo!D:D,MATCH(UnitGradeInfo!B235,Unitinfo!A:A,0))=1,50,5)</f>
        <v>50</v>
      </c>
      <c r="I235" s="5">
        <f>IF(INDEX(ref_Unit_Balance!$T$31:$T$106,MATCH(UnitGradeInfo!B235,ref_Unit_Balance!$B$31:$B$1048576,0))=0,1,INDEX(ref_Unit_Balance!$T$31:$T$106,MATCH(UnitGradeInfo!B235,ref_Unit_Balance!$B$31:$B$1048576,0)))</f>
        <v>5</v>
      </c>
      <c r="J235" s="5">
        <f>INDEX(ref_Unit_Balance!$S$31:$S$106,MATCH(UnitGradeInfo!B235,ref_Unit_Balance!$B$31:$B$1048576,0))</f>
        <v>250</v>
      </c>
      <c r="K235" s="5">
        <v>0</v>
      </c>
      <c r="L235" s="5">
        <f>INDEX(ref_Unit_Balance!$I$31:$I$106,MATCH(UnitGradeInfo!B235,ref_Unit_Balance!$B$31:$B$1048576,0))</f>
        <v>1</v>
      </c>
      <c r="M235" s="5">
        <f t="shared" si="24"/>
        <v>14</v>
      </c>
      <c r="N235" s="5">
        <f t="shared" si="25"/>
        <v>140</v>
      </c>
      <c r="O235" s="5">
        <f>(INDEX(Unitinfo!I:I,MATCH(B235,Unitinfo!A:A,0))+1)*2</f>
        <v>6</v>
      </c>
      <c r="P235" s="5">
        <v>0</v>
      </c>
      <c r="Q235" s="5">
        <v>0</v>
      </c>
      <c r="R235" s="19" t="s">
        <v>121</v>
      </c>
      <c r="S235" s="19" t="s">
        <v>121</v>
      </c>
      <c r="T235" s="5">
        <f t="shared" si="26"/>
        <v>2010</v>
      </c>
      <c r="U235" s="5">
        <f t="shared" si="27"/>
        <v>1</v>
      </c>
      <c r="V235" s="5">
        <v>0</v>
      </c>
      <c r="W235" s="5">
        <v>10</v>
      </c>
    </row>
    <row r="236" spans="1:23">
      <c r="A236" s="5">
        <f t="shared" si="28"/>
        <v>233</v>
      </c>
      <c r="B236" s="93">
        <f t="shared" si="23"/>
        <v>2010</v>
      </c>
      <c r="C236" s="20" t="str">
        <f>INDEX(Unitinfo!C:C,MATCH(UnitGradeInfo!B236,Unitinfo!A:A,0))</f>
        <v>(원거리)Witch_Thunder</v>
      </c>
      <c r="D236" s="5">
        <f>COUNTIF($B$4:B236,B236)</f>
        <v>8</v>
      </c>
      <c r="E236" s="5">
        <f>ROUNDDOWN(INDEX(ref_Unit_Balance!$G$31:$G$106,MATCH(UnitGradeInfo!B236,ref_Unit_Balance!$B$31:$B$1048576,0))
+INDEX(ref_Unit_Balance!$G$20:$G$23,MATCH(IFERROR(INDEX(ref_Unit_Balance!$D$31:$D$1048576,MATCH(B236,ref_Unit_Balance!$B$31:$B$1048576,0)),0),ref_Unit_Balance!$B$20:$B$23,0))*D236*ref_Unit_Balance!$C$25,0)</f>
        <v>800</v>
      </c>
      <c r="F236" s="5">
        <f>INDEX(ref_Unit_Balance!$V$31:$V$106,MATCH(UnitGradeInfo!B236,ref_Unit_Balance!$B$31:$B$1048576,0))
+
INDEX(ref_Unit_Balance!$AB$31:$AB$106,MATCH(UnitGradeInfo!B236,ref_Unit_Balance!$B$31:$B$1048576,0))*(D236-1)</f>
        <v>11400</v>
      </c>
      <c r="G236" s="5">
        <f>INDEX(ref_Unit_Balance!$R$31:$R$106,MATCH(UnitGradeInfo!B236,ref_Unit_Balance!$B$31:$B$1048576,0))
+
INDEX(ref_Unit_Balance!$AA$31:$AA$106,MATCH(UnitGradeInfo!B236,ref_Unit_Balance!$B$31:$B$1048576,0))*(D236-1)</f>
        <v>330</v>
      </c>
      <c r="H236" s="39">
        <f>IF(INDEX(Unitinfo!D:D,MATCH(UnitGradeInfo!B236,Unitinfo!A:A,0))=1,50,5)</f>
        <v>50</v>
      </c>
      <c r="I236" s="5">
        <f>IF(INDEX(ref_Unit_Balance!$T$31:$T$106,MATCH(UnitGradeInfo!B236,ref_Unit_Balance!$B$31:$B$1048576,0))=0,1,INDEX(ref_Unit_Balance!$T$31:$T$106,MATCH(UnitGradeInfo!B236,ref_Unit_Balance!$B$31:$B$1048576,0)))</f>
        <v>5</v>
      </c>
      <c r="J236" s="5">
        <f>INDEX(ref_Unit_Balance!$S$31:$S$106,MATCH(UnitGradeInfo!B236,ref_Unit_Balance!$B$31:$B$1048576,0))</f>
        <v>250</v>
      </c>
      <c r="K236" s="5">
        <v>0</v>
      </c>
      <c r="L236" s="5">
        <f>INDEX(ref_Unit_Balance!$I$31:$I$106,MATCH(UnitGradeInfo!B236,ref_Unit_Balance!$B$31:$B$1048576,0))</f>
        <v>1</v>
      </c>
      <c r="M236" s="5">
        <f t="shared" si="24"/>
        <v>16</v>
      </c>
      <c r="N236" s="5">
        <f t="shared" si="25"/>
        <v>160</v>
      </c>
      <c r="O236" s="5">
        <f>(INDEX(Unitinfo!I:I,MATCH(B236,Unitinfo!A:A,0))+1)*2</f>
        <v>6</v>
      </c>
      <c r="P236" s="5">
        <v>0</v>
      </c>
      <c r="Q236" s="5">
        <v>0</v>
      </c>
      <c r="R236" s="19" t="s">
        <v>121</v>
      </c>
      <c r="S236" s="19" t="s">
        <v>121</v>
      </c>
      <c r="T236" s="5">
        <f t="shared" si="26"/>
        <v>2010</v>
      </c>
      <c r="U236" s="5">
        <f t="shared" si="27"/>
        <v>1</v>
      </c>
      <c r="V236" s="5">
        <v>0</v>
      </c>
      <c r="W236" s="5">
        <v>10</v>
      </c>
    </row>
    <row r="237" spans="1:23">
      <c r="A237" s="5">
        <f t="shared" si="28"/>
        <v>234</v>
      </c>
      <c r="B237" s="93">
        <f t="shared" si="23"/>
        <v>2010</v>
      </c>
      <c r="C237" s="20" t="str">
        <f>INDEX(Unitinfo!C:C,MATCH(UnitGradeInfo!B237,Unitinfo!A:A,0))</f>
        <v>(원거리)Witch_Thunder</v>
      </c>
      <c r="D237" s="5">
        <f>COUNTIF($B$4:B237,B237)</f>
        <v>9</v>
      </c>
      <c r="E237" s="5">
        <f>ROUNDDOWN(INDEX(ref_Unit_Balance!$G$31:$G$106,MATCH(UnitGradeInfo!B237,ref_Unit_Balance!$B$31:$B$1048576,0))
+INDEX(ref_Unit_Balance!$G$20:$G$23,MATCH(IFERROR(INDEX(ref_Unit_Balance!$D$31:$D$1048576,MATCH(B237,ref_Unit_Balance!$B$31:$B$1048576,0)),0),ref_Unit_Balance!$B$20:$B$23,0))*D237*ref_Unit_Balance!$C$25,0)</f>
        <v>875</v>
      </c>
      <c r="F237" s="5">
        <f>INDEX(ref_Unit_Balance!$V$31:$V$106,MATCH(UnitGradeInfo!B237,ref_Unit_Balance!$B$31:$B$1048576,0))
+
INDEX(ref_Unit_Balance!$AB$31:$AB$106,MATCH(UnitGradeInfo!B237,ref_Unit_Balance!$B$31:$B$1048576,0))*(D237-1)</f>
        <v>12000</v>
      </c>
      <c r="G237" s="5">
        <f>INDEX(ref_Unit_Balance!$R$31:$R$106,MATCH(UnitGradeInfo!B237,ref_Unit_Balance!$B$31:$B$1048576,0))
+
INDEX(ref_Unit_Balance!$AA$31:$AA$106,MATCH(UnitGradeInfo!B237,ref_Unit_Balance!$B$31:$B$1048576,0))*(D237-1)</f>
        <v>360</v>
      </c>
      <c r="H237" s="39">
        <f>IF(INDEX(Unitinfo!D:D,MATCH(UnitGradeInfo!B237,Unitinfo!A:A,0))=1,50,5)</f>
        <v>50</v>
      </c>
      <c r="I237" s="5">
        <f>IF(INDEX(ref_Unit_Balance!$T$31:$T$106,MATCH(UnitGradeInfo!B237,ref_Unit_Balance!$B$31:$B$1048576,0))=0,1,INDEX(ref_Unit_Balance!$T$31:$T$106,MATCH(UnitGradeInfo!B237,ref_Unit_Balance!$B$31:$B$1048576,0)))</f>
        <v>5</v>
      </c>
      <c r="J237" s="5">
        <f>INDEX(ref_Unit_Balance!$S$31:$S$106,MATCH(UnitGradeInfo!B237,ref_Unit_Balance!$B$31:$B$1048576,0))</f>
        <v>250</v>
      </c>
      <c r="K237" s="5">
        <v>0</v>
      </c>
      <c r="L237" s="5">
        <f>INDEX(ref_Unit_Balance!$I$31:$I$106,MATCH(UnitGradeInfo!B237,ref_Unit_Balance!$B$31:$B$1048576,0))</f>
        <v>1</v>
      </c>
      <c r="M237" s="5">
        <f t="shared" si="24"/>
        <v>18</v>
      </c>
      <c r="N237" s="5">
        <f t="shared" si="25"/>
        <v>180</v>
      </c>
      <c r="O237" s="5">
        <f>(INDEX(Unitinfo!I:I,MATCH(B237,Unitinfo!A:A,0))+1)*2</f>
        <v>6</v>
      </c>
      <c r="P237" s="5">
        <v>0</v>
      </c>
      <c r="Q237" s="5">
        <v>0</v>
      </c>
      <c r="R237" s="19" t="s">
        <v>121</v>
      </c>
      <c r="S237" s="19" t="s">
        <v>121</v>
      </c>
      <c r="T237" s="5">
        <f t="shared" si="26"/>
        <v>2010</v>
      </c>
      <c r="U237" s="5">
        <f t="shared" si="27"/>
        <v>1</v>
      </c>
      <c r="V237" s="5">
        <v>0</v>
      </c>
      <c r="W237" s="5">
        <v>10</v>
      </c>
    </row>
    <row r="238" spans="1:23">
      <c r="A238" s="5">
        <f t="shared" si="28"/>
        <v>235</v>
      </c>
      <c r="B238" s="93">
        <f t="shared" si="23"/>
        <v>2010</v>
      </c>
      <c r="C238" s="20" t="str">
        <f>INDEX(Unitinfo!C:C,MATCH(UnitGradeInfo!B238,Unitinfo!A:A,0))</f>
        <v>(원거리)Witch_Thunder</v>
      </c>
      <c r="D238" s="5">
        <f>COUNTIF($B$4:B238,B238)</f>
        <v>10</v>
      </c>
      <c r="E238" s="5">
        <f>ROUNDDOWN(INDEX(ref_Unit_Balance!$G$31:$G$106,MATCH(UnitGradeInfo!B238,ref_Unit_Balance!$B$31:$B$1048576,0))
+INDEX(ref_Unit_Balance!$G$20:$G$23,MATCH(IFERROR(INDEX(ref_Unit_Balance!$D$31:$D$1048576,MATCH(B238,ref_Unit_Balance!$B$31:$B$1048576,0)),0),ref_Unit_Balance!$B$20:$B$23,0))*D238*ref_Unit_Balance!$C$25,0)</f>
        <v>950</v>
      </c>
      <c r="F238" s="5">
        <f>INDEX(ref_Unit_Balance!$V$31:$V$106,MATCH(UnitGradeInfo!B238,ref_Unit_Balance!$B$31:$B$1048576,0))
+
INDEX(ref_Unit_Balance!$AB$31:$AB$106,MATCH(UnitGradeInfo!B238,ref_Unit_Balance!$B$31:$B$1048576,0))*(D238-1)</f>
        <v>12600</v>
      </c>
      <c r="G238" s="5">
        <f>INDEX(ref_Unit_Balance!$R$31:$R$106,MATCH(UnitGradeInfo!B238,ref_Unit_Balance!$B$31:$B$1048576,0))
+
INDEX(ref_Unit_Balance!$AA$31:$AA$106,MATCH(UnitGradeInfo!B238,ref_Unit_Balance!$B$31:$B$1048576,0))*(D238-1)</f>
        <v>390</v>
      </c>
      <c r="H238" s="39">
        <f>IF(INDEX(Unitinfo!D:D,MATCH(UnitGradeInfo!B238,Unitinfo!A:A,0))=1,50,5)</f>
        <v>50</v>
      </c>
      <c r="I238" s="5">
        <f>IF(INDEX(ref_Unit_Balance!$T$31:$T$106,MATCH(UnitGradeInfo!B238,ref_Unit_Balance!$B$31:$B$1048576,0))=0,1,INDEX(ref_Unit_Balance!$T$31:$T$106,MATCH(UnitGradeInfo!B238,ref_Unit_Balance!$B$31:$B$1048576,0)))</f>
        <v>5</v>
      </c>
      <c r="J238" s="5">
        <f>INDEX(ref_Unit_Balance!$S$31:$S$106,MATCH(UnitGradeInfo!B238,ref_Unit_Balance!$B$31:$B$1048576,0))</f>
        <v>250</v>
      </c>
      <c r="K238" s="5">
        <v>0</v>
      </c>
      <c r="L238" s="5">
        <f>INDEX(ref_Unit_Balance!$I$31:$I$106,MATCH(UnitGradeInfo!B238,ref_Unit_Balance!$B$31:$B$1048576,0))</f>
        <v>1</v>
      </c>
      <c r="M238" s="5">
        <f t="shared" si="24"/>
        <v>20</v>
      </c>
      <c r="N238" s="5">
        <f t="shared" si="25"/>
        <v>200</v>
      </c>
      <c r="O238" s="5">
        <f>(INDEX(Unitinfo!I:I,MATCH(B238,Unitinfo!A:A,0))+1)*2</f>
        <v>6</v>
      </c>
      <c r="P238" s="5">
        <v>0</v>
      </c>
      <c r="Q238" s="5">
        <v>0</v>
      </c>
      <c r="R238" s="19" t="s">
        <v>121</v>
      </c>
      <c r="S238" s="19" t="s">
        <v>121</v>
      </c>
      <c r="T238" s="5">
        <f t="shared" si="26"/>
        <v>2010</v>
      </c>
      <c r="U238" s="5">
        <f t="shared" si="27"/>
        <v>1</v>
      </c>
      <c r="V238" s="5">
        <v>0</v>
      </c>
      <c r="W238" s="5">
        <v>10</v>
      </c>
    </row>
    <row r="239" spans="1:23">
      <c r="A239" s="5">
        <f t="shared" si="28"/>
        <v>236</v>
      </c>
      <c r="B239" s="93">
        <f t="shared" si="23"/>
        <v>2010</v>
      </c>
      <c r="C239" s="20" t="str">
        <f>INDEX(Unitinfo!C:C,MATCH(UnitGradeInfo!B239,Unitinfo!A:A,0))</f>
        <v>(원거리)Witch_Thunder</v>
      </c>
      <c r="D239" s="5">
        <f>COUNTIF($B$4:B239,B239)</f>
        <v>11</v>
      </c>
      <c r="E239" s="5">
        <f>ROUNDDOWN(INDEX(ref_Unit_Balance!$G$31:$G$106,MATCH(UnitGradeInfo!B239,ref_Unit_Balance!$B$31:$B$1048576,0))
+INDEX(ref_Unit_Balance!$G$20:$G$23,MATCH(IFERROR(INDEX(ref_Unit_Balance!$D$31:$D$1048576,MATCH(B239,ref_Unit_Balance!$B$31:$B$1048576,0)),0),ref_Unit_Balance!$B$20:$B$23,0))*D239*ref_Unit_Balance!$C$25,0)</f>
        <v>1025</v>
      </c>
      <c r="F239" s="5">
        <f>INDEX(ref_Unit_Balance!$V$31:$V$106,MATCH(UnitGradeInfo!B239,ref_Unit_Balance!$B$31:$B$1048576,0))
+
INDEX(ref_Unit_Balance!$AB$31:$AB$106,MATCH(UnitGradeInfo!B239,ref_Unit_Balance!$B$31:$B$1048576,0))*(D239-1)</f>
        <v>13200</v>
      </c>
      <c r="G239" s="5">
        <f>INDEX(ref_Unit_Balance!$R$31:$R$106,MATCH(UnitGradeInfo!B239,ref_Unit_Balance!$B$31:$B$1048576,0))
+
INDEX(ref_Unit_Balance!$AA$31:$AA$106,MATCH(UnitGradeInfo!B239,ref_Unit_Balance!$B$31:$B$1048576,0))*(D239-1)</f>
        <v>420</v>
      </c>
      <c r="H239" s="39">
        <f>IF(INDEX(Unitinfo!D:D,MATCH(UnitGradeInfo!B239,Unitinfo!A:A,0))=1,50,5)</f>
        <v>50</v>
      </c>
      <c r="I239" s="5">
        <f>IF(INDEX(ref_Unit_Balance!$T$31:$T$106,MATCH(UnitGradeInfo!B239,ref_Unit_Balance!$B$31:$B$1048576,0))=0,1,INDEX(ref_Unit_Balance!$T$31:$T$106,MATCH(UnitGradeInfo!B239,ref_Unit_Balance!$B$31:$B$1048576,0)))</f>
        <v>5</v>
      </c>
      <c r="J239" s="5">
        <f>INDEX(ref_Unit_Balance!$S$31:$S$106,MATCH(UnitGradeInfo!B239,ref_Unit_Balance!$B$31:$B$1048576,0))</f>
        <v>250</v>
      </c>
      <c r="K239" s="5">
        <v>0</v>
      </c>
      <c r="L239" s="5">
        <f>INDEX(ref_Unit_Balance!$I$31:$I$106,MATCH(UnitGradeInfo!B239,ref_Unit_Balance!$B$31:$B$1048576,0))</f>
        <v>1</v>
      </c>
      <c r="M239" s="5">
        <f t="shared" si="24"/>
        <v>22</v>
      </c>
      <c r="N239" s="5">
        <f t="shared" si="25"/>
        <v>220</v>
      </c>
      <c r="O239" s="5">
        <f>(INDEX(Unitinfo!I:I,MATCH(B239,Unitinfo!A:A,0))+1)*2</f>
        <v>6</v>
      </c>
      <c r="P239" s="5">
        <v>0</v>
      </c>
      <c r="Q239" s="5">
        <v>0</v>
      </c>
      <c r="R239" s="19" t="s">
        <v>121</v>
      </c>
      <c r="S239" s="19" t="s">
        <v>121</v>
      </c>
      <c r="T239" s="5">
        <f t="shared" si="26"/>
        <v>2010</v>
      </c>
      <c r="U239" s="5">
        <f t="shared" si="27"/>
        <v>1</v>
      </c>
      <c r="V239" s="5">
        <v>0</v>
      </c>
      <c r="W239" s="5">
        <v>10</v>
      </c>
    </row>
    <row r="240" spans="1:23">
      <c r="A240" s="5">
        <f t="shared" si="28"/>
        <v>237</v>
      </c>
      <c r="B240" s="93">
        <f t="shared" si="23"/>
        <v>2010</v>
      </c>
      <c r="C240" s="20" t="str">
        <f>INDEX(Unitinfo!C:C,MATCH(UnitGradeInfo!B240,Unitinfo!A:A,0))</f>
        <v>(원거리)Witch_Thunder</v>
      </c>
      <c r="D240" s="5">
        <f>COUNTIF($B$4:B240,B240)</f>
        <v>12</v>
      </c>
      <c r="E240" s="5">
        <f>ROUNDDOWN(INDEX(ref_Unit_Balance!$G$31:$G$106,MATCH(UnitGradeInfo!B240,ref_Unit_Balance!$B$31:$B$1048576,0))
+INDEX(ref_Unit_Balance!$G$20:$G$23,MATCH(IFERROR(INDEX(ref_Unit_Balance!$D$31:$D$1048576,MATCH(B240,ref_Unit_Balance!$B$31:$B$1048576,0)),0),ref_Unit_Balance!$B$20:$B$23,0))*D240*ref_Unit_Balance!$C$25,0)</f>
        <v>1100</v>
      </c>
      <c r="F240" s="5">
        <f>INDEX(ref_Unit_Balance!$V$31:$V$106,MATCH(UnitGradeInfo!B240,ref_Unit_Balance!$B$31:$B$1048576,0))
+
INDEX(ref_Unit_Balance!$AB$31:$AB$106,MATCH(UnitGradeInfo!B240,ref_Unit_Balance!$B$31:$B$1048576,0))*(D240-1)</f>
        <v>13800</v>
      </c>
      <c r="G240" s="5">
        <f>INDEX(ref_Unit_Balance!$R$31:$R$106,MATCH(UnitGradeInfo!B240,ref_Unit_Balance!$B$31:$B$1048576,0))
+
INDEX(ref_Unit_Balance!$AA$31:$AA$106,MATCH(UnitGradeInfo!B240,ref_Unit_Balance!$B$31:$B$1048576,0))*(D240-1)</f>
        <v>450</v>
      </c>
      <c r="H240" s="39">
        <f>IF(INDEX(Unitinfo!D:D,MATCH(UnitGradeInfo!B240,Unitinfo!A:A,0))=1,50,5)</f>
        <v>50</v>
      </c>
      <c r="I240" s="5">
        <f>IF(INDEX(ref_Unit_Balance!$T$31:$T$106,MATCH(UnitGradeInfo!B240,ref_Unit_Balance!$B$31:$B$1048576,0))=0,1,INDEX(ref_Unit_Balance!$T$31:$T$106,MATCH(UnitGradeInfo!B240,ref_Unit_Balance!$B$31:$B$1048576,0)))</f>
        <v>5</v>
      </c>
      <c r="J240" s="5">
        <f>INDEX(ref_Unit_Balance!$S$31:$S$106,MATCH(UnitGradeInfo!B240,ref_Unit_Balance!$B$31:$B$1048576,0))</f>
        <v>250</v>
      </c>
      <c r="K240" s="5">
        <v>0</v>
      </c>
      <c r="L240" s="5">
        <f>INDEX(ref_Unit_Balance!$I$31:$I$106,MATCH(UnitGradeInfo!B240,ref_Unit_Balance!$B$31:$B$1048576,0))</f>
        <v>1</v>
      </c>
      <c r="M240" s="5">
        <f t="shared" si="24"/>
        <v>24</v>
      </c>
      <c r="N240" s="5">
        <f t="shared" si="25"/>
        <v>240</v>
      </c>
      <c r="O240" s="5">
        <f>(INDEX(Unitinfo!I:I,MATCH(B240,Unitinfo!A:A,0))+1)*2</f>
        <v>6</v>
      </c>
      <c r="P240" s="5">
        <v>0</v>
      </c>
      <c r="Q240" s="5">
        <v>0</v>
      </c>
      <c r="R240" s="19" t="s">
        <v>121</v>
      </c>
      <c r="S240" s="19" t="s">
        <v>121</v>
      </c>
      <c r="T240" s="5">
        <f t="shared" si="26"/>
        <v>2010</v>
      </c>
      <c r="U240" s="5">
        <f t="shared" si="27"/>
        <v>1</v>
      </c>
      <c r="V240" s="5">
        <v>0</v>
      </c>
      <c r="W240" s="5">
        <v>10</v>
      </c>
    </row>
    <row r="241" spans="1:23">
      <c r="A241" s="5">
        <f t="shared" si="28"/>
        <v>238</v>
      </c>
      <c r="B241" s="93">
        <f t="shared" si="23"/>
        <v>2010</v>
      </c>
      <c r="C241" s="20" t="str">
        <f>INDEX(Unitinfo!C:C,MATCH(UnitGradeInfo!B241,Unitinfo!A:A,0))</f>
        <v>(원거리)Witch_Thunder</v>
      </c>
      <c r="D241" s="5">
        <f>COUNTIF($B$4:B241,B241)</f>
        <v>13</v>
      </c>
      <c r="E241" s="5">
        <f>ROUNDDOWN(INDEX(ref_Unit_Balance!$G$31:$G$106,MATCH(UnitGradeInfo!B241,ref_Unit_Balance!$B$31:$B$1048576,0))
+INDEX(ref_Unit_Balance!$G$20:$G$23,MATCH(IFERROR(INDEX(ref_Unit_Balance!$D$31:$D$1048576,MATCH(B241,ref_Unit_Balance!$B$31:$B$1048576,0)),0),ref_Unit_Balance!$B$20:$B$23,0))*D241*ref_Unit_Balance!$C$25,0)</f>
        <v>1175</v>
      </c>
      <c r="F241" s="5">
        <f>INDEX(ref_Unit_Balance!$V$31:$V$106,MATCH(UnitGradeInfo!B241,ref_Unit_Balance!$B$31:$B$1048576,0))
+
INDEX(ref_Unit_Balance!$AB$31:$AB$106,MATCH(UnitGradeInfo!B241,ref_Unit_Balance!$B$31:$B$1048576,0))*(D241-1)</f>
        <v>14400</v>
      </c>
      <c r="G241" s="5">
        <f>INDEX(ref_Unit_Balance!$R$31:$R$106,MATCH(UnitGradeInfo!B241,ref_Unit_Balance!$B$31:$B$1048576,0))
+
INDEX(ref_Unit_Balance!$AA$31:$AA$106,MATCH(UnitGradeInfo!B241,ref_Unit_Balance!$B$31:$B$1048576,0))*(D241-1)</f>
        <v>480</v>
      </c>
      <c r="H241" s="39">
        <f>IF(INDEX(Unitinfo!D:D,MATCH(UnitGradeInfo!B241,Unitinfo!A:A,0))=1,50,5)</f>
        <v>50</v>
      </c>
      <c r="I241" s="5">
        <f>IF(INDEX(ref_Unit_Balance!$T$31:$T$106,MATCH(UnitGradeInfo!B241,ref_Unit_Balance!$B$31:$B$1048576,0))=0,1,INDEX(ref_Unit_Balance!$T$31:$T$106,MATCH(UnitGradeInfo!B241,ref_Unit_Balance!$B$31:$B$1048576,0)))</f>
        <v>5</v>
      </c>
      <c r="J241" s="5">
        <f>INDEX(ref_Unit_Balance!$S$31:$S$106,MATCH(UnitGradeInfo!B241,ref_Unit_Balance!$B$31:$B$1048576,0))</f>
        <v>250</v>
      </c>
      <c r="K241" s="5">
        <v>0</v>
      </c>
      <c r="L241" s="5">
        <f>INDEX(ref_Unit_Balance!$I$31:$I$106,MATCH(UnitGradeInfo!B241,ref_Unit_Balance!$B$31:$B$1048576,0))</f>
        <v>1</v>
      </c>
      <c r="M241" s="5">
        <f t="shared" si="24"/>
        <v>26</v>
      </c>
      <c r="N241" s="5">
        <f t="shared" si="25"/>
        <v>260</v>
      </c>
      <c r="O241" s="5">
        <f>(INDEX(Unitinfo!I:I,MATCH(B241,Unitinfo!A:A,0))+1)*2</f>
        <v>6</v>
      </c>
      <c r="P241" s="5">
        <v>0</v>
      </c>
      <c r="Q241" s="5">
        <v>0</v>
      </c>
      <c r="R241" s="19" t="s">
        <v>121</v>
      </c>
      <c r="S241" s="19" t="s">
        <v>121</v>
      </c>
      <c r="T241" s="5">
        <f t="shared" si="26"/>
        <v>2010</v>
      </c>
      <c r="U241" s="5">
        <f t="shared" si="27"/>
        <v>1</v>
      </c>
      <c r="V241" s="5">
        <v>0</v>
      </c>
      <c r="W241" s="5">
        <v>10</v>
      </c>
    </row>
    <row r="242" spans="1:23">
      <c r="A242" s="5">
        <f t="shared" si="28"/>
        <v>239</v>
      </c>
      <c r="B242" s="93">
        <f t="shared" ref="B242:B305" si="29">QUOTIENT(A242-45-1,20)+2001</f>
        <v>2010</v>
      </c>
      <c r="C242" s="20" t="str">
        <f>INDEX(Unitinfo!C:C,MATCH(UnitGradeInfo!B242,Unitinfo!A:A,0))</f>
        <v>(원거리)Witch_Thunder</v>
      </c>
      <c r="D242" s="5">
        <f>COUNTIF($B$4:B242,B242)</f>
        <v>14</v>
      </c>
      <c r="E242" s="5">
        <f>ROUNDDOWN(INDEX(ref_Unit_Balance!$G$31:$G$106,MATCH(UnitGradeInfo!B242,ref_Unit_Balance!$B$31:$B$1048576,0))
+INDEX(ref_Unit_Balance!$G$20:$G$23,MATCH(IFERROR(INDEX(ref_Unit_Balance!$D$31:$D$1048576,MATCH(B242,ref_Unit_Balance!$B$31:$B$1048576,0)),0),ref_Unit_Balance!$B$20:$B$23,0))*D242*ref_Unit_Balance!$C$25,0)</f>
        <v>1250</v>
      </c>
      <c r="F242" s="5">
        <f>INDEX(ref_Unit_Balance!$V$31:$V$106,MATCH(UnitGradeInfo!B242,ref_Unit_Balance!$B$31:$B$1048576,0))
+
INDEX(ref_Unit_Balance!$AB$31:$AB$106,MATCH(UnitGradeInfo!B242,ref_Unit_Balance!$B$31:$B$1048576,0))*(D242-1)</f>
        <v>15000</v>
      </c>
      <c r="G242" s="5">
        <f>INDEX(ref_Unit_Balance!$R$31:$R$106,MATCH(UnitGradeInfo!B242,ref_Unit_Balance!$B$31:$B$1048576,0))
+
INDEX(ref_Unit_Balance!$AA$31:$AA$106,MATCH(UnitGradeInfo!B242,ref_Unit_Balance!$B$31:$B$1048576,0))*(D242-1)</f>
        <v>510</v>
      </c>
      <c r="H242" s="39">
        <f>IF(INDEX(Unitinfo!D:D,MATCH(UnitGradeInfo!B242,Unitinfo!A:A,0))=1,50,5)</f>
        <v>50</v>
      </c>
      <c r="I242" s="5">
        <f>IF(INDEX(ref_Unit_Balance!$T$31:$T$106,MATCH(UnitGradeInfo!B242,ref_Unit_Balance!$B$31:$B$1048576,0))=0,1,INDEX(ref_Unit_Balance!$T$31:$T$106,MATCH(UnitGradeInfo!B242,ref_Unit_Balance!$B$31:$B$1048576,0)))</f>
        <v>5</v>
      </c>
      <c r="J242" s="5">
        <f>INDEX(ref_Unit_Balance!$S$31:$S$106,MATCH(UnitGradeInfo!B242,ref_Unit_Balance!$B$31:$B$1048576,0))</f>
        <v>250</v>
      </c>
      <c r="K242" s="5">
        <v>0</v>
      </c>
      <c r="L242" s="5">
        <f>INDEX(ref_Unit_Balance!$I$31:$I$106,MATCH(UnitGradeInfo!B242,ref_Unit_Balance!$B$31:$B$1048576,0))</f>
        <v>1</v>
      </c>
      <c r="M242" s="5">
        <f t="shared" si="24"/>
        <v>28</v>
      </c>
      <c r="N242" s="5">
        <f t="shared" si="25"/>
        <v>280</v>
      </c>
      <c r="O242" s="5">
        <f>(INDEX(Unitinfo!I:I,MATCH(B242,Unitinfo!A:A,0))+1)*2</f>
        <v>6</v>
      </c>
      <c r="P242" s="5">
        <v>0</v>
      </c>
      <c r="Q242" s="5">
        <v>0</v>
      </c>
      <c r="R242" s="19" t="s">
        <v>121</v>
      </c>
      <c r="S242" s="19" t="s">
        <v>121</v>
      </c>
      <c r="T242" s="5">
        <f t="shared" si="26"/>
        <v>2010</v>
      </c>
      <c r="U242" s="5">
        <f t="shared" si="27"/>
        <v>1</v>
      </c>
      <c r="V242" s="5">
        <v>0</v>
      </c>
      <c r="W242" s="5">
        <v>10</v>
      </c>
    </row>
    <row r="243" spans="1:23">
      <c r="A243" s="5">
        <f t="shared" si="28"/>
        <v>240</v>
      </c>
      <c r="B243" s="93">
        <f t="shared" si="29"/>
        <v>2010</v>
      </c>
      <c r="C243" s="20" t="str">
        <f>INDEX(Unitinfo!C:C,MATCH(UnitGradeInfo!B243,Unitinfo!A:A,0))</f>
        <v>(원거리)Witch_Thunder</v>
      </c>
      <c r="D243" s="5">
        <f>COUNTIF($B$4:B243,B243)</f>
        <v>15</v>
      </c>
      <c r="E243" s="5">
        <f>ROUNDDOWN(INDEX(ref_Unit_Balance!$G$31:$G$106,MATCH(UnitGradeInfo!B243,ref_Unit_Balance!$B$31:$B$1048576,0))
+INDEX(ref_Unit_Balance!$G$20:$G$23,MATCH(IFERROR(INDEX(ref_Unit_Balance!$D$31:$D$1048576,MATCH(B243,ref_Unit_Balance!$B$31:$B$1048576,0)),0),ref_Unit_Balance!$B$20:$B$23,0))*D243*ref_Unit_Balance!$C$25,0)</f>
        <v>1325</v>
      </c>
      <c r="F243" s="5">
        <f>INDEX(ref_Unit_Balance!$V$31:$V$106,MATCH(UnitGradeInfo!B243,ref_Unit_Balance!$B$31:$B$1048576,0))
+
INDEX(ref_Unit_Balance!$AB$31:$AB$106,MATCH(UnitGradeInfo!B243,ref_Unit_Balance!$B$31:$B$1048576,0))*(D243-1)</f>
        <v>15600</v>
      </c>
      <c r="G243" s="5">
        <f>INDEX(ref_Unit_Balance!$R$31:$R$106,MATCH(UnitGradeInfo!B243,ref_Unit_Balance!$B$31:$B$1048576,0))
+
INDEX(ref_Unit_Balance!$AA$31:$AA$106,MATCH(UnitGradeInfo!B243,ref_Unit_Balance!$B$31:$B$1048576,0))*(D243-1)</f>
        <v>540</v>
      </c>
      <c r="H243" s="39">
        <f>IF(INDEX(Unitinfo!D:D,MATCH(UnitGradeInfo!B243,Unitinfo!A:A,0))=1,50,5)</f>
        <v>50</v>
      </c>
      <c r="I243" s="5">
        <f>IF(INDEX(ref_Unit_Balance!$T$31:$T$106,MATCH(UnitGradeInfo!B243,ref_Unit_Balance!$B$31:$B$1048576,0))=0,1,INDEX(ref_Unit_Balance!$T$31:$T$106,MATCH(UnitGradeInfo!B243,ref_Unit_Balance!$B$31:$B$1048576,0)))</f>
        <v>5</v>
      </c>
      <c r="J243" s="5">
        <f>INDEX(ref_Unit_Balance!$S$31:$S$106,MATCH(UnitGradeInfo!B243,ref_Unit_Balance!$B$31:$B$1048576,0))</f>
        <v>250</v>
      </c>
      <c r="K243" s="5">
        <v>0</v>
      </c>
      <c r="L243" s="5">
        <f>INDEX(ref_Unit_Balance!$I$31:$I$106,MATCH(UnitGradeInfo!B243,ref_Unit_Balance!$B$31:$B$1048576,0))</f>
        <v>1</v>
      </c>
      <c r="M243" s="5">
        <f t="shared" si="24"/>
        <v>30</v>
      </c>
      <c r="N243" s="5">
        <f t="shared" si="25"/>
        <v>300</v>
      </c>
      <c r="O243" s="5">
        <f>(INDEX(Unitinfo!I:I,MATCH(B243,Unitinfo!A:A,0))+1)*2</f>
        <v>6</v>
      </c>
      <c r="P243" s="5">
        <v>0</v>
      </c>
      <c r="Q243" s="5">
        <v>0</v>
      </c>
      <c r="R243" s="19" t="s">
        <v>121</v>
      </c>
      <c r="S243" s="19" t="s">
        <v>121</v>
      </c>
      <c r="T243" s="5">
        <f t="shared" si="26"/>
        <v>2010</v>
      </c>
      <c r="U243" s="5">
        <f t="shared" si="27"/>
        <v>1</v>
      </c>
      <c r="V243" s="5">
        <v>0</v>
      </c>
      <c r="W243" s="5">
        <v>10</v>
      </c>
    </row>
    <row r="244" spans="1:23">
      <c r="A244" s="5">
        <f t="shared" si="28"/>
        <v>241</v>
      </c>
      <c r="B244" s="93">
        <f t="shared" si="29"/>
        <v>2010</v>
      </c>
      <c r="C244" s="20" t="str">
        <f>INDEX(Unitinfo!C:C,MATCH(UnitGradeInfo!B244,Unitinfo!A:A,0))</f>
        <v>(원거리)Witch_Thunder</v>
      </c>
      <c r="D244" s="5">
        <f>COUNTIF($B$4:B244,B244)</f>
        <v>16</v>
      </c>
      <c r="E244" s="5">
        <f>ROUNDDOWN(INDEX(ref_Unit_Balance!$G$31:$G$106,MATCH(UnitGradeInfo!B244,ref_Unit_Balance!$B$31:$B$1048576,0))
+INDEX(ref_Unit_Balance!$G$20:$G$23,MATCH(IFERROR(INDEX(ref_Unit_Balance!$D$31:$D$1048576,MATCH(B244,ref_Unit_Balance!$B$31:$B$1048576,0)),0),ref_Unit_Balance!$B$20:$B$23,0))*D244*ref_Unit_Balance!$C$25,0)</f>
        <v>1400</v>
      </c>
      <c r="F244" s="5">
        <f>INDEX(ref_Unit_Balance!$V$31:$V$106,MATCH(UnitGradeInfo!B244,ref_Unit_Balance!$B$31:$B$1048576,0))
+
INDEX(ref_Unit_Balance!$AB$31:$AB$106,MATCH(UnitGradeInfo!B244,ref_Unit_Balance!$B$31:$B$1048576,0))*(D244-1)</f>
        <v>16200</v>
      </c>
      <c r="G244" s="5">
        <f>INDEX(ref_Unit_Balance!$R$31:$R$106,MATCH(UnitGradeInfo!B244,ref_Unit_Balance!$B$31:$B$1048576,0))
+
INDEX(ref_Unit_Balance!$AA$31:$AA$106,MATCH(UnitGradeInfo!B244,ref_Unit_Balance!$B$31:$B$1048576,0))*(D244-1)</f>
        <v>570</v>
      </c>
      <c r="H244" s="39">
        <f>IF(INDEX(Unitinfo!D:D,MATCH(UnitGradeInfo!B244,Unitinfo!A:A,0))=1,50,5)</f>
        <v>50</v>
      </c>
      <c r="I244" s="5">
        <f>IF(INDEX(ref_Unit_Balance!$T$31:$T$106,MATCH(UnitGradeInfo!B244,ref_Unit_Balance!$B$31:$B$1048576,0))=0,1,INDEX(ref_Unit_Balance!$T$31:$T$106,MATCH(UnitGradeInfo!B244,ref_Unit_Balance!$B$31:$B$1048576,0)))</f>
        <v>5</v>
      </c>
      <c r="J244" s="5">
        <f>INDEX(ref_Unit_Balance!$S$31:$S$106,MATCH(UnitGradeInfo!B244,ref_Unit_Balance!$B$31:$B$1048576,0))</f>
        <v>250</v>
      </c>
      <c r="K244" s="5">
        <v>0</v>
      </c>
      <c r="L244" s="5">
        <f>INDEX(ref_Unit_Balance!$I$31:$I$106,MATCH(UnitGradeInfo!B244,ref_Unit_Balance!$B$31:$B$1048576,0))</f>
        <v>1</v>
      </c>
      <c r="M244" s="5">
        <f t="shared" si="24"/>
        <v>32</v>
      </c>
      <c r="N244" s="5">
        <f t="shared" si="25"/>
        <v>320</v>
      </c>
      <c r="O244" s="5">
        <f>(INDEX(Unitinfo!I:I,MATCH(B244,Unitinfo!A:A,0))+1)*2</f>
        <v>6</v>
      </c>
      <c r="P244" s="5">
        <v>0</v>
      </c>
      <c r="Q244" s="5">
        <v>0</v>
      </c>
      <c r="R244" s="19" t="s">
        <v>121</v>
      </c>
      <c r="S244" s="19" t="s">
        <v>121</v>
      </c>
      <c r="T244" s="5">
        <f t="shared" si="26"/>
        <v>2010</v>
      </c>
      <c r="U244" s="5">
        <f t="shared" si="27"/>
        <v>1</v>
      </c>
      <c r="V244" s="5">
        <v>0</v>
      </c>
      <c r="W244" s="5">
        <v>10</v>
      </c>
    </row>
    <row r="245" spans="1:23">
      <c r="A245" s="5">
        <f t="shared" si="28"/>
        <v>242</v>
      </c>
      <c r="B245" s="93">
        <f t="shared" si="29"/>
        <v>2010</v>
      </c>
      <c r="C245" s="20" t="str">
        <f>INDEX(Unitinfo!C:C,MATCH(UnitGradeInfo!B245,Unitinfo!A:A,0))</f>
        <v>(원거리)Witch_Thunder</v>
      </c>
      <c r="D245" s="5">
        <f>COUNTIF($B$4:B245,B245)</f>
        <v>17</v>
      </c>
      <c r="E245" s="5">
        <f>ROUNDDOWN(INDEX(ref_Unit_Balance!$G$31:$G$106,MATCH(UnitGradeInfo!B245,ref_Unit_Balance!$B$31:$B$1048576,0))
+INDEX(ref_Unit_Balance!$G$20:$G$23,MATCH(IFERROR(INDEX(ref_Unit_Balance!$D$31:$D$1048576,MATCH(B245,ref_Unit_Balance!$B$31:$B$1048576,0)),0),ref_Unit_Balance!$B$20:$B$23,0))*D245*ref_Unit_Balance!$C$25,0)</f>
        <v>1475</v>
      </c>
      <c r="F245" s="5">
        <f>INDEX(ref_Unit_Balance!$V$31:$V$106,MATCH(UnitGradeInfo!B245,ref_Unit_Balance!$B$31:$B$1048576,0))
+
INDEX(ref_Unit_Balance!$AB$31:$AB$106,MATCH(UnitGradeInfo!B245,ref_Unit_Balance!$B$31:$B$1048576,0))*(D245-1)</f>
        <v>16800</v>
      </c>
      <c r="G245" s="5">
        <f>INDEX(ref_Unit_Balance!$R$31:$R$106,MATCH(UnitGradeInfo!B245,ref_Unit_Balance!$B$31:$B$1048576,0))
+
INDEX(ref_Unit_Balance!$AA$31:$AA$106,MATCH(UnitGradeInfo!B245,ref_Unit_Balance!$B$31:$B$1048576,0))*(D245-1)</f>
        <v>600</v>
      </c>
      <c r="H245" s="39">
        <f>IF(INDEX(Unitinfo!D:D,MATCH(UnitGradeInfo!B245,Unitinfo!A:A,0))=1,50,5)</f>
        <v>50</v>
      </c>
      <c r="I245" s="5">
        <f>IF(INDEX(ref_Unit_Balance!$T$31:$T$106,MATCH(UnitGradeInfo!B245,ref_Unit_Balance!$B$31:$B$1048576,0))=0,1,INDEX(ref_Unit_Balance!$T$31:$T$106,MATCH(UnitGradeInfo!B245,ref_Unit_Balance!$B$31:$B$1048576,0)))</f>
        <v>5</v>
      </c>
      <c r="J245" s="5">
        <f>INDEX(ref_Unit_Balance!$S$31:$S$106,MATCH(UnitGradeInfo!B245,ref_Unit_Balance!$B$31:$B$1048576,0))</f>
        <v>250</v>
      </c>
      <c r="K245" s="5">
        <v>0</v>
      </c>
      <c r="L245" s="5">
        <f>INDEX(ref_Unit_Balance!$I$31:$I$106,MATCH(UnitGradeInfo!B245,ref_Unit_Balance!$B$31:$B$1048576,0))</f>
        <v>1</v>
      </c>
      <c r="M245" s="5">
        <f t="shared" si="24"/>
        <v>34</v>
      </c>
      <c r="N245" s="5">
        <f t="shared" si="25"/>
        <v>340</v>
      </c>
      <c r="O245" s="5">
        <f>(INDEX(Unitinfo!I:I,MATCH(B245,Unitinfo!A:A,0))+1)*2</f>
        <v>6</v>
      </c>
      <c r="P245" s="5">
        <v>0</v>
      </c>
      <c r="Q245" s="5">
        <v>0</v>
      </c>
      <c r="R245" s="19" t="s">
        <v>121</v>
      </c>
      <c r="S245" s="19" t="s">
        <v>121</v>
      </c>
      <c r="T245" s="5">
        <f t="shared" si="26"/>
        <v>2010</v>
      </c>
      <c r="U245" s="5">
        <f t="shared" si="27"/>
        <v>1</v>
      </c>
      <c r="V245" s="5">
        <v>0</v>
      </c>
      <c r="W245" s="5">
        <v>10</v>
      </c>
    </row>
    <row r="246" spans="1:23">
      <c r="A246" s="5">
        <f t="shared" si="28"/>
        <v>243</v>
      </c>
      <c r="B246" s="93">
        <f t="shared" si="29"/>
        <v>2010</v>
      </c>
      <c r="C246" s="20" t="str">
        <f>INDEX(Unitinfo!C:C,MATCH(UnitGradeInfo!B246,Unitinfo!A:A,0))</f>
        <v>(원거리)Witch_Thunder</v>
      </c>
      <c r="D246" s="5">
        <f>COUNTIF($B$4:B246,B246)</f>
        <v>18</v>
      </c>
      <c r="E246" s="5">
        <f>ROUNDDOWN(INDEX(ref_Unit_Balance!$G$31:$G$106,MATCH(UnitGradeInfo!B246,ref_Unit_Balance!$B$31:$B$1048576,0))
+INDEX(ref_Unit_Balance!$G$20:$G$23,MATCH(IFERROR(INDEX(ref_Unit_Balance!$D$31:$D$1048576,MATCH(B246,ref_Unit_Balance!$B$31:$B$1048576,0)),0),ref_Unit_Balance!$B$20:$B$23,0))*D246*ref_Unit_Balance!$C$25,0)</f>
        <v>1550</v>
      </c>
      <c r="F246" s="5">
        <f>INDEX(ref_Unit_Balance!$V$31:$V$106,MATCH(UnitGradeInfo!B246,ref_Unit_Balance!$B$31:$B$1048576,0))
+
INDEX(ref_Unit_Balance!$AB$31:$AB$106,MATCH(UnitGradeInfo!B246,ref_Unit_Balance!$B$31:$B$1048576,0))*(D246-1)</f>
        <v>17400</v>
      </c>
      <c r="G246" s="5">
        <f>INDEX(ref_Unit_Balance!$R$31:$R$106,MATCH(UnitGradeInfo!B246,ref_Unit_Balance!$B$31:$B$1048576,0))
+
INDEX(ref_Unit_Balance!$AA$31:$AA$106,MATCH(UnitGradeInfo!B246,ref_Unit_Balance!$B$31:$B$1048576,0))*(D246-1)</f>
        <v>630</v>
      </c>
      <c r="H246" s="39">
        <f>IF(INDEX(Unitinfo!D:D,MATCH(UnitGradeInfo!B246,Unitinfo!A:A,0))=1,50,5)</f>
        <v>50</v>
      </c>
      <c r="I246" s="5">
        <f>IF(INDEX(ref_Unit_Balance!$T$31:$T$106,MATCH(UnitGradeInfo!B246,ref_Unit_Balance!$B$31:$B$1048576,0))=0,1,INDEX(ref_Unit_Balance!$T$31:$T$106,MATCH(UnitGradeInfo!B246,ref_Unit_Balance!$B$31:$B$1048576,0)))</f>
        <v>5</v>
      </c>
      <c r="J246" s="5">
        <f>INDEX(ref_Unit_Balance!$S$31:$S$106,MATCH(UnitGradeInfo!B246,ref_Unit_Balance!$B$31:$B$1048576,0))</f>
        <v>250</v>
      </c>
      <c r="K246" s="5">
        <v>0</v>
      </c>
      <c r="L246" s="5">
        <f>INDEX(ref_Unit_Balance!$I$31:$I$106,MATCH(UnitGradeInfo!B246,ref_Unit_Balance!$B$31:$B$1048576,0))</f>
        <v>1</v>
      </c>
      <c r="M246" s="5">
        <f t="shared" si="24"/>
        <v>36</v>
      </c>
      <c r="N246" s="5">
        <f t="shared" si="25"/>
        <v>360</v>
      </c>
      <c r="O246" s="5">
        <f>(INDEX(Unitinfo!I:I,MATCH(B246,Unitinfo!A:A,0))+1)*2</f>
        <v>6</v>
      </c>
      <c r="P246" s="5">
        <v>0</v>
      </c>
      <c r="Q246" s="5">
        <v>0</v>
      </c>
      <c r="R246" s="19" t="s">
        <v>121</v>
      </c>
      <c r="S246" s="19" t="s">
        <v>121</v>
      </c>
      <c r="T246" s="5">
        <f t="shared" si="26"/>
        <v>2010</v>
      </c>
      <c r="U246" s="5">
        <f t="shared" si="27"/>
        <v>1</v>
      </c>
      <c r="V246" s="5">
        <v>0</v>
      </c>
      <c r="W246" s="5">
        <v>10</v>
      </c>
    </row>
    <row r="247" spans="1:23">
      <c r="A247" s="5">
        <f t="shared" si="28"/>
        <v>244</v>
      </c>
      <c r="B247" s="93">
        <f t="shared" si="29"/>
        <v>2010</v>
      </c>
      <c r="C247" s="20" t="str">
        <f>INDEX(Unitinfo!C:C,MATCH(UnitGradeInfo!B247,Unitinfo!A:A,0))</f>
        <v>(원거리)Witch_Thunder</v>
      </c>
      <c r="D247" s="5">
        <f>COUNTIF($B$4:B247,B247)</f>
        <v>19</v>
      </c>
      <c r="E247" s="5">
        <f>ROUNDDOWN(INDEX(ref_Unit_Balance!$G$31:$G$106,MATCH(UnitGradeInfo!B247,ref_Unit_Balance!$B$31:$B$1048576,0))
+INDEX(ref_Unit_Balance!$G$20:$G$23,MATCH(IFERROR(INDEX(ref_Unit_Balance!$D$31:$D$1048576,MATCH(B247,ref_Unit_Balance!$B$31:$B$1048576,0)),0),ref_Unit_Balance!$B$20:$B$23,0))*D247*ref_Unit_Balance!$C$25,0)</f>
        <v>1625</v>
      </c>
      <c r="F247" s="5">
        <f>INDEX(ref_Unit_Balance!$V$31:$V$106,MATCH(UnitGradeInfo!B247,ref_Unit_Balance!$B$31:$B$1048576,0))
+
INDEX(ref_Unit_Balance!$AB$31:$AB$106,MATCH(UnitGradeInfo!B247,ref_Unit_Balance!$B$31:$B$1048576,0))*(D247-1)</f>
        <v>18000</v>
      </c>
      <c r="G247" s="5">
        <f>INDEX(ref_Unit_Balance!$R$31:$R$106,MATCH(UnitGradeInfo!B247,ref_Unit_Balance!$B$31:$B$1048576,0))
+
INDEX(ref_Unit_Balance!$AA$31:$AA$106,MATCH(UnitGradeInfo!B247,ref_Unit_Balance!$B$31:$B$1048576,0))*(D247-1)</f>
        <v>660</v>
      </c>
      <c r="H247" s="39">
        <f>IF(INDEX(Unitinfo!D:D,MATCH(UnitGradeInfo!B247,Unitinfo!A:A,0))=1,50,5)</f>
        <v>50</v>
      </c>
      <c r="I247" s="5">
        <f>IF(INDEX(ref_Unit_Balance!$T$31:$T$106,MATCH(UnitGradeInfo!B247,ref_Unit_Balance!$B$31:$B$1048576,0))=0,1,INDEX(ref_Unit_Balance!$T$31:$T$106,MATCH(UnitGradeInfo!B247,ref_Unit_Balance!$B$31:$B$1048576,0)))</f>
        <v>5</v>
      </c>
      <c r="J247" s="5">
        <f>INDEX(ref_Unit_Balance!$S$31:$S$106,MATCH(UnitGradeInfo!B247,ref_Unit_Balance!$B$31:$B$1048576,0))</f>
        <v>250</v>
      </c>
      <c r="K247" s="5">
        <v>0</v>
      </c>
      <c r="L247" s="5">
        <f>INDEX(ref_Unit_Balance!$I$31:$I$106,MATCH(UnitGradeInfo!B247,ref_Unit_Balance!$B$31:$B$1048576,0))</f>
        <v>1</v>
      </c>
      <c r="M247" s="5">
        <f t="shared" si="24"/>
        <v>38</v>
      </c>
      <c r="N247" s="5">
        <f t="shared" si="25"/>
        <v>380</v>
      </c>
      <c r="O247" s="5">
        <f>(INDEX(Unitinfo!I:I,MATCH(B247,Unitinfo!A:A,0))+1)*2</f>
        <v>6</v>
      </c>
      <c r="P247" s="5">
        <v>0</v>
      </c>
      <c r="Q247" s="5">
        <v>0</v>
      </c>
      <c r="R247" s="19" t="s">
        <v>121</v>
      </c>
      <c r="S247" s="19" t="s">
        <v>121</v>
      </c>
      <c r="T247" s="5">
        <f t="shared" si="26"/>
        <v>2010</v>
      </c>
      <c r="U247" s="5">
        <f t="shared" si="27"/>
        <v>1</v>
      </c>
      <c r="V247" s="5">
        <v>0</v>
      </c>
      <c r="W247" s="5">
        <v>10</v>
      </c>
    </row>
    <row r="248" spans="1:23">
      <c r="A248" s="5">
        <f t="shared" si="28"/>
        <v>245</v>
      </c>
      <c r="B248" s="93">
        <f t="shared" si="29"/>
        <v>2010</v>
      </c>
      <c r="C248" s="20" t="str">
        <f>INDEX(Unitinfo!C:C,MATCH(UnitGradeInfo!B248,Unitinfo!A:A,0))</f>
        <v>(원거리)Witch_Thunder</v>
      </c>
      <c r="D248" s="5">
        <f>COUNTIF($B$4:B248,B248)</f>
        <v>20</v>
      </c>
      <c r="E248" s="5">
        <f>ROUNDDOWN(INDEX(ref_Unit_Balance!$G$31:$G$106,MATCH(UnitGradeInfo!B248,ref_Unit_Balance!$B$31:$B$1048576,0))
+INDEX(ref_Unit_Balance!$G$20:$G$23,MATCH(IFERROR(INDEX(ref_Unit_Balance!$D$31:$D$1048576,MATCH(B248,ref_Unit_Balance!$B$31:$B$1048576,0)),0),ref_Unit_Balance!$B$20:$B$23,0))*D248*ref_Unit_Balance!$C$25,0)</f>
        <v>1700</v>
      </c>
      <c r="F248" s="5">
        <f>INDEX(ref_Unit_Balance!$V$31:$V$106,MATCH(UnitGradeInfo!B248,ref_Unit_Balance!$B$31:$B$1048576,0))
+
INDEX(ref_Unit_Balance!$AB$31:$AB$106,MATCH(UnitGradeInfo!B248,ref_Unit_Balance!$B$31:$B$1048576,0))*(D248-1)</f>
        <v>18600</v>
      </c>
      <c r="G248" s="5">
        <f>INDEX(ref_Unit_Balance!$R$31:$R$106,MATCH(UnitGradeInfo!B248,ref_Unit_Balance!$B$31:$B$1048576,0))
+
INDEX(ref_Unit_Balance!$AA$31:$AA$106,MATCH(UnitGradeInfo!B248,ref_Unit_Balance!$B$31:$B$1048576,0))*(D248-1)</f>
        <v>690</v>
      </c>
      <c r="H248" s="39">
        <f>IF(INDEX(Unitinfo!D:D,MATCH(UnitGradeInfo!B248,Unitinfo!A:A,0))=1,50,5)</f>
        <v>50</v>
      </c>
      <c r="I248" s="5">
        <f>IF(INDEX(ref_Unit_Balance!$T$31:$T$106,MATCH(UnitGradeInfo!B248,ref_Unit_Balance!$B$31:$B$1048576,0))=0,1,INDEX(ref_Unit_Balance!$T$31:$T$106,MATCH(UnitGradeInfo!B248,ref_Unit_Balance!$B$31:$B$1048576,0)))</f>
        <v>5</v>
      </c>
      <c r="J248" s="5">
        <f>INDEX(ref_Unit_Balance!$S$31:$S$106,MATCH(UnitGradeInfo!B248,ref_Unit_Balance!$B$31:$B$1048576,0))</f>
        <v>250</v>
      </c>
      <c r="K248" s="5">
        <v>0</v>
      </c>
      <c r="L248" s="5">
        <f>INDEX(ref_Unit_Balance!$I$31:$I$106,MATCH(UnitGradeInfo!B248,ref_Unit_Balance!$B$31:$B$1048576,0))</f>
        <v>1</v>
      </c>
      <c r="M248" s="5">
        <f t="shared" si="24"/>
        <v>40</v>
      </c>
      <c r="N248" s="5">
        <f t="shared" si="25"/>
        <v>400</v>
      </c>
      <c r="O248" s="5">
        <f>(INDEX(Unitinfo!I:I,MATCH(B248,Unitinfo!A:A,0))+1)*2</f>
        <v>6</v>
      </c>
      <c r="P248" s="5">
        <v>0</v>
      </c>
      <c r="Q248" s="5">
        <v>0</v>
      </c>
      <c r="R248" s="19" t="s">
        <v>121</v>
      </c>
      <c r="S248" s="19" t="s">
        <v>121</v>
      </c>
      <c r="T248" s="5">
        <f t="shared" si="26"/>
        <v>2010</v>
      </c>
      <c r="U248" s="5">
        <f t="shared" si="27"/>
        <v>1</v>
      </c>
      <c r="V248" s="5">
        <v>0</v>
      </c>
      <c r="W248" s="5">
        <v>10</v>
      </c>
    </row>
    <row r="249" spans="1:23">
      <c r="A249" s="5">
        <f t="shared" si="28"/>
        <v>246</v>
      </c>
      <c r="B249" s="93">
        <f t="shared" si="29"/>
        <v>2011</v>
      </c>
      <c r="C249" s="20" t="str">
        <f>INDEX(Unitinfo!C:C,MATCH(UnitGradeInfo!B249,Unitinfo!A:A,0))</f>
        <v>(원거리)Witch_Poison</v>
      </c>
      <c r="D249" s="5">
        <f>COUNTIF($B$4:B249,B249)</f>
        <v>1</v>
      </c>
      <c r="E249" s="5">
        <f>ROUNDDOWN(INDEX(ref_Unit_Balance!$G$31:$G$106,MATCH(UnitGradeInfo!B249,ref_Unit_Balance!$B$31:$B$1048576,0))
+INDEX(ref_Unit_Balance!$G$20:$G$23,MATCH(IFERROR(INDEX(ref_Unit_Balance!$D$31:$D$1048576,MATCH(B249,ref_Unit_Balance!$B$31:$B$1048576,0)),0),ref_Unit_Balance!$B$20:$B$23,0))*D249*ref_Unit_Balance!$C$25,0)</f>
        <v>275</v>
      </c>
      <c r="F249" s="5">
        <f>INDEX(ref_Unit_Balance!$V$31:$V$106,MATCH(UnitGradeInfo!B249,ref_Unit_Balance!$B$31:$B$1048576,0))
+
INDEX(ref_Unit_Balance!$AB$31:$AB$106,MATCH(UnitGradeInfo!B249,ref_Unit_Balance!$B$31:$B$1048576,0))*(D249-1)</f>
        <v>6000</v>
      </c>
      <c r="G249" s="5">
        <f>INDEX(ref_Unit_Balance!$R$31:$R$106,MATCH(UnitGradeInfo!B249,ref_Unit_Balance!$B$31:$B$1048576,0))
+
INDEX(ref_Unit_Balance!$AA$31:$AA$106,MATCH(UnitGradeInfo!B249,ref_Unit_Balance!$B$31:$B$1048576,0))*(D249-1)</f>
        <v>512</v>
      </c>
      <c r="H249" s="39">
        <f>IF(INDEX(Unitinfo!D:D,MATCH(UnitGradeInfo!B249,Unitinfo!A:A,0))=1,50,5)</f>
        <v>50</v>
      </c>
      <c r="I249" s="5">
        <f>IF(INDEX(ref_Unit_Balance!$T$31:$T$106,MATCH(UnitGradeInfo!B249,ref_Unit_Balance!$B$31:$B$1048576,0))=0,1,INDEX(ref_Unit_Balance!$T$31:$T$106,MATCH(UnitGradeInfo!B249,ref_Unit_Balance!$B$31:$B$1048576,0)))</f>
        <v>5</v>
      </c>
      <c r="J249" s="5">
        <f>INDEX(ref_Unit_Balance!$S$31:$S$106,MATCH(UnitGradeInfo!B249,ref_Unit_Balance!$B$31:$B$1048576,0))</f>
        <v>800</v>
      </c>
      <c r="K249" s="5">
        <v>0</v>
      </c>
      <c r="L249" s="5">
        <f>INDEX(ref_Unit_Balance!$I$31:$I$106,MATCH(UnitGradeInfo!B249,ref_Unit_Balance!$B$31:$B$1048576,0))</f>
        <v>1</v>
      </c>
      <c r="M249" s="5">
        <f t="shared" si="24"/>
        <v>2</v>
      </c>
      <c r="N249" s="5">
        <f t="shared" si="25"/>
        <v>20</v>
      </c>
      <c r="O249" s="5">
        <f>(INDEX(Unitinfo!I:I,MATCH(B249,Unitinfo!A:A,0))+1)*2</f>
        <v>6</v>
      </c>
      <c r="P249" s="5">
        <v>0</v>
      </c>
      <c r="Q249" s="5">
        <v>0</v>
      </c>
      <c r="R249" s="19" t="s">
        <v>121</v>
      </c>
      <c r="S249" s="19" t="s">
        <v>121</v>
      </c>
      <c r="T249" s="5">
        <f t="shared" si="26"/>
        <v>2011</v>
      </c>
      <c r="U249" s="5">
        <f t="shared" si="27"/>
        <v>1</v>
      </c>
      <c r="V249" s="5">
        <v>0</v>
      </c>
      <c r="W249" s="5">
        <v>10</v>
      </c>
    </row>
    <row r="250" spans="1:23">
      <c r="A250" s="5">
        <f t="shared" si="28"/>
        <v>247</v>
      </c>
      <c r="B250" s="93">
        <f t="shared" si="29"/>
        <v>2011</v>
      </c>
      <c r="C250" s="20" t="str">
        <f>INDEX(Unitinfo!C:C,MATCH(UnitGradeInfo!B250,Unitinfo!A:A,0))</f>
        <v>(원거리)Witch_Poison</v>
      </c>
      <c r="D250" s="5">
        <f>COUNTIF($B$4:B250,B250)</f>
        <v>2</v>
      </c>
      <c r="E250" s="5">
        <f>ROUNDDOWN(INDEX(ref_Unit_Balance!$G$31:$G$106,MATCH(UnitGradeInfo!B250,ref_Unit_Balance!$B$31:$B$1048576,0))
+INDEX(ref_Unit_Balance!$G$20:$G$23,MATCH(IFERROR(INDEX(ref_Unit_Balance!$D$31:$D$1048576,MATCH(B250,ref_Unit_Balance!$B$31:$B$1048576,0)),0),ref_Unit_Balance!$B$20:$B$23,0))*D250*ref_Unit_Balance!$C$25,0)</f>
        <v>350</v>
      </c>
      <c r="F250" s="5">
        <f>INDEX(ref_Unit_Balance!$V$31:$V$106,MATCH(UnitGradeInfo!B250,ref_Unit_Balance!$B$31:$B$1048576,0))
+
INDEX(ref_Unit_Balance!$AB$31:$AB$106,MATCH(UnitGradeInfo!B250,ref_Unit_Balance!$B$31:$B$1048576,0))*(D250-1)</f>
        <v>6600</v>
      </c>
      <c r="G250" s="5">
        <f>INDEX(ref_Unit_Balance!$R$31:$R$106,MATCH(UnitGradeInfo!B250,ref_Unit_Balance!$B$31:$B$1048576,0))
+
INDEX(ref_Unit_Balance!$AA$31:$AA$106,MATCH(UnitGradeInfo!B250,ref_Unit_Balance!$B$31:$B$1048576,0))*(D250-1)</f>
        <v>608</v>
      </c>
      <c r="H250" s="39">
        <f>IF(INDEX(Unitinfo!D:D,MATCH(UnitGradeInfo!B250,Unitinfo!A:A,0))=1,50,5)</f>
        <v>50</v>
      </c>
      <c r="I250" s="5">
        <f>IF(INDEX(ref_Unit_Balance!$T$31:$T$106,MATCH(UnitGradeInfo!B250,ref_Unit_Balance!$B$31:$B$1048576,0))=0,1,INDEX(ref_Unit_Balance!$T$31:$T$106,MATCH(UnitGradeInfo!B250,ref_Unit_Balance!$B$31:$B$1048576,0)))</f>
        <v>5</v>
      </c>
      <c r="J250" s="5">
        <f>INDEX(ref_Unit_Balance!$S$31:$S$106,MATCH(UnitGradeInfo!B250,ref_Unit_Balance!$B$31:$B$1048576,0))</f>
        <v>800</v>
      </c>
      <c r="K250" s="5">
        <v>0</v>
      </c>
      <c r="L250" s="5">
        <f>INDEX(ref_Unit_Balance!$I$31:$I$106,MATCH(UnitGradeInfo!B250,ref_Unit_Balance!$B$31:$B$1048576,0))</f>
        <v>1</v>
      </c>
      <c r="M250" s="5">
        <f t="shared" si="24"/>
        <v>4</v>
      </c>
      <c r="N250" s="5">
        <f t="shared" si="25"/>
        <v>40</v>
      </c>
      <c r="O250" s="5">
        <f>(INDEX(Unitinfo!I:I,MATCH(B250,Unitinfo!A:A,0))+1)*2</f>
        <v>6</v>
      </c>
      <c r="P250" s="5">
        <v>0</v>
      </c>
      <c r="Q250" s="5">
        <v>0</v>
      </c>
      <c r="R250" s="19" t="s">
        <v>121</v>
      </c>
      <c r="S250" s="19" t="s">
        <v>121</v>
      </c>
      <c r="T250" s="5">
        <f t="shared" si="26"/>
        <v>2011</v>
      </c>
      <c r="U250" s="5">
        <f t="shared" si="27"/>
        <v>1</v>
      </c>
      <c r="V250" s="5">
        <v>0</v>
      </c>
      <c r="W250" s="5">
        <v>10</v>
      </c>
    </row>
    <row r="251" spans="1:23">
      <c r="A251" s="5">
        <f t="shared" si="28"/>
        <v>248</v>
      </c>
      <c r="B251" s="93">
        <f t="shared" si="29"/>
        <v>2011</v>
      </c>
      <c r="C251" s="20" t="str">
        <f>INDEX(Unitinfo!C:C,MATCH(UnitGradeInfo!B251,Unitinfo!A:A,0))</f>
        <v>(원거리)Witch_Poison</v>
      </c>
      <c r="D251" s="5">
        <f>COUNTIF($B$4:B251,B251)</f>
        <v>3</v>
      </c>
      <c r="E251" s="5">
        <f>ROUNDDOWN(INDEX(ref_Unit_Balance!$G$31:$G$106,MATCH(UnitGradeInfo!B251,ref_Unit_Balance!$B$31:$B$1048576,0))
+INDEX(ref_Unit_Balance!$G$20:$G$23,MATCH(IFERROR(INDEX(ref_Unit_Balance!$D$31:$D$1048576,MATCH(B251,ref_Unit_Balance!$B$31:$B$1048576,0)),0),ref_Unit_Balance!$B$20:$B$23,0))*D251*ref_Unit_Balance!$C$25,0)</f>
        <v>425</v>
      </c>
      <c r="F251" s="5">
        <f>INDEX(ref_Unit_Balance!$V$31:$V$106,MATCH(UnitGradeInfo!B251,ref_Unit_Balance!$B$31:$B$1048576,0))
+
INDEX(ref_Unit_Balance!$AB$31:$AB$106,MATCH(UnitGradeInfo!B251,ref_Unit_Balance!$B$31:$B$1048576,0))*(D251-1)</f>
        <v>7200</v>
      </c>
      <c r="G251" s="5">
        <f>INDEX(ref_Unit_Balance!$R$31:$R$106,MATCH(UnitGradeInfo!B251,ref_Unit_Balance!$B$31:$B$1048576,0))
+
INDEX(ref_Unit_Balance!$AA$31:$AA$106,MATCH(UnitGradeInfo!B251,ref_Unit_Balance!$B$31:$B$1048576,0))*(D251-1)</f>
        <v>704</v>
      </c>
      <c r="H251" s="39">
        <f>IF(INDEX(Unitinfo!D:D,MATCH(UnitGradeInfo!B251,Unitinfo!A:A,0))=1,50,5)</f>
        <v>50</v>
      </c>
      <c r="I251" s="5">
        <f>IF(INDEX(ref_Unit_Balance!$T$31:$T$106,MATCH(UnitGradeInfo!B251,ref_Unit_Balance!$B$31:$B$1048576,0))=0,1,INDEX(ref_Unit_Balance!$T$31:$T$106,MATCH(UnitGradeInfo!B251,ref_Unit_Balance!$B$31:$B$1048576,0)))</f>
        <v>5</v>
      </c>
      <c r="J251" s="5">
        <f>INDEX(ref_Unit_Balance!$S$31:$S$106,MATCH(UnitGradeInfo!B251,ref_Unit_Balance!$B$31:$B$1048576,0))</f>
        <v>800</v>
      </c>
      <c r="K251" s="5">
        <v>0</v>
      </c>
      <c r="L251" s="5">
        <f>INDEX(ref_Unit_Balance!$I$31:$I$106,MATCH(UnitGradeInfo!B251,ref_Unit_Balance!$B$31:$B$1048576,0))</f>
        <v>1</v>
      </c>
      <c r="M251" s="5">
        <f t="shared" si="24"/>
        <v>6</v>
      </c>
      <c r="N251" s="5">
        <f t="shared" si="25"/>
        <v>60</v>
      </c>
      <c r="O251" s="5">
        <f>(INDEX(Unitinfo!I:I,MATCH(B251,Unitinfo!A:A,0))+1)*2</f>
        <v>6</v>
      </c>
      <c r="P251" s="5">
        <v>0</v>
      </c>
      <c r="Q251" s="5">
        <v>0</v>
      </c>
      <c r="R251" s="19" t="s">
        <v>121</v>
      </c>
      <c r="S251" s="19" t="s">
        <v>121</v>
      </c>
      <c r="T251" s="5">
        <f t="shared" si="26"/>
        <v>2011</v>
      </c>
      <c r="U251" s="5">
        <f t="shared" si="27"/>
        <v>1</v>
      </c>
      <c r="V251" s="5">
        <v>0</v>
      </c>
      <c r="W251" s="5">
        <v>10</v>
      </c>
    </row>
    <row r="252" spans="1:23">
      <c r="A252" s="5">
        <f t="shared" si="28"/>
        <v>249</v>
      </c>
      <c r="B252" s="93">
        <f t="shared" si="29"/>
        <v>2011</v>
      </c>
      <c r="C252" s="20" t="str">
        <f>INDEX(Unitinfo!C:C,MATCH(UnitGradeInfo!B252,Unitinfo!A:A,0))</f>
        <v>(원거리)Witch_Poison</v>
      </c>
      <c r="D252" s="5">
        <f>COUNTIF($B$4:B252,B252)</f>
        <v>4</v>
      </c>
      <c r="E252" s="5">
        <f>ROUNDDOWN(INDEX(ref_Unit_Balance!$G$31:$G$106,MATCH(UnitGradeInfo!B252,ref_Unit_Balance!$B$31:$B$1048576,0))
+INDEX(ref_Unit_Balance!$G$20:$G$23,MATCH(IFERROR(INDEX(ref_Unit_Balance!$D$31:$D$1048576,MATCH(B252,ref_Unit_Balance!$B$31:$B$1048576,0)),0),ref_Unit_Balance!$B$20:$B$23,0))*D252*ref_Unit_Balance!$C$25,0)</f>
        <v>500</v>
      </c>
      <c r="F252" s="5">
        <f>INDEX(ref_Unit_Balance!$V$31:$V$106,MATCH(UnitGradeInfo!B252,ref_Unit_Balance!$B$31:$B$1048576,0))
+
INDEX(ref_Unit_Balance!$AB$31:$AB$106,MATCH(UnitGradeInfo!B252,ref_Unit_Balance!$B$31:$B$1048576,0))*(D252-1)</f>
        <v>7800</v>
      </c>
      <c r="G252" s="5">
        <f>INDEX(ref_Unit_Balance!$R$31:$R$106,MATCH(UnitGradeInfo!B252,ref_Unit_Balance!$B$31:$B$1048576,0))
+
INDEX(ref_Unit_Balance!$AA$31:$AA$106,MATCH(UnitGradeInfo!B252,ref_Unit_Balance!$B$31:$B$1048576,0))*(D252-1)</f>
        <v>800</v>
      </c>
      <c r="H252" s="39">
        <f>IF(INDEX(Unitinfo!D:D,MATCH(UnitGradeInfo!B252,Unitinfo!A:A,0))=1,50,5)</f>
        <v>50</v>
      </c>
      <c r="I252" s="5">
        <f>IF(INDEX(ref_Unit_Balance!$T$31:$T$106,MATCH(UnitGradeInfo!B252,ref_Unit_Balance!$B$31:$B$1048576,0))=0,1,INDEX(ref_Unit_Balance!$T$31:$T$106,MATCH(UnitGradeInfo!B252,ref_Unit_Balance!$B$31:$B$1048576,0)))</f>
        <v>5</v>
      </c>
      <c r="J252" s="5">
        <f>INDEX(ref_Unit_Balance!$S$31:$S$106,MATCH(UnitGradeInfo!B252,ref_Unit_Balance!$B$31:$B$1048576,0))</f>
        <v>800</v>
      </c>
      <c r="K252" s="5">
        <v>0</v>
      </c>
      <c r="L252" s="5">
        <f>INDEX(ref_Unit_Balance!$I$31:$I$106,MATCH(UnitGradeInfo!B252,ref_Unit_Balance!$B$31:$B$1048576,0))</f>
        <v>1</v>
      </c>
      <c r="M252" s="5">
        <f t="shared" si="24"/>
        <v>8</v>
      </c>
      <c r="N252" s="5">
        <f t="shared" si="25"/>
        <v>80</v>
      </c>
      <c r="O252" s="5">
        <f>(INDEX(Unitinfo!I:I,MATCH(B252,Unitinfo!A:A,0))+1)*2</f>
        <v>6</v>
      </c>
      <c r="P252" s="5">
        <v>0</v>
      </c>
      <c r="Q252" s="5">
        <v>0</v>
      </c>
      <c r="R252" s="19" t="s">
        <v>121</v>
      </c>
      <c r="S252" s="19" t="s">
        <v>121</v>
      </c>
      <c r="T252" s="5">
        <f t="shared" si="26"/>
        <v>2011</v>
      </c>
      <c r="U252" s="5">
        <f t="shared" si="27"/>
        <v>1</v>
      </c>
      <c r="V252" s="5">
        <v>0</v>
      </c>
      <c r="W252" s="5">
        <v>10</v>
      </c>
    </row>
    <row r="253" spans="1:23">
      <c r="A253" s="5">
        <f t="shared" si="28"/>
        <v>250</v>
      </c>
      <c r="B253" s="93">
        <f t="shared" si="29"/>
        <v>2011</v>
      </c>
      <c r="C253" s="20" t="str">
        <f>INDEX(Unitinfo!C:C,MATCH(UnitGradeInfo!B253,Unitinfo!A:A,0))</f>
        <v>(원거리)Witch_Poison</v>
      </c>
      <c r="D253" s="5">
        <f>COUNTIF($B$4:B253,B253)</f>
        <v>5</v>
      </c>
      <c r="E253" s="5">
        <f>ROUNDDOWN(INDEX(ref_Unit_Balance!$G$31:$G$106,MATCH(UnitGradeInfo!B253,ref_Unit_Balance!$B$31:$B$1048576,0))
+INDEX(ref_Unit_Balance!$G$20:$G$23,MATCH(IFERROR(INDEX(ref_Unit_Balance!$D$31:$D$1048576,MATCH(B253,ref_Unit_Balance!$B$31:$B$1048576,0)),0),ref_Unit_Balance!$B$20:$B$23,0))*D253*ref_Unit_Balance!$C$25,0)</f>
        <v>575</v>
      </c>
      <c r="F253" s="5">
        <f>INDEX(ref_Unit_Balance!$V$31:$V$106,MATCH(UnitGradeInfo!B253,ref_Unit_Balance!$B$31:$B$1048576,0))
+
INDEX(ref_Unit_Balance!$AB$31:$AB$106,MATCH(UnitGradeInfo!B253,ref_Unit_Balance!$B$31:$B$1048576,0))*(D253-1)</f>
        <v>8400</v>
      </c>
      <c r="G253" s="5">
        <f>INDEX(ref_Unit_Balance!$R$31:$R$106,MATCH(UnitGradeInfo!B253,ref_Unit_Balance!$B$31:$B$1048576,0))
+
INDEX(ref_Unit_Balance!$AA$31:$AA$106,MATCH(UnitGradeInfo!B253,ref_Unit_Balance!$B$31:$B$1048576,0))*(D253-1)</f>
        <v>896</v>
      </c>
      <c r="H253" s="39">
        <f>IF(INDEX(Unitinfo!D:D,MATCH(UnitGradeInfo!B253,Unitinfo!A:A,0))=1,50,5)</f>
        <v>50</v>
      </c>
      <c r="I253" s="5">
        <f>IF(INDEX(ref_Unit_Balance!$T$31:$T$106,MATCH(UnitGradeInfo!B253,ref_Unit_Balance!$B$31:$B$1048576,0))=0,1,INDEX(ref_Unit_Balance!$T$31:$T$106,MATCH(UnitGradeInfo!B253,ref_Unit_Balance!$B$31:$B$1048576,0)))</f>
        <v>5</v>
      </c>
      <c r="J253" s="5">
        <f>INDEX(ref_Unit_Balance!$S$31:$S$106,MATCH(UnitGradeInfo!B253,ref_Unit_Balance!$B$31:$B$1048576,0))</f>
        <v>800</v>
      </c>
      <c r="K253" s="5">
        <v>0</v>
      </c>
      <c r="L253" s="5">
        <f>INDEX(ref_Unit_Balance!$I$31:$I$106,MATCH(UnitGradeInfo!B253,ref_Unit_Balance!$B$31:$B$1048576,0))</f>
        <v>1</v>
      </c>
      <c r="M253" s="5">
        <f t="shared" si="24"/>
        <v>10</v>
      </c>
      <c r="N253" s="5">
        <f t="shared" si="25"/>
        <v>100</v>
      </c>
      <c r="O253" s="5">
        <f>(INDEX(Unitinfo!I:I,MATCH(B253,Unitinfo!A:A,0))+1)*2</f>
        <v>6</v>
      </c>
      <c r="P253" s="5">
        <v>0</v>
      </c>
      <c r="Q253" s="5">
        <v>0</v>
      </c>
      <c r="R253" s="19" t="s">
        <v>121</v>
      </c>
      <c r="S253" s="19" t="s">
        <v>121</v>
      </c>
      <c r="T253" s="5">
        <f t="shared" si="26"/>
        <v>2011</v>
      </c>
      <c r="U253" s="5">
        <f t="shared" si="27"/>
        <v>1</v>
      </c>
      <c r="V253" s="5">
        <v>0</v>
      </c>
      <c r="W253" s="5">
        <v>10</v>
      </c>
    </row>
    <row r="254" spans="1:23">
      <c r="A254" s="5">
        <f t="shared" si="28"/>
        <v>251</v>
      </c>
      <c r="B254" s="93">
        <f t="shared" si="29"/>
        <v>2011</v>
      </c>
      <c r="C254" s="20" t="str">
        <f>INDEX(Unitinfo!C:C,MATCH(UnitGradeInfo!B254,Unitinfo!A:A,0))</f>
        <v>(원거리)Witch_Poison</v>
      </c>
      <c r="D254" s="5">
        <f>COUNTIF($B$4:B254,B254)</f>
        <v>6</v>
      </c>
      <c r="E254" s="5">
        <f>ROUNDDOWN(INDEX(ref_Unit_Balance!$G$31:$G$106,MATCH(UnitGradeInfo!B254,ref_Unit_Balance!$B$31:$B$1048576,0))
+INDEX(ref_Unit_Balance!$G$20:$G$23,MATCH(IFERROR(INDEX(ref_Unit_Balance!$D$31:$D$1048576,MATCH(B254,ref_Unit_Balance!$B$31:$B$1048576,0)),0),ref_Unit_Balance!$B$20:$B$23,0))*D254*ref_Unit_Balance!$C$25,0)</f>
        <v>650</v>
      </c>
      <c r="F254" s="5">
        <f>INDEX(ref_Unit_Balance!$V$31:$V$106,MATCH(UnitGradeInfo!B254,ref_Unit_Balance!$B$31:$B$1048576,0))
+
INDEX(ref_Unit_Balance!$AB$31:$AB$106,MATCH(UnitGradeInfo!B254,ref_Unit_Balance!$B$31:$B$1048576,0))*(D254-1)</f>
        <v>9000</v>
      </c>
      <c r="G254" s="5">
        <f>INDEX(ref_Unit_Balance!$R$31:$R$106,MATCH(UnitGradeInfo!B254,ref_Unit_Balance!$B$31:$B$1048576,0))
+
INDEX(ref_Unit_Balance!$AA$31:$AA$106,MATCH(UnitGradeInfo!B254,ref_Unit_Balance!$B$31:$B$1048576,0))*(D254-1)</f>
        <v>992</v>
      </c>
      <c r="H254" s="39">
        <f>IF(INDEX(Unitinfo!D:D,MATCH(UnitGradeInfo!B254,Unitinfo!A:A,0))=1,50,5)</f>
        <v>50</v>
      </c>
      <c r="I254" s="5">
        <f>IF(INDEX(ref_Unit_Balance!$T$31:$T$106,MATCH(UnitGradeInfo!B254,ref_Unit_Balance!$B$31:$B$1048576,0))=0,1,INDEX(ref_Unit_Balance!$T$31:$T$106,MATCH(UnitGradeInfo!B254,ref_Unit_Balance!$B$31:$B$1048576,0)))</f>
        <v>5</v>
      </c>
      <c r="J254" s="5">
        <f>INDEX(ref_Unit_Balance!$S$31:$S$106,MATCH(UnitGradeInfo!B254,ref_Unit_Balance!$B$31:$B$1048576,0))</f>
        <v>800</v>
      </c>
      <c r="K254" s="5">
        <v>0</v>
      </c>
      <c r="L254" s="5">
        <f>INDEX(ref_Unit_Balance!$I$31:$I$106,MATCH(UnitGradeInfo!B254,ref_Unit_Balance!$B$31:$B$1048576,0))</f>
        <v>1</v>
      </c>
      <c r="M254" s="5">
        <f t="shared" si="24"/>
        <v>12</v>
      </c>
      <c r="N254" s="5">
        <f t="shared" si="25"/>
        <v>120</v>
      </c>
      <c r="O254" s="5">
        <f>(INDEX(Unitinfo!I:I,MATCH(B254,Unitinfo!A:A,0))+1)*2</f>
        <v>6</v>
      </c>
      <c r="P254" s="5">
        <v>0</v>
      </c>
      <c r="Q254" s="5">
        <v>0</v>
      </c>
      <c r="R254" s="19" t="s">
        <v>121</v>
      </c>
      <c r="S254" s="19" t="s">
        <v>121</v>
      </c>
      <c r="T254" s="5">
        <f t="shared" si="26"/>
        <v>2011</v>
      </c>
      <c r="U254" s="5">
        <f t="shared" si="27"/>
        <v>1</v>
      </c>
      <c r="V254" s="5">
        <v>0</v>
      </c>
      <c r="W254" s="5">
        <v>10</v>
      </c>
    </row>
    <row r="255" spans="1:23">
      <c r="A255" s="5">
        <f t="shared" si="28"/>
        <v>252</v>
      </c>
      <c r="B255" s="93">
        <f t="shared" si="29"/>
        <v>2011</v>
      </c>
      <c r="C255" s="20" t="str">
        <f>INDEX(Unitinfo!C:C,MATCH(UnitGradeInfo!B255,Unitinfo!A:A,0))</f>
        <v>(원거리)Witch_Poison</v>
      </c>
      <c r="D255" s="5">
        <f>COUNTIF($B$4:B255,B255)</f>
        <v>7</v>
      </c>
      <c r="E255" s="5">
        <f>ROUNDDOWN(INDEX(ref_Unit_Balance!$G$31:$G$106,MATCH(UnitGradeInfo!B255,ref_Unit_Balance!$B$31:$B$1048576,0))
+INDEX(ref_Unit_Balance!$G$20:$G$23,MATCH(IFERROR(INDEX(ref_Unit_Balance!$D$31:$D$1048576,MATCH(B255,ref_Unit_Balance!$B$31:$B$1048576,0)),0),ref_Unit_Balance!$B$20:$B$23,0))*D255*ref_Unit_Balance!$C$25,0)</f>
        <v>725</v>
      </c>
      <c r="F255" s="5">
        <f>INDEX(ref_Unit_Balance!$V$31:$V$106,MATCH(UnitGradeInfo!B255,ref_Unit_Balance!$B$31:$B$1048576,0))
+
INDEX(ref_Unit_Balance!$AB$31:$AB$106,MATCH(UnitGradeInfo!B255,ref_Unit_Balance!$B$31:$B$1048576,0))*(D255-1)</f>
        <v>9600</v>
      </c>
      <c r="G255" s="5">
        <f>INDEX(ref_Unit_Balance!$R$31:$R$106,MATCH(UnitGradeInfo!B255,ref_Unit_Balance!$B$31:$B$1048576,0))
+
INDEX(ref_Unit_Balance!$AA$31:$AA$106,MATCH(UnitGradeInfo!B255,ref_Unit_Balance!$B$31:$B$1048576,0))*(D255-1)</f>
        <v>1088</v>
      </c>
      <c r="H255" s="39">
        <f>IF(INDEX(Unitinfo!D:D,MATCH(UnitGradeInfo!B255,Unitinfo!A:A,0))=1,50,5)</f>
        <v>50</v>
      </c>
      <c r="I255" s="5">
        <f>IF(INDEX(ref_Unit_Balance!$T$31:$T$106,MATCH(UnitGradeInfo!B255,ref_Unit_Balance!$B$31:$B$1048576,0))=0,1,INDEX(ref_Unit_Balance!$T$31:$T$106,MATCH(UnitGradeInfo!B255,ref_Unit_Balance!$B$31:$B$1048576,0)))</f>
        <v>5</v>
      </c>
      <c r="J255" s="5">
        <f>INDEX(ref_Unit_Balance!$S$31:$S$106,MATCH(UnitGradeInfo!B255,ref_Unit_Balance!$B$31:$B$1048576,0))</f>
        <v>800</v>
      </c>
      <c r="K255" s="5">
        <v>0</v>
      </c>
      <c r="L255" s="5">
        <f>INDEX(ref_Unit_Balance!$I$31:$I$106,MATCH(UnitGradeInfo!B255,ref_Unit_Balance!$B$31:$B$1048576,0))</f>
        <v>1</v>
      </c>
      <c r="M255" s="5">
        <f t="shared" si="24"/>
        <v>14</v>
      </c>
      <c r="N255" s="5">
        <f t="shared" si="25"/>
        <v>140</v>
      </c>
      <c r="O255" s="5">
        <f>(INDEX(Unitinfo!I:I,MATCH(B255,Unitinfo!A:A,0))+1)*2</f>
        <v>6</v>
      </c>
      <c r="P255" s="5">
        <v>0</v>
      </c>
      <c r="Q255" s="5">
        <v>0</v>
      </c>
      <c r="R255" s="19" t="s">
        <v>121</v>
      </c>
      <c r="S255" s="19" t="s">
        <v>121</v>
      </c>
      <c r="T255" s="5">
        <f t="shared" si="26"/>
        <v>2011</v>
      </c>
      <c r="U255" s="5">
        <f t="shared" si="27"/>
        <v>1</v>
      </c>
      <c r="V255" s="5">
        <v>0</v>
      </c>
      <c r="W255" s="5">
        <v>10</v>
      </c>
    </row>
    <row r="256" spans="1:23">
      <c r="A256" s="5">
        <f t="shared" si="28"/>
        <v>253</v>
      </c>
      <c r="B256" s="93">
        <f t="shared" si="29"/>
        <v>2011</v>
      </c>
      <c r="C256" s="20" t="str">
        <f>INDEX(Unitinfo!C:C,MATCH(UnitGradeInfo!B256,Unitinfo!A:A,0))</f>
        <v>(원거리)Witch_Poison</v>
      </c>
      <c r="D256" s="5">
        <f>COUNTIF($B$4:B256,B256)</f>
        <v>8</v>
      </c>
      <c r="E256" s="5">
        <f>ROUNDDOWN(INDEX(ref_Unit_Balance!$G$31:$G$106,MATCH(UnitGradeInfo!B256,ref_Unit_Balance!$B$31:$B$1048576,0))
+INDEX(ref_Unit_Balance!$G$20:$G$23,MATCH(IFERROR(INDEX(ref_Unit_Balance!$D$31:$D$1048576,MATCH(B256,ref_Unit_Balance!$B$31:$B$1048576,0)),0),ref_Unit_Balance!$B$20:$B$23,0))*D256*ref_Unit_Balance!$C$25,0)</f>
        <v>800</v>
      </c>
      <c r="F256" s="5">
        <f>INDEX(ref_Unit_Balance!$V$31:$V$106,MATCH(UnitGradeInfo!B256,ref_Unit_Balance!$B$31:$B$1048576,0))
+
INDEX(ref_Unit_Balance!$AB$31:$AB$106,MATCH(UnitGradeInfo!B256,ref_Unit_Balance!$B$31:$B$1048576,0))*(D256-1)</f>
        <v>10200</v>
      </c>
      <c r="G256" s="5">
        <f>INDEX(ref_Unit_Balance!$R$31:$R$106,MATCH(UnitGradeInfo!B256,ref_Unit_Balance!$B$31:$B$1048576,0))
+
INDEX(ref_Unit_Balance!$AA$31:$AA$106,MATCH(UnitGradeInfo!B256,ref_Unit_Balance!$B$31:$B$1048576,0))*(D256-1)</f>
        <v>1184</v>
      </c>
      <c r="H256" s="39">
        <f>IF(INDEX(Unitinfo!D:D,MATCH(UnitGradeInfo!B256,Unitinfo!A:A,0))=1,50,5)</f>
        <v>50</v>
      </c>
      <c r="I256" s="5">
        <f>IF(INDEX(ref_Unit_Balance!$T$31:$T$106,MATCH(UnitGradeInfo!B256,ref_Unit_Balance!$B$31:$B$1048576,0))=0,1,INDEX(ref_Unit_Balance!$T$31:$T$106,MATCH(UnitGradeInfo!B256,ref_Unit_Balance!$B$31:$B$1048576,0)))</f>
        <v>5</v>
      </c>
      <c r="J256" s="5">
        <f>INDEX(ref_Unit_Balance!$S$31:$S$106,MATCH(UnitGradeInfo!B256,ref_Unit_Balance!$B$31:$B$1048576,0))</f>
        <v>800</v>
      </c>
      <c r="K256" s="5">
        <v>0</v>
      </c>
      <c r="L256" s="5">
        <f>INDEX(ref_Unit_Balance!$I$31:$I$106,MATCH(UnitGradeInfo!B256,ref_Unit_Balance!$B$31:$B$1048576,0))</f>
        <v>1</v>
      </c>
      <c r="M256" s="5">
        <f t="shared" si="24"/>
        <v>16</v>
      </c>
      <c r="N256" s="5">
        <f t="shared" si="25"/>
        <v>160</v>
      </c>
      <c r="O256" s="5">
        <f>(INDEX(Unitinfo!I:I,MATCH(B256,Unitinfo!A:A,0))+1)*2</f>
        <v>6</v>
      </c>
      <c r="P256" s="5">
        <v>0</v>
      </c>
      <c r="Q256" s="5">
        <v>0</v>
      </c>
      <c r="R256" s="19" t="s">
        <v>121</v>
      </c>
      <c r="S256" s="19" t="s">
        <v>121</v>
      </c>
      <c r="T256" s="5">
        <f t="shared" si="26"/>
        <v>2011</v>
      </c>
      <c r="U256" s="5">
        <f t="shared" si="27"/>
        <v>1</v>
      </c>
      <c r="V256" s="5">
        <v>0</v>
      </c>
      <c r="W256" s="5">
        <v>10</v>
      </c>
    </row>
    <row r="257" spans="1:23">
      <c r="A257" s="5">
        <f t="shared" si="28"/>
        <v>254</v>
      </c>
      <c r="B257" s="93">
        <f t="shared" si="29"/>
        <v>2011</v>
      </c>
      <c r="C257" s="20" t="str">
        <f>INDEX(Unitinfo!C:C,MATCH(UnitGradeInfo!B257,Unitinfo!A:A,0))</f>
        <v>(원거리)Witch_Poison</v>
      </c>
      <c r="D257" s="5">
        <f>COUNTIF($B$4:B257,B257)</f>
        <v>9</v>
      </c>
      <c r="E257" s="5">
        <f>ROUNDDOWN(INDEX(ref_Unit_Balance!$G$31:$G$106,MATCH(UnitGradeInfo!B257,ref_Unit_Balance!$B$31:$B$1048576,0))
+INDEX(ref_Unit_Balance!$G$20:$G$23,MATCH(IFERROR(INDEX(ref_Unit_Balance!$D$31:$D$1048576,MATCH(B257,ref_Unit_Balance!$B$31:$B$1048576,0)),0),ref_Unit_Balance!$B$20:$B$23,0))*D257*ref_Unit_Balance!$C$25,0)</f>
        <v>875</v>
      </c>
      <c r="F257" s="5">
        <f>INDEX(ref_Unit_Balance!$V$31:$V$106,MATCH(UnitGradeInfo!B257,ref_Unit_Balance!$B$31:$B$1048576,0))
+
INDEX(ref_Unit_Balance!$AB$31:$AB$106,MATCH(UnitGradeInfo!B257,ref_Unit_Balance!$B$31:$B$1048576,0))*(D257-1)</f>
        <v>10800</v>
      </c>
      <c r="G257" s="5">
        <f>INDEX(ref_Unit_Balance!$R$31:$R$106,MATCH(UnitGradeInfo!B257,ref_Unit_Balance!$B$31:$B$1048576,0))
+
INDEX(ref_Unit_Balance!$AA$31:$AA$106,MATCH(UnitGradeInfo!B257,ref_Unit_Balance!$B$31:$B$1048576,0))*(D257-1)</f>
        <v>1280</v>
      </c>
      <c r="H257" s="39">
        <f>IF(INDEX(Unitinfo!D:D,MATCH(UnitGradeInfo!B257,Unitinfo!A:A,0))=1,50,5)</f>
        <v>50</v>
      </c>
      <c r="I257" s="5">
        <f>IF(INDEX(ref_Unit_Balance!$T$31:$T$106,MATCH(UnitGradeInfo!B257,ref_Unit_Balance!$B$31:$B$1048576,0))=0,1,INDEX(ref_Unit_Balance!$T$31:$T$106,MATCH(UnitGradeInfo!B257,ref_Unit_Balance!$B$31:$B$1048576,0)))</f>
        <v>5</v>
      </c>
      <c r="J257" s="5">
        <f>INDEX(ref_Unit_Balance!$S$31:$S$106,MATCH(UnitGradeInfo!B257,ref_Unit_Balance!$B$31:$B$1048576,0))</f>
        <v>800</v>
      </c>
      <c r="K257" s="5">
        <v>0</v>
      </c>
      <c r="L257" s="5">
        <f>INDEX(ref_Unit_Balance!$I$31:$I$106,MATCH(UnitGradeInfo!B257,ref_Unit_Balance!$B$31:$B$1048576,0))</f>
        <v>1</v>
      </c>
      <c r="M257" s="5">
        <f t="shared" si="24"/>
        <v>18</v>
      </c>
      <c r="N257" s="5">
        <f t="shared" si="25"/>
        <v>180</v>
      </c>
      <c r="O257" s="5">
        <f>(INDEX(Unitinfo!I:I,MATCH(B257,Unitinfo!A:A,0))+1)*2</f>
        <v>6</v>
      </c>
      <c r="P257" s="5">
        <v>0</v>
      </c>
      <c r="Q257" s="5">
        <v>0</v>
      </c>
      <c r="R257" s="19" t="s">
        <v>121</v>
      </c>
      <c r="S257" s="19" t="s">
        <v>121</v>
      </c>
      <c r="T257" s="5">
        <f t="shared" si="26"/>
        <v>2011</v>
      </c>
      <c r="U257" s="5">
        <f t="shared" si="27"/>
        <v>1</v>
      </c>
      <c r="V257" s="5">
        <v>0</v>
      </c>
      <c r="W257" s="5">
        <v>10</v>
      </c>
    </row>
    <row r="258" spans="1:23">
      <c r="A258" s="5">
        <f t="shared" si="28"/>
        <v>255</v>
      </c>
      <c r="B258" s="93">
        <f t="shared" si="29"/>
        <v>2011</v>
      </c>
      <c r="C258" s="20" t="str">
        <f>INDEX(Unitinfo!C:C,MATCH(UnitGradeInfo!B258,Unitinfo!A:A,0))</f>
        <v>(원거리)Witch_Poison</v>
      </c>
      <c r="D258" s="5">
        <f>COUNTIF($B$4:B258,B258)</f>
        <v>10</v>
      </c>
      <c r="E258" s="5">
        <f>ROUNDDOWN(INDEX(ref_Unit_Balance!$G$31:$G$106,MATCH(UnitGradeInfo!B258,ref_Unit_Balance!$B$31:$B$1048576,0))
+INDEX(ref_Unit_Balance!$G$20:$G$23,MATCH(IFERROR(INDEX(ref_Unit_Balance!$D$31:$D$1048576,MATCH(B258,ref_Unit_Balance!$B$31:$B$1048576,0)),0),ref_Unit_Balance!$B$20:$B$23,0))*D258*ref_Unit_Balance!$C$25,0)</f>
        <v>950</v>
      </c>
      <c r="F258" s="5">
        <f>INDEX(ref_Unit_Balance!$V$31:$V$106,MATCH(UnitGradeInfo!B258,ref_Unit_Balance!$B$31:$B$1048576,0))
+
INDEX(ref_Unit_Balance!$AB$31:$AB$106,MATCH(UnitGradeInfo!B258,ref_Unit_Balance!$B$31:$B$1048576,0))*(D258-1)</f>
        <v>11400</v>
      </c>
      <c r="G258" s="5">
        <f>INDEX(ref_Unit_Balance!$R$31:$R$106,MATCH(UnitGradeInfo!B258,ref_Unit_Balance!$B$31:$B$1048576,0))
+
INDEX(ref_Unit_Balance!$AA$31:$AA$106,MATCH(UnitGradeInfo!B258,ref_Unit_Balance!$B$31:$B$1048576,0))*(D258-1)</f>
        <v>1376</v>
      </c>
      <c r="H258" s="39">
        <f>IF(INDEX(Unitinfo!D:D,MATCH(UnitGradeInfo!B258,Unitinfo!A:A,0))=1,50,5)</f>
        <v>50</v>
      </c>
      <c r="I258" s="5">
        <f>IF(INDEX(ref_Unit_Balance!$T$31:$T$106,MATCH(UnitGradeInfo!B258,ref_Unit_Balance!$B$31:$B$1048576,0))=0,1,INDEX(ref_Unit_Balance!$T$31:$T$106,MATCH(UnitGradeInfo!B258,ref_Unit_Balance!$B$31:$B$1048576,0)))</f>
        <v>5</v>
      </c>
      <c r="J258" s="5">
        <f>INDEX(ref_Unit_Balance!$S$31:$S$106,MATCH(UnitGradeInfo!B258,ref_Unit_Balance!$B$31:$B$1048576,0))</f>
        <v>800</v>
      </c>
      <c r="K258" s="5">
        <v>0</v>
      </c>
      <c r="L258" s="5">
        <f>INDEX(ref_Unit_Balance!$I$31:$I$106,MATCH(UnitGradeInfo!B258,ref_Unit_Balance!$B$31:$B$1048576,0))</f>
        <v>1</v>
      </c>
      <c r="M258" s="5">
        <f t="shared" si="24"/>
        <v>20</v>
      </c>
      <c r="N258" s="5">
        <f t="shared" si="25"/>
        <v>200</v>
      </c>
      <c r="O258" s="5">
        <f>(INDEX(Unitinfo!I:I,MATCH(B258,Unitinfo!A:A,0))+1)*2</f>
        <v>6</v>
      </c>
      <c r="P258" s="5">
        <v>0</v>
      </c>
      <c r="Q258" s="5">
        <v>0</v>
      </c>
      <c r="R258" s="19" t="s">
        <v>121</v>
      </c>
      <c r="S258" s="19" t="s">
        <v>121</v>
      </c>
      <c r="T258" s="5">
        <f t="shared" si="26"/>
        <v>2011</v>
      </c>
      <c r="U258" s="5">
        <f t="shared" si="27"/>
        <v>1</v>
      </c>
      <c r="V258" s="5">
        <v>0</v>
      </c>
      <c r="W258" s="5">
        <v>10</v>
      </c>
    </row>
    <row r="259" spans="1:23">
      <c r="A259" s="5">
        <f t="shared" si="28"/>
        <v>256</v>
      </c>
      <c r="B259" s="93">
        <f t="shared" si="29"/>
        <v>2011</v>
      </c>
      <c r="C259" s="20" t="str">
        <f>INDEX(Unitinfo!C:C,MATCH(UnitGradeInfo!B259,Unitinfo!A:A,0))</f>
        <v>(원거리)Witch_Poison</v>
      </c>
      <c r="D259" s="5">
        <f>COUNTIF($B$4:B259,B259)</f>
        <v>11</v>
      </c>
      <c r="E259" s="5">
        <f>ROUNDDOWN(INDEX(ref_Unit_Balance!$G$31:$G$106,MATCH(UnitGradeInfo!B259,ref_Unit_Balance!$B$31:$B$1048576,0))
+INDEX(ref_Unit_Balance!$G$20:$G$23,MATCH(IFERROR(INDEX(ref_Unit_Balance!$D$31:$D$1048576,MATCH(B259,ref_Unit_Balance!$B$31:$B$1048576,0)),0),ref_Unit_Balance!$B$20:$B$23,0))*D259*ref_Unit_Balance!$C$25,0)</f>
        <v>1025</v>
      </c>
      <c r="F259" s="5">
        <f>INDEX(ref_Unit_Balance!$V$31:$V$106,MATCH(UnitGradeInfo!B259,ref_Unit_Balance!$B$31:$B$1048576,0))
+
INDEX(ref_Unit_Balance!$AB$31:$AB$106,MATCH(UnitGradeInfo!B259,ref_Unit_Balance!$B$31:$B$1048576,0))*(D259-1)</f>
        <v>12000</v>
      </c>
      <c r="G259" s="5">
        <f>INDEX(ref_Unit_Balance!$R$31:$R$106,MATCH(UnitGradeInfo!B259,ref_Unit_Balance!$B$31:$B$1048576,0))
+
INDEX(ref_Unit_Balance!$AA$31:$AA$106,MATCH(UnitGradeInfo!B259,ref_Unit_Balance!$B$31:$B$1048576,0))*(D259-1)</f>
        <v>1472</v>
      </c>
      <c r="H259" s="39">
        <f>IF(INDEX(Unitinfo!D:D,MATCH(UnitGradeInfo!B259,Unitinfo!A:A,0))=1,50,5)</f>
        <v>50</v>
      </c>
      <c r="I259" s="5">
        <f>IF(INDEX(ref_Unit_Balance!$T$31:$T$106,MATCH(UnitGradeInfo!B259,ref_Unit_Balance!$B$31:$B$1048576,0))=0,1,INDEX(ref_Unit_Balance!$T$31:$T$106,MATCH(UnitGradeInfo!B259,ref_Unit_Balance!$B$31:$B$1048576,0)))</f>
        <v>5</v>
      </c>
      <c r="J259" s="5">
        <f>INDEX(ref_Unit_Balance!$S$31:$S$106,MATCH(UnitGradeInfo!B259,ref_Unit_Balance!$B$31:$B$1048576,0))</f>
        <v>800</v>
      </c>
      <c r="K259" s="5">
        <v>0</v>
      </c>
      <c r="L259" s="5">
        <f>INDEX(ref_Unit_Balance!$I$31:$I$106,MATCH(UnitGradeInfo!B259,ref_Unit_Balance!$B$31:$B$1048576,0))</f>
        <v>1</v>
      </c>
      <c r="M259" s="5">
        <f t="shared" si="24"/>
        <v>22</v>
      </c>
      <c r="N259" s="5">
        <f t="shared" si="25"/>
        <v>220</v>
      </c>
      <c r="O259" s="5">
        <f>(INDEX(Unitinfo!I:I,MATCH(B259,Unitinfo!A:A,0))+1)*2</f>
        <v>6</v>
      </c>
      <c r="P259" s="5">
        <v>0</v>
      </c>
      <c r="Q259" s="5">
        <v>0</v>
      </c>
      <c r="R259" s="19" t="s">
        <v>121</v>
      </c>
      <c r="S259" s="19" t="s">
        <v>121</v>
      </c>
      <c r="T259" s="5">
        <f t="shared" si="26"/>
        <v>2011</v>
      </c>
      <c r="U259" s="5">
        <f t="shared" si="27"/>
        <v>1</v>
      </c>
      <c r="V259" s="5">
        <v>0</v>
      </c>
      <c r="W259" s="5">
        <v>10</v>
      </c>
    </row>
    <row r="260" spans="1:23">
      <c r="A260" s="5">
        <f t="shared" si="28"/>
        <v>257</v>
      </c>
      <c r="B260" s="93">
        <f t="shared" si="29"/>
        <v>2011</v>
      </c>
      <c r="C260" s="20" t="str">
        <f>INDEX(Unitinfo!C:C,MATCH(UnitGradeInfo!B260,Unitinfo!A:A,0))</f>
        <v>(원거리)Witch_Poison</v>
      </c>
      <c r="D260" s="5">
        <f>COUNTIF($B$4:B260,B260)</f>
        <v>12</v>
      </c>
      <c r="E260" s="5">
        <f>ROUNDDOWN(INDEX(ref_Unit_Balance!$G$31:$G$106,MATCH(UnitGradeInfo!B260,ref_Unit_Balance!$B$31:$B$1048576,0))
+INDEX(ref_Unit_Balance!$G$20:$G$23,MATCH(IFERROR(INDEX(ref_Unit_Balance!$D$31:$D$1048576,MATCH(B260,ref_Unit_Balance!$B$31:$B$1048576,0)),0),ref_Unit_Balance!$B$20:$B$23,0))*D260*ref_Unit_Balance!$C$25,0)</f>
        <v>1100</v>
      </c>
      <c r="F260" s="5">
        <f>INDEX(ref_Unit_Balance!$V$31:$V$106,MATCH(UnitGradeInfo!B260,ref_Unit_Balance!$B$31:$B$1048576,0))
+
INDEX(ref_Unit_Balance!$AB$31:$AB$106,MATCH(UnitGradeInfo!B260,ref_Unit_Balance!$B$31:$B$1048576,0))*(D260-1)</f>
        <v>12600</v>
      </c>
      <c r="G260" s="5">
        <f>INDEX(ref_Unit_Balance!$R$31:$R$106,MATCH(UnitGradeInfo!B260,ref_Unit_Balance!$B$31:$B$1048576,0))
+
INDEX(ref_Unit_Balance!$AA$31:$AA$106,MATCH(UnitGradeInfo!B260,ref_Unit_Balance!$B$31:$B$1048576,0))*(D260-1)</f>
        <v>1568</v>
      </c>
      <c r="H260" s="39">
        <f>IF(INDEX(Unitinfo!D:D,MATCH(UnitGradeInfo!B260,Unitinfo!A:A,0))=1,50,5)</f>
        <v>50</v>
      </c>
      <c r="I260" s="5">
        <f>IF(INDEX(ref_Unit_Balance!$T$31:$T$106,MATCH(UnitGradeInfo!B260,ref_Unit_Balance!$B$31:$B$1048576,0))=0,1,INDEX(ref_Unit_Balance!$T$31:$T$106,MATCH(UnitGradeInfo!B260,ref_Unit_Balance!$B$31:$B$1048576,0)))</f>
        <v>5</v>
      </c>
      <c r="J260" s="5">
        <f>INDEX(ref_Unit_Balance!$S$31:$S$106,MATCH(UnitGradeInfo!B260,ref_Unit_Balance!$B$31:$B$1048576,0))</f>
        <v>800</v>
      </c>
      <c r="K260" s="5">
        <v>0</v>
      </c>
      <c r="L260" s="5">
        <f>INDEX(ref_Unit_Balance!$I$31:$I$106,MATCH(UnitGradeInfo!B260,ref_Unit_Balance!$B$31:$B$1048576,0))</f>
        <v>1</v>
      </c>
      <c r="M260" s="5">
        <f t="shared" si="24"/>
        <v>24</v>
      </c>
      <c r="N260" s="5">
        <f t="shared" si="25"/>
        <v>240</v>
      </c>
      <c r="O260" s="5">
        <f>(INDEX(Unitinfo!I:I,MATCH(B260,Unitinfo!A:A,0))+1)*2</f>
        <v>6</v>
      </c>
      <c r="P260" s="5">
        <v>0</v>
      </c>
      <c r="Q260" s="5">
        <v>0</v>
      </c>
      <c r="R260" s="19" t="s">
        <v>121</v>
      </c>
      <c r="S260" s="19" t="s">
        <v>121</v>
      </c>
      <c r="T260" s="5">
        <f t="shared" si="26"/>
        <v>2011</v>
      </c>
      <c r="U260" s="5">
        <f t="shared" si="27"/>
        <v>1</v>
      </c>
      <c r="V260" s="5">
        <v>0</v>
      </c>
      <c r="W260" s="5">
        <v>10</v>
      </c>
    </row>
    <row r="261" spans="1:23">
      <c r="A261" s="5">
        <f t="shared" si="28"/>
        <v>258</v>
      </c>
      <c r="B261" s="93">
        <f t="shared" si="29"/>
        <v>2011</v>
      </c>
      <c r="C261" s="20" t="str">
        <f>INDEX(Unitinfo!C:C,MATCH(UnitGradeInfo!B261,Unitinfo!A:A,0))</f>
        <v>(원거리)Witch_Poison</v>
      </c>
      <c r="D261" s="5">
        <f>COUNTIF($B$4:B261,B261)</f>
        <v>13</v>
      </c>
      <c r="E261" s="5">
        <f>ROUNDDOWN(INDEX(ref_Unit_Balance!$G$31:$G$106,MATCH(UnitGradeInfo!B261,ref_Unit_Balance!$B$31:$B$1048576,0))
+INDEX(ref_Unit_Balance!$G$20:$G$23,MATCH(IFERROR(INDEX(ref_Unit_Balance!$D$31:$D$1048576,MATCH(B261,ref_Unit_Balance!$B$31:$B$1048576,0)),0),ref_Unit_Balance!$B$20:$B$23,0))*D261*ref_Unit_Balance!$C$25,0)</f>
        <v>1175</v>
      </c>
      <c r="F261" s="5">
        <f>INDEX(ref_Unit_Balance!$V$31:$V$106,MATCH(UnitGradeInfo!B261,ref_Unit_Balance!$B$31:$B$1048576,0))
+
INDEX(ref_Unit_Balance!$AB$31:$AB$106,MATCH(UnitGradeInfo!B261,ref_Unit_Balance!$B$31:$B$1048576,0))*(D261-1)</f>
        <v>13200</v>
      </c>
      <c r="G261" s="5">
        <f>INDEX(ref_Unit_Balance!$R$31:$R$106,MATCH(UnitGradeInfo!B261,ref_Unit_Balance!$B$31:$B$1048576,0))
+
INDEX(ref_Unit_Balance!$AA$31:$AA$106,MATCH(UnitGradeInfo!B261,ref_Unit_Balance!$B$31:$B$1048576,0))*(D261-1)</f>
        <v>1664</v>
      </c>
      <c r="H261" s="39">
        <f>IF(INDEX(Unitinfo!D:D,MATCH(UnitGradeInfo!B261,Unitinfo!A:A,0))=1,50,5)</f>
        <v>50</v>
      </c>
      <c r="I261" s="5">
        <f>IF(INDEX(ref_Unit_Balance!$T$31:$T$106,MATCH(UnitGradeInfo!B261,ref_Unit_Balance!$B$31:$B$1048576,0))=0,1,INDEX(ref_Unit_Balance!$T$31:$T$106,MATCH(UnitGradeInfo!B261,ref_Unit_Balance!$B$31:$B$1048576,0)))</f>
        <v>5</v>
      </c>
      <c r="J261" s="5">
        <f>INDEX(ref_Unit_Balance!$S$31:$S$106,MATCH(UnitGradeInfo!B261,ref_Unit_Balance!$B$31:$B$1048576,0))</f>
        <v>800</v>
      </c>
      <c r="K261" s="5">
        <v>0</v>
      </c>
      <c r="L261" s="5">
        <f>INDEX(ref_Unit_Balance!$I$31:$I$106,MATCH(UnitGradeInfo!B261,ref_Unit_Balance!$B$31:$B$1048576,0))</f>
        <v>1</v>
      </c>
      <c r="M261" s="5">
        <f t="shared" ref="M261:M324" si="30">D261*2</f>
        <v>26</v>
      </c>
      <c r="N261" s="5">
        <f t="shared" ref="N261:N324" si="31">D261*20</f>
        <v>260</v>
      </c>
      <c r="O261" s="5">
        <f>(INDEX(Unitinfo!I:I,MATCH(B261,Unitinfo!A:A,0))+1)*2</f>
        <v>6</v>
      </c>
      <c r="P261" s="5">
        <v>0</v>
      </c>
      <c r="Q261" s="5">
        <v>0</v>
      </c>
      <c r="R261" s="19" t="s">
        <v>121</v>
      </c>
      <c r="S261" s="19" t="s">
        <v>121</v>
      </c>
      <c r="T261" s="5">
        <f t="shared" si="26"/>
        <v>2011</v>
      </c>
      <c r="U261" s="5">
        <f t="shared" si="27"/>
        <v>1</v>
      </c>
      <c r="V261" s="5">
        <v>0</v>
      </c>
      <c r="W261" s="5">
        <v>10</v>
      </c>
    </row>
    <row r="262" spans="1:23">
      <c r="A262" s="5">
        <f t="shared" si="28"/>
        <v>259</v>
      </c>
      <c r="B262" s="93">
        <f t="shared" si="29"/>
        <v>2011</v>
      </c>
      <c r="C262" s="20" t="str">
        <f>INDEX(Unitinfo!C:C,MATCH(UnitGradeInfo!B262,Unitinfo!A:A,0))</f>
        <v>(원거리)Witch_Poison</v>
      </c>
      <c r="D262" s="5">
        <f>COUNTIF($B$4:B262,B262)</f>
        <v>14</v>
      </c>
      <c r="E262" s="5">
        <f>ROUNDDOWN(INDEX(ref_Unit_Balance!$G$31:$G$106,MATCH(UnitGradeInfo!B262,ref_Unit_Balance!$B$31:$B$1048576,0))
+INDEX(ref_Unit_Balance!$G$20:$G$23,MATCH(IFERROR(INDEX(ref_Unit_Balance!$D$31:$D$1048576,MATCH(B262,ref_Unit_Balance!$B$31:$B$1048576,0)),0),ref_Unit_Balance!$B$20:$B$23,0))*D262*ref_Unit_Balance!$C$25,0)</f>
        <v>1250</v>
      </c>
      <c r="F262" s="5">
        <f>INDEX(ref_Unit_Balance!$V$31:$V$106,MATCH(UnitGradeInfo!B262,ref_Unit_Balance!$B$31:$B$1048576,0))
+
INDEX(ref_Unit_Balance!$AB$31:$AB$106,MATCH(UnitGradeInfo!B262,ref_Unit_Balance!$B$31:$B$1048576,0))*(D262-1)</f>
        <v>13800</v>
      </c>
      <c r="G262" s="5">
        <f>INDEX(ref_Unit_Balance!$R$31:$R$106,MATCH(UnitGradeInfo!B262,ref_Unit_Balance!$B$31:$B$1048576,0))
+
INDEX(ref_Unit_Balance!$AA$31:$AA$106,MATCH(UnitGradeInfo!B262,ref_Unit_Balance!$B$31:$B$1048576,0))*(D262-1)</f>
        <v>1760</v>
      </c>
      <c r="H262" s="39">
        <f>IF(INDEX(Unitinfo!D:D,MATCH(UnitGradeInfo!B262,Unitinfo!A:A,0))=1,50,5)</f>
        <v>50</v>
      </c>
      <c r="I262" s="5">
        <f>IF(INDEX(ref_Unit_Balance!$T$31:$T$106,MATCH(UnitGradeInfo!B262,ref_Unit_Balance!$B$31:$B$1048576,0))=0,1,INDEX(ref_Unit_Balance!$T$31:$T$106,MATCH(UnitGradeInfo!B262,ref_Unit_Balance!$B$31:$B$1048576,0)))</f>
        <v>5</v>
      </c>
      <c r="J262" s="5">
        <f>INDEX(ref_Unit_Balance!$S$31:$S$106,MATCH(UnitGradeInfo!B262,ref_Unit_Balance!$B$31:$B$1048576,0))</f>
        <v>800</v>
      </c>
      <c r="K262" s="5">
        <v>0</v>
      </c>
      <c r="L262" s="5">
        <f>INDEX(ref_Unit_Balance!$I$31:$I$106,MATCH(UnitGradeInfo!B262,ref_Unit_Balance!$B$31:$B$1048576,0))</f>
        <v>1</v>
      </c>
      <c r="M262" s="5">
        <f t="shared" si="30"/>
        <v>28</v>
      </c>
      <c r="N262" s="5">
        <f t="shared" si="31"/>
        <v>280</v>
      </c>
      <c r="O262" s="5">
        <f>(INDEX(Unitinfo!I:I,MATCH(B262,Unitinfo!A:A,0))+1)*2</f>
        <v>6</v>
      </c>
      <c r="P262" s="5">
        <v>0</v>
      </c>
      <c r="Q262" s="5">
        <v>0</v>
      </c>
      <c r="R262" s="19" t="s">
        <v>121</v>
      </c>
      <c r="S262" s="19" t="s">
        <v>121</v>
      </c>
      <c r="T262" s="5">
        <f t="shared" si="26"/>
        <v>2011</v>
      </c>
      <c r="U262" s="5">
        <f t="shared" si="27"/>
        <v>1</v>
      </c>
      <c r="V262" s="5">
        <v>0</v>
      </c>
      <c r="W262" s="5">
        <v>10</v>
      </c>
    </row>
    <row r="263" spans="1:23">
      <c r="A263" s="5">
        <f t="shared" si="28"/>
        <v>260</v>
      </c>
      <c r="B263" s="93">
        <f t="shared" si="29"/>
        <v>2011</v>
      </c>
      <c r="C263" s="20" t="str">
        <f>INDEX(Unitinfo!C:C,MATCH(UnitGradeInfo!B263,Unitinfo!A:A,0))</f>
        <v>(원거리)Witch_Poison</v>
      </c>
      <c r="D263" s="5">
        <f>COUNTIF($B$4:B263,B263)</f>
        <v>15</v>
      </c>
      <c r="E263" s="5">
        <f>ROUNDDOWN(INDEX(ref_Unit_Balance!$G$31:$G$106,MATCH(UnitGradeInfo!B263,ref_Unit_Balance!$B$31:$B$1048576,0))
+INDEX(ref_Unit_Balance!$G$20:$G$23,MATCH(IFERROR(INDEX(ref_Unit_Balance!$D$31:$D$1048576,MATCH(B263,ref_Unit_Balance!$B$31:$B$1048576,0)),0),ref_Unit_Balance!$B$20:$B$23,0))*D263*ref_Unit_Balance!$C$25,0)</f>
        <v>1325</v>
      </c>
      <c r="F263" s="5">
        <f>INDEX(ref_Unit_Balance!$V$31:$V$106,MATCH(UnitGradeInfo!B263,ref_Unit_Balance!$B$31:$B$1048576,0))
+
INDEX(ref_Unit_Balance!$AB$31:$AB$106,MATCH(UnitGradeInfo!B263,ref_Unit_Balance!$B$31:$B$1048576,0))*(D263-1)</f>
        <v>14400</v>
      </c>
      <c r="G263" s="5">
        <f>INDEX(ref_Unit_Balance!$R$31:$R$106,MATCH(UnitGradeInfo!B263,ref_Unit_Balance!$B$31:$B$1048576,0))
+
INDEX(ref_Unit_Balance!$AA$31:$AA$106,MATCH(UnitGradeInfo!B263,ref_Unit_Balance!$B$31:$B$1048576,0))*(D263-1)</f>
        <v>1856</v>
      </c>
      <c r="H263" s="39">
        <f>IF(INDEX(Unitinfo!D:D,MATCH(UnitGradeInfo!B263,Unitinfo!A:A,0))=1,50,5)</f>
        <v>50</v>
      </c>
      <c r="I263" s="5">
        <f>IF(INDEX(ref_Unit_Balance!$T$31:$T$106,MATCH(UnitGradeInfo!B263,ref_Unit_Balance!$B$31:$B$1048576,0))=0,1,INDEX(ref_Unit_Balance!$T$31:$T$106,MATCH(UnitGradeInfo!B263,ref_Unit_Balance!$B$31:$B$1048576,0)))</f>
        <v>5</v>
      </c>
      <c r="J263" s="5">
        <f>INDEX(ref_Unit_Balance!$S$31:$S$106,MATCH(UnitGradeInfo!B263,ref_Unit_Balance!$B$31:$B$1048576,0))</f>
        <v>800</v>
      </c>
      <c r="K263" s="5">
        <v>0</v>
      </c>
      <c r="L263" s="5">
        <f>INDEX(ref_Unit_Balance!$I$31:$I$106,MATCH(UnitGradeInfo!B263,ref_Unit_Balance!$B$31:$B$1048576,0))</f>
        <v>1</v>
      </c>
      <c r="M263" s="5">
        <f t="shared" si="30"/>
        <v>30</v>
      </c>
      <c r="N263" s="5">
        <f t="shared" si="31"/>
        <v>300</v>
      </c>
      <c r="O263" s="5">
        <f>(INDEX(Unitinfo!I:I,MATCH(B263,Unitinfo!A:A,0))+1)*2</f>
        <v>6</v>
      </c>
      <c r="P263" s="5">
        <v>0</v>
      </c>
      <c r="Q263" s="5">
        <v>0</v>
      </c>
      <c r="R263" s="19" t="s">
        <v>121</v>
      </c>
      <c r="S263" s="19" t="s">
        <v>121</v>
      </c>
      <c r="T263" s="5">
        <f t="shared" si="26"/>
        <v>2011</v>
      </c>
      <c r="U263" s="5">
        <f t="shared" si="27"/>
        <v>1</v>
      </c>
      <c r="V263" s="5">
        <v>0</v>
      </c>
      <c r="W263" s="5">
        <v>10</v>
      </c>
    </row>
    <row r="264" spans="1:23">
      <c r="A264" s="5">
        <f t="shared" si="28"/>
        <v>261</v>
      </c>
      <c r="B264" s="93">
        <f t="shared" si="29"/>
        <v>2011</v>
      </c>
      <c r="C264" s="20" t="str">
        <f>INDEX(Unitinfo!C:C,MATCH(UnitGradeInfo!B264,Unitinfo!A:A,0))</f>
        <v>(원거리)Witch_Poison</v>
      </c>
      <c r="D264" s="5">
        <f>COUNTIF($B$4:B264,B264)</f>
        <v>16</v>
      </c>
      <c r="E264" s="5">
        <f>ROUNDDOWN(INDEX(ref_Unit_Balance!$G$31:$G$106,MATCH(UnitGradeInfo!B264,ref_Unit_Balance!$B$31:$B$1048576,0))
+INDEX(ref_Unit_Balance!$G$20:$G$23,MATCH(IFERROR(INDEX(ref_Unit_Balance!$D$31:$D$1048576,MATCH(B264,ref_Unit_Balance!$B$31:$B$1048576,0)),0),ref_Unit_Balance!$B$20:$B$23,0))*D264*ref_Unit_Balance!$C$25,0)</f>
        <v>1400</v>
      </c>
      <c r="F264" s="5">
        <f>INDEX(ref_Unit_Balance!$V$31:$V$106,MATCH(UnitGradeInfo!B264,ref_Unit_Balance!$B$31:$B$1048576,0))
+
INDEX(ref_Unit_Balance!$AB$31:$AB$106,MATCH(UnitGradeInfo!B264,ref_Unit_Balance!$B$31:$B$1048576,0))*(D264-1)</f>
        <v>15000</v>
      </c>
      <c r="G264" s="5">
        <f>INDEX(ref_Unit_Balance!$R$31:$R$106,MATCH(UnitGradeInfo!B264,ref_Unit_Balance!$B$31:$B$1048576,0))
+
INDEX(ref_Unit_Balance!$AA$31:$AA$106,MATCH(UnitGradeInfo!B264,ref_Unit_Balance!$B$31:$B$1048576,0))*(D264-1)</f>
        <v>1952</v>
      </c>
      <c r="H264" s="39">
        <f>IF(INDEX(Unitinfo!D:D,MATCH(UnitGradeInfo!B264,Unitinfo!A:A,0))=1,50,5)</f>
        <v>50</v>
      </c>
      <c r="I264" s="5">
        <f>IF(INDEX(ref_Unit_Balance!$T$31:$T$106,MATCH(UnitGradeInfo!B264,ref_Unit_Balance!$B$31:$B$1048576,0))=0,1,INDEX(ref_Unit_Balance!$T$31:$T$106,MATCH(UnitGradeInfo!B264,ref_Unit_Balance!$B$31:$B$1048576,0)))</f>
        <v>5</v>
      </c>
      <c r="J264" s="5">
        <f>INDEX(ref_Unit_Balance!$S$31:$S$106,MATCH(UnitGradeInfo!B264,ref_Unit_Balance!$B$31:$B$1048576,0))</f>
        <v>800</v>
      </c>
      <c r="K264" s="5">
        <v>0</v>
      </c>
      <c r="L264" s="5">
        <f>INDEX(ref_Unit_Balance!$I$31:$I$106,MATCH(UnitGradeInfo!B264,ref_Unit_Balance!$B$31:$B$1048576,0))</f>
        <v>1</v>
      </c>
      <c r="M264" s="5">
        <f t="shared" si="30"/>
        <v>32</v>
      </c>
      <c r="N264" s="5">
        <f t="shared" si="31"/>
        <v>320</v>
      </c>
      <c r="O264" s="5">
        <f>(INDEX(Unitinfo!I:I,MATCH(B264,Unitinfo!A:A,0))+1)*2</f>
        <v>6</v>
      </c>
      <c r="P264" s="5">
        <v>0</v>
      </c>
      <c r="Q264" s="5">
        <v>0</v>
      </c>
      <c r="R264" s="19" t="s">
        <v>121</v>
      </c>
      <c r="S264" s="19" t="s">
        <v>121</v>
      </c>
      <c r="T264" s="5">
        <f t="shared" si="26"/>
        <v>2011</v>
      </c>
      <c r="U264" s="5">
        <f t="shared" si="27"/>
        <v>1</v>
      </c>
      <c r="V264" s="5">
        <v>0</v>
      </c>
      <c r="W264" s="5">
        <v>10</v>
      </c>
    </row>
    <row r="265" spans="1:23">
      <c r="A265" s="5">
        <f t="shared" si="28"/>
        <v>262</v>
      </c>
      <c r="B265" s="93">
        <f t="shared" si="29"/>
        <v>2011</v>
      </c>
      <c r="C265" s="20" t="str">
        <f>INDEX(Unitinfo!C:C,MATCH(UnitGradeInfo!B265,Unitinfo!A:A,0))</f>
        <v>(원거리)Witch_Poison</v>
      </c>
      <c r="D265" s="5">
        <f>COUNTIF($B$4:B265,B265)</f>
        <v>17</v>
      </c>
      <c r="E265" s="5">
        <f>ROUNDDOWN(INDEX(ref_Unit_Balance!$G$31:$G$106,MATCH(UnitGradeInfo!B265,ref_Unit_Balance!$B$31:$B$1048576,0))
+INDEX(ref_Unit_Balance!$G$20:$G$23,MATCH(IFERROR(INDEX(ref_Unit_Balance!$D$31:$D$1048576,MATCH(B265,ref_Unit_Balance!$B$31:$B$1048576,0)),0),ref_Unit_Balance!$B$20:$B$23,0))*D265*ref_Unit_Balance!$C$25,0)</f>
        <v>1475</v>
      </c>
      <c r="F265" s="5">
        <f>INDEX(ref_Unit_Balance!$V$31:$V$106,MATCH(UnitGradeInfo!B265,ref_Unit_Balance!$B$31:$B$1048576,0))
+
INDEX(ref_Unit_Balance!$AB$31:$AB$106,MATCH(UnitGradeInfo!B265,ref_Unit_Balance!$B$31:$B$1048576,0))*(D265-1)</f>
        <v>15600</v>
      </c>
      <c r="G265" s="5">
        <f>INDEX(ref_Unit_Balance!$R$31:$R$106,MATCH(UnitGradeInfo!B265,ref_Unit_Balance!$B$31:$B$1048576,0))
+
INDEX(ref_Unit_Balance!$AA$31:$AA$106,MATCH(UnitGradeInfo!B265,ref_Unit_Balance!$B$31:$B$1048576,0))*(D265-1)</f>
        <v>2048</v>
      </c>
      <c r="H265" s="39">
        <f>IF(INDEX(Unitinfo!D:D,MATCH(UnitGradeInfo!B265,Unitinfo!A:A,0))=1,50,5)</f>
        <v>50</v>
      </c>
      <c r="I265" s="5">
        <f>IF(INDEX(ref_Unit_Balance!$T$31:$T$106,MATCH(UnitGradeInfo!B265,ref_Unit_Balance!$B$31:$B$1048576,0))=0,1,INDEX(ref_Unit_Balance!$T$31:$T$106,MATCH(UnitGradeInfo!B265,ref_Unit_Balance!$B$31:$B$1048576,0)))</f>
        <v>5</v>
      </c>
      <c r="J265" s="5">
        <f>INDEX(ref_Unit_Balance!$S$31:$S$106,MATCH(UnitGradeInfo!B265,ref_Unit_Balance!$B$31:$B$1048576,0))</f>
        <v>800</v>
      </c>
      <c r="K265" s="5">
        <v>0</v>
      </c>
      <c r="L265" s="5">
        <f>INDEX(ref_Unit_Balance!$I$31:$I$106,MATCH(UnitGradeInfo!B265,ref_Unit_Balance!$B$31:$B$1048576,0))</f>
        <v>1</v>
      </c>
      <c r="M265" s="5">
        <f t="shared" si="30"/>
        <v>34</v>
      </c>
      <c r="N265" s="5">
        <f t="shared" si="31"/>
        <v>340</v>
      </c>
      <c r="O265" s="5">
        <f>(INDEX(Unitinfo!I:I,MATCH(B265,Unitinfo!A:A,0))+1)*2</f>
        <v>6</v>
      </c>
      <c r="P265" s="5">
        <v>0</v>
      </c>
      <c r="Q265" s="5">
        <v>0</v>
      </c>
      <c r="R265" s="19" t="s">
        <v>121</v>
      </c>
      <c r="S265" s="19" t="s">
        <v>121</v>
      </c>
      <c r="T265" s="5">
        <f t="shared" si="26"/>
        <v>2011</v>
      </c>
      <c r="U265" s="5">
        <f t="shared" si="27"/>
        <v>1</v>
      </c>
      <c r="V265" s="5">
        <v>0</v>
      </c>
      <c r="W265" s="5">
        <v>10</v>
      </c>
    </row>
    <row r="266" spans="1:23">
      <c r="A266" s="5">
        <f t="shared" si="28"/>
        <v>263</v>
      </c>
      <c r="B266" s="93">
        <f t="shared" si="29"/>
        <v>2011</v>
      </c>
      <c r="C266" s="20" t="str">
        <f>INDEX(Unitinfo!C:C,MATCH(UnitGradeInfo!B266,Unitinfo!A:A,0))</f>
        <v>(원거리)Witch_Poison</v>
      </c>
      <c r="D266" s="5">
        <f>COUNTIF($B$4:B266,B266)</f>
        <v>18</v>
      </c>
      <c r="E266" s="5">
        <f>ROUNDDOWN(INDEX(ref_Unit_Balance!$G$31:$G$106,MATCH(UnitGradeInfo!B266,ref_Unit_Balance!$B$31:$B$1048576,0))
+INDEX(ref_Unit_Balance!$G$20:$G$23,MATCH(IFERROR(INDEX(ref_Unit_Balance!$D$31:$D$1048576,MATCH(B266,ref_Unit_Balance!$B$31:$B$1048576,0)),0),ref_Unit_Balance!$B$20:$B$23,0))*D266*ref_Unit_Balance!$C$25,0)</f>
        <v>1550</v>
      </c>
      <c r="F266" s="5">
        <f>INDEX(ref_Unit_Balance!$V$31:$V$106,MATCH(UnitGradeInfo!B266,ref_Unit_Balance!$B$31:$B$1048576,0))
+
INDEX(ref_Unit_Balance!$AB$31:$AB$106,MATCH(UnitGradeInfo!B266,ref_Unit_Balance!$B$31:$B$1048576,0))*(D266-1)</f>
        <v>16200</v>
      </c>
      <c r="G266" s="5">
        <f>INDEX(ref_Unit_Balance!$R$31:$R$106,MATCH(UnitGradeInfo!B266,ref_Unit_Balance!$B$31:$B$1048576,0))
+
INDEX(ref_Unit_Balance!$AA$31:$AA$106,MATCH(UnitGradeInfo!B266,ref_Unit_Balance!$B$31:$B$1048576,0))*(D266-1)</f>
        <v>2144</v>
      </c>
      <c r="H266" s="39">
        <f>IF(INDEX(Unitinfo!D:D,MATCH(UnitGradeInfo!B266,Unitinfo!A:A,0))=1,50,5)</f>
        <v>50</v>
      </c>
      <c r="I266" s="5">
        <f>IF(INDEX(ref_Unit_Balance!$T$31:$T$106,MATCH(UnitGradeInfo!B266,ref_Unit_Balance!$B$31:$B$1048576,0))=0,1,INDEX(ref_Unit_Balance!$T$31:$T$106,MATCH(UnitGradeInfo!B266,ref_Unit_Balance!$B$31:$B$1048576,0)))</f>
        <v>5</v>
      </c>
      <c r="J266" s="5">
        <f>INDEX(ref_Unit_Balance!$S$31:$S$106,MATCH(UnitGradeInfo!B266,ref_Unit_Balance!$B$31:$B$1048576,0))</f>
        <v>800</v>
      </c>
      <c r="K266" s="5">
        <v>0</v>
      </c>
      <c r="L266" s="5">
        <f>INDEX(ref_Unit_Balance!$I$31:$I$106,MATCH(UnitGradeInfo!B266,ref_Unit_Balance!$B$31:$B$1048576,0))</f>
        <v>1</v>
      </c>
      <c r="M266" s="5">
        <f t="shared" si="30"/>
        <v>36</v>
      </c>
      <c r="N266" s="5">
        <f t="shared" si="31"/>
        <v>360</v>
      </c>
      <c r="O266" s="5">
        <f>(INDEX(Unitinfo!I:I,MATCH(B266,Unitinfo!A:A,0))+1)*2</f>
        <v>6</v>
      </c>
      <c r="P266" s="5">
        <v>0</v>
      </c>
      <c r="Q266" s="5">
        <v>0</v>
      </c>
      <c r="R266" s="19" t="s">
        <v>121</v>
      </c>
      <c r="S266" s="19" t="s">
        <v>121</v>
      </c>
      <c r="T266" s="5">
        <f t="shared" si="26"/>
        <v>2011</v>
      </c>
      <c r="U266" s="5">
        <f t="shared" si="27"/>
        <v>1</v>
      </c>
      <c r="V266" s="5">
        <v>0</v>
      </c>
      <c r="W266" s="5">
        <v>10</v>
      </c>
    </row>
    <row r="267" spans="1:23">
      <c r="A267" s="5">
        <f t="shared" si="28"/>
        <v>264</v>
      </c>
      <c r="B267" s="93">
        <f t="shared" si="29"/>
        <v>2011</v>
      </c>
      <c r="C267" s="20" t="str">
        <f>INDEX(Unitinfo!C:C,MATCH(UnitGradeInfo!B267,Unitinfo!A:A,0))</f>
        <v>(원거리)Witch_Poison</v>
      </c>
      <c r="D267" s="5">
        <f>COUNTIF($B$4:B267,B267)</f>
        <v>19</v>
      </c>
      <c r="E267" s="5">
        <f>ROUNDDOWN(INDEX(ref_Unit_Balance!$G$31:$G$106,MATCH(UnitGradeInfo!B267,ref_Unit_Balance!$B$31:$B$1048576,0))
+INDEX(ref_Unit_Balance!$G$20:$G$23,MATCH(IFERROR(INDEX(ref_Unit_Balance!$D$31:$D$1048576,MATCH(B267,ref_Unit_Balance!$B$31:$B$1048576,0)),0),ref_Unit_Balance!$B$20:$B$23,0))*D267*ref_Unit_Balance!$C$25,0)</f>
        <v>1625</v>
      </c>
      <c r="F267" s="5">
        <f>INDEX(ref_Unit_Balance!$V$31:$V$106,MATCH(UnitGradeInfo!B267,ref_Unit_Balance!$B$31:$B$1048576,0))
+
INDEX(ref_Unit_Balance!$AB$31:$AB$106,MATCH(UnitGradeInfo!B267,ref_Unit_Balance!$B$31:$B$1048576,0))*(D267-1)</f>
        <v>16800</v>
      </c>
      <c r="G267" s="5">
        <f>INDEX(ref_Unit_Balance!$R$31:$R$106,MATCH(UnitGradeInfo!B267,ref_Unit_Balance!$B$31:$B$1048576,0))
+
INDEX(ref_Unit_Balance!$AA$31:$AA$106,MATCH(UnitGradeInfo!B267,ref_Unit_Balance!$B$31:$B$1048576,0))*(D267-1)</f>
        <v>2240</v>
      </c>
      <c r="H267" s="39">
        <f>IF(INDEX(Unitinfo!D:D,MATCH(UnitGradeInfo!B267,Unitinfo!A:A,0))=1,50,5)</f>
        <v>50</v>
      </c>
      <c r="I267" s="5">
        <f>IF(INDEX(ref_Unit_Balance!$T$31:$T$106,MATCH(UnitGradeInfo!B267,ref_Unit_Balance!$B$31:$B$1048576,0))=0,1,INDEX(ref_Unit_Balance!$T$31:$T$106,MATCH(UnitGradeInfo!B267,ref_Unit_Balance!$B$31:$B$1048576,0)))</f>
        <v>5</v>
      </c>
      <c r="J267" s="5">
        <f>INDEX(ref_Unit_Balance!$S$31:$S$106,MATCH(UnitGradeInfo!B267,ref_Unit_Balance!$B$31:$B$1048576,0))</f>
        <v>800</v>
      </c>
      <c r="K267" s="5">
        <v>0</v>
      </c>
      <c r="L267" s="5">
        <f>INDEX(ref_Unit_Balance!$I$31:$I$106,MATCH(UnitGradeInfo!B267,ref_Unit_Balance!$B$31:$B$1048576,0))</f>
        <v>1</v>
      </c>
      <c r="M267" s="5">
        <f t="shared" si="30"/>
        <v>38</v>
      </c>
      <c r="N267" s="5">
        <f t="shared" si="31"/>
        <v>380</v>
      </c>
      <c r="O267" s="5">
        <f>(INDEX(Unitinfo!I:I,MATCH(B267,Unitinfo!A:A,0))+1)*2</f>
        <v>6</v>
      </c>
      <c r="P267" s="5">
        <v>0</v>
      </c>
      <c r="Q267" s="5">
        <v>0</v>
      </c>
      <c r="R267" s="19" t="s">
        <v>121</v>
      </c>
      <c r="S267" s="19" t="s">
        <v>121</v>
      </c>
      <c r="T267" s="5">
        <f t="shared" si="26"/>
        <v>2011</v>
      </c>
      <c r="U267" s="5">
        <f t="shared" si="27"/>
        <v>1</v>
      </c>
      <c r="V267" s="5">
        <v>0</v>
      </c>
      <c r="W267" s="5">
        <v>10</v>
      </c>
    </row>
    <row r="268" spans="1:23">
      <c r="A268" s="5">
        <f t="shared" si="28"/>
        <v>265</v>
      </c>
      <c r="B268" s="93">
        <f t="shared" si="29"/>
        <v>2011</v>
      </c>
      <c r="C268" s="20" t="str">
        <f>INDEX(Unitinfo!C:C,MATCH(UnitGradeInfo!B268,Unitinfo!A:A,0))</f>
        <v>(원거리)Witch_Poison</v>
      </c>
      <c r="D268" s="5">
        <f>COUNTIF($B$4:B268,B268)</f>
        <v>20</v>
      </c>
      <c r="E268" s="5">
        <f>ROUNDDOWN(INDEX(ref_Unit_Balance!$G$31:$G$106,MATCH(UnitGradeInfo!B268,ref_Unit_Balance!$B$31:$B$1048576,0))
+INDEX(ref_Unit_Balance!$G$20:$G$23,MATCH(IFERROR(INDEX(ref_Unit_Balance!$D$31:$D$1048576,MATCH(B268,ref_Unit_Balance!$B$31:$B$1048576,0)),0),ref_Unit_Balance!$B$20:$B$23,0))*D268*ref_Unit_Balance!$C$25,0)</f>
        <v>1700</v>
      </c>
      <c r="F268" s="5">
        <f>INDEX(ref_Unit_Balance!$V$31:$V$106,MATCH(UnitGradeInfo!B268,ref_Unit_Balance!$B$31:$B$1048576,0))
+
INDEX(ref_Unit_Balance!$AB$31:$AB$106,MATCH(UnitGradeInfo!B268,ref_Unit_Balance!$B$31:$B$1048576,0))*(D268-1)</f>
        <v>17400</v>
      </c>
      <c r="G268" s="5">
        <f>INDEX(ref_Unit_Balance!$R$31:$R$106,MATCH(UnitGradeInfo!B268,ref_Unit_Balance!$B$31:$B$1048576,0))
+
INDEX(ref_Unit_Balance!$AA$31:$AA$106,MATCH(UnitGradeInfo!B268,ref_Unit_Balance!$B$31:$B$1048576,0))*(D268-1)</f>
        <v>2336</v>
      </c>
      <c r="H268" s="39">
        <f>IF(INDEX(Unitinfo!D:D,MATCH(UnitGradeInfo!B268,Unitinfo!A:A,0))=1,50,5)</f>
        <v>50</v>
      </c>
      <c r="I268" s="5">
        <f>IF(INDEX(ref_Unit_Balance!$T$31:$T$106,MATCH(UnitGradeInfo!B268,ref_Unit_Balance!$B$31:$B$1048576,0))=0,1,INDEX(ref_Unit_Balance!$T$31:$T$106,MATCH(UnitGradeInfo!B268,ref_Unit_Balance!$B$31:$B$1048576,0)))</f>
        <v>5</v>
      </c>
      <c r="J268" s="5">
        <f>INDEX(ref_Unit_Balance!$S$31:$S$106,MATCH(UnitGradeInfo!B268,ref_Unit_Balance!$B$31:$B$1048576,0))</f>
        <v>800</v>
      </c>
      <c r="K268" s="5">
        <v>0</v>
      </c>
      <c r="L268" s="5">
        <f>INDEX(ref_Unit_Balance!$I$31:$I$106,MATCH(UnitGradeInfo!B268,ref_Unit_Balance!$B$31:$B$1048576,0))</f>
        <v>1</v>
      </c>
      <c r="M268" s="5">
        <f t="shared" si="30"/>
        <v>40</v>
      </c>
      <c r="N268" s="5">
        <f t="shared" si="31"/>
        <v>400</v>
      </c>
      <c r="O268" s="5">
        <f>(INDEX(Unitinfo!I:I,MATCH(B268,Unitinfo!A:A,0))+1)*2</f>
        <v>6</v>
      </c>
      <c r="P268" s="5">
        <v>0</v>
      </c>
      <c r="Q268" s="5">
        <v>0</v>
      </c>
      <c r="R268" s="19" t="s">
        <v>121</v>
      </c>
      <c r="S268" s="19" t="s">
        <v>121</v>
      </c>
      <c r="T268" s="5">
        <f t="shared" si="26"/>
        <v>2011</v>
      </c>
      <c r="U268" s="5">
        <f t="shared" si="27"/>
        <v>1</v>
      </c>
      <c r="V268" s="5">
        <v>0</v>
      </c>
      <c r="W268" s="5">
        <v>10</v>
      </c>
    </row>
    <row r="269" spans="1:23">
      <c r="A269" s="5">
        <f t="shared" si="28"/>
        <v>266</v>
      </c>
      <c r="B269" s="93">
        <f t="shared" si="29"/>
        <v>2012</v>
      </c>
      <c r="C269" s="20" t="str">
        <f>INDEX(Unitinfo!C:C,MATCH(UnitGradeInfo!B269,Unitinfo!A:A,0))</f>
        <v>(원거리)Goblin_Stone</v>
      </c>
      <c r="D269" s="5">
        <f>COUNTIF($B$4:B269,B269)</f>
        <v>1</v>
      </c>
      <c r="E269" s="5">
        <f>ROUNDDOWN(INDEX(ref_Unit_Balance!$G$31:$G$106,MATCH(UnitGradeInfo!B269,ref_Unit_Balance!$B$31:$B$1048576,0))
+INDEX(ref_Unit_Balance!$G$20:$G$23,MATCH(IFERROR(INDEX(ref_Unit_Balance!$D$31:$D$1048576,MATCH(B269,ref_Unit_Balance!$B$31:$B$1048576,0)),0),ref_Unit_Balance!$B$20:$B$23,0))*D269*ref_Unit_Balance!$C$25,0)</f>
        <v>239</v>
      </c>
      <c r="F269" s="5">
        <f>INDEX(ref_Unit_Balance!$V$31:$V$106,MATCH(UnitGradeInfo!B269,ref_Unit_Balance!$B$31:$B$1048576,0))
+
INDEX(ref_Unit_Balance!$AB$31:$AB$106,MATCH(UnitGradeInfo!B269,ref_Unit_Balance!$B$31:$B$1048576,0))*(D269-1)</f>
        <v>1050</v>
      </c>
      <c r="G269" s="5">
        <f>INDEX(ref_Unit_Balance!$R$31:$R$106,MATCH(UnitGradeInfo!B269,ref_Unit_Balance!$B$31:$B$1048576,0))
+
INDEX(ref_Unit_Balance!$AA$31:$AA$106,MATCH(UnitGradeInfo!B269,ref_Unit_Balance!$B$31:$B$1048576,0))*(D269-1)</f>
        <v>168</v>
      </c>
      <c r="H269" s="39">
        <f>IF(INDEX(Unitinfo!D:D,MATCH(UnitGradeInfo!B269,Unitinfo!A:A,0))=1,50,5)</f>
        <v>50</v>
      </c>
      <c r="I269" s="5">
        <f>IF(INDEX(ref_Unit_Balance!$T$31:$T$106,MATCH(UnitGradeInfo!B269,ref_Unit_Balance!$B$31:$B$1048576,0))=0,1,INDEX(ref_Unit_Balance!$T$31:$T$106,MATCH(UnitGradeInfo!B269,ref_Unit_Balance!$B$31:$B$1048576,0)))</f>
        <v>5</v>
      </c>
      <c r="J269" s="5">
        <f>INDEX(ref_Unit_Balance!$S$31:$S$106,MATCH(UnitGradeInfo!B269,ref_Unit_Balance!$B$31:$B$1048576,0))</f>
        <v>600</v>
      </c>
      <c r="K269" s="5">
        <v>0</v>
      </c>
      <c r="L269" s="5">
        <f>INDEX(ref_Unit_Balance!$I$31:$I$106,MATCH(UnitGradeInfo!B269,ref_Unit_Balance!$B$31:$B$1048576,0))</f>
        <v>3</v>
      </c>
      <c r="M269" s="5">
        <f t="shared" si="30"/>
        <v>2</v>
      </c>
      <c r="N269" s="5">
        <f t="shared" si="31"/>
        <v>20</v>
      </c>
      <c r="O269" s="5">
        <f>(INDEX(Unitinfo!I:I,MATCH(B269,Unitinfo!A:A,0))+1)*2</f>
        <v>4</v>
      </c>
      <c r="P269" s="5">
        <v>0</v>
      </c>
      <c r="Q269" s="5">
        <v>0</v>
      </c>
      <c r="R269" s="19" t="s">
        <v>121</v>
      </c>
      <c r="S269" s="19" t="s">
        <v>121</v>
      </c>
      <c r="T269" s="5">
        <f t="shared" si="26"/>
        <v>2012</v>
      </c>
      <c r="U269" s="5">
        <f t="shared" si="27"/>
        <v>1</v>
      </c>
      <c r="V269" s="5">
        <v>0</v>
      </c>
      <c r="W269" s="5">
        <v>10</v>
      </c>
    </row>
    <row r="270" spans="1:23">
      <c r="A270" s="5">
        <f t="shared" si="28"/>
        <v>267</v>
      </c>
      <c r="B270" s="93">
        <f t="shared" si="29"/>
        <v>2012</v>
      </c>
      <c r="C270" s="20" t="str">
        <f>INDEX(Unitinfo!C:C,MATCH(UnitGradeInfo!B270,Unitinfo!A:A,0))</f>
        <v>(원거리)Goblin_Stone</v>
      </c>
      <c r="D270" s="5">
        <f>COUNTIF($B$4:B270,B270)</f>
        <v>2</v>
      </c>
      <c r="E270" s="5">
        <f>ROUNDDOWN(INDEX(ref_Unit_Balance!$G$31:$G$106,MATCH(UnitGradeInfo!B270,ref_Unit_Balance!$B$31:$B$1048576,0))
+INDEX(ref_Unit_Balance!$G$20:$G$23,MATCH(IFERROR(INDEX(ref_Unit_Balance!$D$31:$D$1048576,MATCH(B270,ref_Unit_Balance!$B$31:$B$1048576,0)),0),ref_Unit_Balance!$B$20:$B$23,0))*D270*ref_Unit_Balance!$C$25,0)</f>
        <v>302</v>
      </c>
      <c r="F270" s="5">
        <f>INDEX(ref_Unit_Balance!$V$31:$V$106,MATCH(UnitGradeInfo!B270,ref_Unit_Balance!$B$31:$B$1048576,0))
+
INDEX(ref_Unit_Balance!$AB$31:$AB$106,MATCH(UnitGradeInfo!B270,ref_Unit_Balance!$B$31:$B$1048576,0))*(D270-1)</f>
        <v>1250</v>
      </c>
      <c r="G270" s="5">
        <f>INDEX(ref_Unit_Balance!$R$31:$R$106,MATCH(UnitGradeInfo!B270,ref_Unit_Balance!$B$31:$B$1048576,0))
+
INDEX(ref_Unit_Balance!$AA$31:$AA$106,MATCH(UnitGradeInfo!B270,ref_Unit_Balance!$B$31:$B$1048576,0))*(D270-1)</f>
        <v>176</v>
      </c>
      <c r="H270" s="39">
        <f>IF(INDEX(Unitinfo!D:D,MATCH(UnitGradeInfo!B270,Unitinfo!A:A,0))=1,50,5)</f>
        <v>50</v>
      </c>
      <c r="I270" s="5">
        <f>IF(INDEX(ref_Unit_Balance!$T$31:$T$106,MATCH(UnitGradeInfo!B270,ref_Unit_Balance!$B$31:$B$1048576,0))=0,1,INDEX(ref_Unit_Balance!$T$31:$T$106,MATCH(UnitGradeInfo!B270,ref_Unit_Balance!$B$31:$B$1048576,0)))</f>
        <v>5</v>
      </c>
      <c r="J270" s="5">
        <f>INDEX(ref_Unit_Balance!$S$31:$S$106,MATCH(UnitGradeInfo!B270,ref_Unit_Balance!$B$31:$B$1048576,0))</f>
        <v>600</v>
      </c>
      <c r="K270" s="5">
        <v>0</v>
      </c>
      <c r="L270" s="5">
        <f>INDEX(ref_Unit_Balance!$I$31:$I$106,MATCH(UnitGradeInfo!B270,ref_Unit_Balance!$B$31:$B$1048576,0))</f>
        <v>3</v>
      </c>
      <c r="M270" s="5">
        <f t="shared" si="30"/>
        <v>4</v>
      </c>
      <c r="N270" s="5">
        <f t="shared" si="31"/>
        <v>40</v>
      </c>
      <c r="O270" s="5">
        <f>(INDEX(Unitinfo!I:I,MATCH(B270,Unitinfo!A:A,0))+1)*2</f>
        <v>4</v>
      </c>
      <c r="P270" s="5">
        <v>0</v>
      </c>
      <c r="Q270" s="5">
        <v>0</v>
      </c>
      <c r="R270" s="19" t="s">
        <v>121</v>
      </c>
      <c r="S270" s="19" t="s">
        <v>121</v>
      </c>
      <c r="T270" s="5">
        <f t="shared" si="26"/>
        <v>2012</v>
      </c>
      <c r="U270" s="5">
        <f t="shared" si="27"/>
        <v>1</v>
      </c>
      <c r="V270" s="5">
        <v>0</v>
      </c>
      <c r="W270" s="5">
        <v>10</v>
      </c>
    </row>
    <row r="271" spans="1:23">
      <c r="A271" s="5">
        <f t="shared" si="28"/>
        <v>268</v>
      </c>
      <c r="B271" s="93">
        <f t="shared" si="29"/>
        <v>2012</v>
      </c>
      <c r="C271" s="20" t="str">
        <f>INDEX(Unitinfo!C:C,MATCH(UnitGradeInfo!B271,Unitinfo!A:A,0))</f>
        <v>(원거리)Goblin_Stone</v>
      </c>
      <c r="D271" s="5">
        <f>COUNTIF($B$4:B271,B271)</f>
        <v>3</v>
      </c>
      <c r="E271" s="5">
        <f>ROUNDDOWN(INDEX(ref_Unit_Balance!$G$31:$G$106,MATCH(UnitGradeInfo!B271,ref_Unit_Balance!$B$31:$B$1048576,0))
+INDEX(ref_Unit_Balance!$G$20:$G$23,MATCH(IFERROR(INDEX(ref_Unit_Balance!$D$31:$D$1048576,MATCH(B271,ref_Unit_Balance!$B$31:$B$1048576,0)),0),ref_Unit_Balance!$B$20:$B$23,0))*D271*ref_Unit_Balance!$C$25,0)</f>
        <v>364</v>
      </c>
      <c r="F271" s="5">
        <f>INDEX(ref_Unit_Balance!$V$31:$V$106,MATCH(UnitGradeInfo!B271,ref_Unit_Balance!$B$31:$B$1048576,0))
+
INDEX(ref_Unit_Balance!$AB$31:$AB$106,MATCH(UnitGradeInfo!B271,ref_Unit_Balance!$B$31:$B$1048576,0))*(D271-1)</f>
        <v>1450</v>
      </c>
      <c r="G271" s="5">
        <f>INDEX(ref_Unit_Balance!$R$31:$R$106,MATCH(UnitGradeInfo!B271,ref_Unit_Balance!$B$31:$B$1048576,0))
+
INDEX(ref_Unit_Balance!$AA$31:$AA$106,MATCH(UnitGradeInfo!B271,ref_Unit_Balance!$B$31:$B$1048576,0))*(D271-1)</f>
        <v>184</v>
      </c>
      <c r="H271" s="39">
        <f>IF(INDEX(Unitinfo!D:D,MATCH(UnitGradeInfo!B271,Unitinfo!A:A,0))=1,50,5)</f>
        <v>50</v>
      </c>
      <c r="I271" s="5">
        <f>IF(INDEX(ref_Unit_Balance!$T$31:$T$106,MATCH(UnitGradeInfo!B271,ref_Unit_Balance!$B$31:$B$1048576,0))=0,1,INDEX(ref_Unit_Balance!$T$31:$T$106,MATCH(UnitGradeInfo!B271,ref_Unit_Balance!$B$31:$B$1048576,0)))</f>
        <v>5</v>
      </c>
      <c r="J271" s="5">
        <f>INDEX(ref_Unit_Balance!$S$31:$S$106,MATCH(UnitGradeInfo!B271,ref_Unit_Balance!$B$31:$B$1048576,0))</f>
        <v>600</v>
      </c>
      <c r="K271" s="5">
        <v>0</v>
      </c>
      <c r="L271" s="5">
        <f>INDEX(ref_Unit_Balance!$I$31:$I$106,MATCH(UnitGradeInfo!B271,ref_Unit_Balance!$B$31:$B$1048576,0))</f>
        <v>3</v>
      </c>
      <c r="M271" s="5">
        <f t="shared" si="30"/>
        <v>6</v>
      </c>
      <c r="N271" s="5">
        <f t="shared" si="31"/>
        <v>60</v>
      </c>
      <c r="O271" s="5">
        <f>(INDEX(Unitinfo!I:I,MATCH(B271,Unitinfo!A:A,0))+1)*2</f>
        <v>4</v>
      </c>
      <c r="P271" s="5">
        <v>0</v>
      </c>
      <c r="Q271" s="5">
        <v>0</v>
      </c>
      <c r="R271" s="19" t="s">
        <v>121</v>
      </c>
      <c r="S271" s="19" t="s">
        <v>121</v>
      </c>
      <c r="T271" s="5">
        <f t="shared" si="26"/>
        <v>2012</v>
      </c>
      <c r="U271" s="5">
        <f t="shared" si="27"/>
        <v>1</v>
      </c>
      <c r="V271" s="5">
        <v>0</v>
      </c>
      <c r="W271" s="5">
        <v>10</v>
      </c>
    </row>
    <row r="272" spans="1:23">
      <c r="A272" s="5">
        <f t="shared" si="28"/>
        <v>269</v>
      </c>
      <c r="B272" s="93">
        <f t="shared" si="29"/>
        <v>2012</v>
      </c>
      <c r="C272" s="20" t="str">
        <f>INDEX(Unitinfo!C:C,MATCH(UnitGradeInfo!B272,Unitinfo!A:A,0))</f>
        <v>(원거리)Goblin_Stone</v>
      </c>
      <c r="D272" s="5">
        <f>COUNTIF($B$4:B272,B272)</f>
        <v>4</v>
      </c>
      <c r="E272" s="5">
        <f>ROUNDDOWN(INDEX(ref_Unit_Balance!$G$31:$G$106,MATCH(UnitGradeInfo!B272,ref_Unit_Balance!$B$31:$B$1048576,0))
+INDEX(ref_Unit_Balance!$G$20:$G$23,MATCH(IFERROR(INDEX(ref_Unit_Balance!$D$31:$D$1048576,MATCH(B272,ref_Unit_Balance!$B$31:$B$1048576,0)),0),ref_Unit_Balance!$B$20:$B$23,0))*D272*ref_Unit_Balance!$C$25,0)</f>
        <v>427</v>
      </c>
      <c r="F272" s="5">
        <f>INDEX(ref_Unit_Balance!$V$31:$V$106,MATCH(UnitGradeInfo!B272,ref_Unit_Balance!$B$31:$B$1048576,0))
+
INDEX(ref_Unit_Balance!$AB$31:$AB$106,MATCH(UnitGradeInfo!B272,ref_Unit_Balance!$B$31:$B$1048576,0))*(D272-1)</f>
        <v>1650</v>
      </c>
      <c r="G272" s="5">
        <f>INDEX(ref_Unit_Balance!$R$31:$R$106,MATCH(UnitGradeInfo!B272,ref_Unit_Balance!$B$31:$B$1048576,0))
+
INDEX(ref_Unit_Balance!$AA$31:$AA$106,MATCH(UnitGradeInfo!B272,ref_Unit_Balance!$B$31:$B$1048576,0))*(D272-1)</f>
        <v>192</v>
      </c>
      <c r="H272" s="39">
        <f>IF(INDEX(Unitinfo!D:D,MATCH(UnitGradeInfo!B272,Unitinfo!A:A,0))=1,50,5)</f>
        <v>50</v>
      </c>
      <c r="I272" s="5">
        <f>IF(INDEX(ref_Unit_Balance!$T$31:$T$106,MATCH(UnitGradeInfo!B272,ref_Unit_Balance!$B$31:$B$1048576,0))=0,1,INDEX(ref_Unit_Balance!$T$31:$T$106,MATCH(UnitGradeInfo!B272,ref_Unit_Balance!$B$31:$B$1048576,0)))</f>
        <v>5</v>
      </c>
      <c r="J272" s="5">
        <f>INDEX(ref_Unit_Balance!$S$31:$S$106,MATCH(UnitGradeInfo!B272,ref_Unit_Balance!$B$31:$B$1048576,0))</f>
        <v>600</v>
      </c>
      <c r="K272" s="5">
        <v>0</v>
      </c>
      <c r="L272" s="5">
        <f>INDEX(ref_Unit_Balance!$I$31:$I$106,MATCH(UnitGradeInfo!B272,ref_Unit_Balance!$B$31:$B$1048576,0))</f>
        <v>3</v>
      </c>
      <c r="M272" s="5">
        <f t="shared" si="30"/>
        <v>8</v>
      </c>
      <c r="N272" s="5">
        <f t="shared" si="31"/>
        <v>80</v>
      </c>
      <c r="O272" s="5">
        <f>(INDEX(Unitinfo!I:I,MATCH(B272,Unitinfo!A:A,0))+1)*2</f>
        <v>4</v>
      </c>
      <c r="P272" s="5">
        <v>0</v>
      </c>
      <c r="Q272" s="5">
        <v>0</v>
      </c>
      <c r="R272" s="19" t="s">
        <v>121</v>
      </c>
      <c r="S272" s="19" t="s">
        <v>121</v>
      </c>
      <c r="T272" s="5">
        <f t="shared" si="26"/>
        <v>2012</v>
      </c>
      <c r="U272" s="5">
        <f t="shared" si="27"/>
        <v>1</v>
      </c>
      <c r="V272" s="5">
        <v>0</v>
      </c>
      <c r="W272" s="5">
        <v>10</v>
      </c>
    </row>
    <row r="273" spans="1:23">
      <c r="A273" s="5">
        <f t="shared" si="28"/>
        <v>270</v>
      </c>
      <c r="B273" s="93">
        <f t="shared" si="29"/>
        <v>2012</v>
      </c>
      <c r="C273" s="20" t="str">
        <f>INDEX(Unitinfo!C:C,MATCH(UnitGradeInfo!B273,Unitinfo!A:A,0))</f>
        <v>(원거리)Goblin_Stone</v>
      </c>
      <c r="D273" s="5">
        <f>COUNTIF($B$4:B273,B273)</f>
        <v>5</v>
      </c>
      <c r="E273" s="5">
        <f>ROUNDDOWN(INDEX(ref_Unit_Balance!$G$31:$G$106,MATCH(UnitGradeInfo!B273,ref_Unit_Balance!$B$31:$B$1048576,0))
+INDEX(ref_Unit_Balance!$G$20:$G$23,MATCH(IFERROR(INDEX(ref_Unit_Balance!$D$31:$D$1048576,MATCH(B273,ref_Unit_Balance!$B$31:$B$1048576,0)),0),ref_Unit_Balance!$B$20:$B$23,0))*D273*ref_Unit_Balance!$C$25,0)</f>
        <v>489</v>
      </c>
      <c r="F273" s="5">
        <f>INDEX(ref_Unit_Balance!$V$31:$V$106,MATCH(UnitGradeInfo!B273,ref_Unit_Balance!$B$31:$B$1048576,0))
+
INDEX(ref_Unit_Balance!$AB$31:$AB$106,MATCH(UnitGradeInfo!B273,ref_Unit_Balance!$B$31:$B$1048576,0))*(D273-1)</f>
        <v>1850</v>
      </c>
      <c r="G273" s="5">
        <f>INDEX(ref_Unit_Balance!$R$31:$R$106,MATCH(UnitGradeInfo!B273,ref_Unit_Balance!$B$31:$B$1048576,0))
+
INDEX(ref_Unit_Balance!$AA$31:$AA$106,MATCH(UnitGradeInfo!B273,ref_Unit_Balance!$B$31:$B$1048576,0))*(D273-1)</f>
        <v>200</v>
      </c>
      <c r="H273" s="39">
        <f>IF(INDEX(Unitinfo!D:D,MATCH(UnitGradeInfo!B273,Unitinfo!A:A,0))=1,50,5)</f>
        <v>50</v>
      </c>
      <c r="I273" s="5">
        <f>IF(INDEX(ref_Unit_Balance!$T$31:$T$106,MATCH(UnitGradeInfo!B273,ref_Unit_Balance!$B$31:$B$1048576,0))=0,1,INDEX(ref_Unit_Balance!$T$31:$T$106,MATCH(UnitGradeInfo!B273,ref_Unit_Balance!$B$31:$B$1048576,0)))</f>
        <v>5</v>
      </c>
      <c r="J273" s="5">
        <f>INDEX(ref_Unit_Balance!$S$31:$S$106,MATCH(UnitGradeInfo!B273,ref_Unit_Balance!$B$31:$B$1048576,0))</f>
        <v>600</v>
      </c>
      <c r="K273" s="5">
        <v>0</v>
      </c>
      <c r="L273" s="5">
        <f>INDEX(ref_Unit_Balance!$I$31:$I$106,MATCH(UnitGradeInfo!B273,ref_Unit_Balance!$B$31:$B$1048576,0))</f>
        <v>3</v>
      </c>
      <c r="M273" s="5">
        <f t="shared" si="30"/>
        <v>10</v>
      </c>
      <c r="N273" s="5">
        <f t="shared" si="31"/>
        <v>100</v>
      </c>
      <c r="O273" s="5">
        <f>(INDEX(Unitinfo!I:I,MATCH(B273,Unitinfo!A:A,0))+1)*2</f>
        <v>4</v>
      </c>
      <c r="P273" s="5">
        <v>0</v>
      </c>
      <c r="Q273" s="5">
        <v>0</v>
      </c>
      <c r="R273" s="19" t="s">
        <v>121</v>
      </c>
      <c r="S273" s="19" t="s">
        <v>121</v>
      </c>
      <c r="T273" s="5">
        <f t="shared" si="26"/>
        <v>2012</v>
      </c>
      <c r="U273" s="5">
        <f t="shared" si="27"/>
        <v>1</v>
      </c>
      <c r="V273" s="5">
        <v>0</v>
      </c>
      <c r="W273" s="5">
        <v>10</v>
      </c>
    </row>
    <row r="274" spans="1:23">
      <c r="A274" s="5">
        <f t="shared" si="28"/>
        <v>271</v>
      </c>
      <c r="B274" s="93">
        <f t="shared" si="29"/>
        <v>2012</v>
      </c>
      <c r="C274" s="20" t="str">
        <f>INDEX(Unitinfo!C:C,MATCH(UnitGradeInfo!B274,Unitinfo!A:A,0))</f>
        <v>(원거리)Goblin_Stone</v>
      </c>
      <c r="D274" s="5">
        <f>COUNTIF($B$4:B274,B274)</f>
        <v>6</v>
      </c>
      <c r="E274" s="5">
        <f>ROUNDDOWN(INDEX(ref_Unit_Balance!$G$31:$G$106,MATCH(UnitGradeInfo!B274,ref_Unit_Balance!$B$31:$B$1048576,0))
+INDEX(ref_Unit_Balance!$G$20:$G$23,MATCH(IFERROR(INDEX(ref_Unit_Balance!$D$31:$D$1048576,MATCH(B274,ref_Unit_Balance!$B$31:$B$1048576,0)),0),ref_Unit_Balance!$B$20:$B$23,0))*D274*ref_Unit_Balance!$C$25,0)</f>
        <v>552</v>
      </c>
      <c r="F274" s="5">
        <f>INDEX(ref_Unit_Balance!$V$31:$V$106,MATCH(UnitGradeInfo!B274,ref_Unit_Balance!$B$31:$B$1048576,0))
+
INDEX(ref_Unit_Balance!$AB$31:$AB$106,MATCH(UnitGradeInfo!B274,ref_Unit_Balance!$B$31:$B$1048576,0))*(D274-1)</f>
        <v>2050</v>
      </c>
      <c r="G274" s="5">
        <f>INDEX(ref_Unit_Balance!$R$31:$R$106,MATCH(UnitGradeInfo!B274,ref_Unit_Balance!$B$31:$B$1048576,0))
+
INDEX(ref_Unit_Balance!$AA$31:$AA$106,MATCH(UnitGradeInfo!B274,ref_Unit_Balance!$B$31:$B$1048576,0))*(D274-1)</f>
        <v>208</v>
      </c>
      <c r="H274" s="39">
        <f>IF(INDEX(Unitinfo!D:D,MATCH(UnitGradeInfo!B274,Unitinfo!A:A,0))=1,50,5)</f>
        <v>50</v>
      </c>
      <c r="I274" s="5">
        <f>IF(INDEX(ref_Unit_Balance!$T$31:$T$106,MATCH(UnitGradeInfo!B274,ref_Unit_Balance!$B$31:$B$1048576,0))=0,1,INDEX(ref_Unit_Balance!$T$31:$T$106,MATCH(UnitGradeInfo!B274,ref_Unit_Balance!$B$31:$B$1048576,0)))</f>
        <v>5</v>
      </c>
      <c r="J274" s="5">
        <f>INDEX(ref_Unit_Balance!$S$31:$S$106,MATCH(UnitGradeInfo!B274,ref_Unit_Balance!$B$31:$B$1048576,0))</f>
        <v>600</v>
      </c>
      <c r="K274" s="5">
        <v>0</v>
      </c>
      <c r="L274" s="5">
        <f>INDEX(ref_Unit_Balance!$I$31:$I$106,MATCH(UnitGradeInfo!B274,ref_Unit_Balance!$B$31:$B$1048576,0))</f>
        <v>3</v>
      </c>
      <c r="M274" s="5">
        <f t="shared" si="30"/>
        <v>12</v>
      </c>
      <c r="N274" s="5">
        <f t="shared" si="31"/>
        <v>120</v>
      </c>
      <c r="O274" s="5">
        <f>(INDEX(Unitinfo!I:I,MATCH(B274,Unitinfo!A:A,0))+1)*2</f>
        <v>4</v>
      </c>
      <c r="P274" s="5">
        <v>0</v>
      </c>
      <c r="Q274" s="5">
        <v>0</v>
      </c>
      <c r="R274" s="19" t="s">
        <v>121</v>
      </c>
      <c r="S274" s="19" t="s">
        <v>121</v>
      </c>
      <c r="T274" s="5">
        <f t="shared" si="26"/>
        <v>2012</v>
      </c>
      <c r="U274" s="5">
        <f t="shared" si="27"/>
        <v>1</v>
      </c>
      <c r="V274" s="5">
        <v>0</v>
      </c>
      <c r="W274" s="5">
        <v>10</v>
      </c>
    </row>
    <row r="275" spans="1:23">
      <c r="A275" s="5">
        <f t="shared" si="28"/>
        <v>272</v>
      </c>
      <c r="B275" s="93">
        <f t="shared" si="29"/>
        <v>2012</v>
      </c>
      <c r="C275" s="20" t="str">
        <f>INDEX(Unitinfo!C:C,MATCH(UnitGradeInfo!B275,Unitinfo!A:A,0))</f>
        <v>(원거리)Goblin_Stone</v>
      </c>
      <c r="D275" s="5">
        <f>COUNTIF($B$4:B275,B275)</f>
        <v>7</v>
      </c>
      <c r="E275" s="5">
        <f>ROUNDDOWN(INDEX(ref_Unit_Balance!$G$31:$G$106,MATCH(UnitGradeInfo!B275,ref_Unit_Balance!$B$31:$B$1048576,0))
+INDEX(ref_Unit_Balance!$G$20:$G$23,MATCH(IFERROR(INDEX(ref_Unit_Balance!$D$31:$D$1048576,MATCH(B275,ref_Unit_Balance!$B$31:$B$1048576,0)),0),ref_Unit_Balance!$B$20:$B$23,0))*D275*ref_Unit_Balance!$C$25,0)</f>
        <v>614</v>
      </c>
      <c r="F275" s="5">
        <f>INDEX(ref_Unit_Balance!$V$31:$V$106,MATCH(UnitGradeInfo!B275,ref_Unit_Balance!$B$31:$B$1048576,0))
+
INDEX(ref_Unit_Balance!$AB$31:$AB$106,MATCH(UnitGradeInfo!B275,ref_Unit_Balance!$B$31:$B$1048576,0))*(D275-1)</f>
        <v>2250</v>
      </c>
      <c r="G275" s="5">
        <f>INDEX(ref_Unit_Balance!$R$31:$R$106,MATCH(UnitGradeInfo!B275,ref_Unit_Balance!$B$31:$B$1048576,0))
+
INDEX(ref_Unit_Balance!$AA$31:$AA$106,MATCH(UnitGradeInfo!B275,ref_Unit_Balance!$B$31:$B$1048576,0))*(D275-1)</f>
        <v>216</v>
      </c>
      <c r="H275" s="39">
        <f>IF(INDEX(Unitinfo!D:D,MATCH(UnitGradeInfo!B275,Unitinfo!A:A,0))=1,50,5)</f>
        <v>50</v>
      </c>
      <c r="I275" s="5">
        <f>IF(INDEX(ref_Unit_Balance!$T$31:$T$106,MATCH(UnitGradeInfo!B275,ref_Unit_Balance!$B$31:$B$1048576,0))=0,1,INDEX(ref_Unit_Balance!$T$31:$T$106,MATCH(UnitGradeInfo!B275,ref_Unit_Balance!$B$31:$B$1048576,0)))</f>
        <v>5</v>
      </c>
      <c r="J275" s="5">
        <f>INDEX(ref_Unit_Balance!$S$31:$S$106,MATCH(UnitGradeInfo!B275,ref_Unit_Balance!$B$31:$B$1048576,0))</f>
        <v>600</v>
      </c>
      <c r="K275" s="5">
        <v>0</v>
      </c>
      <c r="L275" s="5">
        <f>INDEX(ref_Unit_Balance!$I$31:$I$106,MATCH(UnitGradeInfo!B275,ref_Unit_Balance!$B$31:$B$1048576,0))</f>
        <v>3</v>
      </c>
      <c r="M275" s="5">
        <f t="shared" si="30"/>
        <v>14</v>
      </c>
      <c r="N275" s="5">
        <f t="shared" si="31"/>
        <v>140</v>
      </c>
      <c r="O275" s="5">
        <f>(INDEX(Unitinfo!I:I,MATCH(B275,Unitinfo!A:A,0))+1)*2</f>
        <v>4</v>
      </c>
      <c r="P275" s="5">
        <v>0</v>
      </c>
      <c r="Q275" s="5">
        <v>0</v>
      </c>
      <c r="R275" s="19" t="s">
        <v>121</v>
      </c>
      <c r="S275" s="19" t="s">
        <v>121</v>
      </c>
      <c r="T275" s="5">
        <f t="shared" si="26"/>
        <v>2012</v>
      </c>
      <c r="U275" s="5">
        <f t="shared" si="27"/>
        <v>1</v>
      </c>
      <c r="V275" s="5">
        <v>0</v>
      </c>
      <c r="W275" s="5">
        <v>10</v>
      </c>
    </row>
    <row r="276" spans="1:23">
      <c r="A276" s="5">
        <f t="shared" si="28"/>
        <v>273</v>
      </c>
      <c r="B276" s="93">
        <f t="shared" si="29"/>
        <v>2012</v>
      </c>
      <c r="C276" s="20" t="str">
        <f>INDEX(Unitinfo!C:C,MATCH(UnitGradeInfo!B276,Unitinfo!A:A,0))</f>
        <v>(원거리)Goblin_Stone</v>
      </c>
      <c r="D276" s="5">
        <f>COUNTIF($B$4:B276,B276)</f>
        <v>8</v>
      </c>
      <c r="E276" s="5">
        <f>ROUNDDOWN(INDEX(ref_Unit_Balance!$G$31:$G$106,MATCH(UnitGradeInfo!B276,ref_Unit_Balance!$B$31:$B$1048576,0))
+INDEX(ref_Unit_Balance!$G$20:$G$23,MATCH(IFERROR(INDEX(ref_Unit_Balance!$D$31:$D$1048576,MATCH(B276,ref_Unit_Balance!$B$31:$B$1048576,0)),0),ref_Unit_Balance!$B$20:$B$23,0))*D276*ref_Unit_Balance!$C$25,0)</f>
        <v>677</v>
      </c>
      <c r="F276" s="5">
        <f>INDEX(ref_Unit_Balance!$V$31:$V$106,MATCH(UnitGradeInfo!B276,ref_Unit_Balance!$B$31:$B$1048576,0))
+
INDEX(ref_Unit_Balance!$AB$31:$AB$106,MATCH(UnitGradeInfo!B276,ref_Unit_Balance!$B$31:$B$1048576,0))*(D276-1)</f>
        <v>2450</v>
      </c>
      <c r="G276" s="5">
        <f>INDEX(ref_Unit_Balance!$R$31:$R$106,MATCH(UnitGradeInfo!B276,ref_Unit_Balance!$B$31:$B$1048576,0))
+
INDEX(ref_Unit_Balance!$AA$31:$AA$106,MATCH(UnitGradeInfo!B276,ref_Unit_Balance!$B$31:$B$1048576,0))*(D276-1)</f>
        <v>224</v>
      </c>
      <c r="H276" s="39">
        <f>IF(INDEX(Unitinfo!D:D,MATCH(UnitGradeInfo!B276,Unitinfo!A:A,0))=1,50,5)</f>
        <v>50</v>
      </c>
      <c r="I276" s="5">
        <f>IF(INDEX(ref_Unit_Balance!$T$31:$T$106,MATCH(UnitGradeInfo!B276,ref_Unit_Balance!$B$31:$B$1048576,0))=0,1,INDEX(ref_Unit_Balance!$T$31:$T$106,MATCH(UnitGradeInfo!B276,ref_Unit_Balance!$B$31:$B$1048576,0)))</f>
        <v>5</v>
      </c>
      <c r="J276" s="5">
        <f>INDEX(ref_Unit_Balance!$S$31:$S$106,MATCH(UnitGradeInfo!B276,ref_Unit_Balance!$B$31:$B$1048576,0))</f>
        <v>600</v>
      </c>
      <c r="K276" s="5">
        <v>0</v>
      </c>
      <c r="L276" s="5">
        <f>INDEX(ref_Unit_Balance!$I$31:$I$106,MATCH(UnitGradeInfo!B276,ref_Unit_Balance!$B$31:$B$1048576,0))</f>
        <v>3</v>
      </c>
      <c r="M276" s="5">
        <f t="shared" si="30"/>
        <v>16</v>
      </c>
      <c r="N276" s="5">
        <f t="shared" si="31"/>
        <v>160</v>
      </c>
      <c r="O276" s="5">
        <f>(INDEX(Unitinfo!I:I,MATCH(B276,Unitinfo!A:A,0))+1)*2</f>
        <v>4</v>
      </c>
      <c r="P276" s="5">
        <v>0</v>
      </c>
      <c r="Q276" s="5">
        <v>0</v>
      </c>
      <c r="R276" s="19" t="s">
        <v>121</v>
      </c>
      <c r="S276" s="19" t="s">
        <v>121</v>
      </c>
      <c r="T276" s="5">
        <f t="shared" si="26"/>
        <v>2012</v>
      </c>
      <c r="U276" s="5">
        <f t="shared" si="27"/>
        <v>1</v>
      </c>
      <c r="V276" s="5">
        <v>0</v>
      </c>
      <c r="W276" s="5">
        <v>10</v>
      </c>
    </row>
    <row r="277" spans="1:23">
      <c r="A277" s="5">
        <f t="shared" si="28"/>
        <v>274</v>
      </c>
      <c r="B277" s="93">
        <f t="shared" si="29"/>
        <v>2012</v>
      </c>
      <c r="C277" s="20" t="str">
        <f>INDEX(Unitinfo!C:C,MATCH(UnitGradeInfo!B277,Unitinfo!A:A,0))</f>
        <v>(원거리)Goblin_Stone</v>
      </c>
      <c r="D277" s="5">
        <f>COUNTIF($B$4:B277,B277)</f>
        <v>9</v>
      </c>
      <c r="E277" s="5">
        <f>ROUNDDOWN(INDEX(ref_Unit_Balance!$G$31:$G$106,MATCH(UnitGradeInfo!B277,ref_Unit_Balance!$B$31:$B$1048576,0))
+INDEX(ref_Unit_Balance!$G$20:$G$23,MATCH(IFERROR(INDEX(ref_Unit_Balance!$D$31:$D$1048576,MATCH(B277,ref_Unit_Balance!$B$31:$B$1048576,0)),0),ref_Unit_Balance!$B$20:$B$23,0))*D277*ref_Unit_Balance!$C$25,0)</f>
        <v>739</v>
      </c>
      <c r="F277" s="5">
        <f>INDEX(ref_Unit_Balance!$V$31:$V$106,MATCH(UnitGradeInfo!B277,ref_Unit_Balance!$B$31:$B$1048576,0))
+
INDEX(ref_Unit_Balance!$AB$31:$AB$106,MATCH(UnitGradeInfo!B277,ref_Unit_Balance!$B$31:$B$1048576,0))*(D277-1)</f>
        <v>2650</v>
      </c>
      <c r="G277" s="5">
        <f>INDEX(ref_Unit_Balance!$R$31:$R$106,MATCH(UnitGradeInfo!B277,ref_Unit_Balance!$B$31:$B$1048576,0))
+
INDEX(ref_Unit_Balance!$AA$31:$AA$106,MATCH(UnitGradeInfo!B277,ref_Unit_Balance!$B$31:$B$1048576,0))*(D277-1)</f>
        <v>232</v>
      </c>
      <c r="H277" s="39">
        <f>IF(INDEX(Unitinfo!D:D,MATCH(UnitGradeInfo!B277,Unitinfo!A:A,0))=1,50,5)</f>
        <v>50</v>
      </c>
      <c r="I277" s="5">
        <f>IF(INDEX(ref_Unit_Balance!$T$31:$T$106,MATCH(UnitGradeInfo!B277,ref_Unit_Balance!$B$31:$B$1048576,0))=0,1,INDEX(ref_Unit_Balance!$T$31:$T$106,MATCH(UnitGradeInfo!B277,ref_Unit_Balance!$B$31:$B$1048576,0)))</f>
        <v>5</v>
      </c>
      <c r="J277" s="5">
        <f>INDEX(ref_Unit_Balance!$S$31:$S$106,MATCH(UnitGradeInfo!B277,ref_Unit_Balance!$B$31:$B$1048576,0))</f>
        <v>600</v>
      </c>
      <c r="K277" s="5">
        <v>0</v>
      </c>
      <c r="L277" s="5">
        <f>INDEX(ref_Unit_Balance!$I$31:$I$106,MATCH(UnitGradeInfo!B277,ref_Unit_Balance!$B$31:$B$1048576,0))</f>
        <v>3</v>
      </c>
      <c r="M277" s="5">
        <f t="shared" si="30"/>
        <v>18</v>
      </c>
      <c r="N277" s="5">
        <f t="shared" si="31"/>
        <v>180</v>
      </c>
      <c r="O277" s="5">
        <f>(INDEX(Unitinfo!I:I,MATCH(B277,Unitinfo!A:A,0))+1)*2</f>
        <v>4</v>
      </c>
      <c r="P277" s="5">
        <v>0</v>
      </c>
      <c r="Q277" s="5">
        <v>0</v>
      </c>
      <c r="R277" s="19" t="s">
        <v>121</v>
      </c>
      <c r="S277" s="19" t="s">
        <v>121</v>
      </c>
      <c r="T277" s="5">
        <f t="shared" si="26"/>
        <v>2012</v>
      </c>
      <c r="U277" s="5">
        <f t="shared" si="27"/>
        <v>1</v>
      </c>
      <c r="V277" s="5">
        <v>0</v>
      </c>
      <c r="W277" s="5">
        <v>10</v>
      </c>
    </row>
    <row r="278" spans="1:23">
      <c r="A278" s="5">
        <f t="shared" si="28"/>
        <v>275</v>
      </c>
      <c r="B278" s="93">
        <f t="shared" si="29"/>
        <v>2012</v>
      </c>
      <c r="C278" s="20" t="str">
        <f>INDEX(Unitinfo!C:C,MATCH(UnitGradeInfo!B278,Unitinfo!A:A,0))</f>
        <v>(원거리)Goblin_Stone</v>
      </c>
      <c r="D278" s="5">
        <f>COUNTIF($B$4:B278,B278)</f>
        <v>10</v>
      </c>
      <c r="E278" s="5">
        <f>ROUNDDOWN(INDEX(ref_Unit_Balance!$G$31:$G$106,MATCH(UnitGradeInfo!B278,ref_Unit_Balance!$B$31:$B$1048576,0))
+INDEX(ref_Unit_Balance!$G$20:$G$23,MATCH(IFERROR(INDEX(ref_Unit_Balance!$D$31:$D$1048576,MATCH(B278,ref_Unit_Balance!$B$31:$B$1048576,0)),0),ref_Unit_Balance!$B$20:$B$23,0))*D278*ref_Unit_Balance!$C$25,0)</f>
        <v>802</v>
      </c>
      <c r="F278" s="5">
        <f>INDEX(ref_Unit_Balance!$V$31:$V$106,MATCH(UnitGradeInfo!B278,ref_Unit_Balance!$B$31:$B$1048576,0))
+
INDEX(ref_Unit_Balance!$AB$31:$AB$106,MATCH(UnitGradeInfo!B278,ref_Unit_Balance!$B$31:$B$1048576,0))*(D278-1)</f>
        <v>2850</v>
      </c>
      <c r="G278" s="5">
        <f>INDEX(ref_Unit_Balance!$R$31:$R$106,MATCH(UnitGradeInfo!B278,ref_Unit_Balance!$B$31:$B$1048576,0))
+
INDEX(ref_Unit_Balance!$AA$31:$AA$106,MATCH(UnitGradeInfo!B278,ref_Unit_Balance!$B$31:$B$1048576,0))*(D278-1)</f>
        <v>240</v>
      </c>
      <c r="H278" s="39">
        <f>IF(INDEX(Unitinfo!D:D,MATCH(UnitGradeInfo!B278,Unitinfo!A:A,0))=1,50,5)</f>
        <v>50</v>
      </c>
      <c r="I278" s="5">
        <f>IF(INDEX(ref_Unit_Balance!$T$31:$T$106,MATCH(UnitGradeInfo!B278,ref_Unit_Balance!$B$31:$B$1048576,0))=0,1,INDEX(ref_Unit_Balance!$T$31:$T$106,MATCH(UnitGradeInfo!B278,ref_Unit_Balance!$B$31:$B$1048576,0)))</f>
        <v>5</v>
      </c>
      <c r="J278" s="5">
        <f>INDEX(ref_Unit_Balance!$S$31:$S$106,MATCH(UnitGradeInfo!B278,ref_Unit_Balance!$B$31:$B$1048576,0))</f>
        <v>600</v>
      </c>
      <c r="K278" s="5">
        <v>0</v>
      </c>
      <c r="L278" s="5">
        <f>INDEX(ref_Unit_Balance!$I$31:$I$106,MATCH(UnitGradeInfo!B278,ref_Unit_Balance!$B$31:$B$1048576,0))</f>
        <v>3</v>
      </c>
      <c r="M278" s="5">
        <f t="shared" si="30"/>
        <v>20</v>
      </c>
      <c r="N278" s="5">
        <f t="shared" si="31"/>
        <v>200</v>
      </c>
      <c r="O278" s="5">
        <f>(INDEX(Unitinfo!I:I,MATCH(B278,Unitinfo!A:A,0))+1)*2</f>
        <v>4</v>
      </c>
      <c r="P278" s="5">
        <v>0</v>
      </c>
      <c r="Q278" s="5">
        <v>0</v>
      </c>
      <c r="R278" s="19" t="s">
        <v>121</v>
      </c>
      <c r="S278" s="19" t="s">
        <v>121</v>
      </c>
      <c r="T278" s="5">
        <f t="shared" si="26"/>
        <v>2012</v>
      </c>
      <c r="U278" s="5">
        <f t="shared" si="27"/>
        <v>1</v>
      </c>
      <c r="V278" s="5">
        <v>0</v>
      </c>
      <c r="W278" s="5">
        <v>10</v>
      </c>
    </row>
    <row r="279" spans="1:23">
      <c r="A279" s="5">
        <f t="shared" si="28"/>
        <v>276</v>
      </c>
      <c r="B279" s="93">
        <f t="shared" si="29"/>
        <v>2012</v>
      </c>
      <c r="C279" s="20" t="str">
        <f>INDEX(Unitinfo!C:C,MATCH(UnitGradeInfo!B279,Unitinfo!A:A,0))</f>
        <v>(원거리)Goblin_Stone</v>
      </c>
      <c r="D279" s="5">
        <f>COUNTIF($B$4:B279,B279)</f>
        <v>11</v>
      </c>
      <c r="E279" s="5">
        <f>ROUNDDOWN(INDEX(ref_Unit_Balance!$G$31:$G$106,MATCH(UnitGradeInfo!B279,ref_Unit_Balance!$B$31:$B$1048576,0))
+INDEX(ref_Unit_Balance!$G$20:$G$23,MATCH(IFERROR(INDEX(ref_Unit_Balance!$D$31:$D$1048576,MATCH(B279,ref_Unit_Balance!$B$31:$B$1048576,0)),0),ref_Unit_Balance!$B$20:$B$23,0))*D279*ref_Unit_Balance!$C$25,0)</f>
        <v>864</v>
      </c>
      <c r="F279" s="5">
        <f>INDEX(ref_Unit_Balance!$V$31:$V$106,MATCH(UnitGradeInfo!B279,ref_Unit_Balance!$B$31:$B$1048576,0))
+
INDEX(ref_Unit_Balance!$AB$31:$AB$106,MATCH(UnitGradeInfo!B279,ref_Unit_Balance!$B$31:$B$1048576,0))*(D279-1)</f>
        <v>3050</v>
      </c>
      <c r="G279" s="5">
        <f>INDEX(ref_Unit_Balance!$R$31:$R$106,MATCH(UnitGradeInfo!B279,ref_Unit_Balance!$B$31:$B$1048576,0))
+
INDEX(ref_Unit_Balance!$AA$31:$AA$106,MATCH(UnitGradeInfo!B279,ref_Unit_Balance!$B$31:$B$1048576,0))*(D279-1)</f>
        <v>248</v>
      </c>
      <c r="H279" s="39">
        <f>IF(INDEX(Unitinfo!D:D,MATCH(UnitGradeInfo!B279,Unitinfo!A:A,0))=1,50,5)</f>
        <v>50</v>
      </c>
      <c r="I279" s="5">
        <f>IF(INDEX(ref_Unit_Balance!$T$31:$T$106,MATCH(UnitGradeInfo!B279,ref_Unit_Balance!$B$31:$B$1048576,0))=0,1,INDEX(ref_Unit_Balance!$T$31:$T$106,MATCH(UnitGradeInfo!B279,ref_Unit_Balance!$B$31:$B$1048576,0)))</f>
        <v>5</v>
      </c>
      <c r="J279" s="5">
        <f>INDEX(ref_Unit_Balance!$S$31:$S$106,MATCH(UnitGradeInfo!B279,ref_Unit_Balance!$B$31:$B$1048576,0))</f>
        <v>600</v>
      </c>
      <c r="K279" s="5">
        <v>0</v>
      </c>
      <c r="L279" s="5">
        <f>INDEX(ref_Unit_Balance!$I$31:$I$106,MATCH(UnitGradeInfo!B279,ref_Unit_Balance!$B$31:$B$1048576,0))</f>
        <v>3</v>
      </c>
      <c r="M279" s="5">
        <f t="shared" si="30"/>
        <v>22</v>
      </c>
      <c r="N279" s="5">
        <f t="shared" si="31"/>
        <v>220</v>
      </c>
      <c r="O279" s="5">
        <f>(INDEX(Unitinfo!I:I,MATCH(B279,Unitinfo!A:A,0))+1)*2</f>
        <v>4</v>
      </c>
      <c r="P279" s="5">
        <v>0</v>
      </c>
      <c r="Q279" s="5">
        <v>0</v>
      </c>
      <c r="R279" s="19" t="s">
        <v>121</v>
      </c>
      <c r="S279" s="19" t="s">
        <v>121</v>
      </c>
      <c r="T279" s="5">
        <f t="shared" si="26"/>
        <v>2012</v>
      </c>
      <c r="U279" s="5">
        <f t="shared" si="27"/>
        <v>1</v>
      </c>
      <c r="V279" s="5">
        <v>0</v>
      </c>
      <c r="W279" s="5">
        <v>10</v>
      </c>
    </row>
    <row r="280" spans="1:23">
      <c r="A280" s="5">
        <f t="shared" si="28"/>
        <v>277</v>
      </c>
      <c r="B280" s="93">
        <f t="shared" si="29"/>
        <v>2012</v>
      </c>
      <c r="C280" s="20" t="str">
        <f>INDEX(Unitinfo!C:C,MATCH(UnitGradeInfo!B280,Unitinfo!A:A,0))</f>
        <v>(원거리)Goblin_Stone</v>
      </c>
      <c r="D280" s="5">
        <f>COUNTIF($B$4:B280,B280)</f>
        <v>12</v>
      </c>
      <c r="E280" s="5">
        <f>ROUNDDOWN(INDEX(ref_Unit_Balance!$G$31:$G$106,MATCH(UnitGradeInfo!B280,ref_Unit_Balance!$B$31:$B$1048576,0))
+INDEX(ref_Unit_Balance!$G$20:$G$23,MATCH(IFERROR(INDEX(ref_Unit_Balance!$D$31:$D$1048576,MATCH(B280,ref_Unit_Balance!$B$31:$B$1048576,0)),0),ref_Unit_Balance!$B$20:$B$23,0))*D280*ref_Unit_Balance!$C$25,0)</f>
        <v>927</v>
      </c>
      <c r="F280" s="5">
        <f>INDEX(ref_Unit_Balance!$V$31:$V$106,MATCH(UnitGradeInfo!B280,ref_Unit_Balance!$B$31:$B$1048576,0))
+
INDEX(ref_Unit_Balance!$AB$31:$AB$106,MATCH(UnitGradeInfo!B280,ref_Unit_Balance!$B$31:$B$1048576,0))*(D280-1)</f>
        <v>3250</v>
      </c>
      <c r="G280" s="5">
        <f>INDEX(ref_Unit_Balance!$R$31:$R$106,MATCH(UnitGradeInfo!B280,ref_Unit_Balance!$B$31:$B$1048576,0))
+
INDEX(ref_Unit_Balance!$AA$31:$AA$106,MATCH(UnitGradeInfo!B280,ref_Unit_Balance!$B$31:$B$1048576,0))*(D280-1)</f>
        <v>256</v>
      </c>
      <c r="H280" s="39">
        <f>IF(INDEX(Unitinfo!D:D,MATCH(UnitGradeInfo!B280,Unitinfo!A:A,0))=1,50,5)</f>
        <v>50</v>
      </c>
      <c r="I280" s="5">
        <f>IF(INDEX(ref_Unit_Balance!$T$31:$T$106,MATCH(UnitGradeInfo!B280,ref_Unit_Balance!$B$31:$B$1048576,0))=0,1,INDEX(ref_Unit_Balance!$T$31:$T$106,MATCH(UnitGradeInfo!B280,ref_Unit_Balance!$B$31:$B$1048576,0)))</f>
        <v>5</v>
      </c>
      <c r="J280" s="5">
        <f>INDEX(ref_Unit_Balance!$S$31:$S$106,MATCH(UnitGradeInfo!B280,ref_Unit_Balance!$B$31:$B$1048576,0))</f>
        <v>600</v>
      </c>
      <c r="K280" s="5">
        <v>0</v>
      </c>
      <c r="L280" s="5">
        <f>INDEX(ref_Unit_Balance!$I$31:$I$106,MATCH(UnitGradeInfo!B280,ref_Unit_Balance!$B$31:$B$1048576,0))</f>
        <v>3</v>
      </c>
      <c r="M280" s="5">
        <f t="shared" si="30"/>
        <v>24</v>
      </c>
      <c r="N280" s="5">
        <f t="shared" si="31"/>
        <v>240</v>
      </c>
      <c r="O280" s="5">
        <f>(INDEX(Unitinfo!I:I,MATCH(B280,Unitinfo!A:A,0))+1)*2</f>
        <v>4</v>
      </c>
      <c r="P280" s="5">
        <v>0</v>
      </c>
      <c r="Q280" s="5">
        <v>0</v>
      </c>
      <c r="R280" s="19" t="s">
        <v>121</v>
      </c>
      <c r="S280" s="19" t="s">
        <v>121</v>
      </c>
      <c r="T280" s="5">
        <f t="shared" si="26"/>
        <v>2012</v>
      </c>
      <c r="U280" s="5">
        <f t="shared" si="27"/>
        <v>1</v>
      </c>
      <c r="V280" s="5">
        <v>0</v>
      </c>
      <c r="W280" s="5">
        <v>10</v>
      </c>
    </row>
    <row r="281" spans="1:23">
      <c r="A281" s="5">
        <f t="shared" si="28"/>
        <v>278</v>
      </c>
      <c r="B281" s="93">
        <f t="shared" si="29"/>
        <v>2012</v>
      </c>
      <c r="C281" s="20" t="str">
        <f>INDEX(Unitinfo!C:C,MATCH(UnitGradeInfo!B281,Unitinfo!A:A,0))</f>
        <v>(원거리)Goblin_Stone</v>
      </c>
      <c r="D281" s="5">
        <f>COUNTIF($B$4:B281,B281)</f>
        <v>13</v>
      </c>
      <c r="E281" s="5">
        <f>ROUNDDOWN(INDEX(ref_Unit_Balance!$G$31:$G$106,MATCH(UnitGradeInfo!B281,ref_Unit_Balance!$B$31:$B$1048576,0))
+INDEX(ref_Unit_Balance!$G$20:$G$23,MATCH(IFERROR(INDEX(ref_Unit_Balance!$D$31:$D$1048576,MATCH(B281,ref_Unit_Balance!$B$31:$B$1048576,0)),0),ref_Unit_Balance!$B$20:$B$23,0))*D281*ref_Unit_Balance!$C$25,0)</f>
        <v>989</v>
      </c>
      <c r="F281" s="5">
        <f>INDEX(ref_Unit_Balance!$V$31:$V$106,MATCH(UnitGradeInfo!B281,ref_Unit_Balance!$B$31:$B$1048576,0))
+
INDEX(ref_Unit_Balance!$AB$31:$AB$106,MATCH(UnitGradeInfo!B281,ref_Unit_Balance!$B$31:$B$1048576,0))*(D281-1)</f>
        <v>3450</v>
      </c>
      <c r="G281" s="5">
        <f>INDEX(ref_Unit_Balance!$R$31:$R$106,MATCH(UnitGradeInfo!B281,ref_Unit_Balance!$B$31:$B$1048576,0))
+
INDEX(ref_Unit_Balance!$AA$31:$AA$106,MATCH(UnitGradeInfo!B281,ref_Unit_Balance!$B$31:$B$1048576,0))*(D281-1)</f>
        <v>264</v>
      </c>
      <c r="H281" s="39">
        <f>IF(INDEX(Unitinfo!D:D,MATCH(UnitGradeInfo!B281,Unitinfo!A:A,0))=1,50,5)</f>
        <v>50</v>
      </c>
      <c r="I281" s="5">
        <f>IF(INDEX(ref_Unit_Balance!$T$31:$T$106,MATCH(UnitGradeInfo!B281,ref_Unit_Balance!$B$31:$B$1048576,0))=0,1,INDEX(ref_Unit_Balance!$T$31:$T$106,MATCH(UnitGradeInfo!B281,ref_Unit_Balance!$B$31:$B$1048576,0)))</f>
        <v>5</v>
      </c>
      <c r="J281" s="5">
        <f>INDEX(ref_Unit_Balance!$S$31:$S$106,MATCH(UnitGradeInfo!B281,ref_Unit_Balance!$B$31:$B$1048576,0))</f>
        <v>600</v>
      </c>
      <c r="K281" s="5">
        <v>0</v>
      </c>
      <c r="L281" s="5">
        <f>INDEX(ref_Unit_Balance!$I$31:$I$106,MATCH(UnitGradeInfo!B281,ref_Unit_Balance!$B$31:$B$1048576,0))</f>
        <v>3</v>
      </c>
      <c r="M281" s="5">
        <f t="shared" si="30"/>
        <v>26</v>
      </c>
      <c r="N281" s="5">
        <f t="shared" si="31"/>
        <v>260</v>
      </c>
      <c r="O281" s="5">
        <f>(INDEX(Unitinfo!I:I,MATCH(B281,Unitinfo!A:A,0))+1)*2</f>
        <v>4</v>
      </c>
      <c r="P281" s="5">
        <v>0</v>
      </c>
      <c r="Q281" s="5">
        <v>0</v>
      </c>
      <c r="R281" s="19" t="s">
        <v>121</v>
      </c>
      <c r="S281" s="19" t="s">
        <v>121</v>
      </c>
      <c r="T281" s="5">
        <f t="shared" si="26"/>
        <v>2012</v>
      </c>
      <c r="U281" s="5">
        <f t="shared" si="27"/>
        <v>1</v>
      </c>
      <c r="V281" s="5">
        <v>0</v>
      </c>
      <c r="W281" s="5">
        <v>10</v>
      </c>
    </row>
    <row r="282" spans="1:23">
      <c r="A282" s="5">
        <f t="shared" si="28"/>
        <v>279</v>
      </c>
      <c r="B282" s="93">
        <f t="shared" si="29"/>
        <v>2012</v>
      </c>
      <c r="C282" s="20" t="str">
        <f>INDEX(Unitinfo!C:C,MATCH(UnitGradeInfo!B282,Unitinfo!A:A,0))</f>
        <v>(원거리)Goblin_Stone</v>
      </c>
      <c r="D282" s="5">
        <f>COUNTIF($B$4:B282,B282)</f>
        <v>14</v>
      </c>
      <c r="E282" s="5">
        <f>ROUNDDOWN(INDEX(ref_Unit_Balance!$G$31:$G$106,MATCH(UnitGradeInfo!B282,ref_Unit_Balance!$B$31:$B$1048576,0))
+INDEX(ref_Unit_Balance!$G$20:$G$23,MATCH(IFERROR(INDEX(ref_Unit_Balance!$D$31:$D$1048576,MATCH(B282,ref_Unit_Balance!$B$31:$B$1048576,0)),0),ref_Unit_Balance!$B$20:$B$23,0))*D282*ref_Unit_Balance!$C$25,0)</f>
        <v>1052</v>
      </c>
      <c r="F282" s="5">
        <f>INDEX(ref_Unit_Balance!$V$31:$V$106,MATCH(UnitGradeInfo!B282,ref_Unit_Balance!$B$31:$B$1048576,0))
+
INDEX(ref_Unit_Balance!$AB$31:$AB$106,MATCH(UnitGradeInfo!B282,ref_Unit_Balance!$B$31:$B$1048576,0))*(D282-1)</f>
        <v>3650</v>
      </c>
      <c r="G282" s="5">
        <f>INDEX(ref_Unit_Balance!$R$31:$R$106,MATCH(UnitGradeInfo!B282,ref_Unit_Balance!$B$31:$B$1048576,0))
+
INDEX(ref_Unit_Balance!$AA$31:$AA$106,MATCH(UnitGradeInfo!B282,ref_Unit_Balance!$B$31:$B$1048576,0))*(D282-1)</f>
        <v>272</v>
      </c>
      <c r="H282" s="39">
        <f>IF(INDEX(Unitinfo!D:D,MATCH(UnitGradeInfo!B282,Unitinfo!A:A,0))=1,50,5)</f>
        <v>50</v>
      </c>
      <c r="I282" s="5">
        <f>IF(INDEX(ref_Unit_Balance!$T$31:$T$106,MATCH(UnitGradeInfo!B282,ref_Unit_Balance!$B$31:$B$1048576,0))=0,1,INDEX(ref_Unit_Balance!$T$31:$T$106,MATCH(UnitGradeInfo!B282,ref_Unit_Balance!$B$31:$B$1048576,0)))</f>
        <v>5</v>
      </c>
      <c r="J282" s="5">
        <f>INDEX(ref_Unit_Balance!$S$31:$S$106,MATCH(UnitGradeInfo!B282,ref_Unit_Balance!$B$31:$B$1048576,0))</f>
        <v>600</v>
      </c>
      <c r="K282" s="5">
        <v>0</v>
      </c>
      <c r="L282" s="5">
        <f>INDEX(ref_Unit_Balance!$I$31:$I$106,MATCH(UnitGradeInfo!B282,ref_Unit_Balance!$B$31:$B$1048576,0))</f>
        <v>3</v>
      </c>
      <c r="M282" s="5">
        <f t="shared" si="30"/>
        <v>28</v>
      </c>
      <c r="N282" s="5">
        <f t="shared" si="31"/>
        <v>280</v>
      </c>
      <c r="O282" s="5">
        <f>(INDEX(Unitinfo!I:I,MATCH(B282,Unitinfo!A:A,0))+1)*2</f>
        <v>4</v>
      </c>
      <c r="P282" s="5">
        <v>0</v>
      </c>
      <c r="Q282" s="5">
        <v>0</v>
      </c>
      <c r="R282" s="19" t="s">
        <v>121</v>
      </c>
      <c r="S282" s="19" t="s">
        <v>121</v>
      </c>
      <c r="T282" s="5">
        <f t="shared" si="26"/>
        <v>2012</v>
      </c>
      <c r="U282" s="5">
        <f t="shared" si="27"/>
        <v>1</v>
      </c>
      <c r="V282" s="5">
        <v>0</v>
      </c>
      <c r="W282" s="5">
        <v>10</v>
      </c>
    </row>
    <row r="283" spans="1:23">
      <c r="A283" s="5">
        <f t="shared" si="28"/>
        <v>280</v>
      </c>
      <c r="B283" s="93">
        <f t="shared" si="29"/>
        <v>2012</v>
      </c>
      <c r="C283" s="20" t="str">
        <f>INDEX(Unitinfo!C:C,MATCH(UnitGradeInfo!B283,Unitinfo!A:A,0))</f>
        <v>(원거리)Goblin_Stone</v>
      </c>
      <c r="D283" s="5">
        <f>COUNTIF($B$4:B283,B283)</f>
        <v>15</v>
      </c>
      <c r="E283" s="5">
        <f>ROUNDDOWN(INDEX(ref_Unit_Balance!$G$31:$G$106,MATCH(UnitGradeInfo!B283,ref_Unit_Balance!$B$31:$B$1048576,0))
+INDEX(ref_Unit_Balance!$G$20:$G$23,MATCH(IFERROR(INDEX(ref_Unit_Balance!$D$31:$D$1048576,MATCH(B283,ref_Unit_Balance!$B$31:$B$1048576,0)),0),ref_Unit_Balance!$B$20:$B$23,0))*D283*ref_Unit_Balance!$C$25,0)</f>
        <v>1114</v>
      </c>
      <c r="F283" s="5">
        <f>INDEX(ref_Unit_Balance!$V$31:$V$106,MATCH(UnitGradeInfo!B283,ref_Unit_Balance!$B$31:$B$1048576,0))
+
INDEX(ref_Unit_Balance!$AB$31:$AB$106,MATCH(UnitGradeInfo!B283,ref_Unit_Balance!$B$31:$B$1048576,0))*(D283-1)</f>
        <v>3850</v>
      </c>
      <c r="G283" s="5">
        <f>INDEX(ref_Unit_Balance!$R$31:$R$106,MATCH(UnitGradeInfo!B283,ref_Unit_Balance!$B$31:$B$1048576,0))
+
INDEX(ref_Unit_Balance!$AA$31:$AA$106,MATCH(UnitGradeInfo!B283,ref_Unit_Balance!$B$31:$B$1048576,0))*(D283-1)</f>
        <v>280</v>
      </c>
      <c r="H283" s="39">
        <f>IF(INDEX(Unitinfo!D:D,MATCH(UnitGradeInfo!B283,Unitinfo!A:A,0))=1,50,5)</f>
        <v>50</v>
      </c>
      <c r="I283" s="5">
        <f>IF(INDEX(ref_Unit_Balance!$T$31:$T$106,MATCH(UnitGradeInfo!B283,ref_Unit_Balance!$B$31:$B$1048576,0))=0,1,INDEX(ref_Unit_Balance!$T$31:$T$106,MATCH(UnitGradeInfo!B283,ref_Unit_Balance!$B$31:$B$1048576,0)))</f>
        <v>5</v>
      </c>
      <c r="J283" s="5">
        <f>INDEX(ref_Unit_Balance!$S$31:$S$106,MATCH(UnitGradeInfo!B283,ref_Unit_Balance!$B$31:$B$1048576,0))</f>
        <v>600</v>
      </c>
      <c r="K283" s="5">
        <v>0</v>
      </c>
      <c r="L283" s="5">
        <f>INDEX(ref_Unit_Balance!$I$31:$I$106,MATCH(UnitGradeInfo!B283,ref_Unit_Balance!$B$31:$B$1048576,0))</f>
        <v>3</v>
      </c>
      <c r="M283" s="5">
        <f t="shared" si="30"/>
        <v>30</v>
      </c>
      <c r="N283" s="5">
        <f t="shared" si="31"/>
        <v>300</v>
      </c>
      <c r="O283" s="5">
        <f>(INDEX(Unitinfo!I:I,MATCH(B283,Unitinfo!A:A,0))+1)*2</f>
        <v>4</v>
      </c>
      <c r="P283" s="5">
        <v>0</v>
      </c>
      <c r="Q283" s="5">
        <v>0</v>
      </c>
      <c r="R283" s="19" t="s">
        <v>121</v>
      </c>
      <c r="S283" s="19" t="s">
        <v>121</v>
      </c>
      <c r="T283" s="5">
        <f t="shared" si="26"/>
        <v>2012</v>
      </c>
      <c r="U283" s="5">
        <f t="shared" si="27"/>
        <v>1</v>
      </c>
      <c r="V283" s="5">
        <v>0</v>
      </c>
      <c r="W283" s="5">
        <v>10</v>
      </c>
    </row>
    <row r="284" spans="1:23">
      <c r="A284" s="5">
        <f t="shared" si="28"/>
        <v>281</v>
      </c>
      <c r="B284" s="93">
        <f t="shared" si="29"/>
        <v>2012</v>
      </c>
      <c r="C284" s="20" t="str">
        <f>INDEX(Unitinfo!C:C,MATCH(UnitGradeInfo!B284,Unitinfo!A:A,0))</f>
        <v>(원거리)Goblin_Stone</v>
      </c>
      <c r="D284" s="5">
        <f>COUNTIF($B$4:B284,B284)</f>
        <v>16</v>
      </c>
      <c r="E284" s="5">
        <f>ROUNDDOWN(INDEX(ref_Unit_Balance!$G$31:$G$106,MATCH(UnitGradeInfo!B284,ref_Unit_Balance!$B$31:$B$1048576,0))
+INDEX(ref_Unit_Balance!$G$20:$G$23,MATCH(IFERROR(INDEX(ref_Unit_Balance!$D$31:$D$1048576,MATCH(B284,ref_Unit_Balance!$B$31:$B$1048576,0)),0),ref_Unit_Balance!$B$20:$B$23,0))*D284*ref_Unit_Balance!$C$25,0)</f>
        <v>1177</v>
      </c>
      <c r="F284" s="5">
        <f>INDEX(ref_Unit_Balance!$V$31:$V$106,MATCH(UnitGradeInfo!B284,ref_Unit_Balance!$B$31:$B$1048576,0))
+
INDEX(ref_Unit_Balance!$AB$31:$AB$106,MATCH(UnitGradeInfo!B284,ref_Unit_Balance!$B$31:$B$1048576,0))*(D284-1)</f>
        <v>4050</v>
      </c>
      <c r="G284" s="5">
        <f>INDEX(ref_Unit_Balance!$R$31:$R$106,MATCH(UnitGradeInfo!B284,ref_Unit_Balance!$B$31:$B$1048576,0))
+
INDEX(ref_Unit_Balance!$AA$31:$AA$106,MATCH(UnitGradeInfo!B284,ref_Unit_Balance!$B$31:$B$1048576,0))*(D284-1)</f>
        <v>288</v>
      </c>
      <c r="H284" s="39">
        <f>IF(INDEX(Unitinfo!D:D,MATCH(UnitGradeInfo!B284,Unitinfo!A:A,0))=1,50,5)</f>
        <v>50</v>
      </c>
      <c r="I284" s="5">
        <f>IF(INDEX(ref_Unit_Balance!$T$31:$T$106,MATCH(UnitGradeInfo!B284,ref_Unit_Balance!$B$31:$B$1048576,0))=0,1,INDEX(ref_Unit_Balance!$T$31:$T$106,MATCH(UnitGradeInfo!B284,ref_Unit_Balance!$B$31:$B$1048576,0)))</f>
        <v>5</v>
      </c>
      <c r="J284" s="5">
        <f>INDEX(ref_Unit_Balance!$S$31:$S$106,MATCH(UnitGradeInfo!B284,ref_Unit_Balance!$B$31:$B$1048576,0))</f>
        <v>600</v>
      </c>
      <c r="K284" s="5">
        <v>0</v>
      </c>
      <c r="L284" s="5">
        <f>INDEX(ref_Unit_Balance!$I$31:$I$106,MATCH(UnitGradeInfo!B284,ref_Unit_Balance!$B$31:$B$1048576,0))</f>
        <v>3</v>
      </c>
      <c r="M284" s="5">
        <f t="shared" si="30"/>
        <v>32</v>
      </c>
      <c r="N284" s="5">
        <f t="shared" si="31"/>
        <v>320</v>
      </c>
      <c r="O284" s="5">
        <f>(INDEX(Unitinfo!I:I,MATCH(B284,Unitinfo!A:A,0))+1)*2</f>
        <v>4</v>
      </c>
      <c r="P284" s="5">
        <v>0</v>
      </c>
      <c r="Q284" s="5">
        <v>0</v>
      </c>
      <c r="R284" s="19" t="s">
        <v>121</v>
      </c>
      <c r="S284" s="19" t="s">
        <v>121</v>
      </c>
      <c r="T284" s="5">
        <f t="shared" ref="T284:T319" si="32">B284</f>
        <v>2012</v>
      </c>
      <c r="U284" s="5">
        <f t="shared" ref="U284:U319" si="33">IF(B284&gt;10000,0,1)</f>
        <v>1</v>
      </c>
      <c r="V284" s="5">
        <v>0</v>
      </c>
      <c r="W284" s="5">
        <v>10</v>
      </c>
    </row>
    <row r="285" spans="1:23">
      <c r="A285" s="5">
        <f t="shared" si="28"/>
        <v>282</v>
      </c>
      <c r="B285" s="93">
        <f t="shared" si="29"/>
        <v>2012</v>
      </c>
      <c r="C285" s="20" t="str">
        <f>INDEX(Unitinfo!C:C,MATCH(UnitGradeInfo!B285,Unitinfo!A:A,0))</f>
        <v>(원거리)Goblin_Stone</v>
      </c>
      <c r="D285" s="5">
        <f>COUNTIF($B$4:B285,B285)</f>
        <v>17</v>
      </c>
      <c r="E285" s="5">
        <f>ROUNDDOWN(INDEX(ref_Unit_Balance!$G$31:$G$106,MATCH(UnitGradeInfo!B285,ref_Unit_Balance!$B$31:$B$1048576,0))
+INDEX(ref_Unit_Balance!$G$20:$G$23,MATCH(IFERROR(INDEX(ref_Unit_Balance!$D$31:$D$1048576,MATCH(B285,ref_Unit_Balance!$B$31:$B$1048576,0)),0),ref_Unit_Balance!$B$20:$B$23,0))*D285*ref_Unit_Balance!$C$25,0)</f>
        <v>1239</v>
      </c>
      <c r="F285" s="5">
        <f>INDEX(ref_Unit_Balance!$V$31:$V$106,MATCH(UnitGradeInfo!B285,ref_Unit_Balance!$B$31:$B$1048576,0))
+
INDEX(ref_Unit_Balance!$AB$31:$AB$106,MATCH(UnitGradeInfo!B285,ref_Unit_Balance!$B$31:$B$1048576,0))*(D285-1)</f>
        <v>4250</v>
      </c>
      <c r="G285" s="5">
        <f>INDEX(ref_Unit_Balance!$R$31:$R$106,MATCH(UnitGradeInfo!B285,ref_Unit_Balance!$B$31:$B$1048576,0))
+
INDEX(ref_Unit_Balance!$AA$31:$AA$106,MATCH(UnitGradeInfo!B285,ref_Unit_Balance!$B$31:$B$1048576,0))*(D285-1)</f>
        <v>296</v>
      </c>
      <c r="H285" s="39">
        <f>IF(INDEX(Unitinfo!D:D,MATCH(UnitGradeInfo!B285,Unitinfo!A:A,0))=1,50,5)</f>
        <v>50</v>
      </c>
      <c r="I285" s="5">
        <f>IF(INDEX(ref_Unit_Balance!$T$31:$T$106,MATCH(UnitGradeInfo!B285,ref_Unit_Balance!$B$31:$B$1048576,0))=0,1,INDEX(ref_Unit_Balance!$T$31:$T$106,MATCH(UnitGradeInfo!B285,ref_Unit_Balance!$B$31:$B$1048576,0)))</f>
        <v>5</v>
      </c>
      <c r="J285" s="5">
        <f>INDEX(ref_Unit_Balance!$S$31:$S$106,MATCH(UnitGradeInfo!B285,ref_Unit_Balance!$B$31:$B$1048576,0))</f>
        <v>600</v>
      </c>
      <c r="K285" s="5">
        <v>0</v>
      </c>
      <c r="L285" s="5">
        <f>INDEX(ref_Unit_Balance!$I$31:$I$106,MATCH(UnitGradeInfo!B285,ref_Unit_Balance!$B$31:$B$1048576,0))</f>
        <v>3</v>
      </c>
      <c r="M285" s="5">
        <f t="shared" si="30"/>
        <v>34</v>
      </c>
      <c r="N285" s="5">
        <f t="shared" si="31"/>
        <v>340</v>
      </c>
      <c r="O285" s="5">
        <f>(INDEX(Unitinfo!I:I,MATCH(B285,Unitinfo!A:A,0))+1)*2</f>
        <v>4</v>
      </c>
      <c r="P285" s="5">
        <v>0</v>
      </c>
      <c r="Q285" s="5">
        <v>0</v>
      </c>
      <c r="R285" s="19" t="s">
        <v>121</v>
      </c>
      <c r="S285" s="19" t="s">
        <v>121</v>
      </c>
      <c r="T285" s="5">
        <f t="shared" si="32"/>
        <v>2012</v>
      </c>
      <c r="U285" s="5">
        <f t="shared" si="33"/>
        <v>1</v>
      </c>
      <c r="V285" s="5">
        <v>0</v>
      </c>
      <c r="W285" s="5">
        <v>10</v>
      </c>
    </row>
    <row r="286" spans="1:23">
      <c r="A286" s="5">
        <f t="shared" si="28"/>
        <v>283</v>
      </c>
      <c r="B286" s="93">
        <f t="shared" si="29"/>
        <v>2012</v>
      </c>
      <c r="C286" s="20" t="str">
        <f>INDEX(Unitinfo!C:C,MATCH(UnitGradeInfo!B286,Unitinfo!A:A,0))</f>
        <v>(원거리)Goblin_Stone</v>
      </c>
      <c r="D286" s="5">
        <f>COUNTIF($B$4:B286,B286)</f>
        <v>18</v>
      </c>
      <c r="E286" s="5">
        <f>ROUNDDOWN(INDEX(ref_Unit_Balance!$G$31:$G$106,MATCH(UnitGradeInfo!B286,ref_Unit_Balance!$B$31:$B$1048576,0))
+INDEX(ref_Unit_Balance!$G$20:$G$23,MATCH(IFERROR(INDEX(ref_Unit_Balance!$D$31:$D$1048576,MATCH(B286,ref_Unit_Balance!$B$31:$B$1048576,0)),0),ref_Unit_Balance!$B$20:$B$23,0))*D286*ref_Unit_Balance!$C$25,0)</f>
        <v>1302</v>
      </c>
      <c r="F286" s="5">
        <f>INDEX(ref_Unit_Balance!$V$31:$V$106,MATCH(UnitGradeInfo!B286,ref_Unit_Balance!$B$31:$B$1048576,0))
+
INDEX(ref_Unit_Balance!$AB$31:$AB$106,MATCH(UnitGradeInfo!B286,ref_Unit_Balance!$B$31:$B$1048576,0))*(D286-1)</f>
        <v>4450</v>
      </c>
      <c r="G286" s="5">
        <f>INDEX(ref_Unit_Balance!$R$31:$R$106,MATCH(UnitGradeInfo!B286,ref_Unit_Balance!$B$31:$B$1048576,0))
+
INDEX(ref_Unit_Balance!$AA$31:$AA$106,MATCH(UnitGradeInfo!B286,ref_Unit_Balance!$B$31:$B$1048576,0))*(D286-1)</f>
        <v>304</v>
      </c>
      <c r="H286" s="39">
        <f>IF(INDEX(Unitinfo!D:D,MATCH(UnitGradeInfo!B286,Unitinfo!A:A,0))=1,50,5)</f>
        <v>50</v>
      </c>
      <c r="I286" s="5">
        <f>IF(INDEX(ref_Unit_Balance!$T$31:$T$106,MATCH(UnitGradeInfo!B286,ref_Unit_Balance!$B$31:$B$1048576,0))=0,1,INDEX(ref_Unit_Balance!$T$31:$T$106,MATCH(UnitGradeInfo!B286,ref_Unit_Balance!$B$31:$B$1048576,0)))</f>
        <v>5</v>
      </c>
      <c r="J286" s="5">
        <f>INDEX(ref_Unit_Balance!$S$31:$S$106,MATCH(UnitGradeInfo!B286,ref_Unit_Balance!$B$31:$B$1048576,0))</f>
        <v>600</v>
      </c>
      <c r="K286" s="5">
        <v>0</v>
      </c>
      <c r="L286" s="5">
        <f>INDEX(ref_Unit_Balance!$I$31:$I$106,MATCH(UnitGradeInfo!B286,ref_Unit_Balance!$B$31:$B$1048576,0))</f>
        <v>3</v>
      </c>
      <c r="M286" s="5">
        <f t="shared" si="30"/>
        <v>36</v>
      </c>
      <c r="N286" s="5">
        <f t="shared" si="31"/>
        <v>360</v>
      </c>
      <c r="O286" s="5">
        <f>(INDEX(Unitinfo!I:I,MATCH(B286,Unitinfo!A:A,0))+1)*2</f>
        <v>4</v>
      </c>
      <c r="P286" s="5">
        <v>0</v>
      </c>
      <c r="Q286" s="5">
        <v>0</v>
      </c>
      <c r="R286" s="19" t="s">
        <v>121</v>
      </c>
      <c r="S286" s="19" t="s">
        <v>121</v>
      </c>
      <c r="T286" s="5">
        <f t="shared" si="32"/>
        <v>2012</v>
      </c>
      <c r="U286" s="5">
        <f t="shared" si="33"/>
        <v>1</v>
      </c>
      <c r="V286" s="5">
        <v>0</v>
      </c>
      <c r="W286" s="5">
        <v>10</v>
      </c>
    </row>
    <row r="287" spans="1:23">
      <c r="A287" s="5">
        <f t="shared" si="28"/>
        <v>284</v>
      </c>
      <c r="B287" s="93">
        <f t="shared" si="29"/>
        <v>2012</v>
      </c>
      <c r="C287" s="20" t="str">
        <f>INDEX(Unitinfo!C:C,MATCH(UnitGradeInfo!B287,Unitinfo!A:A,0))</f>
        <v>(원거리)Goblin_Stone</v>
      </c>
      <c r="D287" s="5">
        <f>COUNTIF($B$4:B287,B287)</f>
        <v>19</v>
      </c>
      <c r="E287" s="5">
        <f>ROUNDDOWN(INDEX(ref_Unit_Balance!$G$31:$G$106,MATCH(UnitGradeInfo!B287,ref_Unit_Balance!$B$31:$B$1048576,0))
+INDEX(ref_Unit_Balance!$G$20:$G$23,MATCH(IFERROR(INDEX(ref_Unit_Balance!$D$31:$D$1048576,MATCH(B287,ref_Unit_Balance!$B$31:$B$1048576,0)),0),ref_Unit_Balance!$B$20:$B$23,0))*D287*ref_Unit_Balance!$C$25,0)</f>
        <v>1364</v>
      </c>
      <c r="F287" s="5">
        <f>INDEX(ref_Unit_Balance!$V$31:$V$106,MATCH(UnitGradeInfo!B287,ref_Unit_Balance!$B$31:$B$1048576,0))
+
INDEX(ref_Unit_Balance!$AB$31:$AB$106,MATCH(UnitGradeInfo!B287,ref_Unit_Balance!$B$31:$B$1048576,0))*(D287-1)</f>
        <v>4650</v>
      </c>
      <c r="G287" s="5">
        <f>INDEX(ref_Unit_Balance!$R$31:$R$106,MATCH(UnitGradeInfo!B287,ref_Unit_Balance!$B$31:$B$1048576,0))
+
INDEX(ref_Unit_Balance!$AA$31:$AA$106,MATCH(UnitGradeInfo!B287,ref_Unit_Balance!$B$31:$B$1048576,0))*(D287-1)</f>
        <v>312</v>
      </c>
      <c r="H287" s="39">
        <f>IF(INDEX(Unitinfo!D:D,MATCH(UnitGradeInfo!B287,Unitinfo!A:A,0))=1,50,5)</f>
        <v>50</v>
      </c>
      <c r="I287" s="5">
        <f>IF(INDEX(ref_Unit_Balance!$T$31:$T$106,MATCH(UnitGradeInfo!B287,ref_Unit_Balance!$B$31:$B$1048576,0))=0,1,INDEX(ref_Unit_Balance!$T$31:$T$106,MATCH(UnitGradeInfo!B287,ref_Unit_Balance!$B$31:$B$1048576,0)))</f>
        <v>5</v>
      </c>
      <c r="J287" s="5">
        <f>INDEX(ref_Unit_Balance!$S$31:$S$106,MATCH(UnitGradeInfo!B287,ref_Unit_Balance!$B$31:$B$1048576,0))</f>
        <v>600</v>
      </c>
      <c r="K287" s="5">
        <v>0</v>
      </c>
      <c r="L287" s="5">
        <f>INDEX(ref_Unit_Balance!$I$31:$I$106,MATCH(UnitGradeInfo!B287,ref_Unit_Balance!$B$31:$B$1048576,0))</f>
        <v>3</v>
      </c>
      <c r="M287" s="5">
        <f t="shared" si="30"/>
        <v>38</v>
      </c>
      <c r="N287" s="5">
        <f t="shared" si="31"/>
        <v>380</v>
      </c>
      <c r="O287" s="5">
        <f>(INDEX(Unitinfo!I:I,MATCH(B287,Unitinfo!A:A,0))+1)*2</f>
        <v>4</v>
      </c>
      <c r="P287" s="5">
        <v>0</v>
      </c>
      <c r="Q287" s="5">
        <v>0</v>
      </c>
      <c r="R287" s="19" t="s">
        <v>121</v>
      </c>
      <c r="S287" s="19" t="s">
        <v>121</v>
      </c>
      <c r="T287" s="5">
        <f t="shared" si="32"/>
        <v>2012</v>
      </c>
      <c r="U287" s="5">
        <f t="shared" si="33"/>
        <v>1</v>
      </c>
      <c r="V287" s="5">
        <v>0</v>
      </c>
      <c r="W287" s="5">
        <v>10</v>
      </c>
    </row>
    <row r="288" spans="1:23">
      <c r="A288" s="5">
        <f t="shared" si="28"/>
        <v>285</v>
      </c>
      <c r="B288" s="93">
        <f t="shared" si="29"/>
        <v>2012</v>
      </c>
      <c r="C288" s="20" t="str">
        <f>INDEX(Unitinfo!C:C,MATCH(UnitGradeInfo!B288,Unitinfo!A:A,0))</f>
        <v>(원거리)Goblin_Stone</v>
      </c>
      <c r="D288" s="5">
        <f>COUNTIF($B$4:B288,B288)</f>
        <v>20</v>
      </c>
      <c r="E288" s="5">
        <f>ROUNDDOWN(INDEX(ref_Unit_Balance!$G$31:$G$106,MATCH(UnitGradeInfo!B288,ref_Unit_Balance!$B$31:$B$1048576,0))
+INDEX(ref_Unit_Balance!$G$20:$G$23,MATCH(IFERROR(INDEX(ref_Unit_Balance!$D$31:$D$1048576,MATCH(B288,ref_Unit_Balance!$B$31:$B$1048576,0)),0),ref_Unit_Balance!$B$20:$B$23,0))*D288*ref_Unit_Balance!$C$25,0)</f>
        <v>1427</v>
      </c>
      <c r="F288" s="5">
        <f>INDEX(ref_Unit_Balance!$V$31:$V$106,MATCH(UnitGradeInfo!B288,ref_Unit_Balance!$B$31:$B$1048576,0))
+
INDEX(ref_Unit_Balance!$AB$31:$AB$106,MATCH(UnitGradeInfo!B288,ref_Unit_Balance!$B$31:$B$1048576,0))*(D288-1)</f>
        <v>4850</v>
      </c>
      <c r="G288" s="5">
        <f>INDEX(ref_Unit_Balance!$R$31:$R$106,MATCH(UnitGradeInfo!B288,ref_Unit_Balance!$B$31:$B$1048576,0))
+
INDEX(ref_Unit_Balance!$AA$31:$AA$106,MATCH(UnitGradeInfo!B288,ref_Unit_Balance!$B$31:$B$1048576,0))*(D288-1)</f>
        <v>320</v>
      </c>
      <c r="H288" s="39">
        <f>IF(INDEX(Unitinfo!D:D,MATCH(UnitGradeInfo!B288,Unitinfo!A:A,0))=1,50,5)</f>
        <v>50</v>
      </c>
      <c r="I288" s="5">
        <f>IF(INDEX(ref_Unit_Balance!$T$31:$T$106,MATCH(UnitGradeInfo!B288,ref_Unit_Balance!$B$31:$B$1048576,0))=0,1,INDEX(ref_Unit_Balance!$T$31:$T$106,MATCH(UnitGradeInfo!B288,ref_Unit_Balance!$B$31:$B$1048576,0)))</f>
        <v>5</v>
      </c>
      <c r="J288" s="5">
        <f>INDEX(ref_Unit_Balance!$S$31:$S$106,MATCH(UnitGradeInfo!B288,ref_Unit_Balance!$B$31:$B$1048576,0))</f>
        <v>600</v>
      </c>
      <c r="K288" s="5">
        <v>0</v>
      </c>
      <c r="L288" s="5">
        <f>INDEX(ref_Unit_Balance!$I$31:$I$106,MATCH(UnitGradeInfo!B288,ref_Unit_Balance!$B$31:$B$1048576,0))</f>
        <v>3</v>
      </c>
      <c r="M288" s="5">
        <f t="shared" si="30"/>
        <v>40</v>
      </c>
      <c r="N288" s="5">
        <f t="shared" si="31"/>
        <v>400</v>
      </c>
      <c r="O288" s="5">
        <f>(INDEX(Unitinfo!I:I,MATCH(B288,Unitinfo!A:A,0))+1)*2</f>
        <v>4</v>
      </c>
      <c r="P288" s="5">
        <v>0</v>
      </c>
      <c r="Q288" s="5">
        <v>0</v>
      </c>
      <c r="R288" s="19" t="s">
        <v>121</v>
      </c>
      <c r="S288" s="19" t="s">
        <v>121</v>
      </c>
      <c r="T288" s="5">
        <f t="shared" si="32"/>
        <v>2012</v>
      </c>
      <c r="U288" s="5">
        <f t="shared" si="33"/>
        <v>1</v>
      </c>
      <c r="V288" s="5">
        <v>0</v>
      </c>
      <c r="W288" s="5">
        <v>10</v>
      </c>
    </row>
    <row r="289" spans="1:23">
      <c r="A289" s="5">
        <f t="shared" si="28"/>
        <v>286</v>
      </c>
      <c r="B289" s="93">
        <f t="shared" si="29"/>
        <v>2013</v>
      </c>
      <c r="C289" s="20" t="str">
        <f>INDEX(Unitinfo!C:C,MATCH(UnitGradeInfo!B289,Unitinfo!A:A,0))</f>
        <v>(근거리)Goblin_Club</v>
      </c>
      <c r="D289" s="5">
        <f>COUNTIF($B$4:B289,B289)</f>
        <v>1</v>
      </c>
      <c r="E289" s="5">
        <f>ROUNDDOWN(INDEX(ref_Unit_Balance!$G$31:$G$106,MATCH(UnitGradeInfo!B289,ref_Unit_Balance!$B$31:$B$1048576,0))
+INDEX(ref_Unit_Balance!$G$20:$G$23,MATCH(IFERROR(INDEX(ref_Unit_Balance!$D$31:$D$1048576,MATCH(B289,ref_Unit_Balance!$B$31:$B$1048576,0)),0),ref_Unit_Balance!$B$20:$B$23,0))*D289*ref_Unit_Balance!$C$25,0)</f>
        <v>239</v>
      </c>
      <c r="F289" s="5">
        <f>INDEX(ref_Unit_Balance!$V$31:$V$106,MATCH(UnitGradeInfo!B289,ref_Unit_Balance!$B$31:$B$1048576,0))
+
INDEX(ref_Unit_Balance!$AB$31:$AB$106,MATCH(UnitGradeInfo!B289,ref_Unit_Balance!$B$31:$B$1048576,0))*(D289-1)</f>
        <v>2920</v>
      </c>
      <c r="G289" s="5">
        <f>INDEX(ref_Unit_Balance!$R$31:$R$106,MATCH(UnitGradeInfo!B289,ref_Unit_Balance!$B$31:$B$1048576,0))
+
INDEX(ref_Unit_Balance!$AA$31:$AA$106,MATCH(UnitGradeInfo!B289,ref_Unit_Balance!$B$31:$B$1048576,0))*(D289-1)</f>
        <v>280</v>
      </c>
      <c r="H289" s="39">
        <f>IF(INDEX(Unitinfo!D:D,MATCH(UnitGradeInfo!B289,Unitinfo!A:A,0))=1,50,5)</f>
        <v>5</v>
      </c>
      <c r="I289" s="5">
        <f>IF(INDEX(ref_Unit_Balance!$T$31:$T$106,MATCH(UnitGradeInfo!B289,ref_Unit_Balance!$B$31:$B$1048576,0))=0,1,INDEX(ref_Unit_Balance!$T$31:$T$106,MATCH(UnitGradeInfo!B289,ref_Unit_Balance!$B$31:$B$1048576,0)))</f>
        <v>5</v>
      </c>
      <c r="J289" s="5">
        <f>INDEX(ref_Unit_Balance!$S$31:$S$106,MATCH(UnitGradeInfo!B289,ref_Unit_Balance!$B$31:$B$1048576,0))</f>
        <v>1000</v>
      </c>
      <c r="K289" s="5">
        <v>0</v>
      </c>
      <c r="L289" s="5">
        <f>INDEX(ref_Unit_Balance!$I$31:$I$106,MATCH(UnitGradeInfo!B289,ref_Unit_Balance!$B$31:$B$1048576,0))</f>
        <v>3</v>
      </c>
      <c r="M289" s="5">
        <f t="shared" si="30"/>
        <v>2</v>
      </c>
      <c r="N289" s="5">
        <f t="shared" si="31"/>
        <v>20</v>
      </c>
      <c r="O289" s="5">
        <f>(INDEX(Unitinfo!I:I,MATCH(B289,Unitinfo!A:A,0))+1)*2</f>
        <v>4</v>
      </c>
      <c r="P289" s="5">
        <v>0</v>
      </c>
      <c r="Q289" s="5">
        <v>0</v>
      </c>
      <c r="R289" s="19" t="s">
        <v>121</v>
      </c>
      <c r="S289" s="19" t="s">
        <v>121</v>
      </c>
      <c r="T289" s="5">
        <f t="shared" si="32"/>
        <v>2013</v>
      </c>
      <c r="U289" s="5">
        <f t="shared" si="33"/>
        <v>1</v>
      </c>
      <c r="V289" s="5">
        <v>0</v>
      </c>
      <c r="W289" s="5">
        <v>10</v>
      </c>
    </row>
    <row r="290" spans="1:23">
      <c r="A290" s="5">
        <f t="shared" si="28"/>
        <v>287</v>
      </c>
      <c r="B290" s="93">
        <f t="shared" si="29"/>
        <v>2013</v>
      </c>
      <c r="C290" s="20" t="str">
        <f>INDEX(Unitinfo!C:C,MATCH(UnitGradeInfo!B290,Unitinfo!A:A,0))</f>
        <v>(근거리)Goblin_Club</v>
      </c>
      <c r="D290" s="5">
        <f>COUNTIF($B$4:B290,B290)</f>
        <v>2</v>
      </c>
      <c r="E290" s="5">
        <f>ROUNDDOWN(INDEX(ref_Unit_Balance!$G$31:$G$106,MATCH(UnitGradeInfo!B290,ref_Unit_Balance!$B$31:$B$1048576,0))
+INDEX(ref_Unit_Balance!$G$20:$G$23,MATCH(IFERROR(INDEX(ref_Unit_Balance!$D$31:$D$1048576,MATCH(B290,ref_Unit_Balance!$B$31:$B$1048576,0)),0),ref_Unit_Balance!$B$20:$B$23,0))*D290*ref_Unit_Balance!$C$25,0)</f>
        <v>302</v>
      </c>
      <c r="F290" s="5">
        <f>INDEX(ref_Unit_Balance!$V$31:$V$106,MATCH(UnitGradeInfo!B290,ref_Unit_Balance!$B$31:$B$1048576,0))
+
INDEX(ref_Unit_Balance!$AB$31:$AB$106,MATCH(UnitGradeInfo!B290,ref_Unit_Balance!$B$31:$B$1048576,0))*(D290-1)</f>
        <v>3253</v>
      </c>
      <c r="G290" s="5">
        <f>INDEX(ref_Unit_Balance!$R$31:$R$106,MATCH(UnitGradeInfo!B290,ref_Unit_Balance!$B$31:$B$1048576,0))
+
INDEX(ref_Unit_Balance!$AA$31:$AA$106,MATCH(UnitGradeInfo!B290,ref_Unit_Balance!$B$31:$B$1048576,0))*(D290-1)</f>
        <v>300</v>
      </c>
      <c r="H290" s="39">
        <f>IF(INDEX(Unitinfo!D:D,MATCH(UnitGradeInfo!B290,Unitinfo!A:A,0))=1,50,5)</f>
        <v>5</v>
      </c>
      <c r="I290" s="5">
        <f>IF(INDEX(ref_Unit_Balance!$T$31:$T$106,MATCH(UnitGradeInfo!B290,ref_Unit_Balance!$B$31:$B$1048576,0))=0,1,INDEX(ref_Unit_Balance!$T$31:$T$106,MATCH(UnitGradeInfo!B290,ref_Unit_Balance!$B$31:$B$1048576,0)))</f>
        <v>5</v>
      </c>
      <c r="J290" s="5">
        <f>INDEX(ref_Unit_Balance!$S$31:$S$106,MATCH(UnitGradeInfo!B290,ref_Unit_Balance!$B$31:$B$1048576,0))</f>
        <v>1000</v>
      </c>
      <c r="K290" s="5">
        <v>0</v>
      </c>
      <c r="L290" s="5">
        <f>INDEX(ref_Unit_Balance!$I$31:$I$106,MATCH(UnitGradeInfo!B290,ref_Unit_Balance!$B$31:$B$1048576,0))</f>
        <v>3</v>
      </c>
      <c r="M290" s="5">
        <f t="shared" si="30"/>
        <v>4</v>
      </c>
      <c r="N290" s="5">
        <f t="shared" si="31"/>
        <v>40</v>
      </c>
      <c r="O290" s="5">
        <f>(INDEX(Unitinfo!I:I,MATCH(B290,Unitinfo!A:A,0))+1)*2</f>
        <v>4</v>
      </c>
      <c r="P290" s="5">
        <v>0</v>
      </c>
      <c r="Q290" s="5">
        <v>0</v>
      </c>
      <c r="R290" s="19" t="s">
        <v>121</v>
      </c>
      <c r="S290" s="19" t="s">
        <v>121</v>
      </c>
      <c r="T290" s="5">
        <f t="shared" si="32"/>
        <v>2013</v>
      </c>
      <c r="U290" s="5">
        <f t="shared" si="33"/>
        <v>1</v>
      </c>
      <c r="V290" s="5">
        <v>0</v>
      </c>
      <c r="W290" s="5">
        <v>10</v>
      </c>
    </row>
    <row r="291" spans="1:23">
      <c r="A291" s="5">
        <f t="shared" si="28"/>
        <v>288</v>
      </c>
      <c r="B291" s="93">
        <f t="shared" si="29"/>
        <v>2013</v>
      </c>
      <c r="C291" s="20" t="str">
        <f>INDEX(Unitinfo!C:C,MATCH(UnitGradeInfo!B291,Unitinfo!A:A,0))</f>
        <v>(근거리)Goblin_Club</v>
      </c>
      <c r="D291" s="5">
        <f>COUNTIF($B$4:B291,B291)</f>
        <v>3</v>
      </c>
      <c r="E291" s="5">
        <f>ROUNDDOWN(INDEX(ref_Unit_Balance!$G$31:$G$106,MATCH(UnitGradeInfo!B291,ref_Unit_Balance!$B$31:$B$1048576,0))
+INDEX(ref_Unit_Balance!$G$20:$G$23,MATCH(IFERROR(INDEX(ref_Unit_Balance!$D$31:$D$1048576,MATCH(B291,ref_Unit_Balance!$B$31:$B$1048576,0)),0),ref_Unit_Balance!$B$20:$B$23,0))*D291*ref_Unit_Balance!$C$25,0)</f>
        <v>364</v>
      </c>
      <c r="F291" s="5">
        <f>INDEX(ref_Unit_Balance!$V$31:$V$106,MATCH(UnitGradeInfo!B291,ref_Unit_Balance!$B$31:$B$1048576,0))
+
INDEX(ref_Unit_Balance!$AB$31:$AB$106,MATCH(UnitGradeInfo!B291,ref_Unit_Balance!$B$31:$B$1048576,0))*(D291-1)</f>
        <v>3586</v>
      </c>
      <c r="G291" s="5">
        <f>INDEX(ref_Unit_Balance!$R$31:$R$106,MATCH(UnitGradeInfo!B291,ref_Unit_Balance!$B$31:$B$1048576,0))
+
INDEX(ref_Unit_Balance!$AA$31:$AA$106,MATCH(UnitGradeInfo!B291,ref_Unit_Balance!$B$31:$B$1048576,0))*(D291-1)</f>
        <v>320</v>
      </c>
      <c r="H291" s="39">
        <f>IF(INDEX(Unitinfo!D:D,MATCH(UnitGradeInfo!B291,Unitinfo!A:A,0))=1,50,5)</f>
        <v>5</v>
      </c>
      <c r="I291" s="5">
        <f>IF(INDEX(ref_Unit_Balance!$T$31:$T$106,MATCH(UnitGradeInfo!B291,ref_Unit_Balance!$B$31:$B$1048576,0))=0,1,INDEX(ref_Unit_Balance!$T$31:$T$106,MATCH(UnitGradeInfo!B291,ref_Unit_Balance!$B$31:$B$1048576,0)))</f>
        <v>5</v>
      </c>
      <c r="J291" s="5">
        <f>INDEX(ref_Unit_Balance!$S$31:$S$106,MATCH(UnitGradeInfo!B291,ref_Unit_Balance!$B$31:$B$1048576,0))</f>
        <v>1000</v>
      </c>
      <c r="K291" s="5">
        <v>0</v>
      </c>
      <c r="L291" s="5">
        <f>INDEX(ref_Unit_Balance!$I$31:$I$106,MATCH(UnitGradeInfo!B291,ref_Unit_Balance!$B$31:$B$1048576,0))</f>
        <v>3</v>
      </c>
      <c r="M291" s="5">
        <f t="shared" si="30"/>
        <v>6</v>
      </c>
      <c r="N291" s="5">
        <f t="shared" si="31"/>
        <v>60</v>
      </c>
      <c r="O291" s="5">
        <f>(INDEX(Unitinfo!I:I,MATCH(B291,Unitinfo!A:A,0))+1)*2</f>
        <v>4</v>
      </c>
      <c r="P291" s="5">
        <v>0</v>
      </c>
      <c r="Q291" s="5">
        <v>0</v>
      </c>
      <c r="R291" s="19" t="s">
        <v>121</v>
      </c>
      <c r="S291" s="19" t="s">
        <v>121</v>
      </c>
      <c r="T291" s="5">
        <f t="shared" si="32"/>
        <v>2013</v>
      </c>
      <c r="U291" s="5">
        <f t="shared" si="33"/>
        <v>1</v>
      </c>
      <c r="V291" s="5">
        <v>0</v>
      </c>
      <c r="W291" s="5">
        <v>10</v>
      </c>
    </row>
    <row r="292" spans="1:23">
      <c r="A292" s="5">
        <f t="shared" si="28"/>
        <v>289</v>
      </c>
      <c r="B292" s="93">
        <f t="shared" si="29"/>
        <v>2013</v>
      </c>
      <c r="C292" s="20" t="str">
        <f>INDEX(Unitinfo!C:C,MATCH(UnitGradeInfo!B292,Unitinfo!A:A,0))</f>
        <v>(근거리)Goblin_Club</v>
      </c>
      <c r="D292" s="5">
        <f>COUNTIF($B$4:B292,B292)</f>
        <v>4</v>
      </c>
      <c r="E292" s="5">
        <f>ROUNDDOWN(INDEX(ref_Unit_Balance!$G$31:$G$106,MATCH(UnitGradeInfo!B292,ref_Unit_Balance!$B$31:$B$1048576,0))
+INDEX(ref_Unit_Balance!$G$20:$G$23,MATCH(IFERROR(INDEX(ref_Unit_Balance!$D$31:$D$1048576,MATCH(B292,ref_Unit_Balance!$B$31:$B$1048576,0)),0),ref_Unit_Balance!$B$20:$B$23,0))*D292*ref_Unit_Balance!$C$25,0)</f>
        <v>427</v>
      </c>
      <c r="F292" s="5">
        <f>INDEX(ref_Unit_Balance!$V$31:$V$106,MATCH(UnitGradeInfo!B292,ref_Unit_Balance!$B$31:$B$1048576,0))
+
INDEX(ref_Unit_Balance!$AB$31:$AB$106,MATCH(UnitGradeInfo!B292,ref_Unit_Balance!$B$31:$B$1048576,0))*(D292-1)</f>
        <v>3919</v>
      </c>
      <c r="G292" s="5">
        <f>INDEX(ref_Unit_Balance!$R$31:$R$106,MATCH(UnitGradeInfo!B292,ref_Unit_Balance!$B$31:$B$1048576,0))
+
INDEX(ref_Unit_Balance!$AA$31:$AA$106,MATCH(UnitGradeInfo!B292,ref_Unit_Balance!$B$31:$B$1048576,0))*(D292-1)</f>
        <v>340</v>
      </c>
      <c r="H292" s="39">
        <f>IF(INDEX(Unitinfo!D:D,MATCH(UnitGradeInfo!B292,Unitinfo!A:A,0))=1,50,5)</f>
        <v>5</v>
      </c>
      <c r="I292" s="5">
        <f>IF(INDEX(ref_Unit_Balance!$T$31:$T$106,MATCH(UnitGradeInfo!B292,ref_Unit_Balance!$B$31:$B$1048576,0))=0,1,INDEX(ref_Unit_Balance!$T$31:$T$106,MATCH(UnitGradeInfo!B292,ref_Unit_Balance!$B$31:$B$1048576,0)))</f>
        <v>5</v>
      </c>
      <c r="J292" s="5">
        <f>INDEX(ref_Unit_Balance!$S$31:$S$106,MATCH(UnitGradeInfo!B292,ref_Unit_Balance!$B$31:$B$1048576,0))</f>
        <v>1000</v>
      </c>
      <c r="K292" s="5">
        <v>0</v>
      </c>
      <c r="L292" s="5">
        <f>INDEX(ref_Unit_Balance!$I$31:$I$106,MATCH(UnitGradeInfo!B292,ref_Unit_Balance!$B$31:$B$1048576,0))</f>
        <v>3</v>
      </c>
      <c r="M292" s="5">
        <f t="shared" si="30"/>
        <v>8</v>
      </c>
      <c r="N292" s="5">
        <f t="shared" si="31"/>
        <v>80</v>
      </c>
      <c r="O292" s="5">
        <f>(INDEX(Unitinfo!I:I,MATCH(B292,Unitinfo!A:A,0))+1)*2</f>
        <v>4</v>
      </c>
      <c r="P292" s="5">
        <v>0</v>
      </c>
      <c r="Q292" s="5">
        <v>0</v>
      </c>
      <c r="R292" s="19" t="s">
        <v>121</v>
      </c>
      <c r="S292" s="19" t="s">
        <v>121</v>
      </c>
      <c r="T292" s="5">
        <f t="shared" si="32"/>
        <v>2013</v>
      </c>
      <c r="U292" s="5">
        <f t="shared" si="33"/>
        <v>1</v>
      </c>
      <c r="V292" s="5">
        <v>0</v>
      </c>
      <c r="W292" s="5">
        <v>10</v>
      </c>
    </row>
    <row r="293" spans="1:23">
      <c r="A293" s="5">
        <f t="shared" si="28"/>
        <v>290</v>
      </c>
      <c r="B293" s="93">
        <f t="shared" si="29"/>
        <v>2013</v>
      </c>
      <c r="C293" s="20" t="str">
        <f>INDEX(Unitinfo!C:C,MATCH(UnitGradeInfo!B293,Unitinfo!A:A,0))</f>
        <v>(근거리)Goblin_Club</v>
      </c>
      <c r="D293" s="5">
        <f>COUNTIF($B$4:B293,B293)</f>
        <v>5</v>
      </c>
      <c r="E293" s="5">
        <f>ROUNDDOWN(INDEX(ref_Unit_Balance!$G$31:$G$106,MATCH(UnitGradeInfo!B293,ref_Unit_Balance!$B$31:$B$1048576,0))
+INDEX(ref_Unit_Balance!$G$20:$G$23,MATCH(IFERROR(INDEX(ref_Unit_Balance!$D$31:$D$1048576,MATCH(B293,ref_Unit_Balance!$B$31:$B$1048576,0)),0),ref_Unit_Balance!$B$20:$B$23,0))*D293*ref_Unit_Balance!$C$25,0)</f>
        <v>489</v>
      </c>
      <c r="F293" s="5">
        <f>INDEX(ref_Unit_Balance!$V$31:$V$106,MATCH(UnitGradeInfo!B293,ref_Unit_Balance!$B$31:$B$1048576,0))
+
INDEX(ref_Unit_Balance!$AB$31:$AB$106,MATCH(UnitGradeInfo!B293,ref_Unit_Balance!$B$31:$B$1048576,0))*(D293-1)</f>
        <v>4252</v>
      </c>
      <c r="G293" s="5">
        <f>INDEX(ref_Unit_Balance!$R$31:$R$106,MATCH(UnitGradeInfo!B293,ref_Unit_Balance!$B$31:$B$1048576,0))
+
INDEX(ref_Unit_Balance!$AA$31:$AA$106,MATCH(UnitGradeInfo!B293,ref_Unit_Balance!$B$31:$B$1048576,0))*(D293-1)</f>
        <v>360</v>
      </c>
      <c r="H293" s="39">
        <f>IF(INDEX(Unitinfo!D:D,MATCH(UnitGradeInfo!B293,Unitinfo!A:A,0))=1,50,5)</f>
        <v>5</v>
      </c>
      <c r="I293" s="5">
        <f>IF(INDEX(ref_Unit_Balance!$T$31:$T$106,MATCH(UnitGradeInfo!B293,ref_Unit_Balance!$B$31:$B$1048576,0))=0,1,INDEX(ref_Unit_Balance!$T$31:$T$106,MATCH(UnitGradeInfo!B293,ref_Unit_Balance!$B$31:$B$1048576,0)))</f>
        <v>5</v>
      </c>
      <c r="J293" s="5">
        <f>INDEX(ref_Unit_Balance!$S$31:$S$106,MATCH(UnitGradeInfo!B293,ref_Unit_Balance!$B$31:$B$1048576,0))</f>
        <v>1000</v>
      </c>
      <c r="K293" s="5">
        <v>0</v>
      </c>
      <c r="L293" s="5">
        <f>INDEX(ref_Unit_Balance!$I$31:$I$106,MATCH(UnitGradeInfo!B293,ref_Unit_Balance!$B$31:$B$1048576,0))</f>
        <v>3</v>
      </c>
      <c r="M293" s="5">
        <f t="shared" si="30"/>
        <v>10</v>
      </c>
      <c r="N293" s="5">
        <f t="shared" si="31"/>
        <v>100</v>
      </c>
      <c r="O293" s="5">
        <f>(INDEX(Unitinfo!I:I,MATCH(B293,Unitinfo!A:A,0))+1)*2</f>
        <v>4</v>
      </c>
      <c r="P293" s="5">
        <v>0</v>
      </c>
      <c r="Q293" s="5">
        <v>0</v>
      </c>
      <c r="R293" s="19" t="s">
        <v>121</v>
      </c>
      <c r="S293" s="19" t="s">
        <v>121</v>
      </c>
      <c r="T293" s="5">
        <f t="shared" si="32"/>
        <v>2013</v>
      </c>
      <c r="U293" s="5">
        <f t="shared" si="33"/>
        <v>1</v>
      </c>
      <c r="V293" s="5">
        <v>0</v>
      </c>
      <c r="W293" s="5">
        <v>10</v>
      </c>
    </row>
    <row r="294" spans="1:23">
      <c r="A294" s="5">
        <f t="shared" si="28"/>
        <v>291</v>
      </c>
      <c r="B294" s="93">
        <f t="shared" si="29"/>
        <v>2013</v>
      </c>
      <c r="C294" s="20" t="str">
        <f>INDEX(Unitinfo!C:C,MATCH(UnitGradeInfo!B294,Unitinfo!A:A,0))</f>
        <v>(근거리)Goblin_Club</v>
      </c>
      <c r="D294" s="5">
        <f>COUNTIF($B$4:B294,B294)</f>
        <v>6</v>
      </c>
      <c r="E294" s="5">
        <f>ROUNDDOWN(INDEX(ref_Unit_Balance!$G$31:$G$106,MATCH(UnitGradeInfo!B294,ref_Unit_Balance!$B$31:$B$1048576,0))
+INDEX(ref_Unit_Balance!$G$20:$G$23,MATCH(IFERROR(INDEX(ref_Unit_Balance!$D$31:$D$1048576,MATCH(B294,ref_Unit_Balance!$B$31:$B$1048576,0)),0),ref_Unit_Balance!$B$20:$B$23,0))*D294*ref_Unit_Balance!$C$25,0)</f>
        <v>552</v>
      </c>
      <c r="F294" s="5">
        <f>INDEX(ref_Unit_Balance!$V$31:$V$106,MATCH(UnitGradeInfo!B294,ref_Unit_Balance!$B$31:$B$1048576,0))
+
INDEX(ref_Unit_Balance!$AB$31:$AB$106,MATCH(UnitGradeInfo!B294,ref_Unit_Balance!$B$31:$B$1048576,0))*(D294-1)</f>
        <v>4585</v>
      </c>
      <c r="G294" s="5">
        <f>INDEX(ref_Unit_Balance!$R$31:$R$106,MATCH(UnitGradeInfo!B294,ref_Unit_Balance!$B$31:$B$1048576,0))
+
INDEX(ref_Unit_Balance!$AA$31:$AA$106,MATCH(UnitGradeInfo!B294,ref_Unit_Balance!$B$31:$B$1048576,0))*(D294-1)</f>
        <v>380</v>
      </c>
      <c r="H294" s="39">
        <f>IF(INDEX(Unitinfo!D:D,MATCH(UnitGradeInfo!B294,Unitinfo!A:A,0))=1,50,5)</f>
        <v>5</v>
      </c>
      <c r="I294" s="5">
        <f>IF(INDEX(ref_Unit_Balance!$T$31:$T$106,MATCH(UnitGradeInfo!B294,ref_Unit_Balance!$B$31:$B$1048576,0))=0,1,INDEX(ref_Unit_Balance!$T$31:$T$106,MATCH(UnitGradeInfo!B294,ref_Unit_Balance!$B$31:$B$1048576,0)))</f>
        <v>5</v>
      </c>
      <c r="J294" s="5">
        <f>INDEX(ref_Unit_Balance!$S$31:$S$106,MATCH(UnitGradeInfo!B294,ref_Unit_Balance!$B$31:$B$1048576,0))</f>
        <v>1000</v>
      </c>
      <c r="K294" s="5">
        <v>0</v>
      </c>
      <c r="L294" s="5">
        <f>INDEX(ref_Unit_Balance!$I$31:$I$106,MATCH(UnitGradeInfo!B294,ref_Unit_Balance!$B$31:$B$1048576,0))</f>
        <v>3</v>
      </c>
      <c r="M294" s="5">
        <f t="shared" si="30"/>
        <v>12</v>
      </c>
      <c r="N294" s="5">
        <f t="shared" si="31"/>
        <v>120</v>
      </c>
      <c r="O294" s="5">
        <f>(INDEX(Unitinfo!I:I,MATCH(B294,Unitinfo!A:A,0))+1)*2</f>
        <v>4</v>
      </c>
      <c r="P294" s="5">
        <v>0</v>
      </c>
      <c r="Q294" s="5">
        <v>0</v>
      </c>
      <c r="R294" s="19" t="s">
        <v>121</v>
      </c>
      <c r="S294" s="19" t="s">
        <v>121</v>
      </c>
      <c r="T294" s="5">
        <f t="shared" si="32"/>
        <v>2013</v>
      </c>
      <c r="U294" s="5">
        <f t="shared" si="33"/>
        <v>1</v>
      </c>
      <c r="V294" s="5">
        <v>0</v>
      </c>
      <c r="W294" s="5">
        <v>10</v>
      </c>
    </row>
    <row r="295" spans="1:23">
      <c r="A295" s="5">
        <f t="shared" si="28"/>
        <v>292</v>
      </c>
      <c r="B295" s="93">
        <f t="shared" si="29"/>
        <v>2013</v>
      </c>
      <c r="C295" s="20" t="str">
        <f>INDEX(Unitinfo!C:C,MATCH(UnitGradeInfo!B295,Unitinfo!A:A,0))</f>
        <v>(근거리)Goblin_Club</v>
      </c>
      <c r="D295" s="5">
        <f>COUNTIF($B$4:B295,B295)</f>
        <v>7</v>
      </c>
      <c r="E295" s="5">
        <f>ROUNDDOWN(INDEX(ref_Unit_Balance!$G$31:$G$106,MATCH(UnitGradeInfo!B295,ref_Unit_Balance!$B$31:$B$1048576,0))
+INDEX(ref_Unit_Balance!$G$20:$G$23,MATCH(IFERROR(INDEX(ref_Unit_Balance!$D$31:$D$1048576,MATCH(B295,ref_Unit_Balance!$B$31:$B$1048576,0)),0),ref_Unit_Balance!$B$20:$B$23,0))*D295*ref_Unit_Balance!$C$25,0)</f>
        <v>614</v>
      </c>
      <c r="F295" s="5">
        <f>INDEX(ref_Unit_Balance!$V$31:$V$106,MATCH(UnitGradeInfo!B295,ref_Unit_Balance!$B$31:$B$1048576,0))
+
INDEX(ref_Unit_Balance!$AB$31:$AB$106,MATCH(UnitGradeInfo!B295,ref_Unit_Balance!$B$31:$B$1048576,0))*(D295-1)</f>
        <v>4918</v>
      </c>
      <c r="G295" s="5">
        <f>INDEX(ref_Unit_Balance!$R$31:$R$106,MATCH(UnitGradeInfo!B295,ref_Unit_Balance!$B$31:$B$1048576,0))
+
INDEX(ref_Unit_Balance!$AA$31:$AA$106,MATCH(UnitGradeInfo!B295,ref_Unit_Balance!$B$31:$B$1048576,0))*(D295-1)</f>
        <v>400</v>
      </c>
      <c r="H295" s="39">
        <f>IF(INDEX(Unitinfo!D:D,MATCH(UnitGradeInfo!B295,Unitinfo!A:A,0))=1,50,5)</f>
        <v>5</v>
      </c>
      <c r="I295" s="5">
        <f>IF(INDEX(ref_Unit_Balance!$T$31:$T$106,MATCH(UnitGradeInfo!B295,ref_Unit_Balance!$B$31:$B$1048576,0))=0,1,INDEX(ref_Unit_Balance!$T$31:$T$106,MATCH(UnitGradeInfo!B295,ref_Unit_Balance!$B$31:$B$1048576,0)))</f>
        <v>5</v>
      </c>
      <c r="J295" s="5">
        <f>INDEX(ref_Unit_Balance!$S$31:$S$106,MATCH(UnitGradeInfo!B295,ref_Unit_Balance!$B$31:$B$1048576,0))</f>
        <v>1000</v>
      </c>
      <c r="K295" s="5">
        <v>0</v>
      </c>
      <c r="L295" s="5">
        <f>INDEX(ref_Unit_Balance!$I$31:$I$106,MATCH(UnitGradeInfo!B295,ref_Unit_Balance!$B$31:$B$1048576,0))</f>
        <v>3</v>
      </c>
      <c r="M295" s="5">
        <f t="shared" si="30"/>
        <v>14</v>
      </c>
      <c r="N295" s="5">
        <f t="shared" si="31"/>
        <v>140</v>
      </c>
      <c r="O295" s="5">
        <f>(INDEX(Unitinfo!I:I,MATCH(B295,Unitinfo!A:A,0))+1)*2</f>
        <v>4</v>
      </c>
      <c r="P295" s="5">
        <v>0</v>
      </c>
      <c r="Q295" s="5">
        <v>0</v>
      </c>
      <c r="R295" s="19" t="s">
        <v>121</v>
      </c>
      <c r="S295" s="19" t="s">
        <v>121</v>
      </c>
      <c r="T295" s="5">
        <f t="shared" si="32"/>
        <v>2013</v>
      </c>
      <c r="U295" s="5">
        <f t="shared" si="33"/>
        <v>1</v>
      </c>
      <c r="V295" s="5">
        <v>0</v>
      </c>
      <c r="W295" s="5">
        <v>10</v>
      </c>
    </row>
    <row r="296" spans="1:23">
      <c r="A296" s="5">
        <f t="shared" ref="A296:A359" si="34">A295+1</f>
        <v>293</v>
      </c>
      <c r="B296" s="93">
        <f t="shared" si="29"/>
        <v>2013</v>
      </c>
      <c r="C296" s="20" t="str">
        <f>INDEX(Unitinfo!C:C,MATCH(UnitGradeInfo!B296,Unitinfo!A:A,0))</f>
        <v>(근거리)Goblin_Club</v>
      </c>
      <c r="D296" s="5">
        <f>COUNTIF($B$4:B296,B296)</f>
        <v>8</v>
      </c>
      <c r="E296" s="5">
        <f>ROUNDDOWN(INDEX(ref_Unit_Balance!$G$31:$G$106,MATCH(UnitGradeInfo!B296,ref_Unit_Balance!$B$31:$B$1048576,0))
+INDEX(ref_Unit_Balance!$G$20:$G$23,MATCH(IFERROR(INDEX(ref_Unit_Balance!$D$31:$D$1048576,MATCH(B296,ref_Unit_Balance!$B$31:$B$1048576,0)),0),ref_Unit_Balance!$B$20:$B$23,0))*D296*ref_Unit_Balance!$C$25,0)</f>
        <v>677</v>
      </c>
      <c r="F296" s="5">
        <f>INDEX(ref_Unit_Balance!$V$31:$V$106,MATCH(UnitGradeInfo!B296,ref_Unit_Balance!$B$31:$B$1048576,0))
+
INDEX(ref_Unit_Balance!$AB$31:$AB$106,MATCH(UnitGradeInfo!B296,ref_Unit_Balance!$B$31:$B$1048576,0))*(D296-1)</f>
        <v>5251</v>
      </c>
      <c r="G296" s="5">
        <f>INDEX(ref_Unit_Balance!$R$31:$R$106,MATCH(UnitGradeInfo!B296,ref_Unit_Balance!$B$31:$B$1048576,0))
+
INDEX(ref_Unit_Balance!$AA$31:$AA$106,MATCH(UnitGradeInfo!B296,ref_Unit_Balance!$B$31:$B$1048576,0))*(D296-1)</f>
        <v>420</v>
      </c>
      <c r="H296" s="39">
        <f>IF(INDEX(Unitinfo!D:D,MATCH(UnitGradeInfo!B296,Unitinfo!A:A,0))=1,50,5)</f>
        <v>5</v>
      </c>
      <c r="I296" s="5">
        <f>IF(INDEX(ref_Unit_Balance!$T$31:$T$106,MATCH(UnitGradeInfo!B296,ref_Unit_Balance!$B$31:$B$1048576,0))=0,1,INDEX(ref_Unit_Balance!$T$31:$T$106,MATCH(UnitGradeInfo!B296,ref_Unit_Balance!$B$31:$B$1048576,0)))</f>
        <v>5</v>
      </c>
      <c r="J296" s="5">
        <f>INDEX(ref_Unit_Balance!$S$31:$S$106,MATCH(UnitGradeInfo!B296,ref_Unit_Balance!$B$31:$B$1048576,0))</f>
        <v>1000</v>
      </c>
      <c r="K296" s="5">
        <v>0</v>
      </c>
      <c r="L296" s="5">
        <f>INDEX(ref_Unit_Balance!$I$31:$I$106,MATCH(UnitGradeInfo!B296,ref_Unit_Balance!$B$31:$B$1048576,0))</f>
        <v>3</v>
      </c>
      <c r="M296" s="5">
        <f t="shared" si="30"/>
        <v>16</v>
      </c>
      <c r="N296" s="5">
        <f t="shared" si="31"/>
        <v>160</v>
      </c>
      <c r="O296" s="5">
        <f>(INDEX(Unitinfo!I:I,MATCH(B296,Unitinfo!A:A,0))+1)*2</f>
        <v>4</v>
      </c>
      <c r="P296" s="5">
        <v>0</v>
      </c>
      <c r="Q296" s="5">
        <v>0</v>
      </c>
      <c r="R296" s="19" t="s">
        <v>121</v>
      </c>
      <c r="S296" s="19" t="s">
        <v>121</v>
      </c>
      <c r="T296" s="5">
        <f t="shared" si="32"/>
        <v>2013</v>
      </c>
      <c r="U296" s="5">
        <f t="shared" si="33"/>
        <v>1</v>
      </c>
      <c r="V296" s="5">
        <v>0</v>
      </c>
      <c r="W296" s="5">
        <v>10</v>
      </c>
    </row>
    <row r="297" spans="1:23">
      <c r="A297" s="5">
        <f t="shared" si="34"/>
        <v>294</v>
      </c>
      <c r="B297" s="93">
        <f t="shared" si="29"/>
        <v>2013</v>
      </c>
      <c r="C297" s="20" t="str">
        <f>INDEX(Unitinfo!C:C,MATCH(UnitGradeInfo!B297,Unitinfo!A:A,0))</f>
        <v>(근거리)Goblin_Club</v>
      </c>
      <c r="D297" s="5">
        <f>COUNTIF($B$4:B297,B297)</f>
        <v>9</v>
      </c>
      <c r="E297" s="5">
        <f>ROUNDDOWN(INDEX(ref_Unit_Balance!$G$31:$G$106,MATCH(UnitGradeInfo!B297,ref_Unit_Balance!$B$31:$B$1048576,0))
+INDEX(ref_Unit_Balance!$G$20:$G$23,MATCH(IFERROR(INDEX(ref_Unit_Balance!$D$31:$D$1048576,MATCH(B297,ref_Unit_Balance!$B$31:$B$1048576,0)),0),ref_Unit_Balance!$B$20:$B$23,0))*D297*ref_Unit_Balance!$C$25,0)</f>
        <v>739</v>
      </c>
      <c r="F297" s="5">
        <f>INDEX(ref_Unit_Balance!$V$31:$V$106,MATCH(UnitGradeInfo!B297,ref_Unit_Balance!$B$31:$B$1048576,0))
+
INDEX(ref_Unit_Balance!$AB$31:$AB$106,MATCH(UnitGradeInfo!B297,ref_Unit_Balance!$B$31:$B$1048576,0))*(D297-1)</f>
        <v>5584</v>
      </c>
      <c r="G297" s="5">
        <f>INDEX(ref_Unit_Balance!$R$31:$R$106,MATCH(UnitGradeInfo!B297,ref_Unit_Balance!$B$31:$B$1048576,0))
+
INDEX(ref_Unit_Balance!$AA$31:$AA$106,MATCH(UnitGradeInfo!B297,ref_Unit_Balance!$B$31:$B$1048576,0))*(D297-1)</f>
        <v>440</v>
      </c>
      <c r="H297" s="39">
        <f>IF(INDEX(Unitinfo!D:D,MATCH(UnitGradeInfo!B297,Unitinfo!A:A,0))=1,50,5)</f>
        <v>5</v>
      </c>
      <c r="I297" s="5">
        <f>IF(INDEX(ref_Unit_Balance!$T$31:$T$106,MATCH(UnitGradeInfo!B297,ref_Unit_Balance!$B$31:$B$1048576,0))=0,1,INDEX(ref_Unit_Balance!$T$31:$T$106,MATCH(UnitGradeInfo!B297,ref_Unit_Balance!$B$31:$B$1048576,0)))</f>
        <v>5</v>
      </c>
      <c r="J297" s="5">
        <f>INDEX(ref_Unit_Balance!$S$31:$S$106,MATCH(UnitGradeInfo!B297,ref_Unit_Balance!$B$31:$B$1048576,0))</f>
        <v>1000</v>
      </c>
      <c r="K297" s="5">
        <v>0</v>
      </c>
      <c r="L297" s="5">
        <f>INDEX(ref_Unit_Balance!$I$31:$I$106,MATCH(UnitGradeInfo!B297,ref_Unit_Balance!$B$31:$B$1048576,0))</f>
        <v>3</v>
      </c>
      <c r="M297" s="5">
        <f t="shared" si="30"/>
        <v>18</v>
      </c>
      <c r="N297" s="5">
        <f t="shared" si="31"/>
        <v>180</v>
      </c>
      <c r="O297" s="5">
        <f>(INDEX(Unitinfo!I:I,MATCH(B297,Unitinfo!A:A,0))+1)*2</f>
        <v>4</v>
      </c>
      <c r="P297" s="5">
        <v>0</v>
      </c>
      <c r="Q297" s="5">
        <v>0</v>
      </c>
      <c r="R297" s="19" t="s">
        <v>121</v>
      </c>
      <c r="S297" s="19" t="s">
        <v>121</v>
      </c>
      <c r="T297" s="5">
        <f t="shared" si="32"/>
        <v>2013</v>
      </c>
      <c r="U297" s="5">
        <f t="shared" si="33"/>
        <v>1</v>
      </c>
      <c r="V297" s="5">
        <v>0</v>
      </c>
      <c r="W297" s="5">
        <v>10</v>
      </c>
    </row>
    <row r="298" spans="1:23">
      <c r="A298" s="5">
        <f t="shared" si="34"/>
        <v>295</v>
      </c>
      <c r="B298" s="93">
        <f t="shared" si="29"/>
        <v>2013</v>
      </c>
      <c r="C298" s="20" t="str">
        <f>INDEX(Unitinfo!C:C,MATCH(UnitGradeInfo!B298,Unitinfo!A:A,0))</f>
        <v>(근거리)Goblin_Club</v>
      </c>
      <c r="D298" s="5">
        <f>COUNTIF($B$4:B298,B298)</f>
        <v>10</v>
      </c>
      <c r="E298" s="5">
        <f>ROUNDDOWN(INDEX(ref_Unit_Balance!$G$31:$G$106,MATCH(UnitGradeInfo!B298,ref_Unit_Balance!$B$31:$B$1048576,0))
+INDEX(ref_Unit_Balance!$G$20:$G$23,MATCH(IFERROR(INDEX(ref_Unit_Balance!$D$31:$D$1048576,MATCH(B298,ref_Unit_Balance!$B$31:$B$1048576,0)),0),ref_Unit_Balance!$B$20:$B$23,0))*D298*ref_Unit_Balance!$C$25,0)</f>
        <v>802</v>
      </c>
      <c r="F298" s="5">
        <f>INDEX(ref_Unit_Balance!$V$31:$V$106,MATCH(UnitGradeInfo!B298,ref_Unit_Balance!$B$31:$B$1048576,0))
+
INDEX(ref_Unit_Balance!$AB$31:$AB$106,MATCH(UnitGradeInfo!B298,ref_Unit_Balance!$B$31:$B$1048576,0))*(D298-1)</f>
        <v>5917</v>
      </c>
      <c r="G298" s="5">
        <f>INDEX(ref_Unit_Balance!$R$31:$R$106,MATCH(UnitGradeInfo!B298,ref_Unit_Balance!$B$31:$B$1048576,0))
+
INDEX(ref_Unit_Balance!$AA$31:$AA$106,MATCH(UnitGradeInfo!B298,ref_Unit_Balance!$B$31:$B$1048576,0))*(D298-1)</f>
        <v>460</v>
      </c>
      <c r="H298" s="39">
        <f>IF(INDEX(Unitinfo!D:D,MATCH(UnitGradeInfo!B298,Unitinfo!A:A,0))=1,50,5)</f>
        <v>5</v>
      </c>
      <c r="I298" s="5">
        <f>IF(INDEX(ref_Unit_Balance!$T$31:$T$106,MATCH(UnitGradeInfo!B298,ref_Unit_Balance!$B$31:$B$1048576,0))=0,1,INDEX(ref_Unit_Balance!$T$31:$T$106,MATCH(UnitGradeInfo!B298,ref_Unit_Balance!$B$31:$B$1048576,0)))</f>
        <v>5</v>
      </c>
      <c r="J298" s="5">
        <f>INDEX(ref_Unit_Balance!$S$31:$S$106,MATCH(UnitGradeInfo!B298,ref_Unit_Balance!$B$31:$B$1048576,0))</f>
        <v>1000</v>
      </c>
      <c r="K298" s="5">
        <v>0</v>
      </c>
      <c r="L298" s="5">
        <f>INDEX(ref_Unit_Balance!$I$31:$I$106,MATCH(UnitGradeInfo!B298,ref_Unit_Balance!$B$31:$B$1048576,0))</f>
        <v>3</v>
      </c>
      <c r="M298" s="5">
        <f t="shared" si="30"/>
        <v>20</v>
      </c>
      <c r="N298" s="5">
        <f t="shared" si="31"/>
        <v>200</v>
      </c>
      <c r="O298" s="5">
        <f>(INDEX(Unitinfo!I:I,MATCH(B298,Unitinfo!A:A,0))+1)*2</f>
        <v>4</v>
      </c>
      <c r="P298" s="5">
        <v>0</v>
      </c>
      <c r="Q298" s="5">
        <v>0</v>
      </c>
      <c r="R298" s="19" t="s">
        <v>121</v>
      </c>
      <c r="S298" s="19" t="s">
        <v>121</v>
      </c>
      <c r="T298" s="5">
        <f t="shared" si="32"/>
        <v>2013</v>
      </c>
      <c r="U298" s="5">
        <f t="shared" si="33"/>
        <v>1</v>
      </c>
      <c r="V298" s="5">
        <v>0</v>
      </c>
      <c r="W298" s="5">
        <v>10</v>
      </c>
    </row>
    <row r="299" spans="1:23">
      <c r="A299" s="5">
        <f t="shared" si="34"/>
        <v>296</v>
      </c>
      <c r="B299" s="93">
        <f t="shared" si="29"/>
        <v>2013</v>
      </c>
      <c r="C299" s="20" t="str">
        <f>INDEX(Unitinfo!C:C,MATCH(UnitGradeInfo!B299,Unitinfo!A:A,0))</f>
        <v>(근거리)Goblin_Club</v>
      </c>
      <c r="D299" s="5">
        <f>COUNTIF($B$4:B299,B299)</f>
        <v>11</v>
      </c>
      <c r="E299" s="5">
        <f>ROUNDDOWN(INDEX(ref_Unit_Balance!$G$31:$G$106,MATCH(UnitGradeInfo!B299,ref_Unit_Balance!$B$31:$B$1048576,0))
+INDEX(ref_Unit_Balance!$G$20:$G$23,MATCH(IFERROR(INDEX(ref_Unit_Balance!$D$31:$D$1048576,MATCH(B299,ref_Unit_Balance!$B$31:$B$1048576,0)),0),ref_Unit_Balance!$B$20:$B$23,0))*D299*ref_Unit_Balance!$C$25,0)</f>
        <v>864</v>
      </c>
      <c r="F299" s="5">
        <f>INDEX(ref_Unit_Balance!$V$31:$V$106,MATCH(UnitGradeInfo!B299,ref_Unit_Balance!$B$31:$B$1048576,0))
+
INDEX(ref_Unit_Balance!$AB$31:$AB$106,MATCH(UnitGradeInfo!B299,ref_Unit_Balance!$B$31:$B$1048576,0))*(D299-1)</f>
        <v>6250</v>
      </c>
      <c r="G299" s="5">
        <f>INDEX(ref_Unit_Balance!$R$31:$R$106,MATCH(UnitGradeInfo!B299,ref_Unit_Balance!$B$31:$B$1048576,0))
+
INDEX(ref_Unit_Balance!$AA$31:$AA$106,MATCH(UnitGradeInfo!B299,ref_Unit_Balance!$B$31:$B$1048576,0))*(D299-1)</f>
        <v>480</v>
      </c>
      <c r="H299" s="39">
        <f>IF(INDEX(Unitinfo!D:D,MATCH(UnitGradeInfo!B299,Unitinfo!A:A,0))=1,50,5)</f>
        <v>5</v>
      </c>
      <c r="I299" s="5">
        <f>IF(INDEX(ref_Unit_Balance!$T$31:$T$106,MATCH(UnitGradeInfo!B299,ref_Unit_Balance!$B$31:$B$1048576,0))=0,1,INDEX(ref_Unit_Balance!$T$31:$T$106,MATCH(UnitGradeInfo!B299,ref_Unit_Balance!$B$31:$B$1048576,0)))</f>
        <v>5</v>
      </c>
      <c r="J299" s="5">
        <f>INDEX(ref_Unit_Balance!$S$31:$S$106,MATCH(UnitGradeInfo!B299,ref_Unit_Balance!$B$31:$B$1048576,0))</f>
        <v>1000</v>
      </c>
      <c r="K299" s="5">
        <v>0</v>
      </c>
      <c r="L299" s="5">
        <f>INDEX(ref_Unit_Balance!$I$31:$I$106,MATCH(UnitGradeInfo!B299,ref_Unit_Balance!$B$31:$B$1048576,0))</f>
        <v>3</v>
      </c>
      <c r="M299" s="5">
        <f t="shared" si="30"/>
        <v>22</v>
      </c>
      <c r="N299" s="5">
        <f t="shared" si="31"/>
        <v>220</v>
      </c>
      <c r="O299" s="5">
        <f>(INDEX(Unitinfo!I:I,MATCH(B299,Unitinfo!A:A,0))+1)*2</f>
        <v>4</v>
      </c>
      <c r="P299" s="5">
        <v>0</v>
      </c>
      <c r="Q299" s="5">
        <v>0</v>
      </c>
      <c r="R299" s="19" t="s">
        <v>121</v>
      </c>
      <c r="S299" s="19" t="s">
        <v>121</v>
      </c>
      <c r="T299" s="5">
        <f t="shared" si="32"/>
        <v>2013</v>
      </c>
      <c r="U299" s="5">
        <f t="shared" si="33"/>
        <v>1</v>
      </c>
      <c r="V299" s="5">
        <v>0</v>
      </c>
      <c r="W299" s="5">
        <v>10</v>
      </c>
    </row>
    <row r="300" spans="1:23">
      <c r="A300" s="5">
        <f t="shared" si="34"/>
        <v>297</v>
      </c>
      <c r="B300" s="93">
        <f t="shared" si="29"/>
        <v>2013</v>
      </c>
      <c r="C300" s="20" t="str">
        <f>INDEX(Unitinfo!C:C,MATCH(UnitGradeInfo!B300,Unitinfo!A:A,0))</f>
        <v>(근거리)Goblin_Club</v>
      </c>
      <c r="D300" s="5">
        <f>COUNTIF($B$4:B300,B300)</f>
        <v>12</v>
      </c>
      <c r="E300" s="5">
        <f>ROUNDDOWN(INDEX(ref_Unit_Balance!$G$31:$G$106,MATCH(UnitGradeInfo!B300,ref_Unit_Balance!$B$31:$B$1048576,0))
+INDEX(ref_Unit_Balance!$G$20:$G$23,MATCH(IFERROR(INDEX(ref_Unit_Balance!$D$31:$D$1048576,MATCH(B300,ref_Unit_Balance!$B$31:$B$1048576,0)),0),ref_Unit_Balance!$B$20:$B$23,0))*D300*ref_Unit_Balance!$C$25,0)</f>
        <v>927</v>
      </c>
      <c r="F300" s="5">
        <f>INDEX(ref_Unit_Balance!$V$31:$V$106,MATCH(UnitGradeInfo!B300,ref_Unit_Balance!$B$31:$B$1048576,0))
+
INDEX(ref_Unit_Balance!$AB$31:$AB$106,MATCH(UnitGradeInfo!B300,ref_Unit_Balance!$B$31:$B$1048576,0))*(D300-1)</f>
        <v>6583</v>
      </c>
      <c r="G300" s="5">
        <f>INDEX(ref_Unit_Balance!$R$31:$R$106,MATCH(UnitGradeInfo!B300,ref_Unit_Balance!$B$31:$B$1048576,0))
+
INDEX(ref_Unit_Balance!$AA$31:$AA$106,MATCH(UnitGradeInfo!B300,ref_Unit_Balance!$B$31:$B$1048576,0))*(D300-1)</f>
        <v>500</v>
      </c>
      <c r="H300" s="39">
        <f>IF(INDEX(Unitinfo!D:D,MATCH(UnitGradeInfo!B300,Unitinfo!A:A,0))=1,50,5)</f>
        <v>5</v>
      </c>
      <c r="I300" s="5">
        <f>IF(INDEX(ref_Unit_Balance!$T$31:$T$106,MATCH(UnitGradeInfo!B300,ref_Unit_Balance!$B$31:$B$1048576,0))=0,1,INDEX(ref_Unit_Balance!$T$31:$T$106,MATCH(UnitGradeInfo!B300,ref_Unit_Balance!$B$31:$B$1048576,0)))</f>
        <v>5</v>
      </c>
      <c r="J300" s="5">
        <f>INDEX(ref_Unit_Balance!$S$31:$S$106,MATCH(UnitGradeInfo!B300,ref_Unit_Balance!$B$31:$B$1048576,0))</f>
        <v>1000</v>
      </c>
      <c r="K300" s="5">
        <v>0</v>
      </c>
      <c r="L300" s="5">
        <f>INDEX(ref_Unit_Balance!$I$31:$I$106,MATCH(UnitGradeInfo!B300,ref_Unit_Balance!$B$31:$B$1048576,0))</f>
        <v>3</v>
      </c>
      <c r="M300" s="5">
        <f t="shared" si="30"/>
        <v>24</v>
      </c>
      <c r="N300" s="5">
        <f t="shared" si="31"/>
        <v>240</v>
      </c>
      <c r="O300" s="5">
        <f>(INDEX(Unitinfo!I:I,MATCH(B300,Unitinfo!A:A,0))+1)*2</f>
        <v>4</v>
      </c>
      <c r="P300" s="5">
        <v>0</v>
      </c>
      <c r="Q300" s="5">
        <v>0</v>
      </c>
      <c r="R300" s="19" t="s">
        <v>121</v>
      </c>
      <c r="S300" s="19" t="s">
        <v>121</v>
      </c>
      <c r="T300" s="5">
        <f t="shared" si="32"/>
        <v>2013</v>
      </c>
      <c r="U300" s="5">
        <f t="shared" si="33"/>
        <v>1</v>
      </c>
      <c r="V300" s="5">
        <v>0</v>
      </c>
      <c r="W300" s="5">
        <v>10</v>
      </c>
    </row>
    <row r="301" spans="1:23">
      <c r="A301" s="5">
        <f t="shared" si="34"/>
        <v>298</v>
      </c>
      <c r="B301" s="93">
        <f t="shared" si="29"/>
        <v>2013</v>
      </c>
      <c r="C301" s="20" t="str">
        <f>INDEX(Unitinfo!C:C,MATCH(UnitGradeInfo!B301,Unitinfo!A:A,0))</f>
        <v>(근거리)Goblin_Club</v>
      </c>
      <c r="D301" s="5">
        <f>COUNTIF($B$4:B301,B301)</f>
        <v>13</v>
      </c>
      <c r="E301" s="5">
        <f>ROUNDDOWN(INDEX(ref_Unit_Balance!$G$31:$G$106,MATCH(UnitGradeInfo!B301,ref_Unit_Balance!$B$31:$B$1048576,0))
+INDEX(ref_Unit_Balance!$G$20:$G$23,MATCH(IFERROR(INDEX(ref_Unit_Balance!$D$31:$D$1048576,MATCH(B301,ref_Unit_Balance!$B$31:$B$1048576,0)),0),ref_Unit_Balance!$B$20:$B$23,0))*D301*ref_Unit_Balance!$C$25,0)</f>
        <v>989</v>
      </c>
      <c r="F301" s="5">
        <f>INDEX(ref_Unit_Balance!$V$31:$V$106,MATCH(UnitGradeInfo!B301,ref_Unit_Balance!$B$31:$B$1048576,0))
+
INDEX(ref_Unit_Balance!$AB$31:$AB$106,MATCH(UnitGradeInfo!B301,ref_Unit_Balance!$B$31:$B$1048576,0))*(D301-1)</f>
        <v>6916</v>
      </c>
      <c r="G301" s="5">
        <f>INDEX(ref_Unit_Balance!$R$31:$R$106,MATCH(UnitGradeInfo!B301,ref_Unit_Balance!$B$31:$B$1048576,0))
+
INDEX(ref_Unit_Balance!$AA$31:$AA$106,MATCH(UnitGradeInfo!B301,ref_Unit_Balance!$B$31:$B$1048576,0))*(D301-1)</f>
        <v>520</v>
      </c>
      <c r="H301" s="39">
        <f>IF(INDEX(Unitinfo!D:D,MATCH(UnitGradeInfo!B301,Unitinfo!A:A,0))=1,50,5)</f>
        <v>5</v>
      </c>
      <c r="I301" s="5">
        <f>IF(INDEX(ref_Unit_Balance!$T$31:$T$106,MATCH(UnitGradeInfo!B301,ref_Unit_Balance!$B$31:$B$1048576,0))=0,1,INDEX(ref_Unit_Balance!$T$31:$T$106,MATCH(UnitGradeInfo!B301,ref_Unit_Balance!$B$31:$B$1048576,0)))</f>
        <v>5</v>
      </c>
      <c r="J301" s="5">
        <f>INDEX(ref_Unit_Balance!$S$31:$S$106,MATCH(UnitGradeInfo!B301,ref_Unit_Balance!$B$31:$B$1048576,0))</f>
        <v>1000</v>
      </c>
      <c r="K301" s="5">
        <v>0</v>
      </c>
      <c r="L301" s="5">
        <f>INDEX(ref_Unit_Balance!$I$31:$I$106,MATCH(UnitGradeInfo!B301,ref_Unit_Balance!$B$31:$B$1048576,0))</f>
        <v>3</v>
      </c>
      <c r="M301" s="5">
        <f t="shared" si="30"/>
        <v>26</v>
      </c>
      <c r="N301" s="5">
        <f t="shared" si="31"/>
        <v>260</v>
      </c>
      <c r="O301" s="5">
        <f>(INDEX(Unitinfo!I:I,MATCH(B301,Unitinfo!A:A,0))+1)*2</f>
        <v>4</v>
      </c>
      <c r="P301" s="5">
        <v>0</v>
      </c>
      <c r="Q301" s="5">
        <v>0</v>
      </c>
      <c r="R301" s="19" t="s">
        <v>121</v>
      </c>
      <c r="S301" s="19" t="s">
        <v>121</v>
      </c>
      <c r="T301" s="5">
        <f t="shared" si="32"/>
        <v>2013</v>
      </c>
      <c r="U301" s="5">
        <f t="shared" si="33"/>
        <v>1</v>
      </c>
      <c r="V301" s="5">
        <v>0</v>
      </c>
      <c r="W301" s="5">
        <v>10</v>
      </c>
    </row>
    <row r="302" spans="1:23">
      <c r="A302" s="5">
        <f t="shared" si="34"/>
        <v>299</v>
      </c>
      <c r="B302" s="93">
        <f t="shared" si="29"/>
        <v>2013</v>
      </c>
      <c r="C302" s="20" t="str">
        <f>INDEX(Unitinfo!C:C,MATCH(UnitGradeInfo!B302,Unitinfo!A:A,0))</f>
        <v>(근거리)Goblin_Club</v>
      </c>
      <c r="D302" s="5">
        <f>COUNTIF($B$4:B302,B302)</f>
        <v>14</v>
      </c>
      <c r="E302" s="5">
        <f>ROUNDDOWN(INDEX(ref_Unit_Balance!$G$31:$G$106,MATCH(UnitGradeInfo!B302,ref_Unit_Balance!$B$31:$B$1048576,0))
+INDEX(ref_Unit_Balance!$G$20:$G$23,MATCH(IFERROR(INDEX(ref_Unit_Balance!$D$31:$D$1048576,MATCH(B302,ref_Unit_Balance!$B$31:$B$1048576,0)),0),ref_Unit_Balance!$B$20:$B$23,0))*D302*ref_Unit_Balance!$C$25,0)</f>
        <v>1052</v>
      </c>
      <c r="F302" s="5">
        <f>INDEX(ref_Unit_Balance!$V$31:$V$106,MATCH(UnitGradeInfo!B302,ref_Unit_Balance!$B$31:$B$1048576,0))
+
INDEX(ref_Unit_Balance!$AB$31:$AB$106,MATCH(UnitGradeInfo!B302,ref_Unit_Balance!$B$31:$B$1048576,0))*(D302-1)</f>
        <v>7249</v>
      </c>
      <c r="G302" s="5">
        <f>INDEX(ref_Unit_Balance!$R$31:$R$106,MATCH(UnitGradeInfo!B302,ref_Unit_Balance!$B$31:$B$1048576,0))
+
INDEX(ref_Unit_Balance!$AA$31:$AA$106,MATCH(UnitGradeInfo!B302,ref_Unit_Balance!$B$31:$B$1048576,0))*(D302-1)</f>
        <v>540</v>
      </c>
      <c r="H302" s="39">
        <f>IF(INDEX(Unitinfo!D:D,MATCH(UnitGradeInfo!B302,Unitinfo!A:A,0))=1,50,5)</f>
        <v>5</v>
      </c>
      <c r="I302" s="5">
        <f>IF(INDEX(ref_Unit_Balance!$T$31:$T$106,MATCH(UnitGradeInfo!B302,ref_Unit_Balance!$B$31:$B$1048576,0))=0,1,INDEX(ref_Unit_Balance!$T$31:$T$106,MATCH(UnitGradeInfo!B302,ref_Unit_Balance!$B$31:$B$1048576,0)))</f>
        <v>5</v>
      </c>
      <c r="J302" s="5">
        <f>INDEX(ref_Unit_Balance!$S$31:$S$106,MATCH(UnitGradeInfo!B302,ref_Unit_Balance!$B$31:$B$1048576,0))</f>
        <v>1000</v>
      </c>
      <c r="K302" s="5">
        <v>0</v>
      </c>
      <c r="L302" s="5">
        <f>INDEX(ref_Unit_Balance!$I$31:$I$106,MATCH(UnitGradeInfo!B302,ref_Unit_Balance!$B$31:$B$1048576,0))</f>
        <v>3</v>
      </c>
      <c r="M302" s="5">
        <f t="shared" si="30"/>
        <v>28</v>
      </c>
      <c r="N302" s="5">
        <f t="shared" si="31"/>
        <v>280</v>
      </c>
      <c r="O302" s="5">
        <f>(INDEX(Unitinfo!I:I,MATCH(B302,Unitinfo!A:A,0))+1)*2</f>
        <v>4</v>
      </c>
      <c r="P302" s="5">
        <v>0</v>
      </c>
      <c r="Q302" s="5">
        <v>0</v>
      </c>
      <c r="R302" s="19" t="s">
        <v>121</v>
      </c>
      <c r="S302" s="19" t="s">
        <v>121</v>
      </c>
      <c r="T302" s="5">
        <f t="shared" si="32"/>
        <v>2013</v>
      </c>
      <c r="U302" s="5">
        <f t="shared" si="33"/>
        <v>1</v>
      </c>
      <c r="V302" s="5">
        <v>0</v>
      </c>
      <c r="W302" s="5">
        <v>10</v>
      </c>
    </row>
    <row r="303" spans="1:23">
      <c r="A303" s="5">
        <f t="shared" si="34"/>
        <v>300</v>
      </c>
      <c r="B303" s="93">
        <f t="shared" si="29"/>
        <v>2013</v>
      </c>
      <c r="C303" s="20" t="str">
        <f>INDEX(Unitinfo!C:C,MATCH(UnitGradeInfo!B303,Unitinfo!A:A,0))</f>
        <v>(근거리)Goblin_Club</v>
      </c>
      <c r="D303" s="5">
        <f>COUNTIF($B$4:B303,B303)</f>
        <v>15</v>
      </c>
      <c r="E303" s="5">
        <f>ROUNDDOWN(INDEX(ref_Unit_Balance!$G$31:$G$106,MATCH(UnitGradeInfo!B303,ref_Unit_Balance!$B$31:$B$1048576,0))
+INDEX(ref_Unit_Balance!$G$20:$G$23,MATCH(IFERROR(INDEX(ref_Unit_Balance!$D$31:$D$1048576,MATCH(B303,ref_Unit_Balance!$B$31:$B$1048576,0)),0),ref_Unit_Balance!$B$20:$B$23,0))*D303*ref_Unit_Balance!$C$25,0)</f>
        <v>1114</v>
      </c>
      <c r="F303" s="5">
        <f>INDEX(ref_Unit_Balance!$V$31:$V$106,MATCH(UnitGradeInfo!B303,ref_Unit_Balance!$B$31:$B$1048576,0))
+
INDEX(ref_Unit_Balance!$AB$31:$AB$106,MATCH(UnitGradeInfo!B303,ref_Unit_Balance!$B$31:$B$1048576,0))*(D303-1)</f>
        <v>7582</v>
      </c>
      <c r="G303" s="5">
        <f>INDEX(ref_Unit_Balance!$R$31:$R$106,MATCH(UnitGradeInfo!B303,ref_Unit_Balance!$B$31:$B$1048576,0))
+
INDEX(ref_Unit_Balance!$AA$31:$AA$106,MATCH(UnitGradeInfo!B303,ref_Unit_Balance!$B$31:$B$1048576,0))*(D303-1)</f>
        <v>560</v>
      </c>
      <c r="H303" s="39">
        <f>IF(INDEX(Unitinfo!D:D,MATCH(UnitGradeInfo!B303,Unitinfo!A:A,0))=1,50,5)</f>
        <v>5</v>
      </c>
      <c r="I303" s="5">
        <f>IF(INDEX(ref_Unit_Balance!$T$31:$T$106,MATCH(UnitGradeInfo!B303,ref_Unit_Balance!$B$31:$B$1048576,0))=0,1,INDEX(ref_Unit_Balance!$T$31:$T$106,MATCH(UnitGradeInfo!B303,ref_Unit_Balance!$B$31:$B$1048576,0)))</f>
        <v>5</v>
      </c>
      <c r="J303" s="5">
        <f>INDEX(ref_Unit_Balance!$S$31:$S$106,MATCH(UnitGradeInfo!B303,ref_Unit_Balance!$B$31:$B$1048576,0))</f>
        <v>1000</v>
      </c>
      <c r="K303" s="5">
        <v>0</v>
      </c>
      <c r="L303" s="5">
        <f>INDEX(ref_Unit_Balance!$I$31:$I$106,MATCH(UnitGradeInfo!B303,ref_Unit_Balance!$B$31:$B$1048576,0))</f>
        <v>3</v>
      </c>
      <c r="M303" s="5">
        <f t="shared" si="30"/>
        <v>30</v>
      </c>
      <c r="N303" s="5">
        <f t="shared" si="31"/>
        <v>300</v>
      </c>
      <c r="O303" s="5">
        <f>(INDEX(Unitinfo!I:I,MATCH(B303,Unitinfo!A:A,0))+1)*2</f>
        <v>4</v>
      </c>
      <c r="P303" s="5">
        <v>0</v>
      </c>
      <c r="Q303" s="5">
        <v>0</v>
      </c>
      <c r="R303" s="19" t="s">
        <v>121</v>
      </c>
      <c r="S303" s="19" t="s">
        <v>121</v>
      </c>
      <c r="T303" s="5">
        <f t="shared" si="32"/>
        <v>2013</v>
      </c>
      <c r="U303" s="5">
        <f t="shared" si="33"/>
        <v>1</v>
      </c>
      <c r="V303" s="5">
        <v>0</v>
      </c>
      <c r="W303" s="5">
        <v>10</v>
      </c>
    </row>
    <row r="304" spans="1:23">
      <c r="A304" s="5">
        <f t="shared" si="34"/>
        <v>301</v>
      </c>
      <c r="B304" s="93">
        <f t="shared" si="29"/>
        <v>2013</v>
      </c>
      <c r="C304" s="20" t="str">
        <f>INDEX(Unitinfo!C:C,MATCH(UnitGradeInfo!B304,Unitinfo!A:A,0))</f>
        <v>(근거리)Goblin_Club</v>
      </c>
      <c r="D304" s="5">
        <f>COUNTIF($B$4:B304,B304)</f>
        <v>16</v>
      </c>
      <c r="E304" s="5">
        <f>ROUNDDOWN(INDEX(ref_Unit_Balance!$G$31:$G$106,MATCH(UnitGradeInfo!B304,ref_Unit_Balance!$B$31:$B$1048576,0))
+INDEX(ref_Unit_Balance!$G$20:$G$23,MATCH(IFERROR(INDEX(ref_Unit_Balance!$D$31:$D$1048576,MATCH(B304,ref_Unit_Balance!$B$31:$B$1048576,0)),0),ref_Unit_Balance!$B$20:$B$23,0))*D304*ref_Unit_Balance!$C$25,0)</f>
        <v>1177</v>
      </c>
      <c r="F304" s="5">
        <f>INDEX(ref_Unit_Balance!$V$31:$V$106,MATCH(UnitGradeInfo!B304,ref_Unit_Balance!$B$31:$B$1048576,0))
+
INDEX(ref_Unit_Balance!$AB$31:$AB$106,MATCH(UnitGradeInfo!B304,ref_Unit_Balance!$B$31:$B$1048576,0))*(D304-1)</f>
        <v>7915</v>
      </c>
      <c r="G304" s="5">
        <f>INDEX(ref_Unit_Balance!$R$31:$R$106,MATCH(UnitGradeInfo!B304,ref_Unit_Balance!$B$31:$B$1048576,0))
+
INDEX(ref_Unit_Balance!$AA$31:$AA$106,MATCH(UnitGradeInfo!B304,ref_Unit_Balance!$B$31:$B$1048576,0))*(D304-1)</f>
        <v>580</v>
      </c>
      <c r="H304" s="39">
        <f>IF(INDEX(Unitinfo!D:D,MATCH(UnitGradeInfo!B304,Unitinfo!A:A,0))=1,50,5)</f>
        <v>5</v>
      </c>
      <c r="I304" s="5">
        <f>IF(INDEX(ref_Unit_Balance!$T$31:$T$106,MATCH(UnitGradeInfo!B304,ref_Unit_Balance!$B$31:$B$1048576,0))=0,1,INDEX(ref_Unit_Balance!$T$31:$T$106,MATCH(UnitGradeInfo!B304,ref_Unit_Balance!$B$31:$B$1048576,0)))</f>
        <v>5</v>
      </c>
      <c r="J304" s="5">
        <f>INDEX(ref_Unit_Balance!$S$31:$S$106,MATCH(UnitGradeInfo!B304,ref_Unit_Balance!$B$31:$B$1048576,0))</f>
        <v>1000</v>
      </c>
      <c r="K304" s="5">
        <v>0</v>
      </c>
      <c r="L304" s="5">
        <f>INDEX(ref_Unit_Balance!$I$31:$I$106,MATCH(UnitGradeInfo!B304,ref_Unit_Balance!$B$31:$B$1048576,0))</f>
        <v>3</v>
      </c>
      <c r="M304" s="5">
        <f t="shared" si="30"/>
        <v>32</v>
      </c>
      <c r="N304" s="5">
        <f t="shared" si="31"/>
        <v>320</v>
      </c>
      <c r="O304" s="5">
        <f>(INDEX(Unitinfo!I:I,MATCH(B304,Unitinfo!A:A,0))+1)*2</f>
        <v>4</v>
      </c>
      <c r="P304" s="5">
        <v>0</v>
      </c>
      <c r="Q304" s="5">
        <v>0</v>
      </c>
      <c r="R304" s="19" t="s">
        <v>121</v>
      </c>
      <c r="S304" s="19" t="s">
        <v>121</v>
      </c>
      <c r="T304" s="5">
        <f t="shared" si="32"/>
        <v>2013</v>
      </c>
      <c r="U304" s="5">
        <f t="shared" si="33"/>
        <v>1</v>
      </c>
      <c r="V304" s="5">
        <v>0</v>
      </c>
      <c r="W304" s="5">
        <v>10</v>
      </c>
    </row>
    <row r="305" spans="1:23">
      <c r="A305" s="5">
        <f t="shared" si="34"/>
        <v>302</v>
      </c>
      <c r="B305" s="93">
        <f t="shared" si="29"/>
        <v>2013</v>
      </c>
      <c r="C305" s="20" t="str">
        <f>INDEX(Unitinfo!C:C,MATCH(UnitGradeInfo!B305,Unitinfo!A:A,0))</f>
        <v>(근거리)Goblin_Club</v>
      </c>
      <c r="D305" s="5">
        <f>COUNTIF($B$4:B305,B305)</f>
        <v>17</v>
      </c>
      <c r="E305" s="5">
        <f>ROUNDDOWN(INDEX(ref_Unit_Balance!$G$31:$G$106,MATCH(UnitGradeInfo!B305,ref_Unit_Balance!$B$31:$B$1048576,0))
+INDEX(ref_Unit_Balance!$G$20:$G$23,MATCH(IFERROR(INDEX(ref_Unit_Balance!$D$31:$D$1048576,MATCH(B305,ref_Unit_Balance!$B$31:$B$1048576,0)),0),ref_Unit_Balance!$B$20:$B$23,0))*D305*ref_Unit_Balance!$C$25,0)</f>
        <v>1239</v>
      </c>
      <c r="F305" s="5">
        <f>INDEX(ref_Unit_Balance!$V$31:$V$106,MATCH(UnitGradeInfo!B305,ref_Unit_Balance!$B$31:$B$1048576,0))
+
INDEX(ref_Unit_Balance!$AB$31:$AB$106,MATCH(UnitGradeInfo!B305,ref_Unit_Balance!$B$31:$B$1048576,0))*(D305-1)</f>
        <v>8248</v>
      </c>
      <c r="G305" s="5">
        <f>INDEX(ref_Unit_Balance!$R$31:$R$106,MATCH(UnitGradeInfo!B305,ref_Unit_Balance!$B$31:$B$1048576,0))
+
INDEX(ref_Unit_Balance!$AA$31:$AA$106,MATCH(UnitGradeInfo!B305,ref_Unit_Balance!$B$31:$B$1048576,0))*(D305-1)</f>
        <v>600</v>
      </c>
      <c r="H305" s="39">
        <f>IF(INDEX(Unitinfo!D:D,MATCH(UnitGradeInfo!B305,Unitinfo!A:A,0))=1,50,5)</f>
        <v>5</v>
      </c>
      <c r="I305" s="5">
        <f>IF(INDEX(ref_Unit_Balance!$T$31:$T$106,MATCH(UnitGradeInfo!B305,ref_Unit_Balance!$B$31:$B$1048576,0))=0,1,INDEX(ref_Unit_Balance!$T$31:$T$106,MATCH(UnitGradeInfo!B305,ref_Unit_Balance!$B$31:$B$1048576,0)))</f>
        <v>5</v>
      </c>
      <c r="J305" s="5">
        <f>INDEX(ref_Unit_Balance!$S$31:$S$106,MATCH(UnitGradeInfo!B305,ref_Unit_Balance!$B$31:$B$1048576,0))</f>
        <v>1000</v>
      </c>
      <c r="K305" s="5">
        <v>0</v>
      </c>
      <c r="L305" s="5">
        <f>INDEX(ref_Unit_Balance!$I$31:$I$106,MATCH(UnitGradeInfo!B305,ref_Unit_Balance!$B$31:$B$1048576,0))</f>
        <v>3</v>
      </c>
      <c r="M305" s="5">
        <f t="shared" si="30"/>
        <v>34</v>
      </c>
      <c r="N305" s="5">
        <f t="shared" si="31"/>
        <v>340</v>
      </c>
      <c r="O305" s="5">
        <f>(INDEX(Unitinfo!I:I,MATCH(B305,Unitinfo!A:A,0))+1)*2</f>
        <v>4</v>
      </c>
      <c r="P305" s="5">
        <v>0</v>
      </c>
      <c r="Q305" s="5">
        <v>0</v>
      </c>
      <c r="R305" s="19" t="s">
        <v>121</v>
      </c>
      <c r="S305" s="19" t="s">
        <v>121</v>
      </c>
      <c r="T305" s="5">
        <f t="shared" si="32"/>
        <v>2013</v>
      </c>
      <c r="U305" s="5">
        <f t="shared" si="33"/>
        <v>1</v>
      </c>
      <c r="V305" s="5">
        <v>0</v>
      </c>
      <c r="W305" s="5">
        <v>10</v>
      </c>
    </row>
    <row r="306" spans="1:23">
      <c r="A306" s="5">
        <f t="shared" si="34"/>
        <v>303</v>
      </c>
      <c r="B306" s="93">
        <f t="shared" ref="B306:B369" si="35">QUOTIENT(A306-45-1,20)+2001</f>
        <v>2013</v>
      </c>
      <c r="C306" s="20" t="str">
        <f>INDEX(Unitinfo!C:C,MATCH(UnitGradeInfo!B306,Unitinfo!A:A,0))</f>
        <v>(근거리)Goblin_Club</v>
      </c>
      <c r="D306" s="5">
        <f>COUNTIF($B$4:B306,B306)</f>
        <v>18</v>
      </c>
      <c r="E306" s="5">
        <f>ROUNDDOWN(INDEX(ref_Unit_Balance!$G$31:$G$106,MATCH(UnitGradeInfo!B306,ref_Unit_Balance!$B$31:$B$1048576,0))
+INDEX(ref_Unit_Balance!$G$20:$G$23,MATCH(IFERROR(INDEX(ref_Unit_Balance!$D$31:$D$1048576,MATCH(B306,ref_Unit_Balance!$B$31:$B$1048576,0)),0),ref_Unit_Balance!$B$20:$B$23,0))*D306*ref_Unit_Balance!$C$25,0)</f>
        <v>1302</v>
      </c>
      <c r="F306" s="5">
        <f>INDEX(ref_Unit_Balance!$V$31:$V$106,MATCH(UnitGradeInfo!B306,ref_Unit_Balance!$B$31:$B$1048576,0))
+
INDEX(ref_Unit_Balance!$AB$31:$AB$106,MATCH(UnitGradeInfo!B306,ref_Unit_Balance!$B$31:$B$1048576,0))*(D306-1)</f>
        <v>8581</v>
      </c>
      <c r="G306" s="5">
        <f>INDEX(ref_Unit_Balance!$R$31:$R$106,MATCH(UnitGradeInfo!B306,ref_Unit_Balance!$B$31:$B$1048576,0))
+
INDEX(ref_Unit_Balance!$AA$31:$AA$106,MATCH(UnitGradeInfo!B306,ref_Unit_Balance!$B$31:$B$1048576,0))*(D306-1)</f>
        <v>620</v>
      </c>
      <c r="H306" s="39">
        <f>IF(INDEX(Unitinfo!D:D,MATCH(UnitGradeInfo!B306,Unitinfo!A:A,0))=1,50,5)</f>
        <v>5</v>
      </c>
      <c r="I306" s="5">
        <f>IF(INDEX(ref_Unit_Balance!$T$31:$T$106,MATCH(UnitGradeInfo!B306,ref_Unit_Balance!$B$31:$B$1048576,0))=0,1,INDEX(ref_Unit_Balance!$T$31:$T$106,MATCH(UnitGradeInfo!B306,ref_Unit_Balance!$B$31:$B$1048576,0)))</f>
        <v>5</v>
      </c>
      <c r="J306" s="5">
        <f>INDEX(ref_Unit_Balance!$S$31:$S$106,MATCH(UnitGradeInfo!B306,ref_Unit_Balance!$B$31:$B$1048576,0))</f>
        <v>1000</v>
      </c>
      <c r="K306" s="5">
        <v>0</v>
      </c>
      <c r="L306" s="5">
        <f>INDEX(ref_Unit_Balance!$I$31:$I$106,MATCH(UnitGradeInfo!B306,ref_Unit_Balance!$B$31:$B$1048576,0))</f>
        <v>3</v>
      </c>
      <c r="M306" s="5">
        <f t="shared" si="30"/>
        <v>36</v>
      </c>
      <c r="N306" s="5">
        <f t="shared" si="31"/>
        <v>360</v>
      </c>
      <c r="O306" s="5">
        <f>(INDEX(Unitinfo!I:I,MATCH(B306,Unitinfo!A:A,0))+1)*2</f>
        <v>4</v>
      </c>
      <c r="P306" s="5">
        <v>0</v>
      </c>
      <c r="Q306" s="5">
        <v>0</v>
      </c>
      <c r="R306" s="19" t="s">
        <v>121</v>
      </c>
      <c r="S306" s="19" t="s">
        <v>121</v>
      </c>
      <c r="T306" s="5">
        <f t="shared" si="32"/>
        <v>2013</v>
      </c>
      <c r="U306" s="5">
        <f t="shared" si="33"/>
        <v>1</v>
      </c>
      <c r="V306" s="5">
        <v>0</v>
      </c>
      <c r="W306" s="5">
        <v>10</v>
      </c>
    </row>
    <row r="307" spans="1:23">
      <c r="A307" s="5">
        <f t="shared" si="34"/>
        <v>304</v>
      </c>
      <c r="B307" s="93">
        <f t="shared" si="35"/>
        <v>2013</v>
      </c>
      <c r="C307" s="20" t="str">
        <f>INDEX(Unitinfo!C:C,MATCH(UnitGradeInfo!B307,Unitinfo!A:A,0))</f>
        <v>(근거리)Goblin_Club</v>
      </c>
      <c r="D307" s="5">
        <f>COUNTIF($B$4:B307,B307)</f>
        <v>19</v>
      </c>
      <c r="E307" s="5">
        <f>ROUNDDOWN(INDEX(ref_Unit_Balance!$G$31:$G$106,MATCH(UnitGradeInfo!B307,ref_Unit_Balance!$B$31:$B$1048576,0))
+INDEX(ref_Unit_Balance!$G$20:$G$23,MATCH(IFERROR(INDEX(ref_Unit_Balance!$D$31:$D$1048576,MATCH(B307,ref_Unit_Balance!$B$31:$B$1048576,0)),0),ref_Unit_Balance!$B$20:$B$23,0))*D307*ref_Unit_Balance!$C$25,0)</f>
        <v>1364</v>
      </c>
      <c r="F307" s="5">
        <f>INDEX(ref_Unit_Balance!$V$31:$V$106,MATCH(UnitGradeInfo!B307,ref_Unit_Balance!$B$31:$B$1048576,0))
+
INDEX(ref_Unit_Balance!$AB$31:$AB$106,MATCH(UnitGradeInfo!B307,ref_Unit_Balance!$B$31:$B$1048576,0))*(D307-1)</f>
        <v>8914</v>
      </c>
      <c r="G307" s="5">
        <f>INDEX(ref_Unit_Balance!$R$31:$R$106,MATCH(UnitGradeInfo!B307,ref_Unit_Balance!$B$31:$B$1048576,0))
+
INDEX(ref_Unit_Balance!$AA$31:$AA$106,MATCH(UnitGradeInfo!B307,ref_Unit_Balance!$B$31:$B$1048576,0))*(D307-1)</f>
        <v>640</v>
      </c>
      <c r="H307" s="39">
        <f>IF(INDEX(Unitinfo!D:D,MATCH(UnitGradeInfo!B307,Unitinfo!A:A,0))=1,50,5)</f>
        <v>5</v>
      </c>
      <c r="I307" s="5">
        <f>IF(INDEX(ref_Unit_Balance!$T$31:$T$106,MATCH(UnitGradeInfo!B307,ref_Unit_Balance!$B$31:$B$1048576,0))=0,1,INDEX(ref_Unit_Balance!$T$31:$T$106,MATCH(UnitGradeInfo!B307,ref_Unit_Balance!$B$31:$B$1048576,0)))</f>
        <v>5</v>
      </c>
      <c r="J307" s="5">
        <f>INDEX(ref_Unit_Balance!$S$31:$S$106,MATCH(UnitGradeInfo!B307,ref_Unit_Balance!$B$31:$B$1048576,0))</f>
        <v>1000</v>
      </c>
      <c r="K307" s="5">
        <v>0</v>
      </c>
      <c r="L307" s="5">
        <f>INDEX(ref_Unit_Balance!$I$31:$I$106,MATCH(UnitGradeInfo!B307,ref_Unit_Balance!$B$31:$B$1048576,0))</f>
        <v>3</v>
      </c>
      <c r="M307" s="5">
        <f t="shared" si="30"/>
        <v>38</v>
      </c>
      <c r="N307" s="5">
        <f t="shared" si="31"/>
        <v>380</v>
      </c>
      <c r="O307" s="5">
        <f>(INDEX(Unitinfo!I:I,MATCH(B307,Unitinfo!A:A,0))+1)*2</f>
        <v>4</v>
      </c>
      <c r="P307" s="5">
        <v>0</v>
      </c>
      <c r="Q307" s="5">
        <v>0</v>
      </c>
      <c r="R307" s="19" t="s">
        <v>121</v>
      </c>
      <c r="S307" s="19" t="s">
        <v>121</v>
      </c>
      <c r="T307" s="5">
        <f t="shared" si="32"/>
        <v>2013</v>
      </c>
      <c r="U307" s="5">
        <f t="shared" si="33"/>
        <v>1</v>
      </c>
      <c r="V307" s="5">
        <v>0</v>
      </c>
      <c r="W307" s="5">
        <v>10</v>
      </c>
    </row>
    <row r="308" spans="1:23">
      <c r="A308" s="5">
        <f t="shared" si="34"/>
        <v>305</v>
      </c>
      <c r="B308" s="93">
        <f t="shared" si="35"/>
        <v>2013</v>
      </c>
      <c r="C308" s="20" t="str">
        <f>INDEX(Unitinfo!C:C,MATCH(UnitGradeInfo!B308,Unitinfo!A:A,0))</f>
        <v>(근거리)Goblin_Club</v>
      </c>
      <c r="D308" s="5">
        <f>COUNTIF($B$4:B308,B308)</f>
        <v>20</v>
      </c>
      <c r="E308" s="5">
        <f>ROUNDDOWN(INDEX(ref_Unit_Balance!$G$31:$G$106,MATCH(UnitGradeInfo!B308,ref_Unit_Balance!$B$31:$B$1048576,0))
+INDEX(ref_Unit_Balance!$G$20:$G$23,MATCH(IFERROR(INDEX(ref_Unit_Balance!$D$31:$D$1048576,MATCH(B308,ref_Unit_Balance!$B$31:$B$1048576,0)),0),ref_Unit_Balance!$B$20:$B$23,0))*D308*ref_Unit_Balance!$C$25,0)</f>
        <v>1427</v>
      </c>
      <c r="F308" s="5">
        <f>INDEX(ref_Unit_Balance!$V$31:$V$106,MATCH(UnitGradeInfo!B308,ref_Unit_Balance!$B$31:$B$1048576,0))
+
INDEX(ref_Unit_Balance!$AB$31:$AB$106,MATCH(UnitGradeInfo!B308,ref_Unit_Balance!$B$31:$B$1048576,0))*(D308-1)</f>
        <v>9247</v>
      </c>
      <c r="G308" s="5">
        <f>INDEX(ref_Unit_Balance!$R$31:$R$106,MATCH(UnitGradeInfo!B308,ref_Unit_Balance!$B$31:$B$1048576,0))
+
INDEX(ref_Unit_Balance!$AA$31:$AA$106,MATCH(UnitGradeInfo!B308,ref_Unit_Balance!$B$31:$B$1048576,0))*(D308-1)</f>
        <v>660</v>
      </c>
      <c r="H308" s="39">
        <f>IF(INDEX(Unitinfo!D:D,MATCH(UnitGradeInfo!B308,Unitinfo!A:A,0))=1,50,5)</f>
        <v>5</v>
      </c>
      <c r="I308" s="5">
        <f>IF(INDEX(ref_Unit_Balance!$T$31:$T$106,MATCH(UnitGradeInfo!B308,ref_Unit_Balance!$B$31:$B$1048576,0))=0,1,INDEX(ref_Unit_Balance!$T$31:$T$106,MATCH(UnitGradeInfo!B308,ref_Unit_Balance!$B$31:$B$1048576,0)))</f>
        <v>5</v>
      </c>
      <c r="J308" s="5">
        <f>INDEX(ref_Unit_Balance!$S$31:$S$106,MATCH(UnitGradeInfo!B308,ref_Unit_Balance!$B$31:$B$1048576,0))</f>
        <v>1000</v>
      </c>
      <c r="K308" s="5">
        <v>0</v>
      </c>
      <c r="L308" s="5">
        <f>INDEX(ref_Unit_Balance!$I$31:$I$106,MATCH(UnitGradeInfo!B308,ref_Unit_Balance!$B$31:$B$1048576,0))</f>
        <v>3</v>
      </c>
      <c r="M308" s="5">
        <f t="shared" si="30"/>
        <v>40</v>
      </c>
      <c r="N308" s="5">
        <f t="shared" si="31"/>
        <v>400</v>
      </c>
      <c r="O308" s="5">
        <f>(INDEX(Unitinfo!I:I,MATCH(B308,Unitinfo!A:A,0))+1)*2</f>
        <v>4</v>
      </c>
      <c r="P308" s="5">
        <v>0</v>
      </c>
      <c r="Q308" s="5">
        <v>0</v>
      </c>
      <c r="R308" s="19" t="s">
        <v>121</v>
      </c>
      <c r="S308" s="19" t="s">
        <v>121</v>
      </c>
      <c r="T308" s="5">
        <f t="shared" si="32"/>
        <v>2013</v>
      </c>
      <c r="U308" s="5">
        <f t="shared" si="33"/>
        <v>1</v>
      </c>
      <c r="V308" s="5">
        <v>0</v>
      </c>
      <c r="W308" s="5">
        <v>10</v>
      </c>
    </row>
    <row r="309" spans="1:23">
      <c r="A309" s="5">
        <f t="shared" si="34"/>
        <v>306</v>
      </c>
      <c r="B309" s="93">
        <f t="shared" si="35"/>
        <v>2014</v>
      </c>
      <c r="C309" s="20" t="str">
        <f>INDEX(Unitinfo!C:C,MATCH(UnitGradeInfo!B309,Unitinfo!A:A,0))</f>
        <v>(근거리)Goblin_Baby</v>
      </c>
      <c r="D309" s="5">
        <f>COUNTIF($B$4:B309,B309)</f>
        <v>1</v>
      </c>
      <c r="E309" s="5">
        <f>ROUNDDOWN(INDEX(ref_Unit_Balance!$G$31:$G$106,MATCH(UnitGradeInfo!B309,ref_Unit_Balance!$B$31:$B$1048576,0))
+INDEX(ref_Unit_Balance!$G$20:$G$23,MATCH(IFERROR(INDEX(ref_Unit_Balance!$D$31:$D$1048576,MATCH(B309,ref_Unit_Balance!$B$31:$B$1048576,0)),0),ref_Unit_Balance!$B$20:$B$23,0))*D309*ref_Unit_Balance!$C$25,0)</f>
        <v>238</v>
      </c>
      <c r="F309" s="5">
        <f>INDEX(ref_Unit_Balance!$V$31:$V$106,MATCH(UnitGradeInfo!B309,ref_Unit_Balance!$B$31:$B$1048576,0))
+
INDEX(ref_Unit_Balance!$AB$31:$AB$106,MATCH(UnitGradeInfo!B309,ref_Unit_Balance!$B$31:$B$1048576,0))*(D309-1)</f>
        <v>1320</v>
      </c>
      <c r="G309" s="5">
        <f>INDEX(ref_Unit_Balance!$R$31:$R$106,MATCH(UnitGradeInfo!B309,ref_Unit_Balance!$B$31:$B$1048576,0))
+
INDEX(ref_Unit_Balance!$AA$31:$AA$106,MATCH(UnitGradeInfo!B309,ref_Unit_Balance!$B$31:$B$1048576,0))*(D309-1)</f>
        <v>128</v>
      </c>
      <c r="H309" s="39">
        <f>IF(INDEX(Unitinfo!D:D,MATCH(UnitGradeInfo!B309,Unitinfo!A:A,0))=1,50,5)</f>
        <v>5</v>
      </c>
      <c r="I309" s="5">
        <f>IF(INDEX(ref_Unit_Balance!$T$31:$T$106,MATCH(UnitGradeInfo!B309,ref_Unit_Balance!$B$31:$B$1048576,0))=0,1,INDEX(ref_Unit_Balance!$T$31:$T$106,MATCH(UnitGradeInfo!B309,ref_Unit_Balance!$B$31:$B$1048576,0)))</f>
        <v>5</v>
      </c>
      <c r="J309" s="5">
        <f>INDEX(ref_Unit_Balance!$S$31:$S$106,MATCH(UnitGradeInfo!B309,ref_Unit_Balance!$B$31:$B$1048576,0))</f>
        <v>400</v>
      </c>
      <c r="K309" s="5">
        <v>0</v>
      </c>
      <c r="L309" s="5">
        <f>INDEX(ref_Unit_Balance!$I$31:$I$106,MATCH(UnitGradeInfo!B309,ref_Unit_Balance!$B$31:$B$1048576,0))</f>
        <v>4</v>
      </c>
      <c r="M309" s="5">
        <f t="shared" si="30"/>
        <v>2</v>
      </c>
      <c r="N309" s="5">
        <f t="shared" si="31"/>
        <v>20</v>
      </c>
      <c r="O309" s="5">
        <f>(INDEX(Unitinfo!I:I,MATCH(B309,Unitinfo!A:A,0))+1)*2</f>
        <v>4</v>
      </c>
      <c r="P309" s="5">
        <v>0</v>
      </c>
      <c r="Q309" s="5">
        <v>0</v>
      </c>
      <c r="R309" s="19" t="s">
        <v>121</v>
      </c>
      <c r="S309" s="19" t="s">
        <v>121</v>
      </c>
      <c r="T309" s="5">
        <f t="shared" si="32"/>
        <v>2014</v>
      </c>
      <c r="U309" s="5">
        <f t="shared" si="33"/>
        <v>1</v>
      </c>
      <c r="V309" s="5">
        <v>0</v>
      </c>
      <c r="W309" s="5">
        <v>10</v>
      </c>
    </row>
    <row r="310" spans="1:23">
      <c r="A310" s="5">
        <f t="shared" si="34"/>
        <v>307</v>
      </c>
      <c r="B310" s="93">
        <f t="shared" si="35"/>
        <v>2014</v>
      </c>
      <c r="C310" s="20" t="str">
        <f>INDEX(Unitinfo!C:C,MATCH(UnitGradeInfo!B310,Unitinfo!A:A,0))</f>
        <v>(근거리)Goblin_Baby</v>
      </c>
      <c r="D310" s="5">
        <f>COUNTIF($B$4:B310,B310)</f>
        <v>2</v>
      </c>
      <c r="E310" s="5">
        <f>ROUNDDOWN(INDEX(ref_Unit_Balance!$G$31:$G$106,MATCH(UnitGradeInfo!B310,ref_Unit_Balance!$B$31:$B$1048576,0))
+INDEX(ref_Unit_Balance!$G$20:$G$23,MATCH(IFERROR(INDEX(ref_Unit_Balance!$D$31:$D$1048576,MATCH(B310,ref_Unit_Balance!$B$31:$B$1048576,0)),0),ref_Unit_Balance!$B$20:$B$23,0))*D310*ref_Unit_Balance!$C$25,0)</f>
        <v>301</v>
      </c>
      <c r="F310" s="5">
        <f>INDEX(ref_Unit_Balance!$V$31:$V$106,MATCH(UnitGradeInfo!B310,ref_Unit_Balance!$B$31:$B$1048576,0))
+
INDEX(ref_Unit_Balance!$AB$31:$AB$106,MATCH(UnitGradeInfo!B310,ref_Unit_Balance!$B$31:$B$1048576,0))*(D310-1)</f>
        <v>1570</v>
      </c>
      <c r="G310" s="5">
        <f>INDEX(ref_Unit_Balance!$R$31:$R$106,MATCH(UnitGradeInfo!B310,ref_Unit_Balance!$B$31:$B$1048576,0))
+
INDEX(ref_Unit_Balance!$AA$31:$AA$106,MATCH(UnitGradeInfo!B310,ref_Unit_Balance!$B$31:$B$1048576,0))*(D310-1)</f>
        <v>132</v>
      </c>
      <c r="H310" s="39">
        <f>IF(INDEX(Unitinfo!D:D,MATCH(UnitGradeInfo!B310,Unitinfo!A:A,0))=1,50,5)</f>
        <v>5</v>
      </c>
      <c r="I310" s="5">
        <f>IF(INDEX(ref_Unit_Balance!$T$31:$T$106,MATCH(UnitGradeInfo!B310,ref_Unit_Balance!$B$31:$B$1048576,0))=0,1,INDEX(ref_Unit_Balance!$T$31:$T$106,MATCH(UnitGradeInfo!B310,ref_Unit_Balance!$B$31:$B$1048576,0)))</f>
        <v>5</v>
      </c>
      <c r="J310" s="5">
        <f>INDEX(ref_Unit_Balance!$S$31:$S$106,MATCH(UnitGradeInfo!B310,ref_Unit_Balance!$B$31:$B$1048576,0))</f>
        <v>400</v>
      </c>
      <c r="K310" s="5">
        <v>0</v>
      </c>
      <c r="L310" s="5">
        <f>INDEX(ref_Unit_Balance!$I$31:$I$106,MATCH(UnitGradeInfo!B310,ref_Unit_Balance!$B$31:$B$1048576,0))</f>
        <v>4</v>
      </c>
      <c r="M310" s="5">
        <f t="shared" si="30"/>
        <v>4</v>
      </c>
      <c r="N310" s="5">
        <f t="shared" si="31"/>
        <v>40</v>
      </c>
      <c r="O310" s="5">
        <f>(INDEX(Unitinfo!I:I,MATCH(B310,Unitinfo!A:A,0))+1)*2</f>
        <v>4</v>
      </c>
      <c r="P310" s="5">
        <v>0</v>
      </c>
      <c r="Q310" s="5">
        <v>0</v>
      </c>
      <c r="R310" s="19" t="s">
        <v>121</v>
      </c>
      <c r="S310" s="19" t="s">
        <v>121</v>
      </c>
      <c r="T310" s="5">
        <f t="shared" si="32"/>
        <v>2014</v>
      </c>
      <c r="U310" s="5">
        <f t="shared" si="33"/>
        <v>1</v>
      </c>
      <c r="V310" s="5">
        <v>0</v>
      </c>
      <c r="W310" s="5">
        <v>10</v>
      </c>
    </row>
    <row r="311" spans="1:23">
      <c r="A311" s="5">
        <f t="shared" si="34"/>
        <v>308</v>
      </c>
      <c r="B311" s="93">
        <f t="shared" si="35"/>
        <v>2014</v>
      </c>
      <c r="C311" s="20" t="str">
        <f>INDEX(Unitinfo!C:C,MATCH(UnitGradeInfo!B311,Unitinfo!A:A,0))</f>
        <v>(근거리)Goblin_Baby</v>
      </c>
      <c r="D311" s="5">
        <f>COUNTIF($B$4:B311,B311)</f>
        <v>3</v>
      </c>
      <c r="E311" s="5">
        <f>ROUNDDOWN(INDEX(ref_Unit_Balance!$G$31:$G$106,MATCH(UnitGradeInfo!B311,ref_Unit_Balance!$B$31:$B$1048576,0))
+INDEX(ref_Unit_Balance!$G$20:$G$23,MATCH(IFERROR(INDEX(ref_Unit_Balance!$D$31:$D$1048576,MATCH(B311,ref_Unit_Balance!$B$31:$B$1048576,0)),0),ref_Unit_Balance!$B$20:$B$23,0))*D311*ref_Unit_Balance!$C$25,0)</f>
        <v>363</v>
      </c>
      <c r="F311" s="5">
        <f>INDEX(ref_Unit_Balance!$V$31:$V$106,MATCH(UnitGradeInfo!B311,ref_Unit_Balance!$B$31:$B$1048576,0))
+
INDEX(ref_Unit_Balance!$AB$31:$AB$106,MATCH(UnitGradeInfo!B311,ref_Unit_Balance!$B$31:$B$1048576,0))*(D311-1)</f>
        <v>1820</v>
      </c>
      <c r="G311" s="5">
        <f>INDEX(ref_Unit_Balance!$R$31:$R$106,MATCH(UnitGradeInfo!B311,ref_Unit_Balance!$B$31:$B$1048576,0))
+
INDEX(ref_Unit_Balance!$AA$31:$AA$106,MATCH(UnitGradeInfo!B311,ref_Unit_Balance!$B$31:$B$1048576,0))*(D311-1)</f>
        <v>136</v>
      </c>
      <c r="H311" s="39">
        <f>IF(INDEX(Unitinfo!D:D,MATCH(UnitGradeInfo!B311,Unitinfo!A:A,0))=1,50,5)</f>
        <v>5</v>
      </c>
      <c r="I311" s="5">
        <f>IF(INDEX(ref_Unit_Balance!$T$31:$T$106,MATCH(UnitGradeInfo!B311,ref_Unit_Balance!$B$31:$B$1048576,0))=0,1,INDEX(ref_Unit_Balance!$T$31:$T$106,MATCH(UnitGradeInfo!B311,ref_Unit_Balance!$B$31:$B$1048576,0)))</f>
        <v>5</v>
      </c>
      <c r="J311" s="5">
        <f>INDEX(ref_Unit_Balance!$S$31:$S$106,MATCH(UnitGradeInfo!B311,ref_Unit_Balance!$B$31:$B$1048576,0))</f>
        <v>400</v>
      </c>
      <c r="K311" s="5">
        <v>0</v>
      </c>
      <c r="L311" s="5">
        <f>INDEX(ref_Unit_Balance!$I$31:$I$106,MATCH(UnitGradeInfo!B311,ref_Unit_Balance!$B$31:$B$1048576,0))</f>
        <v>4</v>
      </c>
      <c r="M311" s="5">
        <f t="shared" si="30"/>
        <v>6</v>
      </c>
      <c r="N311" s="5">
        <f t="shared" si="31"/>
        <v>60</v>
      </c>
      <c r="O311" s="5">
        <f>(INDEX(Unitinfo!I:I,MATCH(B311,Unitinfo!A:A,0))+1)*2</f>
        <v>4</v>
      </c>
      <c r="P311" s="5">
        <v>0</v>
      </c>
      <c r="Q311" s="5">
        <v>0</v>
      </c>
      <c r="R311" s="19" t="s">
        <v>121</v>
      </c>
      <c r="S311" s="19" t="s">
        <v>121</v>
      </c>
      <c r="T311" s="5">
        <f t="shared" si="32"/>
        <v>2014</v>
      </c>
      <c r="U311" s="5">
        <f t="shared" si="33"/>
        <v>1</v>
      </c>
      <c r="V311" s="5">
        <v>0</v>
      </c>
      <c r="W311" s="5">
        <v>10</v>
      </c>
    </row>
    <row r="312" spans="1:23">
      <c r="A312" s="5">
        <f t="shared" si="34"/>
        <v>309</v>
      </c>
      <c r="B312" s="93">
        <f t="shared" si="35"/>
        <v>2014</v>
      </c>
      <c r="C312" s="20" t="str">
        <f>INDEX(Unitinfo!C:C,MATCH(UnitGradeInfo!B312,Unitinfo!A:A,0))</f>
        <v>(근거리)Goblin_Baby</v>
      </c>
      <c r="D312" s="5">
        <f>COUNTIF($B$4:B312,B312)</f>
        <v>4</v>
      </c>
      <c r="E312" s="5">
        <f>ROUNDDOWN(INDEX(ref_Unit_Balance!$G$31:$G$106,MATCH(UnitGradeInfo!B312,ref_Unit_Balance!$B$31:$B$1048576,0))
+INDEX(ref_Unit_Balance!$G$20:$G$23,MATCH(IFERROR(INDEX(ref_Unit_Balance!$D$31:$D$1048576,MATCH(B312,ref_Unit_Balance!$B$31:$B$1048576,0)),0),ref_Unit_Balance!$B$20:$B$23,0))*D312*ref_Unit_Balance!$C$25,0)</f>
        <v>426</v>
      </c>
      <c r="F312" s="5">
        <f>INDEX(ref_Unit_Balance!$V$31:$V$106,MATCH(UnitGradeInfo!B312,ref_Unit_Balance!$B$31:$B$1048576,0))
+
INDEX(ref_Unit_Balance!$AB$31:$AB$106,MATCH(UnitGradeInfo!B312,ref_Unit_Balance!$B$31:$B$1048576,0))*(D312-1)</f>
        <v>2070</v>
      </c>
      <c r="G312" s="5">
        <f>INDEX(ref_Unit_Balance!$R$31:$R$106,MATCH(UnitGradeInfo!B312,ref_Unit_Balance!$B$31:$B$1048576,0))
+
INDEX(ref_Unit_Balance!$AA$31:$AA$106,MATCH(UnitGradeInfo!B312,ref_Unit_Balance!$B$31:$B$1048576,0))*(D312-1)</f>
        <v>140</v>
      </c>
      <c r="H312" s="39">
        <f>IF(INDEX(Unitinfo!D:D,MATCH(UnitGradeInfo!B312,Unitinfo!A:A,0))=1,50,5)</f>
        <v>5</v>
      </c>
      <c r="I312" s="5">
        <f>IF(INDEX(ref_Unit_Balance!$T$31:$T$106,MATCH(UnitGradeInfo!B312,ref_Unit_Balance!$B$31:$B$1048576,0))=0,1,INDEX(ref_Unit_Balance!$T$31:$T$106,MATCH(UnitGradeInfo!B312,ref_Unit_Balance!$B$31:$B$1048576,0)))</f>
        <v>5</v>
      </c>
      <c r="J312" s="5">
        <f>INDEX(ref_Unit_Balance!$S$31:$S$106,MATCH(UnitGradeInfo!B312,ref_Unit_Balance!$B$31:$B$1048576,0))</f>
        <v>400</v>
      </c>
      <c r="K312" s="5">
        <v>0</v>
      </c>
      <c r="L312" s="5">
        <f>INDEX(ref_Unit_Balance!$I$31:$I$106,MATCH(UnitGradeInfo!B312,ref_Unit_Balance!$B$31:$B$1048576,0))</f>
        <v>4</v>
      </c>
      <c r="M312" s="5">
        <f t="shared" si="30"/>
        <v>8</v>
      </c>
      <c r="N312" s="5">
        <f t="shared" si="31"/>
        <v>80</v>
      </c>
      <c r="O312" s="5">
        <f>(INDEX(Unitinfo!I:I,MATCH(B312,Unitinfo!A:A,0))+1)*2</f>
        <v>4</v>
      </c>
      <c r="P312" s="5">
        <v>0</v>
      </c>
      <c r="Q312" s="5">
        <v>0</v>
      </c>
      <c r="R312" s="19" t="s">
        <v>121</v>
      </c>
      <c r="S312" s="19" t="s">
        <v>121</v>
      </c>
      <c r="T312" s="5">
        <f t="shared" si="32"/>
        <v>2014</v>
      </c>
      <c r="U312" s="5">
        <f t="shared" si="33"/>
        <v>1</v>
      </c>
      <c r="V312" s="5">
        <v>0</v>
      </c>
      <c r="W312" s="5">
        <v>10</v>
      </c>
    </row>
    <row r="313" spans="1:23">
      <c r="A313" s="5">
        <f t="shared" si="34"/>
        <v>310</v>
      </c>
      <c r="B313" s="93">
        <f t="shared" si="35"/>
        <v>2014</v>
      </c>
      <c r="C313" s="20" t="str">
        <f>INDEX(Unitinfo!C:C,MATCH(UnitGradeInfo!B313,Unitinfo!A:A,0))</f>
        <v>(근거리)Goblin_Baby</v>
      </c>
      <c r="D313" s="5">
        <f>COUNTIF($B$4:B313,B313)</f>
        <v>5</v>
      </c>
      <c r="E313" s="5">
        <f>ROUNDDOWN(INDEX(ref_Unit_Balance!$G$31:$G$106,MATCH(UnitGradeInfo!B313,ref_Unit_Balance!$B$31:$B$1048576,0))
+INDEX(ref_Unit_Balance!$G$20:$G$23,MATCH(IFERROR(INDEX(ref_Unit_Balance!$D$31:$D$1048576,MATCH(B313,ref_Unit_Balance!$B$31:$B$1048576,0)),0),ref_Unit_Balance!$B$20:$B$23,0))*D313*ref_Unit_Balance!$C$25,0)</f>
        <v>488</v>
      </c>
      <c r="F313" s="5">
        <f>INDEX(ref_Unit_Balance!$V$31:$V$106,MATCH(UnitGradeInfo!B313,ref_Unit_Balance!$B$31:$B$1048576,0))
+
INDEX(ref_Unit_Balance!$AB$31:$AB$106,MATCH(UnitGradeInfo!B313,ref_Unit_Balance!$B$31:$B$1048576,0))*(D313-1)</f>
        <v>2320</v>
      </c>
      <c r="G313" s="5">
        <f>INDEX(ref_Unit_Balance!$R$31:$R$106,MATCH(UnitGradeInfo!B313,ref_Unit_Balance!$B$31:$B$1048576,0))
+
INDEX(ref_Unit_Balance!$AA$31:$AA$106,MATCH(UnitGradeInfo!B313,ref_Unit_Balance!$B$31:$B$1048576,0))*(D313-1)</f>
        <v>144</v>
      </c>
      <c r="H313" s="39">
        <f>IF(INDEX(Unitinfo!D:D,MATCH(UnitGradeInfo!B313,Unitinfo!A:A,0))=1,50,5)</f>
        <v>5</v>
      </c>
      <c r="I313" s="5">
        <f>IF(INDEX(ref_Unit_Balance!$T$31:$T$106,MATCH(UnitGradeInfo!B313,ref_Unit_Balance!$B$31:$B$1048576,0))=0,1,INDEX(ref_Unit_Balance!$T$31:$T$106,MATCH(UnitGradeInfo!B313,ref_Unit_Balance!$B$31:$B$1048576,0)))</f>
        <v>5</v>
      </c>
      <c r="J313" s="5">
        <f>INDEX(ref_Unit_Balance!$S$31:$S$106,MATCH(UnitGradeInfo!B313,ref_Unit_Balance!$B$31:$B$1048576,0))</f>
        <v>400</v>
      </c>
      <c r="K313" s="5">
        <v>0</v>
      </c>
      <c r="L313" s="5">
        <f>INDEX(ref_Unit_Balance!$I$31:$I$106,MATCH(UnitGradeInfo!B313,ref_Unit_Balance!$B$31:$B$1048576,0))</f>
        <v>4</v>
      </c>
      <c r="M313" s="5">
        <f t="shared" si="30"/>
        <v>10</v>
      </c>
      <c r="N313" s="5">
        <f t="shared" si="31"/>
        <v>100</v>
      </c>
      <c r="O313" s="5">
        <f>(INDEX(Unitinfo!I:I,MATCH(B313,Unitinfo!A:A,0))+1)*2</f>
        <v>4</v>
      </c>
      <c r="P313" s="5">
        <v>0</v>
      </c>
      <c r="Q313" s="5">
        <v>0</v>
      </c>
      <c r="R313" s="19" t="s">
        <v>121</v>
      </c>
      <c r="S313" s="19" t="s">
        <v>121</v>
      </c>
      <c r="T313" s="5">
        <f t="shared" si="32"/>
        <v>2014</v>
      </c>
      <c r="U313" s="5">
        <f t="shared" si="33"/>
        <v>1</v>
      </c>
      <c r="V313" s="5">
        <v>0</v>
      </c>
      <c r="W313" s="5">
        <v>10</v>
      </c>
    </row>
    <row r="314" spans="1:23">
      <c r="A314" s="5">
        <f t="shared" si="34"/>
        <v>311</v>
      </c>
      <c r="B314" s="93">
        <f t="shared" si="35"/>
        <v>2014</v>
      </c>
      <c r="C314" s="20" t="str">
        <f>INDEX(Unitinfo!C:C,MATCH(UnitGradeInfo!B314,Unitinfo!A:A,0))</f>
        <v>(근거리)Goblin_Baby</v>
      </c>
      <c r="D314" s="5">
        <f>COUNTIF($B$4:B314,B314)</f>
        <v>6</v>
      </c>
      <c r="E314" s="5">
        <f>ROUNDDOWN(INDEX(ref_Unit_Balance!$G$31:$G$106,MATCH(UnitGradeInfo!B314,ref_Unit_Balance!$B$31:$B$1048576,0))
+INDEX(ref_Unit_Balance!$G$20:$G$23,MATCH(IFERROR(INDEX(ref_Unit_Balance!$D$31:$D$1048576,MATCH(B314,ref_Unit_Balance!$B$31:$B$1048576,0)),0),ref_Unit_Balance!$B$20:$B$23,0))*D314*ref_Unit_Balance!$C$25,0)</f>
        <v>551</v>
      </c>
      <c r="F314" s="5">
        <f>INDEX(ref_Unit_Balance!$V$31:$V$106,MATCH(UnitGradeInfo!B314,ref_Unit_Balance!$B$31:$B$1048576,0))
+
INDEX(ref_Unit_Balance!$AB$31:$AB$106,MATCH(UnitGradeInfo!B314,ref_Unit_Balance!$B$31:$B$1048576,0))*(D314-1)</f>
        <v>2570</v>
      </c>
      <c r="G314" s="5">
        <f>INDEX(ref_Unit_Balance!$R$31:$R$106,MATCH(UnitGradeInfo!B314,ref_Unit_Balance!$B$31:$B$1048576,0))
+
INDEX(ref_Unit_Balance!$AA$31:$AA$106,MATCH(UnitGradeInfo!B314,ref_Unit_Balance!$B$31:$B$1048576,0))*(D314-1)</f>
        <v>148</v>
      </c>
      <c r="H314" s="39">
        <f>IF(INDEX(Unitinfo!D:D,MATCH(UnitGradeInfo!B314,Unitinfo!A:A,0))=1,50,5)</f>
        <v>5</v>
      </c>
      <c r="I314" s="5">
        <f>IF(INDEX(ref_Unit_Balance!$T$31:$T$106,MATCH(UnitGradeInfo!B314,ref_Unit_Balance!$B$31:$B$1048576,0))=0,1,INDEX(ref_Unit_Balance!$T$31:$T$106,MATCH(UnitGradeInfo!B314,ref_Unit_Balance!$B$31:$B$1048576,0)))</f>
        <v>5</v>
      </c>
      <c r="J314" s="5">
        <f>INDEX(ref_Unit_Balance!$S$31:$S$106,MATCH(UnitGradeInfo!B314,ref_Unit_Balance!$B$31:$B$1048576,0))</f>
        <v>400</v>
      </c>
      <c r="K314" s="5">
        <v>0</v>
      </c>
      <c r="L314" s="5">
        <f>INDEX(ref_Unit_Balance!$I$31:$I$106,MATCH(UnitGradeInfo!B314,ref_Unit_Balance!$B$31:$B$1048576,0))</f>
        <v>4</v>
      </c>
      <c r="M314" s="5">
        <f t="shared" si="30"/>
        <v>12</v>
      </c>
      <c r="N314" s="5">
        <f t="shared" si="31"/>
        <v>120</v>
      </c>
      <c r="O314" s="5">
        <f>(INDEX(Unitinfo!I:I,MATCH(B314,Unitinfo!A:A,0))+1)*2</f>
        <v>4</v>
      </c>
      <c r="P314" s="5">
        <v>0</v>
      </c>
      <c r="Q314" s="5">
        <v>0</v>
      </c>
      <c r="R314" s="19" t="s">
        <v>121</v>
      </c>
      <c r="S314" s="19" t="s">
        <v>121</v>
      </c>
      <c r="T314" s="5">
        <f t="shared" si="32"/>
        <v>2014</v>
      </c>
      <c r="U314" s="5">
        <f t="shared" si="33"/>
        <v>1</v>
      </c>
      <c r="V314" s="5">
        <v>0</v>
      </c>
      <c r="W314" s="5">
        <v>10</v>
      </c>
    </row>
    <row r="315" spans="1:23">
      <c r="A315" s="5">
        <f t="shared" si="34"/>
        <v>312</v>
      </c>
      <c r="B315" s="93">
        <f t="shared" si="35"/>
        <v>2014</v>
      </c>
      <c r="C315" s="20" t="str">
        <f>INDEX(Unitinfo!C:C,MATCH(UnitGradeInfo!B315,Unitinfo!A:A,0))</f>
        <v>(근거리)Goblin_Baby</v>
      </c>
      <c r="D315" s="5">
        <f>COUNTIF($B$4:B315,B315)</f>
        <v>7</v>
      </c>
      <c r="E315" s="5">
        <f>ROUNDDOWN(INDEX(ref_Unit_Balance!$G$31:$G$106,MATCH(UnitGradeInfo!B315,ref_Unit_Balance!$B$31:$B$1048576,0))
+INDEX(ref_Unit_Balance!$G$20:$G$23,MATCH(IFERROR(INDEX(ref_Unit_Balance!$D$31:$D$1048576,MATCH(B315,ref_Unit_Balance!$B$31:$B$1048576,0)),0),ref_Unit_Balance!$B$20:$B$23,0))*D315*ref_Unit_Balance!$C$25,0)</f>
        <v>613</v>
      </c>
      <c r="F315" s="5">
        <f>INDEX(ref_Unit_Balance!$V$31:$V$106,MATCH(UnitGradeInfo!B315,ref_Unit_Balance!$B$31:$B$1048576,0))
+
INDEX(ref_Unit_Balance!$AB$31:$AB$106,MATCH(UnitGradeInfo!B315,ref_Unit_Balance!$B$31:$B$1048576,0))*(D315-1)</f>
        <v>2820</v>
      </c>
      <c r="G315" s="5">
        <f>INDEX(ref_Unit_Balance!$R$31:$R$106,MATCH(UnitGradeInfo!B315,ref_Unit_Balance!$B$31:$B$1048576,0))
+
INDEX(ref_Unit_Balance!$AA$31:$AA$106,MATCH(UnitGradeInfo!B315,ref_Unit_Balance!$B$31:$B$1048576,0))*(D315-1)</f>
        <v>152</v>
      </c>
      <c r="H315" s="39">
        <f>IF(INDEX(Unitinfo!D:D,MATCH(UnitGradeInfo!B315,Unitinfo!A:A,0))=1,50,5)</f>
        <v>5</v>
      </c>
      <c r="I315" s="5">
        <f>IF(INDEX(ref_Unit_Balance!$T$31:$T$106,MATCH(UnitGradeInfo!B315,ref_Unit_Balance!$B$31:$B$1048576,0))=0,1,INDEX(ref_Unit_Balance!$T$31:$T$106,MATCH(UnitGradeInfo!B315,ref_Unit_Balance!$B$31:$B$1048576,0)))</f>
        <v>5</v>
      </c>
      <c r="J315" s="5">
        <f>INDEX(ref_Unit_Balance!$S$31:$S$106,MATCH(UnitGradeInfo!B315,ref_Unit_Balance!$B$31:$B$1048576,0))</f>
        <v>400</v>
      </c>
      <c r="K315" s="5">
        <v>0</v>
      </c>
      <c r="L315" s="5">
        <f>INDEX(ref_Unit_Balance!$I$31:$I$106,MATCH(UnitGradeInfo!B315,ref_Unit_Balance!$B$31:$B$1048576,0))</f>
        <v>4</v>
      </c>
      <c r="M315" s="5">
        <f t="shared" si="30"/>
        <v>14</v>
      </c>
      <c r="N315" s="5">
        <f t="shared" si="31"/>
        <v>140</v>
      </c>
      <c r="O315" s="5">
        <f>(INDEX(Unitinfo!I:I,MATCH(B315,Unitinfo!A:A,0))+1)*2</f>
        <v>4</v>
      </c>
      <c r="P315" s="5">
        <v>0</v>
      </c>
      <c r="Q315" s="5">
        <v>0</v>
      </c>
      <c r="R315" s="19" t="s">
        <v>121</v>
      </c>
      <c r="S315" s="19" t="s">
        <v>121</v>
      </c>
      <c r="T315" s="5">
        <f t="shared" si="32"/>
        <v>2014</v>
      </c>
      <c r="U315" s="5">
        <f t="shared" si="33"/>
        <v>1</v>
      </c>
      <c r="V315" s="5">
        <v>0</v>
      </c>
      <c r="W315" s="5">
        <v>10</v>
      </c>
    </row>
    <row r="316" spans="1:23">
      <c r="A316" s="5">
        <f t="shared" si="34"/>
        <v>313</v>
      </c>
      <c r="B316" s="93">
        <f t="shared" si="35"/>
        <v>2014</v>
      </c>
      <c r="C316" s="20" t="str">
        <f>INDEX(Unitinfo!C:C,MATCH(UnitGradeInfo!B316,Unitinfo!A:A,0))</f>
        <v>(근거리)Goblin_Baby</v>
      </c>
      <c r="D316" s="5">
        <f>COUNTIF($B$4:B316,B316)</f>
        <v>8</v>
      </c>
      <c r="E316" s="5">
        <f>ROUNDDOWN(INDEX(ref_Unit_Balance!$G$31:$G$106,MATCH(UnitGradeInfo!B316,ref_Unit_Balance!$B$31:$B$1048576,0))
+INDEX(ref_Unit_Balance!$G$20:$G$23,MATCH(IFERROR(INDEX(ref_Unit_Balance!$D$31:$D$1048576,MATCH(B316,ref_Unit_Balance!$B$31:$B$1048576,0)),0),ref_Unit_Balance!$B$20:$B$23,0))*D316*ref_Unit_Balance!$C$25,0)</f>
        <v>676</v>
      </c>
      <c r="F316" s="5">
        <f>INDEX(ref_Unit_Balance!$V$31:$V$106,MATCH(UnitGradeInfo!B316,ref_Unit_Balance!$B$31:$B$1048576,0))
+
INDEX(ref_Unit_Balance!$AB$31:$AB$106,MATCH(UnitGradeInfo!B316,ref_Unit_Balance!$B$31:$B$1048576,0))*(D316-1)</f>
        <v>3070</v>
      </c>
      <c r="G316" s="5">
        <f>INDEX(ref_Unit_Balance!$R$31:$R$106,MATCH(UnitGradeInfo!B316,ref_Unit_Balance!$B$31:$B$1048576,0))
+
INDEX(ref_Unit_Balance!$AA$31:$AA$106,MATCH(UnitGradeInfo!B316,ref_Unit_Balance!$B$31:$B$1048576,0))*(D316-1)</f>
        <v>156</v>
      </c>
      <c r="H316" s="39">
        <f>IF(INDEX(Unitinfo!D:D,MATCH(UnitGradeInfo!B316,Unitinfo!A:A,0))=1,50,5)</f>
        <v>5</v>
      </c>
      <c r="I316" s="5">
        <f>IF(INDEX(ref_Unit_Balance!$T$31:$T$106,MATCH(UnitGradeInfo!B316,ref_Unit_Balance!$B$31:$B$1048576,0))=0,1,INDEX(ref_Unit_Balance!$T$31:$T$106,MATCH(UnitGradeInfo!B316,ref_Unit_Balance!$B$31:$B$1048576,0)))</f>
        <v>5</v>
      </c>
      <c r="J316" s="5">
        <f>INDEX(ref_Unit_Balance!$S$31:$S$106,MATCH(UnitGradeInfo!B316,ref_Unit_Balance!$B$31:$B$1048576,0))</f>
        <v>400</v>
      </c>
      <c r="K316" s="5">
        <v>0</v>
      </c>
      <c r="L316" s="5">
        <f>INDEX(ref_Unit_Balance!$I$31:$I$106,MATCH(UnitGradeInfo!B316,ref_Unit_Balance!$B$31:$B$1048576,0))</f>
        <v>4</v>
      </c>
      <c r="M316" s="5">
        <f t="shared" si="30"/>
        <v>16</v>
      </c>
      <c r="N316" s="5">
        <f t="shared" si="31"/>
        <v>160</v>
      </c>
      <c r="O316" s="5">
        <f>(INDEX(Unitinfo!I:I,MATCH(B316,Unitinfo!A:A,0))+1)*2</f>
        <v>4</v>
      </c>
      <c r="P316" s="5">
        <v>0</v>
      </c>
      <c r="Q316" s="5">
        <v>0</v>
      </c>
      <c r="R316" s="19" t="s">
        <v>121</v>
      </c>
      <c r="S316" s="19" t="s">
        <v>121</v>
      </c>
      <c r="T316" s="5">
        <f t="shared" si="32"/>
        <v>2014</v>
      </c>
      <c r="U316" s="5">
        <f t="shared" si="33"/>
        <v>1</v>
      </c>
      <c r="V316" s="5">
        <v>0</v>
      </c>
      <c r="W316" s="5">
        <v>10</v>
      </c>
    </row>
    <row r="317" spans="1:23">
      <c r="A317" s="5">
        <f t="shared" si="34"/>
        <v>314</v>
      </c>
      <c r="B317" s="93">
        <f t="shared" si="35"/>
        <v>2014</v>
      </c>
      <c r="C317" s="20" t="str">
        <f>INDEX(Unitinfo!C:C,MATCH(UnitGradeInfo!B317,Unitinfo!A:A,0))</f>
        <v>(근거리)Goblin_Baby</v>
      </c>
      <c r="D317" s="5">
        <f>COUNTIF($B$4:B317,B317)</f>
        <v>9</v>
      </c>
      <c r="E317" s="5">
        <f>ROUNDDOWN(INDEX(ref_Unit_Balance!$G$31:$G$106,MATCH(UnitGradeInfo!B317,ref_Unit_Balance!$B$31:$B$1048576,0))
+INDEX(ref_Unit_Balance!$G$20:$G$23,MATCH(IFERROR(INDEX(ref_Unit_Balance!$D$31:$D$1048576,MATCH(B317,ref_Unit_Balance!$B$31:$B$1048576,0)),0),ref_Unit_Balance!$B$20:$B$23,0))*D317*ref_Unit_Balance!$C$25,0)</f>
        <v>738</v>
      </c>
      <c r="F317" s="5">
        <f>INDEX(ref_Unit_Balance!$V$31:$V$106,MATCH(UnitGradeInfo!B317,ref_Unit_Balance!$B$31:$B$1048576,0))
+
INDEX(ref_Unit_Balance!$AB$31:$AB$106,MATCH(UnitGradeInfo!B317,ref_Unit_Balance!$B$31:$B$1048576,0))*(D317-1)</f>
        <v>3320</v>
      </c>
      <c r="G317" s="5">
        <f>INDEX(ref_Unit_Balance!$R$31:$R$106,MATCH(UnitGradeInfo!B317,ref_Unit_Balance!$B$31:$B$1048576,0))
+
INDEX(ref_Unit_Balance!$AA$31:$AA$106,MATCH(UnitGradeInfo!B317,ref_Unit_Balance!$B$31:$B$1048576,0))*(D317-1)</f>
        <v>160</v>
      </c>
      <c r="H317" s="39">
        <f>IF(INDEX(Unitinfo!D:D,MATCH(UnitGradeInfo!B317,Unitinfo!A:A,0))=1,50,5)</f>
        <v>5</v>
      </c>
      <c r="I317" s="5">
        <f>IF(INDEX(ref_Unit_Balance!$T$31:$T$106,MATCH(UnitGradeInfo!B317,ref_Unit_Balance!$B$31:$B$1048576,0))=0,1,INDEX(ref_Unit_Balance!$T$31:$T$106,MATCH(UnitGradeInfo!B317,ref_Unit_Balance!$B$31:$B$1048576,0)))</f>
        <v>5</v>
      </c>
      <c r="J317" s="5">
        <f>INDEX(ref_Unit_Balance!$S$31:$S$106,MATCH(UnitGradeInfo!B317,ref_Unit_Balance!$B$31:$B$1048576,0))</f>
        <v>400</v>
      </c>
      <c r="K317" s="5">
        <v>0</v>
      </c>
      <c r="L317" s="5">
        <f>INDEX(ref_Unit_Balance!$I$31:$I$106,MATCH(UnitGradeInfo!B317,ref_Unit_Balance!$B$31:$B$1048576,0))</f>
        <v>4</v>
      </c>
      <c r="M317" s="5">
        <f t="shared" si="30"/>
        <v>18</v>
      </c>
      <c r="N317" s="5">
        <f t="shared" si="31"/>
        <v>180</v>
      </c>
      <c r="O317" s="5">
        <f>(INDEX(Unitinfo!I:I,MATCH(B317,Unitinfo!A:A,0))+1)*2</f>
        <v>4</v>
      </c>
      <c r="P317" s="5">
        <v>0</v>
      </c>
      <c r="Q317" s="5">
        <v>0</v>
      </c>
      <c r="R317" s="19" t="s">
        <v>121</v>
      </c>
      <c r="S317" s="19" t="s">
        <v>121</v>
      </c>
      <c r="T317" s="5">
        <f t="shared" si="32"/>
        <v>2014</v>
      </c>
      <c r="U317" s="5">
        <f t="shared" si="33"/>
        <v>1</v>
      </c>
      <c r="V317" s="5">
        <v>0</v>
      </c>
      <c r="W317" s="5">
        <v>10</v>
      </c>
    </row>
    <row r="318" spans="1:23">
      <c r="A318" s="5">
        <f t="shared" si="34"/>
        <v>315</v>
      </c>
      <c r="B318" s="93">
        <f t="shared" si="35"/>
        <v>2014</v>
      </c>
      <c r="C318" s="20" t="str">
        <f>INDEX(Unitinfo!C:C,MATCH(UnitGradeInfo!B318,Unitinfo!A:A,0))</f>
        <v>(근거리)Goblin_Baby</v>
      </c>
      <c r="D318" s="5">
        <f>COUNTIF($B$4:B318,B318)</f>
        <v>10</v>
      </c>
      <c r="E318" s="5">
        <f>ROUNDDOWN(INDEX(ref_Unit_Balance!$G$31:$G$106,MATCH(UnitGradeInfo!B318,ref_Unit_Balance!$B$31:$B$1048576,0))
+INDEX(ref_Unit_Balance!$G$20:$G$23,MATCH(IFERROR(INDEX(ref_Unit_Balance!$D$31:$D$1048576,MATCH(B318,ref_Unit_Balance!$B$31:$B$1048576,0)),0),ref_Unit_Balance!$B$20:$B$23,0))*D318*ref_Unit_Balance!$C$25,0)</f>
        <v>801</v>
      </c>
      <c r="F318" s="5">
        <f>INDEX(ref_Unit_Balance!$V$31:$V$106,MATCH(UnitGradeInfo!B318,ref_Unit_Balance!$B$31:$B$1048576,0))
+
INDEX(ref_Unit_Balance!$AB$31:$AB$106,MATCH(UnitGradeInfo!B318,ref_Unit_Balance!$B$31:$B$1048576,0))*(D318-1)</f>
        <v>3570</v>
      </c>
      <c r="G318" s="5">
        <f>INDEX(ref_Unit_Balance!$R$31:$R$106,MATCH(UnitGradeInfo!B318,ref_Unit_Balance!$B$31:$B$1048576,0))
+
INDEX(ref_Unit_Balance!$AA$31:$AA$106,MATCH(UnitGradeInfo!B318,ref_Unit_Balance!$B$31:$B$1048576,0))*(D318-1)</f>
        <v>164</v>
      </c>
      <c r="H318" s="39">
        <f>IF(INDEX(Unitinfo!D:D,MATCH(UnitGradeInfo!B318,Unitinfo!A:A,0))=1,50,5)</f>
        <v>5</v>
      </c>
      <c r="I318" s="5">
        <f>IF(INDEX(ref_Unit_Balance!$T$31:$T$106,MATCH(UnitGradeInfo!B318,ref_Unit_Balance!$B$31:$B$1048576,0))=0,1,INDEX(ref_Unit_Balance!$T$31:$T$106,MATCH(UnitGradeInfo!B318,ref_Unit_Balance!$B$31:$B$1048576,0)))</f>
        <v>5</v>
      </c>
      <c r="J318" s="5">
        <f>INDEX(ref_Unit_Balance!$S$31:$S$106,MATCH(UnitGradeInfo!B318,ref_Unit_Balance!$B$31:$B$1048576,0))</f>
        <v>400</v>
      </c>
      <c r="K318" s="5">
        <v>0</v>
      </c>
      <c r="L318" s="5">
        <f>INDEX(ref_Unit_Balance!$I$31:$I$106,MATCH(UnitGradeInfo!B318,ref_Unit_Balance!$B$31:$B$1048576,0))</f>
        <v>4</v>
      </c>
      <c r="M318" s="5">
        <f t="shared" si="30"/>
        <v>20</v>
      </c>
      <c r="N318" s="5">
        <f t="shared" si="31"/>
        <v>200</v>
      </c>
      <c r="O318" s="5">
        <f>(INDEX(Unitinfo!I:I,MATCH(B318,Unitinfo!A:A,0))+1)*2</f>
        <v>4</v>
      </c>
      <c r="P318" s="5">
        <v>0</v>
      </c>
      <c r="Q318" s="5">
        <v>0</v>
      </c>
      <c r="R318" s="19" t="s">
        <v>121</v>
      </c>
      <c r="S318" s="19" t="s">
        <v>121</v>
      </c>
      <c r="T318" s="5">
        <f t="shared" si="32"/>
        <v>2014</v>
      </c>
      <c r="U318" s="5">
        <f t="shared" si="33"/>
        <v>1</v>
      </c>
      <c r="V318" s="5">
        <v>0</v>
      </c>
      <c r="W318" s="5">
        <v>10</v>
      </c>
    </row>
    <row r="319" spans="1:23">
      <c r="A319" s="5">
        <f t="shared" si="34"/>
        <v>316</v>
      </c>
      <c r="B319" s="93">
        <f t="shared" si="35"/>
        <v>2014</v>
      </c>
      <c r="C319" s="20" t="str">
        <f>INDEX(Unitinfo!C:C,MATCH(UnitGradeInfo!B319,Unitinfo!A:A,0))</f>
        <v>(근거리)Goblin_Baby</v>
      </c>
      <c r="D319" s="5">
        <f>COUNTIF($B$4:B319,B319)</f>
        <v>11</v>
      </c>
      <c r="E319" s="5">
        <f>ROUNDDOWN(INDEX(ref_Unit_Balance!$G$31:$G$106,MATCH(UnitGradeInfo!B319,ref_Unit_Balance!$B$31:$B$1048576,0))
+INDEX(ref_Unit_Balance!$G$20:$G$23,MATCH(IFERROR(INDEX(ref_Unit_Balance!$D$31:$D$1048576,MATCH(B319,ref_Unit_Balance!$B$31:$B$1048576,0)),0),ref_Unit_Balance!$B$20:$B$23,0))*D319*ref_Unit_Balance!$C$25,0)</f>
        <v>863</v>
      </c>
      <c r="F319" s="5">
        <f>INDEX(ref_Unit_Balance!$V$31:$V$106,MATCH(UnitGradeInfo!B319,ref_Unit_Balance!$B$31:$B$1048576,0))
+
INDEX(ref_Unit_Balance!$AB$31:$AB$106,MATCH(UnitGradeInfo!B319,ref_Unit_Balance!$B$31:$B$1048576,0))*(D319-1)</f>
        <v>3820</v>
      </c>
      <c r="G319" s="5">
        <f>INDEX(ref_Unit_Balance!$R$31:$R$106,MATCH(UnitGradeInfo!B319,ref_Unit_Balance!$B$31:$B$1048576,0))
+
INDEX(ref_Unit_Balance!$AA$31:$AA$106,MATCH(UnitGradeInfo!B319,ref_Unit_Balance!$B$31:$B$1048576,0))*(D319-1)</f>
        <v>168</v>
      </c>
      <c r="H319" s="39">
        <f>IF(INDEX(Unitinfo!D:D,MATCH(UnitGradeInfo!B319,Unitinfo!A:A,0))=1,50,5)</f>
        <v>5</v>
      </c>
      <c r="I319" s="5">
        <f>IF(INDEX(ref_Unit_Balance!$T$31:$T$106,MATCH(UnitGradeInfo!B319,ref_Unit_Balance!$B$31:$B$1048576,0))=0,1,INDEX(ref_Unit_Balance!$T$31:$T$106,MATCH(UnitGradeInfo!B319,ref_Unit_Balance!$B$31:$B$1048576,0)))</f>
        <v>5</v>
      </c>
      <c r="J319" s="5">
        <f>INDEX(ref_Unit_Balance!$S$31:$S$106,MATCH(UnitGradeInfo!B319,ref_Unit_Balance!$B$31:$B$1048576,0))</f>
        <v>400</v>
      </c>
      <c r="K319" s="5">
        <v>0</v>
      </c>
      <c r="L319" s="5">
        <f>INDEX(ref_Unit_Balance!$I$31:$I$106,MATCH(UnitGradeInfo!B319,ref_Unit_Balance!$B$31:$B$1048576,0))</f>
        <v>4</v>
      </c>
      <c r="M319" s="5">
        <f t="shared" si="30"/>
        <v>22</v>
      </c>
      <c r="N319" s="5">
        <f t="shared" si="31"/>
        <v>220</v>
      </c>
      <c r="O319" s="5">
        <f>(INDEX(Unitinfo!I:I,MATCH(B319,Unitinfo!A:A,0))+1)*2</f>
        <v>4</v>
      </c>
      <c r="P319" s="5">
        <v>0</v>
      </c>
      <c r="Q319" s="5">
        <v>0</v>
      </c>
      <c r="R319" s="19" t="s">
        <v>121</v>
      </c>
      <c r="S319" s="19" t="s">
        <v>121</v>
      </c>
      <c r="T319" s="5">
        <f t="shared" si="32"/>
        <v>2014</v>
      </c>
      <c r="U319" s="5">
        <f t="shared" si="33"/>
        <v>1</v>
      </c>
      <c r="V319" s="5">
        <v>0</v>
      </c>
      <c r="W319" s="5">
        <v>10</v>
      </c>
    </row>
    <row r="320" spans="1:23">
      <c r="A320" s="5">
        <f t="shared" si="34"/>
        <v>317</v>
      </c>
      <c r="B320" s="93">
        <f t="shared" si="35"/>
        <v>2014</v>
      </c>
      <c r="C320" s="20" t="str">
        <f>INDEX(Unitinfo!C:C,MATCH(UnitGradeInfo!B320,Unitinfo!A:A,0))</f>
        <v>(근거리)Goblin_Baby</v>
      </c>
      <c r="D320" s="5">
        <f>COUNTIF($B$4:B320,B320)</f>
        <v>12</v>
      </c>
      <c r="E320" s="5">
        <f>ROUNDDOWN(INDEX(ref_Unit_Balance!$G$31:$G$106,MATCH(UnitGradeInfo!B320,ref_Unit_Balance!$B$31:$B$1048576,0))
+INDEX(ref_Unit_Balance!$G$20:$G$23,MATCH(IFERROR(INDEX(ref_Unit_Balance!$D$31:$D$1048576,MATCH(B320,ref_Unit_Balance!$B$31:$B$1048576,0)),0),ref_Unit_Balance!$B$20:$B$23,0))*D320*ref_Unit_Balance!$C$25,0)</f>
        <v>926</v>
      </c>
      <c r="F320" s="5">
        <f>INDEX(ref_Unit_Balance!$V$31:$V$106,MATCH(UnitGradeInfo!B320,ref_Unit_Balance!$B$31:$B$1048576,0))
+
INDEX(ref_Unit_Balance!$AB$31:$AB$106,MATCH(UnitGradeInfo!B320,ref_Unit_Balance!$B$31:$B$1048576,0))*(D320-1)</f>
        <v>4070</v>
      </c>
      <c r="G320" s="5">
        <f>INDEX(ref_Unit_Balance!$R$31:$R$106,MATCH(UnitGradeInfo!B320,ref_Unit_Balance!$B$31:$B$1048576,0))
+
INDEX(ref_Unit_Balance!$AA$31:$AA$106,MATCH(UnitGradeInfo!B320,ref_Unit_Balance!$B$31:$B$1048576,0))*(D320-1)</f>
        <v>172</v>
      </c>
      <c r="H320" s="39">
        <f>IF(INDEX(Unitinfo!D:D,MATCH(UnitGradeInfo!B320,Unitinfo!A:A,0))=1,50,5)</f>
        <v>5</v>
      </c>
      <c r="I320" s="5">
        <f>IF(INDEX(ref_Unit_Balance!$T$31:$T$106,MATCH(UnitGradeInfo!B320,ref_Unit_Balance!$B$31:$B$1048576,0))=0,1,INDEX(ref_Unit_Balance!$T$31:$T$106,MATCH(UnitGradeInfo!B320,ref_Unit_Balance!$B$31:$B$1048576,0)))</f>
        <v>5</v>
      </c>
      <c r="J320" s="5">
        <f>INDEX(ref_Unit_Balance!$S$31:$S$106,MATCH(UnitGradeInfo!B320,ref_Unit_Balance!$B$31:$B$1048576,0))</f>
        <v>400</v>
      </c>
      <c r="K320" s="5">
        <v>0</v>
      </c>
      <c r="L320" s="5">
        <f>INDEX(ref_Unit_Balance!$I$31:$I$106,MATCH(UnitGradeInfo!B320,ref_Unit_Balance!$B$31:$B$1048576,0))</f>
        <v>4</v>
      </c>
      <c r="M320" s="5">
        <f t="shared" si="30"/>
        <v>24</v>
      </c>
      <c r="N320" s="5">
        <f t="shared" si="31"/>
        <v>240</v>
      </c>
      <c r="O320" s="5">
        <f>(INDEX(Unitinfo!I:I,MATCH(B320,Unitinfo!A:A,0))+1)*2</f>
        <v>4</v>
      </c>
      <c r="P320" s="5">
        <v>0</v>
      </c>
      <c r="Q320" s="5">
        <v>0</v>
      </c>
      <c r="R320" s="19" t="s">
        <v>121</v>
      </c>
      <c r="S320" s="19" t="s">
        <v>121</v>
      </c>
      <c r="T320" s="5">
        <f t="shared" ref="T320:T329" si="36">B320</f>
        <v>2014</v>
      </c>
      <c r="U320" s="5">
        <f t="shared" ref="U320:U329" si="37">IF(B320&gt;10000,0,1)</f>
        <v>1</v>
      </c>
      <c r="V320" s="5">
        <v>0</v>
      </c>
      <c r="W320" s="5">
        <v>10</v>
      </c>
    </row>
    <row r="321" spans="1:23">
      <c r="A321" s="5">
        <f t="shared" si="34"/>
        <v>318</v>
      </c>
      <c r="B321" s="93">
        <f t="shared" si="35"/>
        <v>2014</v>
      </c>
      <c r="C321" s="20" t="str">
        <f>INDEX(Unitinfo!C:C,MATCH(UnitGradeInfo!B321,Unitinfo!A:A,0))</f>
        <v>(근거리)Goblin_Baby</v>
      </c>
      <c r="D321" s="5">
        <f>COUNTIF($B$4:B321,B321)</f>
        <v>13</v>
      </c>
      <c r="E321" s="5">
        <f>ROUNDDOWN(INDEX(ref_Unit_Balance!$G$31:$G$106,MATCH(UnitGradeInfo!B321,ref_Unit_Balance!$B$31:$B$1048576,0))
+INDEX(ref_Unit_Balance!$G$20:$G$23,MATCH(IFERROR(INDEX(ref_Unit_Balance!$D$31:$D$1048576,MATCH(B321,ref_Unit_Balance!$B$31:$B$1048576,0)),0),ref_Unit_Balance!$B$20:$B$23,0))*D321*ref_Unit_Balance!$C$25,0)</f>
        <v>988</v>
      </c>
      <c r="F321" s="5">
        <f>INDEX(ref_Unit_Balance!$V$31:$V$106,MATCH(UnitGradeInfo!B321,ref_Unit_Balance!$B$31:$B$1048576,0))
+
INDEX(ref_Unit_Balance!$AB$31:$AB$106,MATCH(UnitGradeInfo!B321,ref_Unit_Balance!$B$31:$B$1048576,0))*(D321-1)</f>
        <v>4320</v>
      </c>
      <c r="G321" s="5">
        <f>INDEX(ref_Unit_Balance!$R$31:$R$106,MATCH(UnitGradeInfo!B321,ref_Unit_Balance!$B$31:$B$1048576,0))
+
INDEX(ref_Unit_Balance!$AA$31:$AA$106,MATCH(UnitGradeInfo!B321,ref_Unit_Balance!$B$31:$B$1048576,0))*(D321-1)</f>
        <v>176</v>
      </c>
      <c r="H321" s="39">
        <f>IF(INDEX(Unitinfo!D:D,MATCH(UnitGradeInfo!B321,Unitinfo!A:A,0))=1,50,5)</f>
        <v>5</v>
      </c>
      <c r="I321" s="5">
        <f>IF(INDEX(ref_Unit_Balance!$T$31:$T$106,MATCH(UnitGradeInfo!B321,ref_Unit_Balance!$B$31:$B$1048576,0))=0,1,INDEX(ref_Unit_Balance!$T$31:$T$106,MATCH(UnitGradeInfo!B321,ref_Unit_Balance!$B$31:$B$1048576,0)))</f>
        <v>5</v>
      </c>
      <c r="J321" s="5">
        <f>INDEX(ref_Unit_Balance!$S$31:$S$106,MATCH(UnitGradeInfo!B321,ref_Unit_Balance!$B$31:$B$1048576,0))</f>
        <v>400</v>
      </c>
      <c r="K321" s="5">
        <v>0</v>
      </c>
      <c r="L321" s="5">
        <f>INDEX(ref_Unit_Balance!$I$31:$I$106,MATCH(UnitGradeInfo!B321,ref_Unit_Balance!$B$31:$B$1048576,0))</f>
        <v>4</v>
      </c>
      <c r="M321" s="5">
        <f t="shared" si="30"/>
        <v>26</v>
      </c>
      <c r="N321" s="5">
        <f t="shared" si="31"/>
        <v>260</v>
      </c>
      <c r="O321" s="5">
        <f>(INDEX(Unitinfo!I:I,MATCH(B321,Unitinfo!A:A,0))+1)*2</f>
        <v>4</v>
      </c>
      <c r="P321" s="5">
        <v>0</v>
      </c>
      <c r="Q321" s="5">
        <v>0</v>
      </c>
      <c r="R321" s="19" t="s">
        <v>121</v>
      </c>
      <c r="S321" s="19" t="s">
        <v>121</v>
      </c>
      <c r="T321" s="5">
        <f t="shared" si="36"/>
        <v>2014</v>
      </c>
      <c r="U321" s="5">
        <f t="shared" si="37"/>
        <v>1</v>
      </c>
      <c r="V321" s="5">
        <v>0</v>
      </c>
      <c r="W321" s="5">
        <v>10</v>
      </c>
    </row>
    <row r="322" spans="1:23">
      <c r="A322" s="5">
        <f t="shared" si="34"/>
        <v>319</v>
      </c>
      <c r="B322" s="93">
        <f t="shared" si="35"/>
        <v>2014</v>
      </c>
      <c r="C322" s="20" t="str">
        <f>INDEX(Unitinfo!C:C,MATCH(UnitGradeInfo!B322,Unitinfo!A:A,0))</f>
        <v>(근거리)Goblin_Baby</v>
      </c>
      <c r="D322" s="5">
        <f>COUNTIF($B$4:B322,B322)</f>
        <v>14</v>
      </c>
      <c r="E322" s="5">
        <f>ROUNDDOWN(INDEX(ref_Unit_Balance!$G$31:$G$106,MATCH(UnitGradeInfo!B322,ref_Unit_Balance!$B$31:$B$1048576,0))
+INDEX(ref_Unit_Balance!$G$20:$G$23,MATCH(IFERROR(INDEX(ref_Unit_Balance!$D$31:$D$1048576,MATCH(B322,ref_Unit_Balance!$B$31:$B$1048576,0)),0),ref_Unit_Balance!$B$20:$B$23,0))*D322*ref_Unit_Balance!$C$25,0)</f>
        <v>1051</v>
      </c>
      <c r="F322" s="5">
        <f>INDEX(ref_Unit_Balance!$V$31:$V$106,MATCH(UnitGradeInfo!B322,ref_Unit_Balance!$B$31:$B$1048576,0))
+
INDEX(ref_Unit_Balance!$AB$31:$AB$106,MATCH(UnitGradeInfo!B322,ref_Unit_Balance!$B$31:$B$1048576,0))*(D322-1)</f>
        <v>4570</v>
      </c>
      <c r="G322" s="5">
        <f>INDEX(ref_Unit_Balance!$R$31:$R$106,MATCH(UnitGradeInfo!B322,ref_Unit_Balance!$B$31:$B$1048576,0))
+
INDEX(ref_Unit_Balance!$AA$31:$AA$106,MATCH(UnitGradeInfo!B322,ref_Unit_Balance!$B$31:$B$1048576,0))*(D322-1)</f>
        <v>180</v>
      </c>
      <c r="H322" s="39">
        <f>IF(INDEX(Unitinfo!D:D,MATCH(UnitGradeInfo!B322,Unitinfo!A:A,0))=1,50,5)</f>
        <v>5</v>
      </c>
      <c r="I322" s="5">
        <f>IF(INDEX(ref_Unit_Balance!$T$31:$T$106,MATCH(UnitGradeInfo!B322,ref_Unit_Balance!$B$31:$B$1048576,0))=0,1,INDEX(ref_Unit_Balance!$T$31:$T$106,MATCH(UnitGradeInfo!B322,ref_Unit_Balance!$B$31:$B$1048576,0)))</f>
        <v>5</v>
      </c>
      <c r="J322" s="5">
        <f>INDEX(ref_Unit_Balance!$S$31:$S$106,MATCH(UnitGradeInfo!B322,ref_Unit_Balance!$B$31:$B$1048576,0))</f>
        <v>400</v>
      </c>
      <c r="K322" s="5">
        <v>0</v>
      </c>
      <c r="L322" s="5">
        <f>INDEX(ref_Unit_Balance!$I$31:$I$106,MATCH(UnitGradeInfo!B322,ref_Unit_Balance!$B$31:$B$1048576,0))</f>
        <v>4</v>
      </c>
      <c r="M322" s="5">
        <f t="shared" si="30"/>
        <v>28</v>
      </c>
      <c r="N322" s="5">
        <f t="shared" si="31"/>
        <v>280</v>
      </c>
      <c r="O322" s="5">
        <f>(INDEX(Unitinfo!I:I,MATCH(B322,Unitinfo!A:A,0))+1)*2</f>
        <v>4</v>
      </c>
      <c r="P322" s="5">
        <v>0</v>
      </c>
      <c r="Q322" s="5">
        <v>0</v>
      </c>
      <c r="R322" s="19" t="s">
        <v>121</v>
      </c>
      <c r="S322" s="19" t="s">
        <v>121</v>
      </c>
      <c r="T322" s="5">
        <f t="shared" si="36"/>
        <v>2014</v>
      </c>
      <c r="U322" s="5">
        <f t="shared" si="37"/>
        <v>1</v>
      </c>
      <c r="V322" s="5">
        <v>0</v>
      </c>
      <c r="W322" s="5">
        <v>10</v>
      </c>
    </row>
    <row r="323" spans="1:23">
      <c r="A323" s="5">
        <f t="shared" si="34"/>
        <v>320</v>
      </c>
      <c r="B323" s="93">
        <f t="shared" si="35"/>
        <v>2014</v>
      </c>
      <c r="C323" s="20" t="str">
        <f>INDEX(Unitinfo!C:C,MATCH(UnitGradeInfo!B323,Unitinfo!A:A,0))</f>
        <v>(근거리)Goblin_Baby</v>
      </c>
      <c r="D323" s="5">
        <f>COUNTIF($B$4:B323,B323)</f>
        <v>15</v>
      </c>
      <c r="E323" s="5">
        <f>ROUNDDOWN(INDEX(ref_Unit_Balance!$G$31:$G$106,MATCH(UnitGradeInfo!B323,ref_Unit_Balance!$B$31:$B$1048576,0))
+INDEX(ref_Unit_Balance!$G$20:$G$23,MATCH(IFERROR(INDEX(ref_Unit_Balance!$D$31:$D$1048576,MATCH(B323,ref_Unit_Balance!$B$31:$B$1048576,0)),0),ref_Unit_Balance!$B$20:$B$23,0))*D323*ref_Unit_Balance!$C$25,0)</f>
        <v>1113</v>
      </c>
      <c r="F323" s="5">
        <f>INDEX(ref_Unit_Balance!$V$31:$V$106,MATCH(UnitGradeInfo!B323,ref_Unit_Balance!$B$31:$B$1048576,0))
+
INDEX(ref_Unit_Balance!$AB$31:$AB$106,MATCH(UnitGradeInfo!B323,ref_Unit_Balance!$B$31:$B$1048576,0))*(D323-1)</f>
        <v>4820</v>
      </c>
      <c r="G323" s="5">
        <f>INDEX(ref_Unit_Balance!$R$31:$R$106,MATCH(UnitGradeInfo!B323,ref_Unit_Balance!$B$31:$B$1048576,0))
+
INDEX(ref_Unit_Balance!$AA$31:$AA$106,MATCH(UnitGradeInfo!B323,ref_Unit_Balance!$B$31:$B$1048576,0))*(D323-1)</f>
        <v>184</v>
      </c>
      <c r="H323" s="39">
        <f>IF(INDEX(Unitinfo!D:D,MATCH(UnitGradeInfo!B323,Unitinfo!A:A,0))=1,50,5)</f>
        <v>5</v>
      </c>
      <c r="I323" s="5">
        <f>IF(INDEX(ref_Unit_Balance!$T$31:$T$106,MATCH(UnitGradeInfo!B323,ref_Unit_Balance!$B$31:$B$1048576,0))=0,1,INDEX(ref_Unit_Balance!$T$31:$T$106,MATCH(UnitGradeInfo!B323,ref_Unit_Balance!$B$31:$B$1048576,0)))</f>
        <v>5</v>
      </c>
      <c r="J323" s="5">
        <f>INDEX(ref_Unit_Balance!$S$31:$S$106,MATCH(UnitGradeInfo!B323,ref_Unit_Balance!$B$31:$B$1048576,0))</f>
        <v>400</v>
      </c>
      <c r="K323" s="5">
        <v>0</v>
      </c>
      <c r="L323" s="5">
        <f>INDEX(ref_Unit_Balance!$I$31:$I$106,MATCH(UnitGradeInfo!B323,ref_Unit_Balance!$B$31:$B$1048576,0))</f>
        <v>4</v>
      </c>
      <c r="M323" s="5">
        <f t="shared" si="30"/>
        <v>30</v>
      </c>
      <c r="N323" s="5">
        <f t="shared" si="31"/>
        <v>300</v>
      </c>
      <c r="O323" s="5">
        <f>(INDEX(Unitinfo!I:I,MATCH(B323,Unitinfo!A:A,0))+1)*2</f>
        <v>4</v>
      </c>
      <c r="P323" s="5">
        <v>0</v>
      </c>
      <c r="Q323" s="5">
        <v>0</v>
      </c>
      <c r="R323" s="19" t="s">
        <v>121</v>
      </c>
      <c r="S323" s="19" t="s">
        <v>121</v>
      </c>
      <c r="T323" s="5">
        <f t="shared" si="36"/>
        <v>2014</v>
      </c>
      <c r="U323" s="5">
        <f t="shared" si="37"/>
        <v>1</v>
      </c>
      <c r="V323" s="5">
        <v>0</v>
      </c>
      <c r="W323" s="5">
        <v>10</v>
      </c>
    </row>
    <row r="324" spans="1:23">
      <c r="A324" s="5">
        <f t="shared" si="34"/>
        <v>321</v>
      </c>
      <c r="B324" s="93">
        <f t="shared" si="35"/>
        <v>2014</v>
      </c>
      <c r="C324" s="20" t="str">
        <f>INDEX(Unitinfo!C:C,MATCH(UnitGradeInfo!B324,Unitinfo!A:A,0))</f>
        <v>(근거리)Goblin_Baby</v>
      </c>
      <c r="D324" s="5">
        <f>COUNTIF($B$4:B324,B324)</f>
        <v>16</v>
      </c>
      <c r="E324" s="5">
        <f>ROUNDDOWN(INDEX(ref_Unit_Balance!$G$31:$G$106,MATCH(UnitGradeInfo!B324,ref_Unit_Balance!$B$31:$B$1048576,0))
+INDEX(ref_Unit_Balance!$G$20:$G$23,MATCH(IFERROR(INDEX(ref_Unit_Balance!$D$31:$D$1048576,MATCH(B324,ref_Unit_Balance!$B$31:$B$1048576,0)),0),ref_Unit_Balance!$B$20:$B$23,0))*D324*ref_Unit_Balance!$C$25,0)</f>
        <v>1176</v>
      </c>
      <c r="F324" s="5">
        <f>INDEX(ref_Unit_Balance!$V$31:$V$106,MATCH(UnitGradeInfo!B324,ref_Unit_Balance!$B$31:$B$1048576,0))
+
INDEX(ref_Unit_Balance!$AB$31:$AB$106,MATCH(UnitGradeInfo!B324,ref_Unit_Balance!$B$31:$B$1048576,0))*(D324-1)</f>
        <v>5070</v>
      </c>
      <c r="G324" s="5">
        <f>INDEX(ref_Unit_Balance!$R$31:$R$106,MATCH(UnitGradeInfo!B324,ref_Unit_Balance!$B$31:$B$1048576,0))
+
INDEX(ref_Unit_Balance!$AA$31:$AA$106,MATCH(UnitGradeInfo!B324,ref_Unit_Balance!$B$31:$B$1048576,0))*(D324-1)</f>
        <v>188</v>
      </c>
      <c r="H324" s="39">
        <f>IF(INDEX(Unitinfo!D:D,MATCH(UnitGradeInfo!B324,Unitinfo!A:A,0))=1,50,5)</f>
        <v>5</v>
      </c>
      <c r="I324" s="5">
        <f>IF(INDEX(ref_Unit_Balance!$T$31:$T$106,MATCH(UnitGradeInfo!B324,ref_Unit_Balance!$B$31:$B$1048576,0))=0,1,INDEX(ref_Unit_Balance!$T$31:$T$106,MATCH(UnitGradeInfo!B324,ref_Unit_Balance!$B$31:$B$1048576,0)))</f>
        <v>5</v>
      </c>
      <c r="J324" s="5">
        <f>INDEX(ref_Unit_Balance!$S$31:$S$106,MATCH(UnitGradeInfo!B324,ref_Unit_Balance!$B$31:$B$1048576,0))</f>
        <v>400</v>
      </c>
      <c r="K324" s="5">
        <v>0</v>
      </c>
      <c r="L324" s="5">
        <f>INDEX(ref_Unit_Balance!$I$31:$I$106,MATCH(UnitGradeInfo!B324,ref_Unit_Balance!$B$31:$B$1048576,0))</f>
        <v>4</v>
      </c>
      <c r="M324" s="5">
        <f t="shared" si="30"/>
        <v>32</v>
      </c>
      <c r="N324" s="5">
        <f t="shared" si="31"/>
        <v>320</v>
      </c>
      <c r="O324" s="5">
        <f>(INDEX(Unitinfo!I:I,MATCH(B324,Unitinfo!A:A,0))+1)*2</f>
        <v>4</v>
      </c>
      <c r="P324" s="5">
        <v>0</v>
      </c>
      <c r="Q324" s="5">
        <v>0</v>
      </c>
      <c r="R324" s="19" t="s">
        <v>121</v>
      </c>
      <c r="S324" s="19" t="s">
        <v>121</v>
      </c>
      <c r="T324" s="5">
        <f t="shared" si="36"/>
        <v>2014</v>
      </c>
      <c r="U324" s="5">
        <f t="shared" si="37"/>
        <v>1</v>
      </c>
      <c r="V324" s="5">
        <v>0</v>
      </c>
      <c r="W324" s="5">
        <v>10</v>
      </c>
    </row>
    <row r="325" spans="1:23">
      <c r="A325" s="5">
        <f t="shared" si="34"/>
        <v>322</v>
      </c>
      <c r="B325" s="93">
        <f t="shared" si="35"/>
        <v>2014</v>
      </c>
      <c r="C325" s="20" t="str">
        <f>INDEX(Unitinfo!C:C,MATCH(UnitGradeInfo!B325,Unitinfo!A:A,0))</f>
        <v>(근거리)Goblin_Baby</v>
      </c>
      <c r="D325" s="5">
        <f>COUNTIF($B$4:B325,B325)</f>
        <v>17</v>
      </c>
      <c r="E325" s="5">
        <f>ROUNDDOWN(INDEX(ref_Unit_Balance!$G$31:$G$106,MATCH(UnitGradeInfo!B325,ref_Unit_Balance!$B$31:$B$1048576,0))
+INDEX(ref_Unit_Balance!$G$20:$G$23,MATCH(IFERROR(INDEX(ref_Unit_Balance!$D$31:$D$1048576,MATCH(B325,ref_Unit_Balance!$B$31:$B$1048576,0)),0),ref_Unit_Balance!$B$20:$B$23,0))*D325*ref_Unit_Balance!$C$25,0)</f>
        <v>1238</v>
      </c>
      <c r="F325" s="5">
        <f>INDEX(ref_Unit_Balance!$V$31:$V$106,MATCH(UnitGradeInfo!B325,ref_Unit_Balance!$B$31:$B$1048576,0))
+
INDEX(ref_Unit_Balance!$AB$31:$AB$106,MATCH(UnitGradeInfo!B325,ref_Unit_Balance!$B$31:$B$1048576,0))*(D325-1)</f>
        <v>5320</v>
      </c>
      <c r="G325" s="5">
        <f>INDEX(ref_Unit_Balance!$R$31:$R$106,MATCH(UnitGradeInfo!B325,ref_Unit_Balance!$B$31:$B$1048576,0))
+
INDEX(ref_Unit_Balance!$AA$31:$AA$106,MATCH(UnitGradeInfo!B325,ref_Unit_Balance!$B$31:$B$1048576,0))*(D325-1)</f>
        <v>192</v>
      </c>
      <c r="H325" s="39">
        <f>IF(INDEX(Unitinfo!D:D,MATCH(UnitGradeInfo!B325,Unitinfo!A:A,0))=1,50,5)</f>
        <v>5</v>
      </c>
      <c r="I325" s="5">
        <f>IF(INDEX(ref_Unit_Balance!$T$31:$T$106,MATCH(UnitGradeInfo!B325,ref_Unit_Balance!$B$31:$B$1048576,0))=0,1,INDEX(ref_Unit_Balance!$T$31:$T$106,MATCH(UnitGradeInfo!B325,ref_Unit_Balance!$B$31:$B$1048576,0)))</f>
        <v>5</v>
      </c>
      <c r="J325" s="5">
        <f>INDEX(ref_Unit_Balance!$S$31:$S$106,MATCH(UnitGradeInfo!B325,ref_Unit_Balance!$B$31:$B$1048576,0))</f>
        <v>400</v>
      </c>
      <c r="K325" s="5">
        <v>0</v>
      </c>
      <c r="L325" s="5">
        <f>INDEX(ref_Unit_Balance!$I$31:$I$106,MATCH(UnitGradeInfo!B325,ref_Unit_Balance!$B$31:$B$1048576,0))</f>
        <v>4</v>
      </c>
      <c r="M325" s="5">
        <f t="shared" ref="M325:M388" si="38">D325*2</f>
        <v>34</v>
      </c>
      <c r="N325" s="5">
        <f t="shared" ref="N325:N388" si="39">D325*20</f>
        <v>340</v>
      </c>
      <c r="O325" s="5">
        <f>(INDEX(Unitinfo!I:I,MATCH(B325,Unitinfo!A:A,0))+1)*2</f>
        <v>4</v>
      </c>
      <c r="P325" s="5">
        <v>0</v>
      </c>
      <c r="Q325" s="5">
        <v>0</v>
      </c>
      <c r="R325" s="19" t="s">
        <v>121</v>
      </c>
      <c r="S325" s="19" t="s">
        <v>121</v>
      </c>
      <c r="T325" s="5">
        <f t="shared" si="36"/>
        <v>2014</v>
      </c>
      <c r="U325" s="5">
        <f t="shared" si="37"/>
        <v>1</v>
      </c>
      <c r="V325" s="5">
        <v>0</v>
      </c>
      <c r="W325" s="5">
        <v>10</v>
      </c>
    </row>
    <row r="326" spans="1:23">
      <c r="A326" s="5">
        <f t="shared" si="34"/>
        <v>323</v>
      </c>
      <c r="B326" s="93">
        <f t="shared" si="35"/>
        <v>2014</v>
      </c>
      <c r="C326" s="20" t="str">
        <f>INDEX(Unitinfo!C:C,MATCH(UnitGradeInfo!B326,Unitinfo!A:A,0))</f>
        <v>(근거리)Goblin_Baby</v>
      </c>
      <c r="D326" s="5">
        <f>COUNTIF($B$4:B326,B326)</f>
        <v>18</v>
      </c>
      <c r="E326" s="5">
        <f>ROUNDDOWN(INDEX(ref_Unit_Balance!$G$31:$G$106,MATCH(UnitGradeInfo!B326,ref_Unit_Balance!$B$31:$B$1048576,0))
+INDEX(ref_Unit_Balance!$G$20:$G$23,MATCH(IFERROR(INDEX(ref_Unit_Balance!$D$31:$D$1048576,MATCH(B326,ref_Unit_Balance!$B$31:$B$1048576,0)),0),ref_Unit_Balance!$B$20:$B$23,0))*D326*ref_Unit_Balance!$C$25,0)</f>
        <v>1301</v>
      </c>
      <c r="F326" s="5">
        <f>INDEX(ref_Unit_Balance!$V$31:$V$106,MATCH(UnitGradeInfo!B326,ref_Unit_Balance!$B$31:$B$1048576,0))
+
INDEX(ref_Unit_Balance!$AB$31:$AB$106,MATCH(UnitGradeInfo!B326,ref_Unit_Balance!$B$31:$B$1048576,0))*(D326-1)</f>
        <v>5570</v>
      </c>
      <c r="G326" s="5">
        <f>INDEX(ref_Unit_Balance!$R$31:$R$106,MATCH(UnitGradeInfo!B326,ref_Unit_Balance!$B$31:$B$1048576,0))
+
INDEX(ref_Unit_Balance!$AA$31:$AA$106,MATCH(UnitGradeInfo!B326,ref_Unit_Balance!$B$31:$B$1048576,0))*(D326-1)</f>
        <v>196</v>
      </c>
      <c r="H326" s="39">
        <f>IF(INDEX(Unitinfo!D:D,MATCH(UnitGradeInfo!B326,Unitinfo!A:A,0))=1,50,5)</f>
        <v>5</v>
      </c>
      <c r="I326" s="5">
        <f>IF(INDEX(ref_Unit_Balance!$T$31:$T$106,MATCH(UnitGradeInfo!B326,ref_Unit_Balance!$B$31:$B$1048576,0))=0,1,INDEX(ref_Unit_Balance!$T$31:$T$106,MATCH(UnitGradeInfo!B326,ref_Unit_Balance!$B$31:$B$1048576,0)))</f>
        <v>5</v>
      </c>
      <c r="J326" s="5">
        <f>INDEX(ref_Unit_Balance!$S$31:$S$106,MATCH(UnitGradeInfo!B326,ref_Unit_Balance!$B$31:$B$1048576,0))</f>
        <v>400</v>
      </c>
      <c r="K326" s="5">
        <v>0</v>
      </c>
      <c r="L326" s="5">
        <f>INDEX(ref_Unit_Balance!$I$31:$I$106,MATCH(UnitGradeInfo!B326,ref_Unit_Balance!$B$31:$B$1048576,0))</f>
        <v>4</v>
      </c>
      <c r="M326" s="5">
        <f t="shared" si="38"/>
        <v>36</v>
      </c>
      <c r="N326" s="5">
        <f t="shared" si="39"/>
        <v>360</v>
      </c>
      <c r="O326" s="5">
        <f>(INDEX(Unitinfo!I:I,MATCH(B326,Unitinfo!A:A,0))+1)*2</f>
        <v>4</v>
      </c>
      <c r="P326" s="5">
        <v>0</v>
      </c>
      <c r="Q326" s="5">
        <v>0</v>
      </c>
      <c r="R326" s="19" t="s">
        <v>121</v>
      </c>
      <c r="S326" s="19" t="s">
        <v>121</v>
      </c>
      <c r="T326" s="5">
        <f t="shared" si="36"/>
        <v>2014</v>
      </c>
      <c r="U326" s="5">
        <f t="shared" si="37"/>
        <v>1</v>
      </c>
      <c r="V326" s="5">
        <v>0</v>
      </c>
      <c r="W326" s="5">
        <v>10</v>
      </c>
    </row>
    <row r="327" spans="1:23">
      <c r="A327" s="5">
        <f t="shared" si="34"/>
        <v>324</v>
      </c>
      <c r="B327" s="93">
        <f t="shared" si="35"/>
        <v>2014</v>
      </c>
      <c r="C327" s="20" t="str">
        <f>INDEX(Unitinfo!C:C,MATCH(UnitGradeInfo!B327,Unitinfo!A:A,0))</f>
        <v>(근거리)Goblin_Baby</v>
      </c>
      <c r="D327" s="5">
        <f>COUNTIF($B$4:B327,B327)</f>
        <v>19</v>
      </c>
      <c r="E327" s="5">
        <f>ROUNDDOWN(INDEX(ref_Unit_Balance!$G$31:$G$106,MATCH(UnitGradeInfo!B327,ref_Unit_Balance!$B$31:$B$1048576,0))
+INDEX(ref_Unit_Balance!$G$20:$G$23,MATCH(IFERROR(INDEX(ref_Unit_Balance!$D$31:$D$1048576,MATCH(B327,ref_Unit_Balance!$B$31:$B$1048576,0)),0),ref_Unit_Balance!$B$20:$B$23,0))*D327*ref_Unit_Balance!$C$25,0)</f>
        <v>1363</v>
      </c>
      <c r="F327" s="5">
        <f>INDEX(ref_Unit_Balance!$V$31:$V$106,MATCH(UnitGradeInfo!B327,ref_Unit_Balance!$B$31:$B$1048576,0))
+
INDEX(ref_Unit_Balance!$AB$31:$AB$106,MATCH(UnitGradeInfo!B327,ref_Unit_Balance!$B$31:$B$1048576,0))*(D327-1)</f>
        <v>5820</v>
      </c>
      <c r="G327" s="5">
        <f>INDEX(ref_Unit_Balance!$R$31:$R$106,MATCH(UnitGradeInfo!B327,ref_Unit_Balance!$B$31:$B$1048576,0))
+
INDEX(ref_Unit_Balance!$AA$31:$AA$106,MATCH(UnitGradeInfo!B327,ref_Unit_Balance!$B$31:$B$1048576,0))*(D327-1)</f>
        <v>200</v>
      </c>
      <c r="H327" s="39">
        <f>IF(INDEX(Unitinfo!D:D,MATCH(UnitGradeInfo!B327,Unitinfo!A:A,0))=1,50,5)</f>
        <v>5</v>
      </c>
      <c r="I327" s="5">
        <f>IF(INDEX(ref_Unit_Balance!$T$31:$T$106,MATCH(UnitGradeInfo!B327,ref_Unit_Balance!$B$31:$B$1048576,0))=0,1,INDEX(ref_Unit_Balance!$T$31:$T$106,MATCH(UnitGradeInfo!B327,ref_Unit_Balance!$B$31:$B$1048576,0)))</f>
        <v>5</v>
      </c>
      <c r="J327" s="5">
        <f>INDEX(ref_Unit_Balance!$S$31:$S$106,MATCH(UnitGradeInfo!B327,ref_Unit_Balance!$B$31:$B$1048576,0))</f>
        <v>400</v>
      </c>
      <c r="K327" s="5">
        <v>0</v>
      </c>
      <c r="L327" s="5">
        <f>INDEX(ref_Unit_Balance!$I$31:$I$106,MATCH(UnitGradeInfo!B327,ref_Unit_Balance!$B$31:$B$1048576,0))</f>
        <v>4</v>
      </c>
      <c r="M327" s="5">
        <f t="shared" si="38"/>
        <v>38</v>
      </c>
      <c r="N327" s="5">
        <f t="shared" si="39"/>
        <v>380</v>
      </c>
      <c r="O327" s="5">
        <f>(INDEX(Unitinfo!I:I,MATCH(B327,Unitinfo!A:A,0))+1)*2</f>
        <v>4</v>
      </c>
      <c r="P327" s="5">
        <v>0</v>
      </c>
      <c r="Q327" s="5">
        <v>0</v>
      </c>
      <c r="R327" s="19" t="s">
        <v>121</v>
      </c>
      <c r="S327" s="19" t="s">
        <v>121</v>
      </c>
      <c r="T327" s="5">
        <f t="shared" si="36"/>
        <v>2014</v>
      </c>
      <c r="U327" s="5">
        <f t="shared" si="37"/>
        <v>1</v>
      </c>
      <c r="V327" s="5">
        <v>0</v>
      </c>
      <c r="W327" s="5">
        <v>10</v>
      </c>
    </row>
    <row r="328" spans="1:23">
      <c r="A328" s="5">
        <f t="shared" si="34"/>
        <v>325</v>
      </c>
      <c r="B328" s="93">
        <f t="shared" si="35"/>
        <v>2014</v>
      </c>
      <c r="C328" s="20" t="str">
        <f>INDEX(Unitinfo!C:C,MATCH(UnitGradeInfo!B328,Unitinfo!A:A,0))</f>
        <v>(근거리)Goblin_Baby</v>
      </c>
      <c r="D328" s="5">
        <f>COUNTIF($B$4:B328,B328)</f>
        <v>20</v>
      </c>
      <c r="E328" s="5">
        <f>ROUNDDOWN(INDEX(ref_Unit_Balance!$G$31:$G$106,MATCH(UnitGradeInfo!B328,ref_Unit_Balance!$B$31:$B$1048576,0))
+INDEX(ref_Unit_Balance!$G$20:$G$23,MATCH(IFERROR(INDEX(ref_Unit_Balance!$D$31:$D$1048576,MATCH(B328,ref_Unit_Balance!$B$31:$B$1048576,0)),0),ref_Unit_Balance!$B$20:$B$23,0))*D328*ref_Unit_Balance!$C$25,0)</f>
        <v>1426</v>
      </c>
      <c r="F328" s="5">
        <f>INDEX(ref_Unit_Balance!$V$31:$V$106,MATCH(UnitGradeInfo!B328,ref_Unit_Balance!$B$31:$B$1048576,0))
+
INDEX(ref_Unit_Balance!$AB$31:$AB$106,MATCH(UnitGradeInfo!B328,ref_Unit_Balance!$B$31:$B$1048576,0))*(D328-1)</f>
        <v>6070</v>
      </c>
      <c r="G328" s="5">
        <f>INDEX(ref_Unit_Balance!$R$31:$R$106,MATCH(UnitGradeInfo!B328,ref_Unit_Balance!$B$31:$B$1048576,0))
+
INDEX(ref_Unit_Balance!$AA$31:$AA$106,MATCH(UnitGradeInfo!B328,ref_Unit_Balance!$B$31:$B$1048576,0))*(D328-1)</f>
        <v>204</v>
      </c>
      <c r="H328" s="39">
        <f>IF(INDEX(Unitinfo!D:D,MATCH(UnitGradeInfo!B328,Unitinfo!A:A,0))=1,50,5)</f>
        <v>5</v>
      </c>
      <c r="I328" s="5">
        <f>IF(INDEX(ref_Unit_Balance!$T$31:$T$106,MATCH(UnitGradeInfo!B328,ref_Unit_Balance!$B$31:$B$1048576,0))=0,1,INDEX(ref_Unit_Balance!$T$31:$T$106,MATCH(UnitGradeInfo!B328,ref_Unit_Balance!$B$31:$B$1048576,0)))</f>
        <v>5</v>
      </c>
      <c r="J328" s="5">
        <f>INDEX(ref_Unit_Balance!$S$31:$S$106,MATCH(UnitGradeInfo!B328,ref_Unit_Balance!$B$31:$B$1048576,0))</f>
        <v>400</v>
      </c>
      <c r="K328" s="5">
        <v>0</v>
      </c>
      <c r="L328" s="5">
        <f>INDEX(ref_Unit_Balance!$I$31:$I$106,MATCH(UnitGradeInfo!B328,ref_Unit_Balance!$B$31:$B$1048576,0))</f>
        <v>4</v>
      </c>
      <c r="M328" s="5">
        <f t="shared" si="38"/>
        <v>40</v>
      </c>
      <c r="N328" s="5">
        <f t="shared" si="39"/>
        <v>400</v>
      </c>
      <c r="O328" s="5">
        <f>(INDEX(Unitinfo!I:I,MATCH(B328,Unitinfo!A:A,0))+1)*2</f>
        <v>4</v>
      </c>
      <c r="P328" s="5">
        <v>0</v>
      </c>
      <c r="Q328" s="5">
        <v>0</v>
      </c>
      <c r="R328" s="19" t="s">
        <v>121</v>
      </c>
      <c r="S328" s="19" t="s">
        <v>121</v>
      </c>
      <c r="T328" s="5">
        <f t="shared" si="36"/>
        <v>2014</v>
      </c>
      <c r="U328" s="5">
        <f t="shared" si="37"/>
        <v>1</v>
      </c>
      <c r="V328" s="5">
        <v>0</v>
      </c>
      <c r="W328" s="5">
        <v>10</v>
      </c>
    </row>
    <row r="329" spans="1:23">
      <c r="A329" s="5">
        <f t="shared" si="34"/>
        <v>326</v>
      </c>
      <c r="B329" s="93">
        <f t="shared" si="35"/>
        <v>2015</v>
      </c>
      <c r="C329" s="20" t="str">
        <f>INDEX(Unitinfo!C:C,MATCH(UnitGradeInfo!B329,Unitinfo!A:A,0))</f>
        <v>(원거리)Orc_Stone</v>
      </c>
      <c r="D329" s="5">
        <f>COUNTIF($B$4:B329,B329)</f>
        <v>1</v>
      </c>
      <c r="E329" s="5">
        <f>ROUNDDOWN(INDEX(ref_Unit_Balance!$G$31:$G$106,MATCH(UnitGradeInfo!B329,ref_Unit_Balance!$B$31:$B$1048576,0))
+INDEX(ref_Unit_Balance!$G$20:$G$23,MATCH(IFERROR(INDEX(ref_Unit_Balance!$D$31:$D$1048576,MATCH(B329,ref_Unit_Balance!$B$31:$B$1048576,0)),0),ref_Unit_Balance!$B$20:$B$23,0))*D329*ref_Unit_Balance!$C$25,0)</f>
        <v>275</v>
      </c>
      <c r="F329" s="5">
        <f>INDEX(ref_Unit_Balance!$V$31:$V$106,MATCH(UnitGradeInfo!B329,ref_Unit_Balance!$B$31:$B$1048576,0))
+
INDEX(ref_Unit_Balance!$AB$31:$AB$106,MATCH(UnitGradeInfo!B329,ref_Unit_Balance!$B$31:$B$1048576,0))*(D329-1)</f>
        <v>3000</v>
      </c>
      <c r="G329" s="5">
        <f>INDEX(ref_Unit_Balance!$R$31:$R$106,MATCH(UnitGradeInfo!B329,ref_Unit_Balance!$B$31:$B$1048576,0))
+
INDEX(ref_Unit_Balance!$AA$31:$AA$106,MATCH(UnitGradeInfo!B329,ref_Unit_Balance!$B$31:$B$1048576,0))*(D329-1)</f>
        <v>320</v>
      </c>
      <c r="H329" s="39">
        <f>IF(INDEX(Unitinfo!D:D,MATCH(UnitGradeInfo!B329,Unitinfo!A:A,0))=1,50,5)</f>
        <v>50</v>
      </c>
      <c r="I329" s="5">
        <f>IF(INDEX(ref_Unit_Balance!$T$31:$T$106,MATCH(UnitGradeInfo!B329,ref_Unit_Balance!$B$31:$B$1048576,0))=0,1,INDEX(ref_Unit_Balance!$T$31:$T$106,MATCH(UnitGradeInfo!B329,ref_Unit_Balance!$B$31:$B$1048576,0)))</f>
        <v>5</v>
      </c>
      <c r="J329" s="5">
        <f>INDEX(ref_Unit_Balance!$S$31:$S$106,MATCH(UnitGradeInfo!B329,ref_Unit_Balance!$B$31:$B$1048576,0))</f>
        <v>1000</v>
      </c>
      <c r="K329" s="5">
        <v>0</v>
      </c>
      <c r="L329" s="5">
        <f>INDEX(ref_Unit_Balance!$I$31:$I$106,MATCH(UnitGradeInfo!B329,ref_Unit_Balance!$B$31:$B$1048576,0))</f>
        <v>2</v>
      </c>
      <c r="M329" s="5">
        <f t="shared" si="38"/>
        <v>2</v>
      </c>
      <c r="N329" s="5">
        <f t="shared" si="39"/>
        <v>20</v>
      </c>
      <c r="O329" s="5">
        <f>(INDEX(Unitinfo!I:I,MATCH(B329,Unitinfo!A:A,0))+1)*2</f>
        <v>6</v>
      </c>
      <c r="P329" s="5">
        <v>0</v>
      </c>
      <c r="Q329" s="5">
        <v>0</v>
      </c>
      <c r="R329" s="19" t="s">
        <v>121</v>
      </c>
      <c r="S329" s="19" t="s">
        <v>121</v>
      </c>
      <c r="T329" s="5">
        <f t="shared" si="36"/>
        <v>2015</v>
      </c>
      <c r="U329" s="5">
        <f t="shared" si="37"/>
        <v>1</v>
      </c>
      <c r="V329" s="5">
        <v>0</v>
      </c>
      <c r="W329" s="5">
        <v>10</v>
      </c>
    </row>
    <row r="330" spans="1:23">
      <c r="A330" s="5">
        <f t="shared" si="34"/>
        <v>327</v>
      </c>
      <c r="B330" s="93">
        <f t="shared" si="35"/>
        <v>2015</v>
      </c>
      <c r="C330" s="20" t="str">
        <f>INDEX(Unitinfo!C:C,MATCH(UnitGradeInfo!B330,Unitinfo!A:A,0))</f>
        <v>(원거리)Orc_Stone</v>
      </c>
      <c r="D330" s="5">
        <f>COUNTIF($B$4:B330,B330)</f>
        <v>2</v>
      </c>
      <c r="E330" s="5">
        <f>ROUNDDOWN(INDEX(ref_Unit_Balance!$G$31:$G$106,MATCH(UnitGradeInfo!B330,ref_Unit_Balance!$B$31:$B$1048576,0))
+INDEX(ref_Unit_Balance!$G$20:$G$23,MATCH(IFERROR(INDEX(ref_Unit_Balance!$D$31:$D$1048576,MATCH(B330,ref_Unit_Balance!$B$31:$B$1048576,0)),0),ref_Unit_Balance!$B$20:$B$23,0))*D330*ref_Unit_Balance!$C$25,0)</f>
        <v>350</v>
      </c>
      <c r="F330" s="5">
        <f>INDEX(ref_Unit_Balance!$V$31:$V$106,MATCH(UnitGradeInfo!B330,ref_Unit_Balance!$B$31:$B$1048576,0))
+
INDEX(ref_Unit_Balance!$AB$31:$AB$106,MATCH(UnitGradeInfo!B330,ref_Unit_Balance!$B$31:$B$1048576,0))*(D330-1)</f>
        <v>3300</v>
      </c>
      <c r="G330" s="5">
        <f>INDEX(ref_Unit_Balance!$R$31:$R$106,MATCH(UnitGradeInfo!B330,ref_Unit_Balance!$B$31:$B$1048576,0))
+
INDEX(ref_Unit_Balance!$AA$31:$AA$106,MATCH(UnitGradeInfo!B330,ref_Unit_Balance!$B$31:$B$1048576,0))*(D330-1)</f>
        <v>350</v>
      </c>
      <c r="H330" s="39">
        <f>IF(INDEX(Unitinfo!D:D,MATCH(UnitGradeInfo!B330,Unitinfo!A:A,0))=1,50,5)</f>
        <v>50</v>
      </c>
      <c r="I330" s="5">
        <f>IF(INDEX(ref_Unit_Balance!$T$31:$T$106,MATCH(UnitGradeInfo!B330,ref_Unit_Balance!$B$31:$B$1048576,0))=0,1,INDEX(ref_Unit_Balance!$T$31:$T$106,MATCH(UnitGradeInfo!B330,ref_Unit_Balance!$B$31:$B$1048576,0)))</f>
        <v>5</v>
      </c>
      <c r="J330" s="5">
        <f>INDEX(ref_Unit_Balance!$S$31:$S$106,MATCH(UnitGradeInfo!B330,ref_Unit_Balance!$B$31:$B$1048576,0))</f>
        <v>1000</v>
      </c>
      <c r="K330" s="5">
        <v>0</v>
      </c>
      <c r="L330" s="5">
        <f>INDEX(ref_Unit_Balance!$I$31:$I$106,MATCH(UnitGradeInfo!B330,ref_Unit_Balance!$B$31:$B$1048576,0))</f>
        <v>2</v>
      </c>
      <c r="M330" s="5">
        <f t="shared" si="38"/>
        <v>4</v>
      </c>
      <c r="N330" s="5">
        <f t="shared" si="39"/>
        <v>40</v>
      </c>
      <c r="O330" s="5">
        <f>(INDEX(Unitinfo!I:I,MATCH(B330,Unitinfo!A:A,0))+1)*2</f>
        <v>6</v>
      </c>
      <c r="P330" s="5">
        <v>0</v>
      </c>
      <c r="Q330" s="5">
        <v>0</v>
      </c>
      <c r="R330" s="19" t="s">
        <v>121</v>
      </c>
      <c r="S330" s="19" t="s">
        <v>121</v>
      </c>
      <c r="T330" s="5">
        <f t="shared" ref="T330:T368" si="40">B330</f>
        <v>2015</v>
      </c>
      <c r="U330" s="5">
        <f t="shared" ref="U330:U368" si="41">IF(B330&gt;10000,0,1)</f>
        <v>1</v>
      </c>
      <c r="V330" s="5">
        <v>0</v>
      </c>
      <c r="W330" s="5">
        <v>10</v>
      </c>
    </row>
    <row r="331" spans="1:23">
      <c r="A331" s="5">
        <f t="shared" si="34"/>
        <v>328</v>
      </c>
      <c r="B331" s="93">
        <f t="shared" si="35"/>
        <v>2015</v>
      </c>
      <c r="C331" s="20" t="str">
        <f>INDEX(Unitinfo!C:C,MATCH(UnitGradeInfo!B331,Unitinfo!A:A,0))</f>
        <v>(원거리)Orc_Stone</v>
      </c>
      <c r="D331" s="5">
        <f>COUNTIF($B$4:B331,B331)</f>
        <v>3</v>
      </c>
      <c r="E331" s="5">
        <f>ROUNDDOWN(INDEX(ref_Unit_Balance!$G$31:$G$106,MATCH(UnitGradeInfo!B331,ref_Unit_Balance!$B$31:$B$1048576,0))
+INDEX(ref_Unit_Balance!$G$20:$G$23,MATCH(IFERROR(INDEX(ref_Unit_Balance!$D$31:$D$1048576,MATCH(B331,ref_Unit_Balance!$B$31:$B$1048576,0)),0),ref_Unit_Balance!$B$20:$B$23,0))*D331*ref_Unit_Balance!$C$25,0)</f>
        <v>425</v>
      </c>
      <c r="F331" s="5">
        <f>INDEX(ref_Unit_Balance!$V$31:$V$106,MATCH(UnitGradeInfo!B331,ref_Unit_Balance!$B$31:$B$1048576,0))
+
INDEX(ref_Unit_Balance!$AB$31:$AB$106,MATCH(UnitGradeInfo!B331,ref_Unit_Balance!$B$31:$B$1048576,0))*(D331-1)</f>
        <v>3600</v>
      </c>
      <c r="G331" s="5">
        <f>INDEX(ref_Unit_Balance!$R$31:$R$106,MATCH(UnitGradeInfo!B331,ref_Unit_Balance!$B$31:$B$1048576,0))
+
INDEX(ref_Unit_Balance!$AA$31:$AA$106,MATCH(UnitGradeInfo!B331,ref_Unit_Balance!$B$31:$B$1048576,0))*(D331-1)</f>
        <v>380</v>
      </c>
      <c r="H331" s="39">
        <f>IF(INDEX(Unitinfo!D:D,MATCH(UnitGradeInfo!B331,Unitinfo!A:A,0))=1,50,5)</f>
        <v>50</v>
      </c>
      <c r="I331" s="5">
        <f>IF(INDEX(ref_Unit_Balance!$T$31:$T$106,MATCH(UnitGradeInfo!B331,ref_Unit_Balance!$B$31:$B$1048576,0))=0,1,INDEX(ref_Unit_Balance!$T$31:$T$106,MATCH(UnitGradeInfo!B331,ref_Unit_Balance!$B$31:$B$1048576,0)))</f>
        <v>5</v>
      </c>
      <c r="J331" s="5">
        <f>INDEX(ref_Unit_Balance!$S$31:$S$106,MATCH(UnitGradeInfo!B331,ref_Unit_Balance!$B$31:$B$1048576,0))</f>
        <v>1000</v>
      </c>
      <c r="K331" s="5">
        <v>0</v>
      </c>
      <c r="L331" s="5">
        <f>INDEX(ref_Unit_Balance!$I$31:$I$106,MATCH(UnitGradeInfo!B331,ref_Unit_Balance!$B$31:$B$1048576,0))</f>
        <v>2</v>
      </c>
      <c r="M331" s="5">
        <f t="shared" si="38"/>
        <v>6</v>
      </c>
      <c r="N331" s="5">
        <f t="shared" si="39"/>
        <v>60</v>
      </c>
      <c r="O331" s="5">
        <f>(INDEX(Unitinfo!I:I,MATCH(B331,Unitinfo!A:A,0))+1)*2</f>
        <v>6</v>
      </c>
      <c r="P331" s="5">
        <v>0</v>
      </c>
      <c r="Q331" s="5">
        <v>0</v>
      </c>
      <c r="R331" s="19" t="s">
        <v>121</v>
      </c>
      <c r="S331" s="19" t="s">
        <v>121</v>
      </c>
      <c r="T331" s="5">
        <f t="shared" si="40"/>
        <v>2015</v>
      </c>
      <c r="U331" s="5">
        <f t="shared" si="41"/>
        <v>1</v>
      </c>
      <c r="V331" s="5">
        <v>0</v>
      </c>
      <c r="W331" s="5">
        <v>10</v>
      </c>
    </row>
    <row r="332" spans="1:23">
      <c r="A332" s="5">
        <f t="shared" si="34"/>
        <v>329</v>
      </c>
      <c r="B332" s="93">
        <f t="shared" si="35"/>
        <v>2015</v>
      </c>
      <c r="C332" s="20" t="str">
        <f>INDEX(Unitinfo!C:C,MATCH(UnitGradeInfo!B332,Unitinfo!A:A,0))</f>
        <v>(원거리)Orc_Stone</v>
      </c>
      <c r="D332" s="5">
        <f>COUNTIF($B$4:B332,B332)</f>
        <v>4</v>
      </c>
      <c r="E332" s="5">
        <f>ROUNDDOWN(INDEX(ref_Unit_Balance!$G$31:$G$106,MATCH(UnitGradeInfo!B332,ref_Unit_Balance!$B$31:$B$1048576,0))
+INDEX(ref_Unit_Balance!$G$20:$G$23,MATCH(IFERROR(INDEX(ref_Unit_Balance!$D$31:$D$1048576,MATCH(B332,ref_Unit_Balance!$B$31:$B$1048576,0)),0),ref_Unit_Balance!$B$20:$B$23,0))*D332*ref_Unit_Balance!$C$25,0)</f>
        <v>500</v>
      </c>
      <c r="F332" s="5">
        <f>INDEX(ref_Unit_Balance!$V$31:$V$106,MATCH(UnitGradeInfo!B332,ref_Unit_Balance!$B$31:$B$1048576,0))
+
INDEX(ref_Unit_Balance!$AB$31:$AB$106,MATCH(UnitGradeInfo!B332,ref_Unit_Balance!$B$31:$B$1048576,0))*(D332-1)</f>
        <v>3900</v>
      </c>
      <c r="G332" s="5">
        <f>INDEX(ref_Unit_Balance!$R$31:$R$106,MATCH(UnitGradeInfo!B332,ref_Unit_Balance!$B$31:$B$1048576,0))
+
INDEX(ref_Unit_Balance!$AA$31:$AA$106,MATCH(UnitGradeInfo!B332,ref_Unit_Balance!$B$31:$B$1048576,0))*(D332-1)</f>
        <v>410</v>
      </c>
      <c r="H332" s="39">
        <f>IF(INDEX(Unitinfo!D:D,MATCH(UnitGradeInfo!B332,Unitinfo!A:A,0))=1,50,5)</f>
        <v>50</v>
      </c>
      <c r="I332" s="5">
        <f>IF(INDEX(ref_Unit_Balance!$T$31:$T$106,MATCH(UnitGradeInfo!B332,ref_Unit_Balance!$B$31:$B$1048576,0))=0,1,INDEX(ref_Unit_Balance!$T$31:$T$106,MATCH(UnitGradeInfo!B332,ref_Unit_Balance!$B$31:$B$1048576,0)))</f>
        <v>5</v>
      </c>
      <c r="J332" s="5">
        <f>INDEX(ref_Unit_Balance!$S$31:$S$106,MATCH(UnitGradeInfo!B332,ref_Unit_Balance!$B$31:$B$1048576,0))</f>
        <v>1000</v>
      </c>
      <c r="K332" s="5">
        <v>0</v>
      </c>
      <c r="L332" s="5">
        <f>INDEX(ref_Unit_Balance!$I$31:$I$106,MATCH(UnitGradeInfo!B332,ref_Unit_Balance!$B$31:$B$1048576,0))</f>
        <v>2</v>
      </c>
      <c r="M332" s="5">
        <f t="shared" si="38"/>
        <v>8</v>
      </c>
      <c r="N332" s="5">
        <f t="shared" si="39"/>
        <v>80</v>
      </c>
      <c r="O332" s="5">
        <f>(INDEX(Unitinfo!I:I,MATCH(B332,Unitinfo!A:A,0))+1)*2</f>
        <v>6</v>
      </c>
      <c r="P332" s="5">
        <v>0</v>
      </c>
      <c r="Q332" s="5">
        <v>0</v>
      </c>
      <c r="R332" s="19" t="s">
        <v>121</v>
      </c>
      <c r="S332" s="19" t="s">
        <v>121</v>
      </c>
      <c r="T332" s="5">
        <f t="shared" si="40"/>
        <v>2015</v>
      </c>
      <c r="U332" s="5">
        <f t="shared" si="41"/>
        <v>1</v>
      </c>
      <c r="V332" s="5">
        <v>0</v>
      </c>
      <c r="W332" s="5">
        <v>10</v>
      </c>
    </row>
    <row r="333" spans="1:23">
      <c r="A333" s="5">
        <f t="shared" si="34"/>
        <v>330</v>
      </c>
      <c r="B333" s="93">
        <f t="shared" si="35"/>
        <v>2015</v>
      </c>
      <c r="C333" s="20" t="str">
        <f>INDEX(Unitinfo!C:C,MATCH(UnitGradeInfo!B333,Unitinfo!A:A,0))</f>
        <v>(원거리)Orc_Stone</v>
      </c>
      <c r="D333" s="5">
        <f>COUNTIF($B$4:B333,B333)</f>
        <v>5</v>
      </c>
      <c r="E333" s="5">
        <f>ROUNDDOWN(INDEX(ref_Unit_Balance!$G$31:$G$106,MATCH(UnitGradeInfo!B333,ref_Unit_Balance!$B$31:$B$1048576,0))
+INDEX(ref_Unit_Balance!$G$20:$G$23,MATCH(IFERROR(INDEX(ref_Unit_Balance!$D$31:$D$1048576,MATCH(B333,ref_Unit_Balance!$B$31:$B$1048576,0)),0),ref_Unit_Balance!$B$20:$B$23,0))*D333*ref_Unit_Balance!$C$25,0)</f>
        <v>575</v>
      </c>
      <c r="F333" s="5">
        <f>INDEX(ref_Unit_Balance!$V$31:$V$106,MATCH(UnitGradeInfo!B333,ref_Unit_Balance!$B$31:$B$1048576,0))
+
INDEX(ref_Unit_Balance!$AB$31:$AB$106,MATCH(UnitGradeInfo!B333,ref_Unit_Balance!$B$31:$B$1048576,0))*(D333-1)</f>
        <v>4200</v>
      </c>
      <c r="G333" s="5">
        <f>INDEX(ref_Unit_Balance!$R$31:$R$106,MATCH(UnitGradeInfo!B333,ref_Unit_Balance!$B$31:$B$1048576,0))
+
INDEX(ref_Unit_Balance!$AA$31:$AA$106,MATCH(UnitGradeInfo!B333,ref_Unit_Balance!$B$31:$B$1048576,0))*(D333-1)</f>
        <v>440</v>
      </c>
      <c r="H333" s="39">
        <f>IF(INDEX(Unitinfo!D:D,MATCH(UnitGradeInfo!B333,Unitinfo!A:A,0))=1,50,5)</f>
        <v>50</v>
      </c>
      <c r="I333" s="5">
        <f>IF(INDEX(ref_Unit_Balance!$T$31:$T$106,MATCH(UnitGradeInfo!B333,ref_Unit_Balance!$B$31:$B$1048576,0))=0,1,INDEX(ref_Unit_Balance!$T$31:$T$106,MATCH(UnitGradeInfo!B333,ref_Unit_Balance!$B$31:$B$1048576,0)))</f>
        <v>5</v>
      </c>
      <c r="J333" s="5">
        <f>INDEX(ref_Unit_Balance!$S$31:$S$106,MATCH(UnitGradeInfo!B333,ref_Unit_Balance!$B$31:$B$1048576,0))</f>
        <v>1000</v>
      </c>
      <c r="K333" s="5">
        <v>0</v>
      </c>
      <c r="L333" s="5">
        <f>INDEX(ref_Unit_Balance!$I$31:$I$106,MATCH(UnitGradeInfo!B333,ref_Unit_Balance!$B$31:$B$1048576,0))</f>
        <v>2</v>
      </c>
      <c r="M333" s="5">
        <f t="shared" si="38"/>
        <v>10</v>
      </c>
      <c r="N333" s="5">
        <f t="shared" si="39"/>
        <v>100</v>
      </c>
      <c r="O333" s="5">
        <f>(INDEX(Unitinfo!I:I,MATCH(B333,Unitinfo!A:A,0))+1)*2</f>
        <v>6</v>
      </c>
      <c r="P333" s="5">
        <v>0</v>
      </c>
      <c r="Q333" s="5">
        <v>0</v>
      </c>
      <c r="R333" s="19" t="s">
        <v>121</v>
      </c>
      <c r="S333" s="19" t="s">
        <v>121</v>
      </c>
      <c r="T333" s="5">
        <f t="shared" si="40"/>
        <v>2015</v>
      </c>
      <c r="U333" s="5">
        <f t="shared" si="41"/>
        <v>1</v>
      </c>
      <c r="V333" s="5">
        <v>0</v>
      </c>
      <c r="W333" s="5">
        <v>10</v>
      </c>
    </row>
    <row r="334" spans="1:23">
      <c r="A334" s="5">
        <f t="shared" si="34"/>
        <v>331</v>
      </c>
      <c r="B334" s="93">
        <f t="shared" si="35"/>
        <v>2015</v>
      </c>
      <c r="C334" s="20" t="str">
        <f>INDEX(Unitinfo!C:C,MATCH(UnitGradeInfo!B334,Unitinfo!A:A,0))</f>
        <v>(원거리)Orc_Stone</v>
      </c>
      <c r="D334" s="5">
        <f>COUNTIF($B$4:B334,B334)</f>
        <v>6</v>
      </c>
      <c r="E334" s="5">
        <f>ROUNDDOWN(INDEX(ref_Unit_Balance!$G$31:$G$106,MATCH(UnitGradeInfo!B334,ref_Unit_Balance!$B$31:$B$1048576,0))
+INDEX(ref_Unit_Balance!$G$20:$G$23,MATCH(IFERROR(INDEX(ref_Unit_Balance!$D$31:$D$1048576,MATCH(B334,ref_Unit_Balance!$B$31:$B$1048576,0)),0),ref_Unit_Balance!$B$20:$B$23,0))*D334*ref_Unit_Balance!$C$25,0)</f>
        <v>650</v>
      </c>
      <c r="F334" s="5">
        <f>INDEX(ref_Unit_Balance!$V$31:$V$106,MATCH(UnitGradeInfo!B334,ref_Unit_Balance!$B$31:$B$1048576,0))
+
INDEX(ref_Unit_Balance!$AB$31:$AB$106,MATCH(UnitGradeInfo!B334,ref_Unit_Balance!$B$31:$B$1048576,0))*(D334-1)</f>
        <v>4500</v>
      </c>
      <c r="G334" s="5">
        <f>INDEX(ref_Unit_Balance!$R$31:$R$106,MATCH(UnitGradeInfo!B334,ref_Unit_Balance!$B$31:$B$1048576,0))
+
INDEX(ref_Unit_Balance!$AA$31:$AA$106,MATCH(UnitGradeInfo!B334,ref_Unit_Balance!$B$31:$B$1048576,0))*(D334-1)</f>
        <v>470</v>
      </c>
      <c r="H334" s="39">
        <f>IF(INDEX(Unitinfo!D:D,MATCH(UnitGradeInfo!B334,Unitinfo!A:A,0))=1,50,5)</f>
        <v>50</v>
      </c>
      <c r="I334" s="5">
        <f>IF(INDEX(ref_Unit_Balance!$T$31:$T$106,MATCH(UnitGradeInfo!B334,ref_Unit_Balance!$B$31:$B$1048576,0))=0,1,INDEX(ref_Unit_Balance!$T$31:$T$106,MATCH(UnitGradeInfo!B334,ref_Unit_Balance!$B$31:$B$1048576,0)))</f>
        <v>5</v>
      </c>
      <c r="J334" s="5">
        <f>INDEX(ref_Unit_Balance!$S$31:$S$106,MATCH(UnitGradeInfo!B334,ref_Unit_Balance!$B$31:$B$1048576,0))</f>
        <v>1000</v>
      </c>
      <c r="K334" s="5">
        <v>0</v>
      </c>
      <c r="L334" s="5">
        <f>INDEX(ref_Unit_Balance!$I$31:$I$106,MATCH(UnitGradeInfo!B334,ref_Unit_Balance!$B$31:$B$1048576,0))</f>
        <v>2</v>
      </c>
      <c r="M334" s="5">
        <f t="shared" si="38"/>
        <v>12</v>
      </c>
      <c r="N334" s="5">
        <f t="shared" si="39"/>
        <v>120</v>
      </c>
      <c r="O334" s="5">
        <f>(INDEX(Unitinfo!I:I,MATCH(B334,Unitinfo!A:A,0))+1)*2</f>
        <v>6</v>
      </c>
      <c r="P334" s="5">
        <v>0</v>
      </c>
      <c r="Q334" s="5">
        <v>0</v>
      </c>
      <c r="R334" s="19" t="s">
        <v>121</v>
      </c>
      <c r="S334" s="19" t="s">
        <v>121</v>
      </c>
      <c r="T334" s="5">
        <f t="shared" si="40"/>
        <v>2015</v>
      </c>
      <c r="U334" s="5">
        <f t="shared" si="41"/>
        <v>1</v>
      </c>
      <c r="V334" s="5">
        <v>0</v>
      </c>
      <c r="W334" s="5">
        <v>10</v>
      </c>
    </row>
    <row r="335" spans="1:23">
      <c r="A335" s="5">
        <f t="shared" si="34"/>
        <v>332</v>
      </c>
      <c r="B335" s="93">
        <f t="shared" si="35"/>
        <v>2015</v>
      </c>
      <c r="C335" s="20" t="str">
        <f>INDEX(Unitinfo!C:C,MATCH(UnitGradeInfo!B335,Unitinfo!A:A,0))</f>
        <v>(원거리)Orc_Stone</v>
      </c>
      <c r="D335" s="5">
        <f>COUNTIF($B$4:B335,B335)</f>
        <v>7</v>
      </c>
      <c r="E335" s="5">
        <f>ROUNDDOWN(INDEX(ref_Unit_Balance!$G$31:$G$106,MATCH(UnitGradeInfo!B335,ref_Unit_Balance!$B$31:$B$1048576,0))
+INDEX(ref_Unit_Balance!$G$20:$G$23,MATCH(IFERROR(INDEX(ref_Unit_Balance!$D$31:$D$1048576,MATCH(B335,ref_Unit_Balance!$B$31:$B$1048576,0)),0),ref_Unit_Balance!$B$20:$B$23,0))*D335*ref_Unit_Balance!$C$25,0)</f>
        <v>725</v>
      </c>
      <c r="F335" s="5">
        <f>INDEX(ref_Unit_Balance!$V$31:$V$106,MATCH(UnitGradeInfo!B335,ref_Unit_Balance!$B$31:$B$1048576,0))
+
INDEX(ref_Unit_Balance!$AB$31:$AB$106,MATCH(UnitGradeInfo!B335,ref_Unit_Balance!$B$31:$B$1048576,0))*(D335-1)</f>
        <v>4800</v>
      </c>
      <c r="G335" s="5">
        <f>INDEX(ref_Unit_Balance!$R$31:$R$106,MATCH(UnitGradeInfo!B335,ref_Unit_Balance!$B$31:$B$1048576,0))
+
INDEX(ref_Unit_Balance!$AA$31:$AA$106,MATCH(UnitGradeInfo!B335,ref_Unit_Balance!$B$31:$B$1048576,0))*(D335-1)</f>
        <v>500</v>
      </c>
      <c r="H335" s="39">
        <f>IF(INDEX(Unitinfo!D:D,MATCH(UnitGradeInfo!B335,Unitinfo!A:A,0))=1,50,5)</f>
        <v>50</v>
      </c>
      <c r="I335" s="5">
        <f>IF(INDEX(ref_Unit_Balance!$T$31:$T$106,MATCH(UnitGradeInfo!B335,ref_Unit_Balance!$B$31:$B$1048576,0))=0,1,INDEX(ref_Unit_Balance!$T$31:$T$106,MATCH(UnitGradeInfo!B335,ref_Unit_Balance!$B$31:$B$1048576,0)))</f>
        <v>5</v>
      </c>
      <c r="J335" s="5">
        <f>INDEX(ref_Unit_Balance!$S$31:$S$106,MATCH(UnitGradeInfo!B335,ref_Unit_Balance!$B$31:$B$1048576,0))</f>
        <v>1000</v>
      </c>
      <c r="K335" s="5">
        <v>0</v>
      </c>
      <c r="L335" s="5">
        <f>INDEX(ref_Unit_Balance!$I$31:$I$106,MATCH(UnitGradeInfo!B335,ref_Unit_Balance!$B$31:$B$1048576,0))</f>
        <v>2</v>
      </c>
      <c r="M335" s="5">
        <f t="shared" si="38"/>
        <v>14</v>
      </c>
      <c r="N335" s="5">
        <f t="shared" si="39"/>
        <v>140</v>
      </c>
      <c r="O335" s="5">
        <f>(INDEX(Unitinfo!I:I,MATCH(B335,Unitinfo!A:A,0))+1)*2</f>
        <v>6</v>
      </c>
      <c r="P335" s="5">
        <v>0</v>
      </c>
      <c r="Q335" s="5">
        <v>0</v>
      </c>
      <c r="R335" s="19" t="s">
        <v>121</v>
      </c>
      <c r="S335" s="19" t="s">
        <v>121</v>
      </c>
      <c r="T335" s="5">
        <f t="shared" si="40"/>
        <v>2015</v>
      </c>
      <c r="U335" s="5">
        <f t="shared" si="41"/>
        <v>1</v>
      </c>
      <c r="V335" s="5">
        <v>0</v>
      </c>
      <c r="W335" s="5">
        <v>10</v>
      </c>
    </row>
    <row r="336" spans="1:23">
      <c r="A336" s="5">
        <f t="shared" si="34"/>
        <v>333</v>
      </c>
      <c r="B336" s="93">
        <f t="shared" si="35"/>
        <v>2015</v>
      </c>
      <c r="C336" s="20" t="str">
        <f>INDEX(Unitinfo!C:C,MATCH(UnitGradeInfo!B336,Unitinfo!A:A,0))</f>
        <v>(원거리)Orc_Stone</v>
      </c>
      <c r="D336" s="5">
        <f>COUNTIF($B$4:B336,B336)</f>
        <v>8</v>
      </c>
      <c r="E336" s="5">
        <f>ROUNDDOWN(INDEX(ref_Unit_Balance!$G$31:$G$106,MATCH(UnitGradeInfo!B336,ref_Unit_Balance!$B$31:$B$1048576,0))
+INDEX(ref_Unit_Balance!$G$20:$G$23,MATCH(IFERROR(INDEX(ref_Unit_Balance!$D$31:$D$1048576,MATCH(B336,ref_Unit_Balance!$B$31:$B$1048576,0)),0),ref_Unit_Balance!$B$20:$B$23,0))*D336*ref_Unit_Balance!$C$25,0)</f>
        <v>800</v>
      </c>
      <c r="F336" s="5">
        <f>INDEX(ref_Unit_Balance!$V$31:$V$106,MATCH(UnitGradeInfo!B336,ref_Unit_Balance!$B$31:$B$1048576,0))
+
INDEX(ref_Unit_Balance!$AB$31:$AB$106,MATCH(UnitGradeInfo!B336,ref_Unit_Balance!$B$31:$B$1048576,0))*(D336-1)</f>
        <v>5100</v>
      </c>
      <c r="G336" s="5">
        <f>INDEX(ref_Unit_Balance!$R$31:$R$106,MATCH(UnitGradeInfo!B336,ref_Unit_Balance!$B$31:$B$1048576,0))
+
INDEX(ref_Unit_Balance!$AA$31:$AA$106,MATCH(UnitGradeInfo!B336,ref_Unit_Balance!$B$31:$B$1048576,0))*(D336-1)</f>
        <v>530</v>
      </c>
      <c r="H336" s="39">
        <f>IF(INDEX(Unitinfo!D:D,MATCH(UnitGradeInfo!B336,Unitinfo!A:A,0))=1,50,5)</f>
        <v>50</v>
      </c>
      <c r="I336" s="5">
        <f>IF(INDEX(ref_Unit_Balance!$T$31:$T$106,MATCH(UnitGradeInfo!B336,ref_Unit_Balance!$B$31:$B$1048576,0))=0,1,INDEX(ref_Unit_Balance!$T$31:$T$106,MATCH(UnitGradeInfo!B336,ref_Unit_Balance!$B$31:$B$1048576,0)))</f>
        <v>5</v>
      </c>
      <c r="J336" s="5">
        <f>INDEX(ref_Unit_Balance!$S$31:$S$106,MATCH(UnitGradeInfo!B336,ref_Unit_Balance!$B$31:$B$1048576,0))</f>
        <v>1000</v>
      </c>
      <c r="K336" s="5">
        <v>0</v>
      </c>
      <c r="L336" s="5">
        <f>INDEX(ref_Unit_Balance!$I$31:$I$106,MATCH(UnitGradeInfo!B336,ref_Unit_Balance!$B$31:$B$1048576,0))</f>
        <v>2</v>
      </c>
      <c r="M336" s="5">
        <f t="shared" si="38"/>
        <v>16</v>
      </c>
      <c r="N336" s="5">
        <f t="shared" si="39"/>
        <v>160</v>
      </c>
      <c r="O336" s="5">
        <f>(INDEX(Unitinfo!I:I,MATCH(B336,Unitinfo!A:A,0))+1)*2</f>
        <v>6</v>
      </c>
      <c r="P336" s="5">
        <v>0</v>
      </c>
      <c r="Q336" s="5">
        <v>0</v>
      </c>
      <c r="R336" s="19" t="s">
        <v>121</v>
      </c>
      <c r="S336" s="19" t="s">
        <v>121</v>
      </c>
      <c r="T336" s="5">
        <f t="shared" si="40"/>
        <v>2015</v>
      </c>
      <c r="U336" s="5">
        <f t="shared" si="41"/>
        <v>1</v>
      </c>
      <c r="V336" s="5">
        <v>0</v>
      </c>
      <c r="W336" s="5">
        <v>10</v>
      </c>
    </row>
    <row r="337" spans="1:23">
      <c r="A337" s="5">
        <f t="shared" si="34"/>
        <v>334</v>
      </c>
      <c r="B337" s="93">
        <f t="shared" si="35"/>
        <v>2015</v>
      </c>
      <c r="C337" s="20" t="str">
        <f>INDEX(Unitinfo!C:C,MATCH(UnitGradeInfo!B337,Unitinfo!A:A,0))</f>
        <v>(원거리)Orc_Stone</v>
      </c>
      <c r="D337" s="5">
        <f>COUNTIF($B$4:B337,B337)</f>
        <v>9</v>
      </c>
      <c r="E337" s="5">
        <f>ROUNDDOWN(INDEX(ref_Unit_Balance!$G$31:$G$106,MATCH(UnitGradeInfo!B337,ref_Unit_Balance!$B$31:$B$1048576,0))
+INDEX(ref_Unit_Balance!$G$20:$G$23,MATCH(IFERROR(INDEX(ref_Unit_Balance!$D$31:$D$1048576,MATCH(B337,ref_Unit_Balance!$B$31:$B$1048576,0)),0),ref_Unit_Balance!$B$20:$B$23,0))*D337*ref_Unit_Balance!$C$25,0)</f>
        <v>875</v>
      </c>
      <c r="F337" s="5">
        <f>INDEX(ref_Unit_Balance!$V$31:$V$106,MATCH(UnitGradeInfo!B337,ref_Unit_Balance!$B$31:$B$1048576,0))
+
INDEX(ref_Unit_Balance!$AB$31:$AB$106,MATCH(UnitGradeInfo!B337,ref_Unit_Balance!$B$31:$B$1048576,0))*(D337-1)</f>
        <v>5400</v>
      </c>
      <c r="G337" s="5">
        <f>INDEX(ref_Unit_Balance!$R$31:$R$106,MATCH(UnitGradeInfo!B337,ref_Unit_Balance!$B$31:$B$1048576,0))
+
INDEX(ref_Unit_Balance!$AA$31:$AA$106,MATCH(UnitGradeInfo!B337,ref_Unit_Balance!$B$31:$B$1048576,0))*(D337-1)</f>
        <v>560</v>
      </c>
      <c r="H337" s="39">
        <f>IF(INDEX(Unitinfo!D:D,MATCH(UnitGradeInfo!B337,Unitinfo!A:A,0))=1,50,5)</f>
        <v>50</v>
      </c>
      <c r="I337" s="5">
        <f>IF(INDEX(ref_Unit_Balance!$T$31:$T$106,MATCH(UnitGradeInfo!B337,ref_Unit_Balance!$B$31:$B$1048576,0))=0,1,INDEX(ref_Unit_Balance!$T$31:$T$106,MATCH(UnitGradeInfo!B337,ref_Unit_Balance!$B$31:$B$1048576,0)))</f>
        <v>5</v>
      </c>
      <c r="J337" s="5">
        <f>INDEX(ref_Unit_Balance!$S$31:$S$106,MATCH(UnitGradeInfo!B337,ref_Unit_Balance!$B$31:$B$1048576,0))</f>
        <v>1000</v>
      </c>
      <c r="K337" s="5">
        <v>0</v>
      </c>
      <c r="L337" s="5">
        <f>INDEX(ref_Unit_Balance!$I$31:$I$106,MATCH(UnitGradeInfo!B337,ref_Unit_Balance!$B$31:$B$1048576,0))</f>
        <v>2</v>
      </c>
      <c r="M337" s="5">
        <f t="shared" si="38"/>
        <v>18</v>
      </c>
      <c r="N337" s="5">
        <f t="shared" si="39"/>
        <v>180</v>
      </c>
      <c r="O337" s="5">
        <f>(INDEX(Unitinfo!I:I,MATCH(B337,Unitinfo!A:A,0))+1)*2</f>
        <v>6</v>
      </c>
      <c r="P337" s="5">
        <v>0</v>
      </c>
      <c r="Q337" s="5">
        <v>0</v>
      </c>
      <c r="R337" s="19" t="s">
        <v>121</v>
      </c>
      <c r="S337" s="19" t="s">
        <v>121</v>
      </c>
      <c r="T337" s="5">
        <f t="shared" si="40"/>
        <v>2015</v>
      </c>
      <c r="U337" s="5">
        <f t="shared" si="41"/>
        <v>1</v>
      </c>
      <c r="V337" s="5">
        <v>0</v>
      </c>
      <c r="W337" s="5">
        <v>10</v>
      </c>
    </row>
    <row r="338" spans="1:23">
      <c r="A338" s="5">
        <f t="shared" si="34"/>
        <v>335</v>
      </c>
      <c r="B338" s="93">
        <f t="shared" si="35"/>
        <v>2015</v>
      </c>
      <c r="C338" s="20" t="str">
        <f>INDEX(Unitinfo!C:C,MATCH(UnitGradeInfo!B338,Unitinfo!A:A,0))</f>
        <v>(원거리)Orc_Stone</v>
      </c>
      <c r="D338" s="5">
        <f>COUNTIF($B$4:B338,B338)</f>
        <v>10</v>
      </c>
      <c r="E338" s="5">
        <f>ROUNDDOWN(INDEX(ref_Unit_Balance!$G$31:$G$106,MATCH(UnitGradeInfo!B338,ref_Unit_Balance!$B$31:$B$1048576,0))
+INDEX(ref_Unit_Balance!$G$20:$G$23,MATCH(IFERROR(INDEX(ref_Unit_Balance!$D$31:$D$1048576,MATCH(B338,ref_Unit_Balance!$B$31:$B$1048576,0)),0),ref_Unit_Balance!$B$20:$B$23,0))*D338*ref_Unit_Balance!$C$25,0)</f>
        <v>950</v>
      </c>
      <c r="F338" s="5">
        <f>INDEX(ref_Unit_Balance!$V$31:$V$106,MATCH(UnitGradeInfo!B338,ref_Unit_Balance!$B$31:$B$1048576,0))
+
INDEX(ref_Unit_Balance!$AB$31:$AB$106,MATCH(UnitGradeInfo!B338,ref_Unit_Balance!$B$31:$B$1048576,0))*(D338-1)</f>
        <v>5700</v>
      </c>
      <c r="G338" s="5">
        <f>INDEX(ref_Unit_Balance!$R$31:$R$106,MATCH(UnitGradeInfo!B338,ref_Unit_Balance!$B$31:$B$1048576,0))
+
INDEX(ref_Unit_Balance!$AA$31:$AA$106,MATCH(UnitGradeInfo!B338,ref_Unit_Balance!$B$31:$B$1048576,0))*(D338-1)</f>
        <v>590</v>
      </c>
      <c r="H338" s="39">
        <f>IF(INDEX(Unitinfo!D:D,MATCH(UnitGradeInfo!B338,Unitinfo!A:A,0))=1,50,5)</f>
        <v>50</v>
      </c>
      <c r="I338" s="5">
        <f>IF(INDEX(ref_Unit_Balance!$T$31:$T$106,MATCH(UnitGradeInfo!B338,ref_Unit_Balance!$B$31:$B$1048576,0))=0,1,INDEX(ref_Unit_Balance!$T$31:$T$106,MATCH(UnitGradeInfo!B338,ref_Unit_Balance!$B$31:$B$1048576,0)))</f>
        <v>5</v>
      </c>
      <c r="J338" s="5">
        <f>INDEX(ref_Unit_Balance!$S$31:$S$106,MATCH(UnitGradeInfo!B338,ref_Unit_Balance!$B$31:$B$1048576,0))</f>
        <v>1000</v>
      </c>
      <c r="K338" s="5">
        <v>0</v>
      </c>
      <c r="L338" s="5">
        <f>INDEX(ref_Unit_Balance!$I$31:$I$106,MATCH(UnitGradeInfo!B338,ref_Unit_Balance!$B$31:$B$1048576,0))</f>
        <v>2</v>
      </c>
      <c r="M338" s="5">
        <f t="shared" si="38"/>
        <v>20</v>
      </c>
      <c r="N338" s="5">
        <f t="shared" si="39"/>
        <v>200</v>
      </c>
      <c r="O338" s="5">
        <f>(INDEX(Unitinfo!I:I,MATCH(B338,Unitinfo!A:A,0))+1)*2</f>
        <v>6</v>
      </c>
      <c r="P338" s="5">
        <v>0</v>
      </c>
      <c r="Q338" s="5">
        <v>0</v>
      </c>
      <c r="R338" s="19" t="s">
        <v>121</v>
      </c>
      <c r="S338" s="19" t="s">
        <v>121</v>
      </c>
      <c r="T338" s="5">
        <f t="shared" si="40"/>
        <v>2015</v>
      </c>
      <c r="U338" s="5">
        <f t="shared" si="41"/>
        <v>1</v>
      </c>
      <c r="V338" s="5">
        <v>0</v>
      </c>
      <c r="W338" s="5">
        <v>10</v>
      </c>
    </row>
    <row r="339" spans="1:23">
      <c r="A339" s="5">
        <f t="shared" si="34"/>
        <v>336</v>
      </c>
      <c r="B339" s="93">
        <f t="shared" si="35"/>
        <v>2015</v>
      </c>
      <c r="C339" s="20" t="str">
        <f>INDEX(Unitinfo!C:C,MATCH(UnitGradeInfo!B339,Unitinfo!A:A,0))</f>
        <v>(원거리)Orc_Stone</v>
      </c>
      <c r="D339" s="5">
        <f>COUNTIF($B$4:B339,B339)</f>
        <v>11</v>
      </c>
      <c r="E339" s="5">
        <f>ROUNDDOWN(INDEX(ref_Unit_Balance!$G$31:$G$106,MATCH(UnitGradeInfo!B339,ref_Unit_Balance!$B$31:$B$1048576,0))
+INDEX(ref_Unit_Balance!$G$20:$G$23,MATCH(IFERROR(INDEX(ref_Unit_Balance!$D$31:$D$1048576,MATCH(B339,ref_Unit_Balance!$B$31:$B$1048576,0)),0),ref_Unit_Balance!$B$20:$B$23,0))*D339*ref_Unit_Balance!$C$25,0)</f>
        <v>1025</v>
      </c>
      <c r="F339" s="5">
        <f>INDEX(ref_Unit_Balance!$V$31:$V$106,MATCH(UnitGradeInfo!B339,ref_Unit_Balance!$B$31:$B$1048576,0))
+
INDEX(ref_Unit_Balance!$AB$31:$AB$106,MATCH(UnitGradeInfo!B339,ref_Unit_Balance!$B$31:$B$1048576,0))*(D339-1)</f>
        <v>6000</v>
      </c>
      <c r="G339" s="5">
        <f>INDEX(ref_Unit_Balance!$R$31:$R$106,MATCH(UnitGradeInfo!B339,ref_Unit_Balance!$B$31:$B$1048576,0))
+
INDEX(ref_Unit_Balance!$AA$31:$AA$106,MATCH(UnitGradeInfo!B339,ref_Unit_Balance!$B$31:$B$1048576,0))*(D339-1)</f>
        <v>620</v>
      </c>
      <c r="H339" s="39">
        <f>IF(INDEX(Unitinfo!D:D,MATCH(UnitGradeInfo!B339,Unitinfo!A:A,0))=1,50,5)</f>
        <v>50</v>
      </c>
      <c r="I339" s="5">
        <f>IF(INDEX(ref_Unit_Balance!$T$31:$T$106,MATCH(UnitGradeInfo!B339,ref_Unit_Balance!$B$31:$B$1048576,0))=0,1,INDEX(ref_Unit_Balance!$T$31:$T$106,MATCH(UnitGradeInfo!B339,ref_Unit_Balance!$B$31:$B$1048576,0)))</f>
        <v>5</v>
      </c>
      <c r="J339" s="5">
        <f>INDEX(ref_Unit_Balance!$S$31:$S$106,MATCH(UnitGradeInfo!B339,ref_Unit_Balance!$B$31:$B$1048576,0))</f>
        <v>1000</v>
      </c>
      <c r="K339" s="5">
        <v>0</v>
      </c>
      <c r="L339" s="5">
        <f>INDEX(ref_Unit_Balance!$I$31:$I$106,MATCH(UnitGradeInfo!B339,ref_Unit_Balance!$B$31:$B$1048576,0))</f>
        <v>2</v>
      </c>
      <c r="M339" s="5">
        <f t="shared" si="38"/>
        <v>22</v>
      </c>
      <c r="N339" s="5">
        <f t="shared" si="39"/>
        <v>220</v>
      </c>
      <c r="O339" s="5">
        <f>(INDEX(Unitinfo!I:I,MATCH(B339,Unitinfo!A:A,0))+1)*2</f>
        <v>6</v>
      </c>
      <c r="P339" s="5">
        <v>0</v>
      </c>
      <c r="Q339" s="5">
        <v>0</v>
      </c>
      <c r="R339" s="19" t="s">
        <v>121</v>
      </c>
      <c r="S339" s="19" t="s">
        <v>121</v>
      </c>
      <c r="T339" s="5">
        <f t="shared" si="40"/>
        <v>2015</v>
      </c>
      <c r="U339" s="5">
        <f t="shared" si="41"/>
        <v>1</v>
      </c>
      <c r="V339" s="5">
        <v>0</v>
      </c>
      <c r="W339" s="5">
        <v>10</v>
      </c>
    </row>
    <row r="340" spans="1:23">
      <c r="A340" s="5">
        <f t="shared" si="34"/>
        <v>337</v>
      </c>
      <c r="B340" s="93">
        <f t="shared" si="35"/>
        <v>2015</v>
      </c>
      <c r="C340" s="20" t="str">
        <f>INDEX(Unitinfo!C:C,MATCH(UnitGradeInfo!B340,Unitinfo!A:A,0))</f>
        <v>(원거리)Orc_Stone</v>
      </c>
      <c r="D340" s="5">
        <f>COUNTIF($B$4:B340,B340)</f>
        <v>12</v>
      </c>
      <c r="E340" s="5">
        <f>ROUNDDOWN(INDEX(ref_Unit_Balance!$G$31:$G$106,MATCH(UnitGradeInfo!B340,ref_Unit_Balance!$B$31:$B$1048576,0))
+INDEX(ref_Unit_Balance!$G$20:$G$23,MATCH(IFERROR(INDEX(ref_Unit_Balance!$D$31:$D$1048576,MATCH(B340,ref_Unit_Balance!$B$31:$B$1048576,0)),0),ref_Unit_Balance!$B$20:$B$23,0))*D340*ref_Unit_Balance!$C$25,0)</f>
        <v>1100</v>
      </c>
      <c r="F340" s="5">
        <f>INDEX(ref_Unit_Balance!$V$31:$V$106,MATCH(UnitGradeInfo!B340,ref_Unit_Balance!$B$31:$B$1048576,0))
+
INDEX(ref_Unit_Balance!$AB$31:$AB$106,MATCH(UnitGradeInfo!B340,ref_Unit_Balance!$B$31:$B$1048576,0))*(D340-1)</f>
        <v>6300</v>
      </c>
      <c r="G340" s="5">
        <f>INDEX(ref_Unit_Balance!$R$31:$R$106,MATCH(UnitGradeInfo!B340,ref_Unit_Balance!$B$31:$B$1048576,0))
+
INDEX(ref_Unit_Balance!$AA$31:$AA$106,MATCH(UnitGradeInfo!B340,ref_Unit_Balance!$B$31:$B$1048576,0))*(D340-1)</f>
        <v>650</v>
      </c>
      <c r="H340" s="39">
        <f>IF(INDEX(Unitinfo!D:D,MATCH(UnitGradeInfo!B340,Unitinfo!A:A,0))=1,50,5)</f>
        <v>50</v>
      </c>
      <c r="I340" s="5">
        <f>IF(INDEX(ref_Unit_Balance!$T$31:$T$106,MATCH(UnitGradeInfo!B340,ref_Unit_Balance!$B$31:$B$1048576,0))=0,1,INDEX(ref_Unit_Balance!$T$31:$T$106,MATCH(UnitGradeInfo!B340,ref_Unit_Balance!$B$31:$B$1048576,0)))</f>
        <v>5</v>
      </c>
      <c r="J340" s="5">
        <f>INDEX(ref_Unit_Balance!$S$31:$S$106,MATCH(UnitGradeInfo!B340,ref_Unit_Balance!$B$31:$B$1048576,0))</f>
        <v>1000</v>
      </c>
      <c r="K340" s="5">
        <v>0</v>
      </c>
      <c r="L340" s="5">
        <f>INDEX(ref_Unit_Balance!$I$31:$I$106,MATCH(UnitGradeInfo!B340,ref_Unit_Balance!$B$31:$B$1048576,0))</f>
        <v>2</v>
      </c>
      <c r="M340" s="5">
        <f t="shared" si="38"/>
        <v>24</v>
      </c>
      <c r="N340" s="5">
        <f t="shared" si="39"/>
        <v>240</v>
      </c>
      <c r="O340" s="5">
        <f>(INDEX(Unitinfo!I:I,MATCH(B340,Unitinfo!A:A,0))+1)*2</f>
        <v>6</v>
      </c>
      <c r="P340" s="5">
        <v>0</v>
      </c>
      <c r="Q340" s="5">
        <v>0</v>
      </c>
      <c r="R340" s="19" t="s">
        <v>121</v>
      </c>
      <c r="S340" s="19" t="s">
        <v>121</v>
      </c>
      <c r="T340" s="5">
        <f t="shared" si="40"/>
        <v>2015</v>
      </c>
      <c r="U340" s="5">
        <f t="shared" si="41"/>
        <v>1</v>
      </c>
      <c r="V340" s="5">
        <v>0</v>
      </c>
      <c r="W340" s="5">
        <v>10</v>
      </c>
    </row>
    <row r="341" spans="1:23">
      <c r="A341" s="5">
        <f t="shared" si="34"/>
        <v>338</v>
      </c>
      <c r="B341" s="93">
        <f t="shared" si="35"/>
        <v>2015</v>
      </c>
      <c r="C341" s="20" t="str">
        <f>INDEX(Unitinfo!C:C,MATCH(UnitGradeInfo!B341,Unitinfo!A:A,0))</f>
        <v>(원거리)Orc_Stone</v>
      </c>
      <c r="D341" s="5">
        <f>COUNTIF($B$4:B341,B341)</f>
        <v>13</v>
      </c>
      <c r="E341" s="5">
        <f>ROUNDDOWN(INDEX(ref_Unit_Balance!$G$31:$G$106,MATCH(UnitGradeInfo!B341,ref_Unit_Balance!$B$31:$B$1048576,0))
+INDEX(ref_Unit_Balance!$G$20:$G$23,MATCH(IFERROR(INDEX(ref_Unit_Balance!$D$31:$D$1048576,MATCH(B341,ref_Unit_Balance!$B$31:$B$1048576,0)),0),ref_Unit_Balance!$B$20:$B$23,0))*D341*ref_Unit_Balance!$C$25,0)</f>
        <v>1175</v>
      </c>
      <c r="F341" s="5">
        <f>INDEX(ref_Unit_Balance!$V$31:$V$106,MATCH(UnitGradeInfo!B341,ref_Unit_Balance!$B$31:$B$1048576,0))
+
INDEX(ref_Unit_Balance!$AB$31:$AB$106,MATCH(UnitGradeInfo!B341,ref_Unit_Balance!$B$31:$B$1048576,0))*(D341-1)</f>
        <v>6600</v>
      </c>
      <c r="G341" s="5">
        <f>INDEX(ref_Unit_Balance!$R$31:$R$106,MATCH(UnitGradeInfo!B341,ref_Unit_Balance!$B$31:$B$1048576,0))
+
INDEX(ref_Unit_Balance!$AA$31:$AA$106,MATCH(UnitGradeInfo!B341,ref_Unit_Balance!$B$31:$B$1048576,0))*(D341-1)</f>
        <v>680</v>
      </c>
      <c r="H341" s="39">
        <f>IF(INDEX(Unitinfo!D:D,MATCH(UnitGradeInfo!B341,Unitinfo!A:A,0))=1,50,5)</f>
        <v>50</v>
      </c>
      <c r="I341" s="5">
        <f>IF(INDEX(ref_Unit_Balance!$T$31:$T$106,MATCH(UnitGradeInfo!B341,ref_Unit_Balance!$B$31:$B$1048576,0))=0,1,INDEX(ref_Unit_Balance!$T$31:$T$106,MATCH(UnitGradeInfo!B341,ref_Unit_Balance!$B$31:$B$1048576,0)))</f>
        <v>5</v>
      </c>
      <c r="J341" s="5">
        <f>INDEX(ref_Unit_Balance!$S$31:$S$106,MATCH(UnitGradeInfo!B341,ref_Unit_Balance!$B$31:$B$1048576,0))</f>
        <v>1000</v>
      </c>
      <c r="K341" s="5">
        <v>0</v>
      </c>
      <c r="L341" s="5">
        <f>INDEX(ref_Unit_Balance!$I$31:$I$106,MATCH(UnitGradeInfo!B341,ref_Unit_Balance!$B$31:$B$1048576,0))</f>
        <v>2</v>
      </c>
      <c r="M341" s="5">
        <f t="shared" si="38"/>
        <v>26</v>
      </c>
      <c r="N341" s="5">
        <f t="shared" si="39"/>
        <v>260</v>
      </c>
      <c r="O341" s="5">
        <f>(INDEX(Unitinfo!I:I,MATCH(B341,Unitinfo!A:A,0))+1)*2</f>
        <v>6</v>
      </c>
      <c r="P341" s="5">
        <v>0</v>
      </c>
      <c r="Q341" s="5">
        <v>0</v>
      </c>
      <c r="R341" s="19" t="s">
        <v>121</v>
      </c>
      <c r="S341" s="19" t="s">
        <v>121</v>
      </c>
      <c r="T341" s="5">
        <f t="shared" si="40"/>
        <v>2015</v>
      </c>
      <c r="U341" s="5">
        <f t="shared" si="41"/>
        <v>1</v>
      </c>
      <c r="V341" s="5">
        <v>0</v>
      </c>
      <c r="W341" s="5">
        <v>10</v>
      </c>
    </row>
    <row r="342" spans="1:23">
      <c r="A342" s="5">
        <f t="shared" si="34"/>
        <v>339</v>
      </c>
      <c r="B342" s="93">
        <f t="shared" si="35"/>
        <v>2015</v>
      </c>
      <c r="C342" s="20" t="str">
        <f>INDEX(Unitinfo!C:C,MATCH(UnitGradeInfo!B342,Unitinfo!A:A,0))</f>
        <v>(원거리)Orc_Stone</v>
      </c>
      <c r="D342" s="5">
        <f>COUNTIF($B$4:B342,B342)</f>
        <v>14</v>
      </c>
      <c r="E342" s="5">
        <f>ROUNDDOWN(INDEX(ref_Unit_Balance!$G$31:$G$106,MATCH(UnitGradeInfo!B342,ref_Unit_Balance!$B$31:$B$1048576,0))
+INDEX(ref_Unit_Balance!$G$20:$G$23,MATCH(IFERROR(INDEX(ref_Unit_Balance!$D$31:$D$1048576,MATCH(B342,ref_Unit_Balance!$B$31:$B$1048576,0)),0),ref_Unit_Balance!$B$20:$B$23,0))*D342*ref_Unit_Balance!$C$25,0)</f>
        <v>1250</v>
      </c>
      <c r="F342" s="5">
        <f>INDEX(ref_Unit_Balance!$V$31:$V$106,MATCH(UnitGradeInfo!B342,ref_Unit_Balance!$B$31:$B$1048576,0))
+
INDEX(ref_Unit_Balance!$AB$31:$AB$106,MATCH(UnitGradeInfo!B342,ref_Unit_Balance!$B$31:$B$1048576,0))*(D342-1)</f>
        <v>6900</v>
      </c>
      <c r="G342" s="5">
        <f>INDEX(ref_Unit_Balance!$R$31:$R$106,MATCH(UnitGradeInfo!B342,ref_Unit_Balance!$B$31:$B$1048576,0))
+
INDEX(ref_Unit_Balance!$AA$31:$AA$106,MATCH(UnitGradeInfo!B342,ref_Unit_Balance!$B$31:$B$1048576,0))*(D342-1)</f>
        <v>710</v>
      </c>
      <c r="H342" s="39">
        <f>IF(INDEX(Unitinfo!D:D,MATCH(UnitGradeInfo!B342,Unitinfo!A:A,0))=1,50,5)</f>
        <v>50</v>
      </c>
      <c r="I342" s="5">
        <f>IF(INDEX(ref_Unit_Balance!$T$31:$T$106,MATCH(UnitGradeInfo!B342,ref_Unit_Balance!$B$31:$B$1048576,0))=0,1,INDEX(ref_Unit_Balance!$T$31:$T$106,MATCH(UnitGradeInfo!B342,ref_Unit_Balance!$B$31:$B$1048576,0)))</f>
        <v>5</v>
      </c>
      <c r="J342" s="5">
        <f>INDEX(ref_Unit_Balance!$S$31:$S$106,MATCH(UnitGradeInfo!B342,ref_Unit_Balance!$B$31:$B$1048576,0))</f>
        <v>1000</v>
      </c>
      <c r="K342" s="5">
        <v>0</v>
      </c>
      <c r="L342" s="5">
        <f>INDEX(ref_Unit_Balance!$I$31:$I$106,MATCH(UnitGradeInfo!B342,ref_Unit_Balance!$B$31:$B$1048576,0))</f>
        <v>2</v>
      </c>
      <c r="M342" s="5">
        <f t="shared" si="38"/>
        <v>28</v>
      </c>
      <c r="N342" s="5">
        <f t="shared" si="39"/>
        <v>280</v>
      </c>
      <c r="O342" s="5">
        <f>(INDEX(Unitinfo!I:I,MATCH(B342,Unitinfo!A:A,0))+1)*2</f>
        <v>6</v>
      </c>
      <c r="P342" s="5">
        <v>0</v>
      </c>
      <c r="Q342" s="5">
        <v>0</v>
      </c>
      <c r="R342" s="19" t="s">
        <v>121</v>
      </c>
      <c r="S342" s="19" t="s">
        <v>121</v>
      </c>
      <c r="T342" s="5">
        <f t="shared" si="40"/>
        <v>2015</v>
      </c>
      <c r="U342" s="5">
        <f t="shared" si="41"/>
        <v>1</v>
      </c>
      <c r="V342" s="5">
        <v>0</v>
      </c>
      <c r="W342" s="5">
        <v>10</v>
      </c>
    </row>
    <row r="343" spans="1:23">
      <c r="A343" s="5">
        <f t="shared" si="34"/>
        <v>340</v>
      </c>
      <c r="B343" s="93">
        <f t="shared" si="35"/>
        <v>2015</v>
      </c>
      <c r="C343" s="20" t="str">
        <f>INDEX(Unitinfo!C:C,MATCH(UnitGradeInfo!B343,Unitinfo!A:A,0))</f>
        <v>(원거리)Orc_Stone</v>
      </c>
      <c r="D343" s="5">
        <f>COUNTIF($B$4:B343,B343)</f>
        <v>15</v>
      </c>
      <c r="E343" s="5">
        <f>ROUNDDOWN(INDEX(ref_Unit_Balance!$G$31:$G$106,MATCH(UnitGradeInfo!B343,ref_Unit_Balance!$B$31:$B$1048576,0))
+INDEX(ref_Unit_Balance!$G$20:$G$23,MATCH(IFERROR(INDEX(ref_Unit_Balance!$D$31:$D$1048576,MATCH(B343,ref_Unit_Balance!$B$31:$B$1048576,0)),0),ref_Unit_Balance!$B$20:$B$23,0))*D343*ref_Unit_Balance!$C$25,0)</f>
        <v>1325</v>
      </c>
      <c r="F343" s="5">
        <f>INDEX(ref_Unit_Balance!$V$31:$V$106,MATCH(UnitGradeInfo!B343,ref_Unit_Balance!$B$31:$B$1048576,0))
+
INDEX(ref_Unit_Balance!$AB$31:$AB$106,MATCH(UnitGradeInfo!B343,ref_Unit_Balance!$B$31:$B$1048576,0))*(D343-1)</f>
        <v>7200</v>
      </c>
      <c r="G343" s="5">
        <f>INDEX(ref_Unit_Balance!$R$31:$R$106,MATCH(UnitGradeInfo!B343,ref_Unit_Balance!$B$31:$B$1048576,0))
+
INDEX(ref_Unit_Balance!$AA$31:$AA$106,MATCH(UnitGradeInfo!B343,ref_Unit_Balance!$B$31:$B$1048576,0))*(D343-1)</f>
        <v>740</v>
      </c>
      <c r="H343" s="39">
        <f>IF(INDEX(Unitinfo!D:D,MATCH(UnitGradeInfo!B343,Unitinfo!A:A,0))=1,50,5)</f>
        <v>50</v>
      </c>
      <c r="I343" s="5">
        <f>IF(INDEX(ref_Unit_Balance!$T$31:$T$106,MATCH(UnitGradeInfo!B343,ref_Unit_Balance!$B$31:$B$1048576,0))=0,1,INDEX(ref_Unit_Balance!$T$31:$T$106,MATCH(UnitGradeInfo!B343,ref_Unit_Balance!$B$31:$B$1048576,0)))</f>
        <v>5</v>
      </c>
      <c r="J343" s="5">
        <f>INDEX(ref_Unit_Balance!$S$31:$S$106,MATCH(UnitGradeInfo!B343,ref_Unit_Balance!$B$31:$B$1048576,0))</f>
        <v>1000</v>
      </c>
      <c r="K343" s="5">
        <v>0</v>
      </c>
      <c r="L343" s="5">
        <f>INDEX(ref_Unit_Balance!$I$31:$I$106,MATCH(UnitGradeInfo!B343,ref_Unit_Balance!$B$31:$B$1048576,0))</f>
        <v>2</v>
      </c>
      <c r="M343" s="5">
        <f t="shared" si="38"/>
        <v>30</v>
      </c>
      <c r="N343" s="5">
        <f t="shared" si="39"/>
        <v>300</v>
      </c>
      <c r="O343" s="5">
        <f>(INDEX(Unitinfo!I:I,MATCH(B343,Unitinfo!A:A,0))+1)*2</f>
        <v>6</v>
      </c>
      <c r="P343" s="5">
        <v>0</v>
      </c>
      <c r="Q343" s="5">
        <v>0</v>
      </c>
      <c r="R343" s="19" t="s">
        <v>121</v>
      </c>
      <c r="S343" s="19" t="s">
        <v>121</v>
      </c>
      <c r="T343" s="5">
        <f t="shared" si="40"/>
        <v>2015</v>
      </c>
      <c r="U343" s="5">
        <f t="shared" si="41"/>
        <v>1</v>
      </c>
      <c r="V343" s="5">
        <v>0</v>
      </c>
      <c r="W343" s="5">
        <v>10</v>
      </c>
    </row>
    <row r="344" spans="1:23">
      <c r="A344" s="5">
        <f t="shared" si="34"/>
        <v>341</v>
      </c>
      <c r="B344" s="93">
        <f t="shared" si="35"/>
        <v>2015</v>
      </c>
      <c r="C344" s="20" t="str">
        <f>INDEX(Unitinfo!C:C,MATCH(UnitGradeInfo!B344,Unitinfo!A:A,0))</f>
        <v>(원거리)Orc_Stone</v>
      </c>
      <c r="D344" s="5">
        <f>COUNTIF($B$4:B344,B344)</f>
        <v>16</v>
      </c>
      <c r="E344" s="5">
        <f>ROUNDDOWN(INDEX(ref_Unit_Balance!$G$31:$G$106,MATCH(UnitGradeInfo!B344,ref_Unit_Balance!$B$31:$B$1048576,0))
+INDEX(ref_Unit_Balance!$G$20:$G$23,MATCH(IFERROR(INDEX(ref_Unit_Balance!$D$31:$D$1048576,MATCH(B344,ref_Unit_Balance!$B$31:$B$1048576,0)),0),ref_Unit_Balance!$B$20:$B$23,0))*D344*ref_Unit_Balance!$C$25,0)</f>
        <v>1400</v>
      </c>
      <c r="F344" s="5">
        <f>INDEX(ref_Unit_Balance!$V$31:$V$106,MATCH(UnitGradeInfo!B344,ref_Unit_Balance!$B$31:$B$1048576,0))
+
INDEX(ref_Unit_Balance!$AB$31:$AB$106,MATCH(UnitGradeInfo!B344,ref_Unit_Balance!$B$31:$B$1048576,0))*(D344-1)</f>
        <v>7500</v>
      </c>
      <c r="G344" s="5">
        <f>INDEX(ref_Unit_Balance!$R$31:$R$106,MATCH(UnitGradeInfo!B344,ref_Unit_Balance!$B$31:$B$1048576,0))
+
INDEX(ref_Unit_Balance!$AA$31:$AA$106,MATCH(UnitGradeInfo!B344,ref_Unit_Balance!$B$31:$B$1048576,0))*(D344-1)</f>
        <v>770</v>
      </c>
      <c r="H344" s="39">
        <f>IF(INDEX(Unitinfo!D:D,MATCH(UnitGradeInfo!B344,Unitinfo!A:A,0))=1,50,5)</f>
        <v>50</v>
      </c>
      <c r="I344" s="5">
        <f>IF(INDEX(ref_Unit_Balance!$T$31:$T$106,MATCH(UnitGradeInfo!B344,ref_Unit_Balance!$B$31:$B$1048576,0))=0,1,INDEX(ref_Unit_Balance!$T$31:$T$106,MATCH(UnitGradeInfo!B344,ref_Unit_Balance!$B$31:$B$1048576,0)))</f>
        <v>5</v>
      </c>
      <c r="J344" s="5">
        <f>INDEX(ref_Unit_Balance!$S$31:$S$106,MATCH(UnitGradeInfo!B344,ref_Unit_Balance!$B$31:$B$1048576,0))</f>
        <v>1000</v>
      </c>
      <c r="K344" s="5">
        <v>0</v>
      </c>
      <c r="L344" s="5">
        <f>INDEX(ref_Unit_Balance!$I$31:$I$106,MATCH(UnitGradeInfo!B344,ref_Unit_Balance!$B$31:$B$1048576,0))</f>
        <v>2</v>
      </c>
      <c r="M344" s="5">
        <f t="shared" si="38"/>
        <v>32</v>
      </c>
      <c r="N344" s="5">
        <f t="shared" si="39"/>
        <v>320</v>
      </c>
      <c r="O344" s="5">
        <f>(INDEX(Unitinfo!I:I,MATCH(B344,Unitinfo!A:A,0))+1)*2</f>
        <v>6</v>
      </c>
      <c r="P344" s="5">
        <v>0</v>
      </c>
      <c r="Q344" s="5">
        <v>0</v>
      </c>
      <c r="R344" s="19" t="s">
        <v>121</v>
      </c>
      <c r="S344" s="19" t="s">
        <v>121</v>
      </c>
      <c r="T344" s="5">
        <f t="shared" si="40"/>
        <v>2015</v>
      </c>
      <c r="U344" s="5">
        <f t="shared" si="41"/>
        <v>1</v>
      </c>
      <c r="V344" s="5">
        <v>0</v>
      </c>
      <c r="W344" s="5">
        <v>10</v>
      </c>
    </row>
    <row r="345" spans="1:23">
      <c r="A345" s="5">
        <f t="shared" si="34"/>
        <v>342</v>
      </c>
      <c r="B345" s="93">
        <f t="shared" si="35"/>
        <v>2015</v>
      </c>
      <c r="C345" s="20" t="str">
        <f>INDEX(Unitinfo!C:C,MATCH(UnitGradeInfo!B345,Unitinfo!A:A,0))</f>
        <v>(원거리)Orc_Stone</v>
      </c>
      <c r="D345" s="5">
        <f>COUNTIF($B$4:B345,B345)</f>
        <v>17</v>
      </c>
      <c r="E345" s="5">
        <f>ROUNDDOWN(INDEX(ref_Unit_Balance!$G$31:$G$106,MATCH(UnitGradeInfo!B345,ref_Unit_Balance!$B$31:$B$1048576,0))
+INDEX(ref_Unit_Balance!$G$20:$G$23,MATCH(IFERROR(INDEX(ref_Unit_Balance!$D$31:$D$1048576,MATCH(B345,ref_Unit_Balance!$B$31:$B$1048576,0)),0),ref_Unit_Balance!$B$20:$B$23,0))*D345*ref_Unit_Balance!$C$25,0)</f>
        <v>1475</v>
      </c>
      <c r="F345" s="5">
        <f>INDEX(ref_Unit_Balance!$V$31:$V$106,MATCH(UnitGradeInfo!B345,ref_Unit_Balance!$B$31:$B$1048576,0))
+
INDEX(ref_Unit_Balance!$AB$31:$AB$106,MATCH(UnitGradeInfo!B345,ref_Unit_Balance!$B$31:$B$1048576,0))*(D345-1)</f>
        <v>7800</v>
      </c>
      <c r="G345" s="5">
        <f>INDEX(ref_Unit_Balance!$R$31:$R$106,MATCH(UnitGradeInfo!B345,ref_Unit_Balance!$B$31:$B$1048576,0))
+
INDEX(ref_Unit_Balance!$AA$31:$AA$106,MATCH(UnitGradeInfo!B345,ref_Unit_Balance!$B$31:$B$1048576,0))*(D345-1)</f>
        <v>800</v>
      </c>
      <c r="H345" s="39">
        <f>IF(INDEX(Unitinfo!D:D,MATCH(UnitGradeInfo!B345,Unitinfo!A:A,0))=1,50,5)</f>
        <v>50</v>
      </c>
      <c r="I345" s="5">
        <f>IF(INDEX(ref_Unit_Balance!$T$31:$T$106,MATCH(UnitGradeInfo!B345,ref_Unit_Balance!$B$31:$B$1048576,0))=0,1,INDEX(ref_Unit_Balance!$T$31:$T$106,MATCH(UnitGradeInfo!B345,ref_Unit_Balance!$B$31:$B$1048576,0)))</f>
        <v>5</v>
      </c>
      <c r="J345" s="5">
        <f>INDEX(ref_Unit_Balance!$S$31:$S$106,MATCH(UnitGradeInfo!B345,ref_Unit_Balance!$B$31:$B$1048576,0))</f>
        <v>1000</v>
      </c>
      <c r="K345" s="5">
        <v>0</v>
      </c>
      <c r="L345" s="5">
        <f>INDEX(ref_Unit_Balance!$I$31:$I$106,MATCH(UnitGradeInfo!B345,ref_Unit_Balance!$B$31:$B$1048576,0))</f>
        <v>2</v>
      </c>
      <c r="M345" s="5">
        <f t="shared" si="38"/>
        <v>34</v>
      </c>
      <c r="N345" s="5">
        <f t="shared" si="39"/>
        <v>340</v>
      </c>
      <c r="O345" s="5">
        <f>(INDEX(Unitinfo!I:I,MATCH(B345,Unitinfo!A:A,0))+1)*2</f>
        <v>6</v>
      </c>
      <c r="P345" s="5">
        <v>0</v>
      </c>
      <c r="Q345" s="5">
        <v>0</v>
      </c>
      <c r="R345" s="19" t="s">
        <v>121</v>
      </c>
      <c r="S345" s="19" t="s">
        <v>121</v>
      </c>
      <c r="T345" s="5">
        <f t="shared" si="40"/>
        <v>2015</v>
      </c>
      <c r="U345" s="5">
        <f t="shared" si="41"/>
        <v>1</v>
      </c>
      <c r="V345" s="5">
        <v>0</v>
      </c>
      <c r="W345" s="5">
        <v>10</v>
      </c>
    </row>
    <row r="346" spans="1:23">
      <c r="A346" s="5">
        <f t="shared" si="34"/>
        <v>343</v>
      </c>
      <c r="B346" s="93">
        <f t="shared" si="35"/>
        <v>2015</v>
      </c>
      <c r="C346" s="20" t="str">
        <f>INDEX(Unitinfo!C:C,MATCH(UnitGradeInfo!B346,Unitinfo!A:A,0))</f>
        <v>(원거리)Orc_Stone</v>
      </c>
      <c r="D346" s="5">
        <f>COUNTIF($B$4:B346,B346)</f>
        <v>18</v>
      </c>
      <c r="E346" s="5">
        <f>ROUNDDOWN(INDEX(ref_Unit_Balance!$G$31:$G$106,MATCH(UnitGradeInfo!B346,ref_Unit_Balance!$B$31:$B$1048576,0))
+INDEX(ref_Unit_Balance!$G$20:$G$23,MATCH(IFERROR(INDEX(ref_Unit_Balance!$D$31:$D$1048576,MATCH(B346,ref_Unit_Balance!$B$31:$B$1048576,0)),0),ref_Unit_Balance!$B$20:$B$23,0))*D346*ref_Unit_Balance!$C$25,0)</f>
        <v>1550</v>
      </c>
      <c r="F346" s="5">
        <f>INDEX(ref_Unit_Balance!$V$31:$V$106,MATCH(UnitGradeInfo!B346,ref_Unit_Balance!$B$31:$B$1048576,0))
+
INDEX(ref_Unit_Balance!$AB$31:$AB$106,MATCH(UnitGradeInfo!B346,ref_Unit_Balance!$B$31:$B$1048576,0))*(D346-1)</f>
        <v>8100</v>
      </c>
      <c r="G346" s="5">
        <f>INDEX(ref_Unit_Balance!$R$31:$R$106,MATCH(UnitGradeInfo!B346,ref_Unit_Balance!$B$31:$B$1048576,0))
+
INDEX(ref_Unit_Balance!$AA$31:$AA$106,MATCH(UnitGradeInfo!B346,ref_Unit_Balance!$B$31:$B$1048576,0))*(D346-1)</f>
        <v>830</v>
      </c>
      <c r="H346" s="39">
        <f>IF(INDEX(Unitinfo!D:D,MATCH(UnitGradeInfo!B346,Unitinfo!A:A,0))=1,50,5)</f>
        <v>50</v>
      </c>
      <c r="I346" s="5">
        <f>IF(INDEX(ref_Unit_Balance!$T$31:$T$106,MATCH(UnitGradeInfo!B346,ref_Unit_Balance!$B$31:$B$1048576,0))=0,1,INDEX(ref_Unit_Balance!$T$31:$T$106,MATCH(UnitGradeInfo!B346,ref_Unit_Balance!$B$31:$B$1048576,0)))</f>
        <v>5</v>
      </c>
      <c r="J346" s="5">
        <f>INDEX(ref_Unit_Balance!$S$31:$S$106,MATCH(UnitGradeInfo!B346,ref_Unit_Balance!$B$31:$B$1048576,0))</f>
        <v>1000</v>
      </c>
      <c r="K346" s="5">
        <v>0</v>
      </c>
      <c r="L346" s="5">
        <f>INDEX(ref_Unit_Balance!$I$31:$I$106,MATCH(UnitGradeInfo!B346,ref_Unit_Balance!$B$31:$B$1048576,0))</f>
        <v>2</v>
      </c>
      <c r="M346" s="5">
        <f t="shared" si="38"/>
        <v>36</v>
      </c>
      <c r="N346" s="5">
        <f t="shared" si="39"/>
        <v>360</v>
      </c>
      <c r="O346" s="5">
        <f>(INDEX(Unitinfo!I:I,MATCH(B346,Unitinfo!A:A,0))+1)*2</f>
        <v>6</v>
      </c>
      <c r="P346" s="5">
        <v>0</v>
      </c>
      <c r="Q346" s="5">
        <v>0</v>
      </c>
      <c r="R346" s="19" t="s">
        <v>121</v>
      </c>
      <c r="S346" s="19" t="s">
        <v>121</v>
      </c>
      <c r="T346" s="5">
        <f t="shared" si="40"/>
        <v>2015</v>
      </c>
      <c r="U346" s="5">
        <f t="shared" si="41"/>
        <v>1</v>
      </c>
      <c r="V346" s="5">
        <v>0</v>
      </c>
      <c r="W346" s="5">
        <v>10</v>
      </c>
    </row>
    <row r="347" spans="1:23">
      <c r="A347" s="5">
        <f t="shared" si="34"/>
        <v>344</v>
      </c>
      <c r="B347" s="93">
        <f t="shared" si="35"/>
        <v>2015</v>
      </c>
      <c r="C347" s="20" t="str">
        <f>INDEX(Unitinfo!C:C,MATCH(UnitGradeInfo!B347,Unitinfo!A:A,0))</f>
        <v>(원거리)Orc_Stone</v>
      </c>
      <c r="D347" s="5">
        <f>COUNTIF($B$4:B347,B347)</f>
        <v>19</v>
      </c>
      <c r="E347" s="5">
        <f>ROUNDDOWN(INDEX(ref_Unit_Balance!$G$31:$G$106,MATCH(UnitGradeInfo!B347,ref_Unit_Balance!$B$31:$B$1048576,0))
+INDEX(ref_Unit_Balance!$G$20:$G$23,MATCH(IFERROR(INDEX(ref_Unit_Balance!$D$31:$D$1048576,MATCH(B347,ref_Unit_Balance!$B$31:$B$1048576,0)),0),ref_Unit_Balance!$B$20:$B$23,0))*D347*ref_Unit_Balance!$C$25,0)</f>
        <v>1625</v>
      </c>
      <c r="F347" s="5">
        <f>INDEX(ref_Unit_Balance!$V$31:$V$106,MATCH(UnitGradeInfo!B347,ref_Unit_Balance!$B$31:$B$1048576,0))
+
INDEX(ref_Unit_Balance!$AB$31:$AB$106,MATCH(UnitGradeInfo!B347,ref_Unit_Balance!$B$31:$B$1048576,0))*(D347-1)</f>
        <v>8400</v>
      </c>
      <c r="G347" s="5">
        <f>INDEX(ref_Unit_Balance!$R$31:$R$106,MATCH(UnitGradeInfo!B347,ref_Unit_Balance!$B$31:$B$1048576,0))
+
INDEX(ref_Unit_Balance!$AA$31:$AA$106,MATCH(UnitGradeInfo!B347,ref_Unit_Balance!$B$31:$B$1048576,0))*(D347-1)</f>
        <v>860</v>
      </c>
      <c r="H347" s="39">
        <f>IF(INDEX(Unitinfo!D:D,MATCH(UnitGradeInfo!B347,Unitinfo!A:A,0))=1,50,5)</f>
        <v>50</v>
      </c>
      <c r="I347" s="5">
        <f>IF(INDEX(ref_Unit_Balance!$T$31:$T$106,MATCH(UnitGradeInfo!B347,ref_Unit_Balance!$B$31:$B$1048576,0))=0,1,INDEX(ref_Unit_Balance!$T$31:$T$106,MATCH(UnitGradeInfo!B347,ref_Unit_Balance!$B$31:$B$1048576,0)))</f>
        <v>5</v>
      </c>
      <c r="J347" s="5">
        <f>INDEX(ref_Unit_Balance!$S$31:$S$106,MATCH(UnitGradeInfo!B347,ref_Unit_Balance!$B$31:$B$1048576,0))</f>
        <v>1000</v>
      </c>
      <c r="K347" s="5">
        <v>0</v>
      </c>
      <c r="L347" s="5">
        <f>INDEX(ref_Unit_Balance!$I$31:$I$106,MATCH(UnitGradeInfo!B347,ref_Unit_Balance!$B$31:$B$1048576,0))</f>
        <v>2</v>
      </c>
      <c r="M347" s="5">
        <f t="shared" si="38"/>
        <v>38</v>
      </c>
      <c r="N347" s="5">
        <f t="shared" si="39"/>
        <v>380</v>
      </c>
      <c r="O347" s="5">
        <f>(INDEX(Unitinfo!I:I,MATCH(B347,Unitinfo!A:A,0))+1)*2</f>
        <v>6</v>
      </c>
      <c r="P347" s="5">
        <v>0</v>
      </c>
      <c r="Q347" s="5">
        <v>0</v>
      </c>
      <c r="R347" s="19" t="s">
        <v>121</v>
      </c>
      <c r="S347" s="19" t="s">
        <v>121</v>
      </c>
      <c r="T347" s="5">
        <f t="shared" si="40"/>
        <v>2015</v>
      </c>
      <c r="U347" s="5">
        <f t="shared" si="41"/>
        <v>1</v>
      </c>
      <c r="V347" s="5">
        <v>0</v>
      </c>
      <c r="W347" s="5">
        <v>10</v>
      </c>
    </row>
    <row r="348" spans="1:23">
      <c r="A348" s="5">
        <f t="shared" si="34"/>
        <v>345</v>
      </c>
      <c r="B348" s="93">
        <f t="shared" si="35"/>
        <v>2015</v>
      </c>
      <c r="C348" s="20" t="str">
        <f>INDEX(Unitinfo!C:C,MATCH(UnitGradeInfo!B348,Unitinfo!A:A,0))</f>
        <v>(원거리)Orc_Stone</v>
      </c>
      <c r="D348" s="5">
        <f>COUNTIF($B$4:B348,B348)</f>
        <v>20</v>
      </c>
      <c r="E348" s="5">
        <f>ROUNDDOWN(INDEX(ref_Unit_Balance!$G$31:$G$106,MATCH(UnitGradeInfo!B348,ref_Unit_Balance!$B$31:$B$1048576,0))
+INDEX(ref_Unit_Balance!$G$20:$G$23,MATCH(IFERROR(INDEX(ref_Unit_Balance!$D$31:$D$1048576,MATCH(B348,ref_Unit_Balance!$B$31:$B$1048576,0)),0),ref_Unit_Balance!$B$20:$B$23,0))*D348*ref_Unit_Balance!$C$25,0)</f>
        <v>1700</v>
      </c>
      <c r="F348" s="5">
        <f>INDEX(ref_Unit_Balance!$V$31:$V$106,MATCH(UnitGradeInfo!B348,ref_Unit_Balance!$B$31:$B$1048576,0))
+
INDEX(ref_Unit_Balance!$AB$31:$AB$106,MATCH(UnitGradeInfo!B348,ref_Unit_Balance!$B$31:$B$1048576,0))*(D348-1)</f>
        <v>8700</v>
      </c>
      <c r="G348" s="5">
        <f>INDEX(ref_Unit_Balance!$R$31:$R$106,MATCH(UnitGradeInfo!B348,ref_Unit_Balance!$B$31:$B$1048576,0))
+
INDEX(ref_Unit_Balance!$AA$31:$AA$106,MATCH(UnitGradeInfo!B348,ref_Unit_Balance!$B$31:$B$1048576,0))*(D348-1)</f>
        <v>890</v>
      </c>
      <c r="H348" s="39">
        <f>IF(INDEX(Unitinfo!D:D,MATCH(UnitGradeInfo!B348,Unitinfo!A:A,0))=1,50,5)</f>
        <v>50</v>
      </c>
      <c r="I348" s="5">
        <f>IF(INDEX(ref_Unit_Balance!$T$31:$T$106,MATCH(UnitGradeInfo!B348,ref_Unit_Balance!$B$31:$B$1048576,0))=0,1,INDEX(ref_Unit_Balance!$T$31:$T$106,MATCH(UnitGradeInfo!B348,ref_Unit_Balance!$B$31:$B$1048576,0)))</f>
        <v>5</v>
      </c>
      <c r="J348" s="5">
        <f>INDEX(ref_Unit_Balance!$S$31:$S$106,MATCH(UnitGradeInfo!B348,ref_Unit_Balance!$B$31:$B$1048576,0))</f>
        <v>1000</v>
      </c>
      <c r="K348" s="5">
        <v>0</v>
      </c>
      <c r="L348" s="5">
        <f>INDEX(ref_Unit_Balance!$I$31:$I$106,MATCH(UnitGradeInfo!B348,ref_Unit_Balance!$B$31:$B$1048576,0))</f>
        <v>2</v>
      </c>
      <c r="M348" s="5">
        <f t="shared" si="38"/>
        <v>40</v>
      </c>
      <c r="N348" s="5">
        <f t="shared" si="39"/>
        <v>400</v>
      </c>
      <c r="O348" s="5">
        <f>(INDEX(Unitinfo!I:I,MATCH(B348,Unitinfo!A:A,0))+1)*2</f>
        <v>6</v>
      </c>
      <c r="P348" s="5">
        <v>0</v>
      </c>
      <c r="Q348" s="5">
        <v>0</v>
      </c>
      <c r="R348" s="19" t="s">
        <v>121</v>
      </c>
      <c r="S348" s="19" t="s">
        <v>121</v>
      </c>
      <c r="T348" s="5">
        <f t="shared" si="40"/>
        <v>2015</v>
      </c>
      <c r="U348" s="5">
        <f t="shared" si="41"/>
        <v>1</v>
      </c>
      <c r="V348" s="5">
        <v>0</v>
      </c>
      <c r="W348" s="5">
        <v>10</v>
      </c>
    </row>
    <row r="349" spans="1:23">
      <c r="A349" s="5">
        <f t="shared" si="34"/>
        <v>346</v>
      </c>
      <c r="B349" s="93">
        <f t="shared" si="35"/>
        <v>2016</v>
      </c>
      <c r="C349" s="20" t="str">
        <f>INDEX(Unitinfo!C:C,MATCH(UnitGradeInfo!B349,Unitinfo!A:A,0))</f>
        <v>(근거리)Orc_Club</v>
      </c>
      <c r="D349" s="5">
        <f>COUNTIF($B$4:B349,B349)</f>
        <v>1</v>
      </c>
      <c r="E349" s="5">
        <f>ROUNDDOWN(INDEX(ref_Unit_Balance!$G$31:$G$106,MATCH(UnitGradeInfo!B349,ref_Unit_Balance!$B$31:$B$1048576,0))
+INDEX(ref_Unit_Balance!$G$20:$G$23,MATCH(IFERROR(INDEX(ref_Unit_Balance!$D$31:$D$1048576,MATCH(B349,ref_Unit_Balance!$B$31:$B$1048576,0)),0),ref_Unit_Balance!$B$20:$B$23,0))*D349*ref_Unit_Balance!$C$25,0)</f>
        <v>275</v>
      </c>
      <c r="F349" s="5">
        <f>INDEX(ref_Unit_Balance!$V$31:$V$106,MATCH(UnitGradeInfo!B349,ref_Unit_Balance!$B$31:$B$1048576,0))
+
INDEX(ref_Unit_Balance!$AB$31:$AB$106,MATCH(UnitGradeInfo!B349,ref_Unit_Balance!$B$31:$B$1048576,0))*(D349-1)</f>
        <v>7000</v>
      </c>
      <c r="G349" s="5">
        <f>INDEX(ref_Unit_Balance!$R$31:$R$106,MATCH(UnitGradeInfo!B349,ref_Unit_Balance!$B$31:$B$1048576,0))
+
INDEX(ref_Unit_Balance!$AA$31:$AA$106,MATCH(UnitGradeInfo!B349,ref_Unit_Balance!$B$31:$B$1048576,0))*(D349-1)</f>
        <v>120</v>
      </c>
      <c r="H349" s="39">
        <f>IF(INDEX(Unitinfo!D:D,MATCH(UnitGradeInfo!B349,Unitinfo!A:A,0))=1,50,5)</f>
        <v>5</v>
      </c>
      <c r="I349" s="5">
        <f>IF(INDEX(ref_Unit_Balance!$T$31:$T$106,MATCH(UnitGradeInfo!B349,ref_Unit_Balance!$B$31:$B$1048576,0))=0,1,INDEX(ref_Unit_Balance!$T$31:$T$106,MATCH(UnitGradeInfo!B349,ref_Unit_Balance!$B$31:$B$1048576,0)))</f>
        <v>10</v>
      </c>
      <c r="J349" s="5">
        <f>INDEX(ref_Unit_Balance!$S$31:$S$106,MATCH(UnitGradeInfo!B349,ref_Unit_Balance!$B$31:$B$1048576,0))</f>
        <v>1000</v>
      </c>
      <c r="K349" s="5">
        <v>0</v>
      </c>
      <c r="L349" s="5">
        <f>INDEX(ref_Unit_Balance!$I$31:$I$106,MATCH(UnitGradeInfo!B349,ref_Unit_Balance!$B$31:$B$1048576,0))</f>
        <v>2</v>
      </c>
      <c r="M349" s="5">
        <f t="shared" si="38"/>
        <v>2</v>
      </c>
      <c r="N349" s="5">
        <f t="shared" si="39"/>
        <v>20</v>
      </c>
      <c r="O349" s="5">
        <f>(INDEX(Unitinfo!I:I,MATCH(B349,Unitinfo!A:A,0))+1)*2</f>
        <v>6</v>
      </c>
      <c r="P349" s="5">
        <v>0</v>
      </c>
      <c r="Q349" s="5">
        <v>0</v>
      </c>
      <c r="R349" s="19" t="s">
        <v>121</v>
      </c>
      <c r="S349" s="19" t="s">
        <v>121</v>
      </c>
      <c r="T349" s="5">
        <f t="shared" si="40"/>
        <v>2016</v>
      </c>
      <c r="U349" s="5">
        <f t="shared" si="41"/>
        <v>1</v>
      </c>
      <c r="V349" s="5">
        <v>0</v>
      </c>
      <c r="W349" s="5">
        <v>10</v>
      </c>
    </row>
    <row r="350" spans="1:23">
      <c r="A350" s="5">
        <f t="shared" si="34"/>
        <v>347</v>
      </c>
      <c r="B350" s="93">
        <f t="shared" si="35"/>
        <v>2016</v>
      </c>
      <c r="C350" s="20" t="str">
        <f>INDEX(Unitinfo!C:C,MATCH(UnitGradeInfo!B350,Unitinfo!A:A,0))</f>
        <v>(근거리)Orc_Club</v>
      </c>
      <c r="D350" s="5">
        <f>COUNTIF($B$4:B350,B350)</f>
        <v>2</v>
      </c>
      <c r="E350" s="5">
        <f>ROUNDDOWN(INDEX(ref_Unit_Balance!$G$31:$G$106,MATCH(UnitGradeInfo!B350,ref_Unit_Balance!$B$31:$B$1048576,0))
+INDEX(ref_Unit_Balance!$G$20:$G$23,MATCH(IFERROR(INDEX(ref_Unit_Balance!$D$31:$D$1048576,MATCH(B350,ref_Unit_Balance!$B$31:$B$1048576,0)),0),ref_Unit_Balance!$B$20:$B$23,0))*D350*ref_Unit_Balance!$C$25,0)</f>
        <v>350</v>
      </c>
      <c r="F350" s="5">
        <f>INDEX(ref_Unit_Balance!$V$31:$V$106,MATCH(UnitGradeInfo!B350,ref_Unit_Balance!$B$31:$B$1048576,0))
+
INDEX(ref_Unit_Balance!$AB$31:$AB$106,MATCH(UnitGradeInfo!B350,ref_Unit_Balance!$B$31:$B$1048576,0))*(D350-1)</f>
        <v>7500</v>
      </c>
      <c r="G350" s="5">
        <f>INDEX(ref_Unit_Balance!$R$31:$R$106,MATCH(UnitGradeInfo!B350,ref_Unit_Balance!$B$31:$B$1048576,0))
+
INDEX(ref_Unit_Balance!$AA$31:$AA$106,MATCH(UnitGradeInfo!B350,ref_Unit_Balance!$B$31:$B$1048576,0))*(D350-1)</f>
        <v>165</v>
      </c>
      <c r="H350" s="39">
        <f>IF(INDEX(Unitinfo!D:D,MATCH(UnitGradeInfo!B350,Unitinfo!A:A,0))=1,50,5)</f>
        <v>5</v>
      </c>
      <c r="I350" s="5">
        <f>IF(INDEX(ref_Unit_Balance!$T$31:$T$106,MATCH(UnitGradeInfo!B350,ref_Unit_Balance!$B$31:$B$1048576,0))=0,1,INDEX(ref_Unit_Balance!$T$31:$T$106,MATCH(UnitGradeInfo!B350,ref_Unit_Balance!$B$31:$B$1048576,0)))</f>
        <v>10</v>
      </c>
      <c r="J350" s="5">
        <f>INDEX(ref_Unit_Balance!$S$31:$S$106,MATCH(UnitGradeInfo!B350,ref_Unit_Balance!$B$31:$B$1048576,0))</f>
        <v>1000</v>
      </c>
      <c r="K350" s="5">
        <v>0</v>
      </c>
      <c r="L350" s="5">
        <f>INDEX(ref_Unit_Balance!$I$31:$I$106,MATCH(UnitGradeInfo!B350,ref_Unit_Balance!$B$31:$B$1048576,0))</f>
        <v>2</v>
      </c>
      <c r="M350" s="5">
        <f t="shared" si="38"/>
        <v>4</v>
      </c>
      <c r="N350" s="5">
        <f t="shared" si="39"/>
        <v>40</v>
      </c>
      <c r="O350" s="5">
        <f>(INDEX(Unitinfo!I:I,MATCH(B350,Unitinfo!A:A,0))+1)*2</f>
        <v>6</v>
      </c>
      <c r="P350" s="5">
        <v>0</v>
      </c>
      <c r="Q350" s="5">
        <v>0</v>
      </c>
      <c r="R350" s="19" t="s">
        <v>121</v>
      </c>
      <c r="S350" s="19" t="s">
        <v>121</v>
      </c>
      <c r="T350" s="5">
        <f t="shared" si="40"/>
        <v>2016</v>
      </c>
      <c r="U350" s="5">
        <f t="shared" si="41"/>
        <v>1</v>
      </c>
      <c r="V350" s="5">
        <v>0</v>
      </c>
      <c r="W350" s="5">
        <v>10</v>
      </c>
    </row>
    <row r="351" spans="1:23">
      <c r="A351" s="5">
        <f t="shared" si="34"/>
        <v>348</v>
      </c>
      <c r="B351" s="93">
        <f t="shared" si="35"/>
        <v>2016</v>
      </c>
      <c r="C351" s="20" t="str">
        <f>INDEX(Unitinfo!C:C,MATCH(UnitGradeInfo!B351,Unitinfo!A:A,0))</f>
        <v>(근거리)Orc_Club</v>
      </c>
      <c r="D351" s="5">
        <f>COUNTIF($B$4:B351,B351)</f>
        <v>3</v>
      </c>
      <c r="E351" s="5">
        <f>ROUNDDOWN(INDEX(ref_Unit_Balance!$G$31:$G$106,MATCH(UnitGradeInfo!B351,ref_Unit_Balance!$B$31:$B$1048576,0))
+INDEX(ref_Unit_Balance!$G$20:$G$23,MATCH(IFERROR(INDEX(ref_Unit_Balance!$D$31:$D$1048576,MATCH(B351,ref_Unit_Balance!$B$31:$B$1048576,0)),0),ref_Unit_Balance!$B$20:$B$23,0))*D351*ref_Unit_Balance!$C$25,0)</f>
        <v>425</v>
      </c>
      <c r="F351" s="5">
        <f>INDEX(ref_Unit_Balance!$V$31:$V$106,MATCH(UnitGradeInfo!B351,ref_Unit_Balance!$B$31:$B$1048576,0))
+
INDEX(ref_Unit_Balance!$AB$31:$AB$106,MATCH(UnitGradeInfo!B351,ref_Unit_Balance!$B$31:$B$1048576,0))*(D351-1)</f>
        <v>8000</v>
      </c>
      <c r="G351" s="5">
        <f>INDEX(ref_Unit_Balance!$R$31:$R$106,MATCH(UnitGradeInfo!B351,ref_Unit_Balance!$B$31:$B$1048576,0))
+
INDEX(ref_Unit_Balance!$AA$31:$AA$106,MATCH(UnitGradeInfo!B351,ref_Unit_Balance!$B$31:$B$1048576,0))*(D351-1)</f>
        <v>210</v>
      </c>
      <c r="H351" s="39">
        <f>IF(INDEX(Unitinfo!D:D,MATCH(UnitGradeInfo!B351,Unitinfo!A:A,0))=1,50,5)</f>
        <v>5</v>
      </c>
      <c r="I351" s="5">
        <f>IF(INDEX(ref_Unit_Balance!$T$31:$T$106,MATCH(UnitGradeInfo!B351,ref_Unit_Balance!$B$31:$B$1048576,0))=0,1,INDEX(ref_Unit_Balance!$T$31:$T$106,MATCH(UnitGradeInfo!B351,ref_Unit_Balance!$B$31:$B$1048576,0)))</f>
        <v>10</v>
      </c>
      <c r="J351" s="5">
        <f>INDEX(ref_Unit_Balance!$S$31:$S$106,MATCH(UnitGradeInfo!B351,ref_Unit_Balance!$B$31:$B$1048576,0))</f>
        <v>1000</v>
      </c>
      <c r="K351" s="5">
        <v>0</v>
      </c>
      <c r="L351" s="5">
        <f>INDEX(ref_Unit_Balance!$I$31:$I$106,MATCH(UnitGradeInfo!B351,ref_Unit_Balance!$B$31:$B$1048576,0))</f>
        <v>2</v>
      </c>
      <c r="M351" s="5">
        <f t="shared" si="38"/>
        <v>6</v>
      </c>
      <c r="N351" s="5">
        <f t="shared" si="39"/>
        <v>60</v>
      </c>
      <c r="O351" s="5">
        <f>(INDEX(Unitinfo!I:I,MATCH(B351,Unitinfo!A:A,0))+1)*2</f>
        <v>6</v>
      </c>
      <c r="P351" s="5">
        <v>0</v>
      </c>
      <c r="Q351" s="5">
        <v>0</v>
      </c>
      <c r="R351" s="19" t="s">
        <v>121</v>
      </c>
      <c r="S351" s="19" t="s">
        <v>121</v>
      </c>
      <c r="T351" s="5">
        <f t="shared" si="40"/>
        <v>2016</v>
      </c>
      <c r="U351" s="5">
        <f t="shared" si="41"/>
        <v>1</v>
      </c>
      <c r="V351" s="5">
        <v>0</v>
      </c>
      <c r="W351" s="5">
        <v>10</v>
      </c>
    </row>
    <row r="352" spans="1:23">
      <c r="A352" s="5">
        <f t="shared" si="34"/>
        <v>349</v>
      </c>
      <c r="B352" s="93">
        <f t="shared" si="35"/>
        <v>2016</v>
      </c>
      <c r="C352" s="20" t="str">
        <f>INDEX(Unitinfo!C:C,MATCH(UnitGradeInfo!B352,Unitinfo!A:A,0))</f>
        <v>(근거리)Orc_Club</v>
      </c>
      <c r="D352" s="5">
        <f>COUNTIF($B$4:B352,B352)</f>
        <v>4</v>
      </c>
      <c r="E352" s="5">
        <f>ROUNDDOWN(INDEX(ref_Unit_Balance!$G$31:$G$106,MATCH(UnitGradeInfo!B352,ref_Unit_Balance!$B$31:$B$1048576,0))
+INDEX(ref_Unit_Balance!$G$20:$G$23,MATCH(IFERROR(INDEX(ref_Unit_Balance!$D$31:$D$1048576,MATCH(B352,ref_Unit_Balance!$B$31:$B$1048576,0)),0),ref_Unit_Balance!$B$20:$B$23,0))*D352*ref_Unit_Balance!$C$25,0)</f>
        <v>500</v>
      </c>
      <c r="F352" s="5">
        <f>INDEX(ref_Unit_Balance!$V$31:$V$106,MATCH(UnitGradeInfo!B352,ref_Unit_Balance!$B$31:$B$1048576,0))
+
INDEX(ref_Unit_Balance!$AB$31:$AB$106,MATCH(UnitGradeInfo!B352,ref_Unit_Balance!$B$31:$B$1048576,0))*(D352-1)</f>
        <v>8500</v>
      </c>
      <c r="G352" s="5">
        <f>INDEX(ref_Unit_Balance!$R$31:$R$106,MATCH(UnitGradeInfo!B352,ref_Unit_Balance!$B$31:$B$1048576,0))
+
INDEX(ref_Unit_Balance!$AA$31:$AA$106,MATCH(UnitGradeInfo!B352,ref_Unit_Balance!$B$31:$B$1048576,0))*(D352-1)</f>
        <v>255</v>
      </c>
      <c r="H352" s="39">
        <f>IF(INDEX(Unitinfo!D:D,MATCH(UnitGradeInfo!B352,Unitinfo!A:A,0))=1,50,5)</f>
        <v>5</v>
      </c>
      <c r="I352" s="5">
        <f>IF(INDEX(ref_Unit_Balance!$T$31:$T$106,MATCH(UnitGradeInfo!B352,ref_Unit_Balance!$B$31:$B$1048576,0))=0,1,INDEX(ref_Unit_Balance!$T$31:$T$106,MATCH(UnitGradeInfo!B352,ref_Unit_Balance!$B$31:$B$1048576,0)))</f>
        <v>10</v>
      </c>
      <c r="J352" s="5">
        <f>INDEX(ref_Unit_Balance!$S$31:$S$106,MATCH(UnitGradeInfo!B352,ref_Unit_Balance!$B$31:$B$1048576,0))</f>
        <v>1000</v>
      </c>
      <c r="K352" s="5">
        <v>0</v>
      </c>
      <c r="L352" s="5">
        <f>INDEX(ref_Unit_Balance!$I$31:$I$106,MATCH(UnitGradeInfo!B352,ref_Unit_Balance!$B$31:$B$1048576,0))</f>
        <v>2</v>
      </c>
      <c r="M352" s="5">
        <f t="shared" si="38"/>
        <v>8</v>
      </c>
      <c r="N352" s="5">
        <f t="shared" si="39"/>
        <v>80</v>
      </c>
      <c r="O352" s="5">
        <f>(INDEX(Unitinfo!I:I,MATCH(B352,Unitinfo!A:A,0))+1)*2</f>
        <v>6</v>
      </c>
      <c r="P352" s="5">
        <v>0</v>
      </c>
      <c r="Q352" s="5">
        <v>0</v>
      </c>
      <c r="R352" s="19" t="s">
        <v>121</v>
      </c>
      <c r="S352" s="19" t="s">
        <v>121</v>
      </c>
      <c r="T352" s="5">
        <f t="shared" si="40"/>
        <v>2016</v>
      </c>
      <c r="U352" s="5">
        <f t="shared" si="41"/>
        <v>1</v>
      </c>
      <c r="V352" s="5">
        <v>0</v>
      </c>
      <c r="W352" s="5">
        <v>10</v>
      </c>
    </row>
    <row r="353" spans="1:23">
      <c r="A353" s="5">
        <f t="shared" si="34"/>
        <v>350</v>
      </c>
      <c r="B353" s="93">
        <f t="shared" si="35"/>
        <v>2016</v>
      </c>
      <c r="C353" s="20" t="str">
        <f>INDEX(Unitinfo!C:C,MATCH(UnitGradeInfo!B353,Unitinfo!A:A,0))</f>
        <v>(근거리)Orc_Club</v>
      </c>
      <c r="D353" s="5">
        <f>COUNTIF($B$4:B353,B353)</f>
        <v>5</v>
      </c>
      <c r="E353" s="5">
        <f>ROUNDDOWN(INDEX(ref_Unit_Balance!$G$31:$G$106,MATCH(UnitGradeInfo!B353,ref_Unit_Balance!$B$31:$B$1048576,0))
+INDEX(ref_Unit_Balance!$G$20:$G$23,MATCH(IFERROR(INDEX(ref_Unit_Balance!$D$31:$D$1048576,MATCH(B353,ref_Unit_Balance!$B$31:$B$1048576,0)),0),ref_Unit_Balance!$B$20:$B$23,0))*D353*ref_Unit_Balance!$C$25,0)</f>
        <v>575</v>
      </c>
      <c r="F353" s="5">
        <f>INDEX(ref_Unit_Balance!$V$31:$V$106,MATCH(UnitGradeInfo!B353,ref_Unit_Balance!$B$31:$B$1048576,0))
+
INDEX(ref_Unit_Balance!$AB$31:$AB$106,MATCH(UnitGradeInfo!B353,ref_Unit_Balance!$B$31:$B$1048576,0))*(D353-1)</f>
        <v>9000</v>
      </c>
      <c r="G353" s="5">
        <f>INDEX(ref_Unit_Balance!$R$31:$R$106,MATCH(UnitGradeInfo!B353,ref_Unit_Balance!$B$31:$B$1048576,0))
+
INDEX(ref_Unit_Balance!$AA$31:$AA$106,MATCH(UnitGradeInfo!B353,ref_Unit_Balance!$B$31:$B$1048576,0))*(D353-1)</f>
        <v>300</v>
      </c>
      <c r="H353" s="39">
        <f>IF(INDEX(Unitinfo!D:D,MATCH(UnitGradeInfo!B353,Unitinfo!A:A,0))=1,50,5)</f>
        <v>5</v>
      </c>
      <c r="I353" s="5">
        <f>IF(INDEX(ref_Unit_Balance!$T$31:$T$106,MATCH(UnitGradeInfo!B353,ref_Unit_Balance!$B$31:$B$1048576,0))=0,1,INDEX(ref_Unit_Balance!$T$31:$T$106,MATCH(UnitGradeInfo!B353,ref_Unit_Balance!$B$31:$B$1048576,0)))</f>
        <v>10</v>
      </c>
      <c r="J353" s="5">
        <f>INDEX(ref_Unit_Balance!$S$31:$S$106,MATCH(UnitGradeInfo!B353,ref_Unit_Balance!$B$31:$B$1048576,0))</f>
        <v>1000</v>
      </c>
      <c r="K353" s="5">
        <v>0</v>
      </c>
      <c r="L353" s="5">
        <f>INDEX(ref_Unit_Balance!$I$31:$I$106,MATCH(UnitGradeInfo!B353,ref_Unit_Balance!$B$31:$B$1048576,0))</f>
        <v>2</v>
      </c>
      <c r="M353" s="5">
        <f t="shared" si="38"/>
        <v>10</v>
      </c>
      <c r="N353" s="5">
        <f t="shared" si="39"/>
        <v>100</v>
      </c>
      <c r="O353" s="5">
        <f>(INDEX(Unitinfo!I:I,MATCH(B353,Unitinfo!A:A,0))+1)*2</f>
        <v>6</v>
      </c>
      <c r="P353" s="5">
        <v>0</v>
      </c>
      <c r="Q353" s="5">
        <v>0</v>
      </c>
      <c r="R353" s="19" t="s">
        <v>121</v>
      </c>
      <c r="S353" s="19" t="s">
        <v>121</v>
      </c>
      <c r="T353" s="5">
        <f t="shared" si="40"/>
        <v>2016</v>
      </c>
      <c r="U353" s="5">
        <f t="shared" si="41"/>
        <v>1</v>
      </c>
      <c r="V353" s="5">
        <v>0</v>
      </c>
      <c r="W353" s="5">
        <v>10</v>
      </c>
    </row>
    <row r="354" spans="1:23">
      <c r="A354" s="5">
        <f t="shared" si="34"/>
        <v>351</v>
      </c>
      <c r="B354" s="93">
        <f t="shared" si="35"/>
        <v>2016</v>
      </c>
      <c r="C354" s="20" t="str">
        <f>INDEX(Unitinfo!C:C,MATCH(UnitGradeInfo!B354,Unitinfo!A:A,0))</f>
        <v>(근거리)Orc_Club</v>
      </c>
      <c r="D354" s="5">
        <f>COUNTIF($B$4:B354,B354)</f>
        <v>6</v>
      </c>
      <c r="E354" s="5">
        <f>ROUNDDOWN(INDEX(ref_Unit_Balance!$G$31:$G$106,MATCH(UnitGradeInfo!B354,ref_Unit_Balance!$B$31:$B$1048576,0))
+INDEX(ref_Unit_Balance!$G$20:$G$23,MATCH(IFERROR(INDEX(ref_Unit_Balance!$D$31:$D$1048576,MATCH(B354,ref_Unit_Balance!$B$31:$B$1048576,0)),0),ref_Unit_Balance!$B$20:$B$23,0))*D354*ref_Unit_Balance!$C$25,0)</f>
        <v>650</v>
      </c>
      <c r="F354" s="5">
        <f>INDEX(ref_Unit_Balance!$V$31:$V$106,MATCH(UnitGradeInfo!B354,ref_Unit_Balance!$B$31:$B$1048576,0))
+
INDEX(ref_Unit_Balance!$AB$31:$AB$106,MATCH(UnitGradeInfo!B354,ref_Unit_Balance!$B$31:$B$1048576,0))*(D354-1)</f>
        <v>9500</v>
      </c>
      <c r="G354" s="5">
        <f>INDEX(ref_Unit_Balance!$R$31:$R$106,MATCH(UnitGradeInfo!B354,ref_Unit_Balance!$B$31:$B$1048576,0))
+
INDEX(ref_Unit_Balance!$AA$31:$AA$106,MATCH(UnitGradeInfo!B354,ref_Unit_Balance!$B$31:$B$1048576,0))*(D354-1)</f>
        <v>345</v>
      </c>
      <c r="H354" s="39">
        <f>IF(INDEX(Unitinfo!D:D,MATCH(UnitGradeInfo!B354,Unitinfo!A:A,0))=1,50,5)</f>
        <v>5</v>
      </c>
      <c r="I354" s="5">
        <f>IF(INDEX(ref_Unit_Balance!$T$31:$T$106,MATCH(UnitGradeInfo!B354,ref_Unit_Balance!$B$31:$B$1048576,0))=0,1,INDEX(ref_Unit_Balance!$T$31:$T$106,MATCH(UnitGradeInfo!B354,ref_Unit_Balance!$B$31:$B$1048576,0)))</f>
        <v>10</v>
      </c>
      <c r="J354" s="5">
        <f>INDEX(ref_Unit_Balance!$S$31:$S$106,MATCH(UnitGradeInfo!B354,ref_Unit_Balance!$B$31:$B$1048576,0))</f>
        <v>1000</v>
      </c>
      <c r="K354" s="5">
        <v>0</v>
      </c>
      <c r="L354" s="5">
        <f>INDEX(ref_Unit_Balance!$I$31:$I$106,MATCH(UnitGradeInfo!B354,ref_Unit_Balance!$B$31:$B$1048576,0))</f>
        <v>2</v>
      </c>
      <c r="M354" s="5">
        <f t="shared" si="38"/>
        <v>12</v>
      </c>
      <c r="N354" s="5">
        <f t="shared" si="39"/>
        <v>120</v>
      </c>
      <c r="O354" s="5">
        <f>(INDEX(Unitinfo!I:I,MATCH(B354,Unitinfo!A:A,0))+1)*2</f>
        <v>6</v>
      </c>
      <c r="P354" s="5">
        <v>0</v>
      </c>
      <c r="Q354" s="5">
        <v>0</v>
      </c>
      <c r="R354" s="19" t="s">
        <v>121</v>
      </c>
      <c r="S354" s="19" t="s">
        <v>121</v>
      </c>
      <c r="T354" s="5">
        <f t="shared" si="40"/>
        <v>2016</v>
      </c>
      <c r="U354" s="5">
        <f t="shared" si="41"/>
        <v>1</v>
      </c>
      <c r="V354" s="5">
        <v>0</v>
      </c>
      <c r="W354" s="5">
        <v>10</v>
      </c>
    </row>
    <row r="355" spans="1:23">
      <c r="A355" s="5">
        <f t="shared" si="34"/>
        <v>352</v>
      </c>
      <c r="B355" s="93">
        <f t="shared" si="35"/>
        <v>2016</v>
      </c>
      <c r="C355" s="20" t="str">
        <f>INDEX(Unitinfo!C:C,MATCH(UnitGradeInfo!B355,Unitinfo!A:A,0))</f>
        <v>(근거리)Orc_Club</v>
      </c>
      <c r="D355" s="5">
        <f>COUNTIF($B$4:B355,B355)</f>
        <v>7</v>
      </c>
      <c r="E355" s="5">
        <f>ROUNDDOWN(INDEX(ref_Unit_Balance!$G$31:$G$106,MATCH(UnitGradeInfo!B355,ref_Unit_Balance!$B$31:$B$1048576,0))
+INDEX(ref_Unit_Balance!$G$20:$G$23,MATCH(IFERROR(INDEX(ref_Unit_Balance!$D$31:$D$1048576,MATCH(B355,ref_Unit_Balance!$B$31:$B$1048576,0)),0),ref_Unit_Balance!$B$20:$B$23,0))*D355*ref_Unit_Balance!$C$25,0)</f>
        <v>725</v>
      </c>
      <c r="F355" s="5">
        <f>INDEX(ref_Unit_Balance!$V$31:$V$106,MATCH(UnitGradeInfo!B355,ref_Unit_Balance!$B$31:$B$1048576,0))
+
INDEX(ref_Unit_Balance!$AB$31:$AB$106,MATCH(UnitGradeInfo!B355,ref_Unit_Balance!$B$31:$B$1048576,0))*(D355-1)</f>
        <v>10000</v>
      </c>
      <c r="G355" s="5">
        <f>INDEX(ref_Unit_Balance!$R$31:$R$106,MATCH(UnitGradeInfo!B355,ref_Unit_Balance!$B$31:$B$1048576,0))
+
INDEX(ref_Unit_Balance!$AA$31:$AA$106,MATCH(UnitGradeInfo!B355,ref_Unit_Balance!$B$31:$B$1048576,0))*(D355-1)</f>
        <v>390</v>
      </c>
      <c r="H355" s="39">
        <f>IF(INDEX(Unitinfo!D:D,MATCH(UnitGradeInfo!B355,Unitinfo!A:A,0))=1,50,5)</f>
        <v>5</v>
      </c>
      <c r="I355" s="5">
        <f>IF(INDEX(ref_Unit_Balance!$T$31:$T$106,MATCH(UnitGradeInfo!B355,ref_Unit_Balance!$B$31:$B$1048576,0))=0,1,INDEX(ref_Unit_Balance!$T$31:$T$106,MATCH(UnitGradeInfo!B355,ref_Unit_Balance!$B$31:$B$1048576,0)))</f>
        <v>10</v>
      </c>
      <c r="J355" s="5">
        <f>INDEX(ref_Unit_Balance!$S$31:$S$106,MATCH(UnitGradeInfo!B355,ref_Unit_Balance!$B$31:$B$1048576,0))</f>
        <v>1000</v>
      </c>
      <c r="K355" s="5">
        <v>0</v>
      </c>
      <c r="L355" s="5">
        <f>INDEX(ref_Unit_Balance!$I$31:$I$106,MATCH(UnitGradeInfo!B355,ref_Unit_Balance!$B$31:$B$1048576,0))</f>
        <v>2</v>
      </c>
      <c r="M355" s="5">
        <f t="shared" si="38"/>
        <v>14</v>
      </c>
      <c r="N355" s="5">
        <f t="shared" si="39"/>
        <v>140</v>
      </c>
      <c r="O355" s="5">
        <f>(INDEX(Unitinfo!I:I,MATCH(B355,Unitinfo!A:A,0))+1)*2</f>
        <v>6</v>
      </c>
      <c r="P355" s="5">
        <v>0</v>
      </c>
      <c r="Q355" s="5">
        <v>0</v>
      </c>
      <c r="R355" s="19" t="s">
        <v>121</v>
      </c>
      <c r="S355" s="19" t="s">
        <v>121</v>
      </c>
      <c r="T355" s="5">
        <f t="shared" si="40"/>
        <v>2016</v>
      </c>
      <c r="U355" s="5">
        <f t="shared" si="41"/>
        <v>1</v>
      </c>
      <c r="V355" s="5">
        <v>0</v>
      </c>
      <c r="W355" s="5">
        <v>10</v>
      </c>
    </row>
    <row r="356" spans="1:23">
      <c r="A356" s="5">
        <f t="shared" si="34"/>
        <v>353</v>
      </c>
      <c r="B356" s="93">
        <f t="shared" si="35"/>
        <v>2016</v>
      </c>
      <c r="C356" s="20" t="str">
        <f>INDEX(Unitinfo!C:C,MATCH(UnitGradeInfo!B356,Unitinfo!A:A,0))</f>
        <v>(근거리)Orc_Club</v>
      </c>
      <c r="D356" s="5">
        <f>COUNTIF($B$4:B356,B356)</f>
        <v>8</v>
      </c>
      <c r="E356" s="5">
        <f>ROUNDDOWN(INDEX(ref_Unit_Balance!$G$31:$G$106,MATCH(UnitGradeInfo!B356,ref_Unit_Balance!$B$31:$B$1048576,0))
+INDEX(ref_Unit_Balance!$G$20:$G$23,MATCH(IFERROR(INDEX(ref_Unit_Balance!$D$31:$D$1048576,MATCH(B356,ref_Unit_Balance!$B$31:$B$1048576,0)),0),ref_Unit_Balance!$B$20:$B$23,0))*D356*ref_Unit_Balance!$C$25,0)</f>
        <v>800</v>
      </c>
      <c r="F356" s="5">
        <f>INDEX(ref_Unit_Balance!$V$31:$V$106,MATCH(UnitGradeInfo!B356,ref_Unit_Balance!$B$31:$B$1048576,0))
+
INDEX(ref_Unit_Balance!$AB$31:$AB$106,MATCH(UnitGradeInfo!B356,ref_Unit_Balance!$B$31:$B$1048576,0))*(D356-1)</f>
        <v>10500</v>
      </c>
      <c r="G356" s="5">
        <f>INDEX(ref_Unit_Balance!$R$31:$R$106,MATCH(UnitGradeInfo!B356,ref_Unit_Balance!$B$31:$B$1048576,0))
+
INDEX(ref_Unit_Balance!$AA$31:$AA$106,MATCH(UnitGradeInfo!B356,ref_Unit_Balance!$B$31:$B$1048576,0))*(D356-1)</f>
        <v>435</v>
      </c>
      <c r="H356" s="39">
        <f>IF(INDEX(Unitinfo!D:D,MATCH(UnitGradeInfo!B356,Unitinfo!A:A,0))=1,50,5)</f>
        <v>5</v>
      </c>
      <c r="I356" s="5">
        <f>IF(INDEX(ref_Unit_Balance!$T$31:$T$106,MATCH(UnitGradeInfo!B356,ref_Unit_Balance!$B$31:$B$1048576,0))=0,1,INDEX(ref_Unit_Balance!$T$31:$T$106,MATCH(UnitGradeInfo!B356,ref_Unit_Balance!$B$31:$B$1048576,0)))</f>
        <v>10</v>
      </c>
      <c r="J356" s="5">
        <f>INDEX(ref_Unit_Balance!$S$31:$S$106,MATCH(UnitGradeInfo!B356,ref_Unit_Balance!$B$31:$B$1048576,0))</f>
        <v>1000</v>
      </c>
      <c r="K356" s="5">
        <v>0</v>
      </c>
      <c r="L356" s="5">
        <f>INDEX(ref_Unit_Balance!$I$31:$I$106,MATCH(UnitGradeInfo!B356,ref_Unit_Balance!$B$31:$B$1048576,0))</f>
        <v>2</v>
      </c>
      <c r="M356" s="5">
        <f t="shared" si="38"/>
        <v>16</v>
      </c>
      <c r="N356" s="5">
        <f t="shared" si="39"/>
        <v>160</v>
      </c>
      <c r="O356" s="5">
        <f>(INDEX(Unitinfo!I:I,MATCH(B356,Unitinfo!A:A,0))+1)*2</f>
        <v>6</v>
      </c>
      <c r="P356" s="5">
        <v>0</v>
      </c>
      <c r="Q356" s="5">
        <v>0</v>
      </c>
      <c r="R356" s="19" t="s">
        <v>121</v>
      </c>
      <c r="S356" s="19" t="s">
        <v>121</v>
      </c>
      <c r="T356" s="5">
        <f t="shared" si="40"/>
        <v>2016</v>
      </c>
      <c r="U356" s="5">
        <f t="shared" si="41"/>
        <v>1</v>
      </c>
      <c r="V356" s="5">
        <v>0</v>
      </c>
      <c r="W356" s="5">
        <v>10</v>
      </c>
    </row>
    <row r="357" spans="1:23">
      <c r="A357" s="5">
        <f t="shared" si="34"/>
        <v>354</v>
      </c>
      <c r="B357" s="93">
        <f t="shared" si="35"/>
        <v>2016</v>
      </c>
      <c r="C357" s="20" t="str">
        <f>INDEX(Unitinfo!C:C,MATCH(UnitGradeInfo!B357,Unitinfo!A:A,0))</f>
        <v>(근거리)Orc_Club</v>
      </c>
      <c r="D357" s="5">
        <f>COUNTIF($B$4:B357,B357)</f>
        <v>9</v>
      </c>
      <c r="E357" s="5">
        <f>ROUNDDOWN(INDEX(ref_Unit_Balance!$G$31:$G$106,MATCH(UnitGradeInfo!B357,ref_Unit_Balance!$B$31:$B$1048576,0))
+INDEX(ref_Unit_Balance!$G$20:$G$23,MATCH(IFERROR(INDEX(ref_Unit_Balance!$D$31:$D$1048576,MATCH(B357,ref_Unit_Balance!$B$31:$B$1048576,0)),0),ref_Unit_Balance!$B$20:$B$23,0))*D357*ref_Unit_Balance!$C$25,0)</f>
        <v>875</v>
      </c>
      <c r="F357" s="5">
        <f>INDEX(ref_Unit_Balance!$V$31:$V$106,MATCH(UnitGradeInfo!B357,ref_Unit_Balance!$B$31:$B$1048576,0))
+
INDEX(ref_Unit_Balance!$AB$31:$AB$106,MATCH(UnitGradeInfo!B357,ref_Unit_Balance!$B$31:$B$1048576,0))*(D357-1)</f>
        <v>11000</v>
      </c>
      <c r="G357" s="5">
        <f>INDEX(ref_Unit_Balance!$R$31:$R$106,MATCH(UnitGradeInfo!B357,ref_Unit_Balance!$B$31:$B$1048576,0))
+
INDEX(ref_Unit_Balance!$AA$31:$AA$106,MATCH(UnitGradeInfo!B357,ref_Unit_Balance!$B$31:$B$1048576,0))*(D357-1)</f>
        <v>480</v>
      </c>
      <c r="H357" s="39">
        <f>IF(INDEX(Unitinfo!D:D,MATCH(UnitGradeInfo!B357,Unitinfo!A:A,0))=1,50,5)</f>
        <v>5</v>
      </c>
      <c r="I357" s="5">
        <f>IF(INDEX(ref_Unit_Balance!$T$31:$T$106,MATCH(UnitGradeInfo!B357,ref_Unit_Balance!$B$31:$B$1048576,0))=0,1,INDEX(ref_Unit_Balance!$T$31:$T$106,MATCH(UnitGradeInfo!B357,ref_Unit_Balance!$B$31:$B$1048576,0)))</f>
        <v>10</v>
      </c>
      <c r="J357" s="5">
        <f>INDEX(ref_Unit_Balance!$S$31:$S$106,MATCH(UnitGradeInfo!B357,ref_Unit_Balance!$B$31:$B$1048576,0))</f>
        <v>1000</v>
      </c>
      <c r="K357" s="5">
        <v>0</v>
      </c>
      <c r="L357" s="5">
        <f>INDEX(ref_Unit_Balance!$I$31:$I$106,MATCH(UnitGradeInfo!B357,ref_Unit_Balance!$B$31:$B$1048576,0))</f>
        <v>2</v>
      </c>
      <c r="M357" s="5">
        <f t="shared" si="38"/>
        <v>18</v>
      </c>
      <c r="N357" s="5">
        <f t="shared" si="39"/>
        <v>180</v>
      </c>
      <c r="O357" s="5">
        <f>(INDEX(Unitinfo!I:I,MATCH(B357,Unitinfo!A:A,0))+1)*2</f>
        <v>6</v>
      </c>
      <c r="P357" s="5">
        <v>0</v>
      </c>
      <c r="Q357" s="5">
        <v>0</v>
      </c>
      <c r="R357" s="19" t="s">
        <v>121</v>
      </c>
      <c r="S357" s="19" t="s">
        <v>121</v>
      </c>
      <c r="T357" s="5">
        <f t="shared" si="40"/>
        <v>2016</v>
      </c>
      <c r="U357" s="5">
        <f t="shared" si="41"/>
        <v>1</v>
      </c>
      <c r="V357" s="5">
        <v>0</v>
      </c>
      <c r="W357" s="5">
        <v>10</v>
      </c>
    </row>
    <row r="358" spans="1:23">
      <c r="A358" s="5">
        <f t="shared" si="34"/>
        <v>355</v>
      </c>
      <c r="B358" s="93">
        <f t="shared" si="35"/>
        <v>2016</v>
      </c>
      <c r="C358" s="20" t="str">
        <f>INDEX(Unitinfo!C:C,MATCH(UnitGradeInfo!B358,Unitinfo!A:A,0))</f>
        <v>(근거리)Orc_Club</v>
      </c>
      <c r="D358" s="5">
        <f>COUNTIF($B$4:B358,B358)</f>
        <v>10</v>
      </c>
      <c r="E358" s="5">
        <f>ROUNDDOWN(INDEX(ref_Unit_Balance!$G$31:$G$106,MATCH(UnitGradeInfo!B358,ref_Unit_Balance!$B$31:$B$1048576,0))
+INDEX(ref_Unit_Balance!$G$20:$G$23,MATCH(IFERROR(INDEX(ref_Unit_Balance!$D$31:$D$1048576,MATCH(B358,ref_Unit_Balance!$B$31:$B$1048576,0)),0),ref_Unit_Balance!$B$20:$B$23,0))*D358*ref_Unit_Balance!$C$25,0)</f>
        <v>950</v>
      </c>
      <c r="F358" s="5">
        <f>INDEX(ref_Unit_Balance!$V$31:$V$106,MATCH(UnitGradeInfo!B358,ref_Unit_Balance!$B$31:$B$1048576,0))
+
INDEX(ref_Unit_Balance!$AB$31:$AB$106,MATCH(UnitGradeInfo!B358,ref_Unit_Balance!$B$31:$B$1048576,0))*(D358-1)</f>
        <v>11500</v>
      </c>
      <c r="G358" s="5">
        <f>INDEX(ref_Unit_Balance!$R$31:$R$106,MATCH(UnitGradeInfo!B358,ref_Unit_Balance!$B$31:$B$1048576,0))
+
INDEX(ref_Unit_Balance!$AA$31:$AA$106,MATCH(UnitGradeInfo!B358,ref_Unit_Balance!$B$31:$B$1048576,0))*(D358-1)</f>
        <v>525</v>
      </c>
      <c r="H358" s="39">
        <f>IF(INDEX(Unitinfo!D:D,MATCH(UnitGradeInfo!B358,Unitinfo!A:A,0))=1,50,5)</f>
        <v>5</v>
      </c>
      <c r="I358" s="5">
        <f>IF(INDEX(ref_Unit_Balance!$T$31:$T$106,MATCH(UnitGradeInfo!B358,ref_Unit_Balance!$B$31:$B$1048576,0))=0,1,INDEX(ref_Unit_Balance!$T$31:$T$106,MATCH(UnitGradeInfo!B358,ref_Unit_Balance!$B$31:$B$1048576,0)))</f>
        <v>10</v>
      </c>
      <c r="J358" s="5">
        <f>INDEX(ref_Unit_Balance!$S$31:$S$106,MATCH(UnitGradeInfo!B358,ref_Unit_Balance!$B$31:$B$1048576,0))</f>
        <v>1000</v>
      </c>
      <c r="K358" s="5">
        <v>0</v>
      </c>
      <c r="L358" s="5">
        <f>INDEX(ref_Unit_Balance!$I$31:$I$106,MATCH(UnitGradeInfo!B358,ref_Unit_Balance!$B$31:$B$1048576,0))</f>
        <v>2</v>
      </c>
      <c r="M358" s="5">
        <f t="shared" si="38"/>
        <v>20</v>
      </c>
      <c r="N358" s="5">
        <f t="shared" si="39"/>
        <v>200</v>
      </c>
      <c r="O358" s="5">
        <f>(INDEX(Unitinfo!I:I,MATCH(B358,Unitinfo!A:A,0))+1)*2</f>
        <v>6</v>
      </c>
      <c r="P358" s="5">
        <v>0</v>
      </c>
      <c r="Q358" s="5">
        <v>0</v>
      </c>
      <c r="R358" s="19" t="s">
        <v>121</v>
      </c>
      <c r="S358" s="19" t="s">
        <v>121</v>
      </c>
      <c r="T358" s="5">
        <f t="shared" si="40"/>
        <v>2016</v>
      </c>
      <c r="U358" s="5">
        <f t="shared" si="41"/>
        <v>1</v>
      </c>
      <c r="V358" s="5">
        <v>0</v>
      </c>
      <c r="W358" s="5">
        <v>10</v>
      </c>
    </row>
    <row r="359" spans="1:23">
      <c r="A359" s="5">
        <f t="shared" si="34"/>
        <v>356</v>
      </c>
      <c r="B359" s="93">
        <f t="shared" si="35"/>
        <v>2016</v>
      </c>
      <c r="C359" s="20" t="str">
        <f>INDEX(Unitinfo!C:C,MATCH(UnitGradeInfo!B359,Unitinfo!A:A,0))</f>
        <v>(근거리)Orc_Club</v>
      </c>
      <c r="D359" s="5">
        <f>COUNTIF($B$4:B359,B359)</f>
        <v>11</v>
      </c>
      <c r="E359" s="5">
        <f>ROUNDDOWN(INDEX(ref_Unit_Balance!$G$31:$G$106,MATCH(UnitGradeInfo!B359,ref_Unit_Balance!$B$31:$B$1048576,0))
+INDEX(ref_Unit_Balance!$G$20:$G$23,MATCH(IFERROR(INDEX(ref_Unit_Balance!$D$31:$D$1048576,MATCH(B359,ref_Unit_Balance!$B$31:$B$1048576,0)),0),ref_Unit_Balance!$B$20:$B$23,0))*D359*ref_Unit_Balance!$C$25,0)</f>
        <v>1025</v>
      </c>
      <c r="F359" s="5">
        <f>INDEX(ref_Unit_Balance!$V$31:$V$106,MATCH(UnitGradeInfo!B359,ref_Unit_Balance!$B$31:$B$1048576,0))
+
INDEX(ref_Unit_Balance!$AB$31:$AB$106,MATCH(UnitGradeInfo!B359,ref_Unit_Balance!$B$31:$B$1048576,0))*(D359-1)</f>
        <v>12000</v>
      </c>
      <c r="G359" s="5">
        <f>INDEX(ref_Unit_Balance!$R$31:$R$106,MATCH(UnitGradeInfo!B359,ref_Unit_Balance!$B$31:$B$1048576,0))
+
INDEX(ref_Unit_Balance!$AA$31:$AA$106,MATCH(UnitGradeInfo!B359,ref_Unit_Balance!$B$31:$B$1048576,0))*(D359-1)</f>
        <v>570</v>
      </c>
      <c r="H359" s="39">
        <f>IF(INDEX(Unitinfo!D:D,MATCH(UnitGradeInfo!B359,Unitinfo!A:A,0))=1,50,5)</f>
        <v>5</v>
      </c>
      <c r="I359" s="5">
        <f>IF(INDEX(ref_Unit_Balance!$T$31:$T$106,MATCH(UnitGradeInfo!B359,ref_Unit_Balance!$B$31:$B$1048576,0))=0,1,INDEX(ref_Unit_Balance!$T$31:$T$106,MATCH(UnitGradeInfo!B359,ref_Unit_Balance!$B$31:$B$1048576,0)))</f>
        <v>10</v>
      </c>
      <c r="J359" s="5">
        <f>INDEX(ref_Unit_Balance!$S$31:$S$106,MATCH(UnitGradeInfo!B359,ref_Unit_Balance!$B$31:$B$1048576,0))</f>
        <v>1000</v>
      </c>
      <c r="K359" s="5">
        <v>0</v>
      </c>
      <c r="L359" s="5">
        <f>INDEX(ref_Unit_Balance!$I$31:$I$106,MATCH(UnitGradeInfo!B359,ref_Unit_Balance!$B$31:$B$1048576,0))</f>
        <v>2</v>
      </c>
      <c r="M359" s="5">
        <f t="shared" si="38"/>
        <v>22</v>
      </c>
      <c r="N359" s="5">
        <f t="shared" si="39"/>
        <v>220</v>
      </c>
      <c r="O359" s="5">
        <f>(INDEX(Unitinfo!I:I,MATCH(B359,Unitinfo!A:A,0))+1)*2</f>
        <v>6</v>
      </c>
      <c r="P359" s="5">
        <v>0</v>
      </c>
      <c r="Q359" s="5">
        <v>0</v>
      </c>
      <c r="R359" s="19" t="s">
        <v>121</v>
      </c>
      <c r="S359" s="19" t="s">
        <v>121</v>
      </c>
      <c r="T359" s="5">
        <f t="shared" si="40"/>
        <v>2016</v>
      </c>
      <c r="U359" s="5">
        <f t="shared" si="41"/>
        <v>1</v>
      </c>
      <c r="V359" s="5">
        <v>0</v>
      </c>
      <c r="W359" s="5">
        <v>10</v>
      </c>
    </row>
    <row r="360" spans="1:23">
      <c r="A360" s="5">
        <f t="shared" ref="A360:A423" si="42">A359+1</f>
        <v>357</v>
      </c>
      <c r="B360" s="93">
        <f t="shared" si="35"/>
        <v>2016</v>
      </c>
      <c r="C360" s="20" t="str">
        <f>INDEX(Unitinfo!C:C,MATCH(UnitGradeInfo!B360,Unitinfo!A:A,0))</f>
        <v>(근거리)Orc_Club</v>
      </c>
      <c r="D360" s="5">
        <f>COUNTIF($B$4:B360,B360)</f>
        <v>12</v>
      </c>
      <c r="E360" s="5">
        <f>ROUNDDOWN(INDEX(ref_Unit_Balance!$G$31:$G$106,MATCH(UnitGradeInfo!B360,ref_Unit_Balance!$B$31:$B$1048576,0))
+INDEX(ref_Unit_Balance!$G$20:$G$23,MATCH(IFERROR(INDEX(ref_Unit_Balance!$D$31:$D$1048576,MATCH(B360,ref_Unit_Balance!$B$31:$B$1048576,0)),0),ref_Unit_Balance!$B$20:$B$23,0))*D360*ref_Unit_Balance!$C$25,0)</f>
        <v>1100</v>
      </c>
      <c r="F360" s="5">
        <f>INDEX(ref_Unit_Balance!$V$31:$V$106,MATCH(UnitGradeInfo!B360,ref_Unit_Balance!$B$31:$B$1048576,0))
+
INDEX(ref_Unit_Balance!$AB$31:$AB$106,MATCH(UnitGradeInfo!B360,ref_Unit_Balance!$B$31:$B$1048576,0))*(D360-1)</f>
        <v>12500</v>
      </c>
      <c r="G360" s="5">
        <f>INDEX(ref_Unit_Balance!$R$31:$R$106,MATCH(UnitGradeInfo!B360,ref_Unit_Balance!$B$31:$B$1048576,0))
+
INDEX(ref_Unit_Balance!$AA$31:$AA$106,MATCH(UnitGradeInfo!B360,ref_Unit_Balance!$B$31:$B$1048576,0))*(D360-1)</f>
        <v>615</v>
      </c>
      <c r="H360" s="39">
        <f>IF(INDEX(Unitinfo!D:D,MATCH(UnitGradeInfo!B360,Unitinfo!A:A,0))=1,50,5)</f>
        <v>5</v>
      </c>
      <c r="I360" s="5">
        <f>IF(INDEX(ref_Unit_Balance!$T$31:$T$106,MATCH(UnitGradeInfo!B360,ref_Unit_Balance!$B$31:$B$1048576,0))=0,1,INDEX(ref_Unit_Balance!$T$31:$T$106,MATCH(UnitGradeInfo!B360,ref_Unit_Balance!$B$31:$B$1048576,0)))</f>
        <v>10</v>
      </c>
      <c r="J360" s="5">
        <f>INDEX(ref_Unit_Balance!$S$31:$S$106,MATCH(UnitGradeInfo!B360,ref_Unit_Balance!$B$31:$B$1048576,0))</f>
        <v>1000</v>
      </c>
      <c r="K360" s="5">
        <v>0</v>
      </c>
      <c r="L360" s="5">
        <f>INDEX(ref_Unit_Balance!$I$31:$I$106,MATCH(UnitGradeInfo!B360,ref_Unit_Balance!$B$31:$B$1048576,0))</f>
        <v>2</v>
      </c>
      <c r="M360" s="5">
        <f t="shared" si="38"/>
        <v>24</v>
      </c>
      <c r="N360" s="5">
        <f t="shared" si="39"/>
        <v>240</v>
      </c>
      <c r="O360" s="5">
        <f>(INDEX(Unitinfo!I:I,MATCH(B360,Unitinfo!A:A,0))+1)*2</f>
        <v>6</v>
      </c>
      <c r="P360" s="5">
        <v>0</v>
      </c>
      <c r="Q360" s="5">
        <v>0</v>
      </c>
      <c r="R360" s="19" t="s">
        <v>121</v>
      </c>
      <c r="S360" s="19" t="s">
        <v>121</v>
      </c>
      <c r="T360" s="5">
        <f t="shared" si="40"/>
        <v>2016</v>
      </c>
      <c r="U360" s="5">
        <f t="shared" si="41"/>
        <v>1</v>
      </c>
      <c r="V360" s="5">
        <v>0</v>
      </c>
      <c r="W360" s="5">
        <v>10</v>
      </c>
    </row>
    <row r="361" spans="1:23">
      <c r="A361" s="5">
        <f t="shared" si="42"/>
        <v>358</v>
      </c>
      <c r="B361" s="93">
        <f t="shared" si="35"/>
        <v>2016</v>
      </c>
      <c r="C361" s="20" t="str">
        <f>INDEX(Unitinfo!C:C,MATCH(UnitGradeInfo!B361,Unitinfo!A:A,0))</f>
        <v>(근거리)Orc_Club</v>
      </c>
      <c r="D361" s="5">
        <f>COUNTIF($B$4:B361,B361)</f>
        <v>13</v>
      </c>
      <c r="E361" s="5">
        <f>ROUNDDOWN(INDEX(ref_Unit_Balance!$G$31:$G$106,MATCH(UnitGradeInfo!B361,ref_Unit_Balance!$B$31:$B$1048576,0))
+INDEX(ref_Unit_Balance!$G$20:$G$23,MATCH(IFERROR(INDEX(ref_Unit_Balance!$D$31:$D$1048576,MATCH(B361,ref_Unit_Balance!$B$31:$B$1048576,0)),0),ref_Unit_Balance!$B$20:$B$23,0))*D361*ref_Unit_Balance!$C$25,0)</f>
        <v>1175</v>
      </c>
      <c r="F361" s="5">
        <f>INDEX(ref_Unit_Balance!$V$31:$V$106,MATCH(UnitGradeInfo!B361,ref_Unit_Balance!$B$31:$B$1048576,0))
+
INDEX(ref_Unit_Balance!$AB$31:$AB$106,MATCH(UnitGradeInfo!B361,ref_Unit_Balance!$B$31:$B$1048576,0))*(D361-1)</f>
        <v>13000</v>
      </c>
      <c r="G361" s="5">
        <f>INDEX(ref_Unit_Balance!$R$31:$R$106,MATCH(UnitGradeInfo!B361,ref_Unit_Balance!$B$31:$B$1048576,0))
+
INDEX(ref_Unit_Balance!$AA$31:$AA$106,MATCH(UnitGradeInfo!B361,ref_Unit_Balance!$B$31:$B$1048576,0))*(D361-1)</f>
        <v>660</v>
      </c>
      <c r="H361" s="39">
        <f>IF(INDEX(Unitinfo!D:D,MATCH(UnitGradeInfo!B361,Unitinfo!A:A,0))=1,50,5)</f>
        <v>5</v>
      </c>
      <c r="I361" s="5">
        <f>IF(INDEX(ref_Unit_Balance!$T$31:$T$106,MATCH(UnitGradeInfo!B361,ref_Unit_Balance!$B$31:$B$1048576,0))=0,1,INDEX(ref_Unit_Balance!$T$31:$T$106,MATCH(UnitGradeInfo!B361,ref_Unit_Balance!$B$31:$B$1048576,0)))</f>
        <v>10</v>
      </c>
      <c r="J361" s="5">
        <f>INDEX(ref_Unit_Balance!$S$31:$S$106,MATCH(UnitGradeInfo!B361,ref_Unit_Balance!$B$31:$B$1048576,0))</f>
        <v>1000</v>
      </c>
      <c r="K361" s="5">
        <v>0</v>
      </c>
      <c r="L361" s="5">
        <f>INDEX(ref_Unit_Balance!$I$31:$I$106,MATCH(UnitGradeInfo!B361,ref_Unit_Balance!$B$31:$B$1048576,0))</f>
        <v>2</v>
      </c>
      <c r="M361" s="5">
        <f t="shared" si="38"/>
        <v>26</v>
      </c>
      <c r="N361" s="5">
        <f t="shared" si="39"/>
        <v>260</v>
      </c>
      <c r="O361" s="5">
        <f>(INDEX(Unitinfo!I:I,MATCH(B361,Unitinfo!A:A,0))+1)*2</f>
        <v>6</v>
      </c>
      <c r="P361" s="5">
        <v>0</v>
      </c>
      <c r="Q361" s="5">
        <v>0</v>
      </c>
      <c r="R361" s="19" t="s">
        <v>121</v>
      </c>
      <c r="S361" s="19" t="s">
        <v>121</v>
      </c>
      <c r="T361" s="5">
        <f t="shared" si="40"/>
        <v>2016</v>
      </c>
      <c r="U361" s="5">
        <f t="shared" si="41"/>
        <v>1</v>
      </c>
      <c r="V361" s="5">
        <v>0</v>
      </c>
      <c r="W361" s="5">
        <v>10</v>
      </c>
    </row>
    <row r="362" spans="1:23">
      <c r="A362" s="5">
        <f t="shared" si="42"/>
        <v>359</v>
      </c>
      <c r="B362" s="93">
        <f t="shared" si="35"/>
        <v>2016</v>
      </c>
      <c r="C362" s="20" t="str">
        <f>INDEX(Unitinfo!C:C,MATCH(UnitGradeInfo!B362,Unitinfo!A:A,0))</f>
        <v>(근거리)Orc_Club</v>
      </c>
      <c r="D362" s="5">
        <f>COUNTIF($B$4:B362,B362)</f>
        <v>14</v>
      </c>
      <c r="E362" s="5">
        <f>ROUNDDOWN(INDEX(ref_Unit_Balance!$G$31:$G$106,MATCH(UnitGradeInfo!B362,ref_Unit_Balance!$B$31:$B$1048576,0))
+INDEX(ref_Unit_Balance!$G$20:$G$23,MATCH(IFERROR(INDEX(ref_Unit_Balance!$D$31:$D$1048576,MATCH(B362,ref_Unit_Balance!$B$31:$B$1048576,0)),0),ref_Unit_Balance!$B$20:$B$23,0))*D362*ref_Unit_Balance!$C$25,0)</f>
        <v>1250</v>
      </c>
      <c r="F362" s="5">
        <f>INDEX(ref_Unit_Balance!$V$31:$V$106,MATCH(UnitGradeInfo!B362,ref_Unit_Balance!$B$31:$B$1048576,0))
+
INDEX(ref_Unit_Balance!$AB$31:$AB$106,MATCH(UnitGradeInfo!B362,ref_Unit_Balance!$B$31:$B$1048576,0))*(D362-1)</f>
        <v>13500</v>
      </c>
      <c r="G362" s="5">
        <f>INDEX(ref_Unit_Balance!$R$31:$R$106,MATCH(UnitGradeInfo!B362,ref_Unit_Balance!$B$31:$B$1048576,0))
+
INDEX(ref_Unit_Balance!$AA$31:$AA$106,MATCH(UnitGradeInfo!B362,ref_Unit_Balance!$B$31:$B$1048576,0))*(D362-1)</f>
        <v>705</v>
      </c>
      <c r="H362" s="39">
        <f>IF(INDEX(Unitinfo!D:D,MATCH(UnitGradeInfo!B362,Unitinfo!A:A,0))=1,50,5)</f>
        <v>5</v>
      </c>
      <c r="I362" s="5">
        <f>IF(INDEX(ref_Unit_Balance!$T$31:$T$106,MATCH(UnitGradeInfo!B362,ref_Unit_Balance!$B$31:$B$1048576,0))=0,1,INDEX(ref_Unit_Balance!$T$31:$T$106,MATCH(UnitGradeInfo!B362,ref_Unit_Balance!$B$31:$B$1048576,0)))</f>
        <v>10</v>
      </c>
      <c r="J362" s="5">
        <f>INDEX(ref_Unit_Balance!$S$31:$S$106,MATCH(UnitGradeInfo!B362,ref_Unit_Balance!$B$31:$B$1048576,0))</f>
        <v>1000</v>
      </c>
      <c r="K362" s="5">
        <v>0</v>
      </c>
      <c r="L362" s="5">
        <f>INDEX(ref_Unit_Balance!$I$31:$I$106,MATCH(UnitGradeInfo!B362,ref_Unit_Balance!$B$31:$B$1048576,0))</f>
        <v>2</v>
      </c>
      <c r="M362" s="5">
        <f t="shared" si="38"/>
        <v>28</v>
      </c>
      <c r="N362" s="5">
        <f t="shared" si="39"/>
        <v>280</v>
      </c>
      <c r="O362" s="5">
        <f>(INDEX(Unitinfo!I:I,MATCH(B362,Unitinfo!A:A,0))+1)*2</f>
        <v>6</v>
      </c>
      <c r="P362" s="5">
        <v>0</v>
      </c>
      <c r="Q362" s="5">
        <v>0</v>
      </c>
      <c r="R362" s="19" t="s">
        <v>121</v>
      </c>
      <c r="S362" s="19" t="s">
        <v>121</v>
      </c>
      <c r="T362" s="5">
        <f t="shared" si="40"/>
        <v>2016</v>
      </c>
      <c r="U362" s="5">
        <f t="shared" si="41"/>
        <v>1</v>
      </c>
      <c r="V362" s="5">
        <v>0</v>
      </c>
      <c r="W362" s="5">
        <v>10</v>
      </c>
    </row>
    <row r="363" spans="1:23">
      <c r="A363" s="5">
        <f t="shared" si="42"/>
        <v>360</v>
      </c>
      <c r="B363" s="93">
        <f t="shared" si="35"/>
        <v>2016</v>
      </c>
      <c r="C363" s="20" t="str">
        <f>INDEX(Unitinfo!C:C,MATCH(UnitGradeInfo!B363,Unitinfo!A:A,0))</f>
        <v>(근거리)Orc_Club</v>
      </c>
      <c r="D363" s="5">
        <f>COUNTIF($B$4:B363,B363)</f>
        <v>15</v>
      </c>
      <c r="E363" s="5">
        <f>ROUNDDOWN(INDEX(ref_Unit_Balance!$G$31:$G$106,MATCH(UnitGradeInfo!B363,ref_Unit_Balance!$B$31:$B$1048576,0))
+INDEX(ref_Unit_Balance!$G$20:$G$23,MATCH(IFERROR(INDEX(ref_Unit_Balance!$D$31:$D$1048576,MATCH(B363,ref_Unit_Balance!$B$31:$B$1048576,0)),0),ref_Unit_Balance!$B$20:$B$23,0))*D363*ref_Unit_Balance!$C$25,0)</f>
        <v>1325</v>
      </c>
      <c r="F363" s="5">
        <f>INDEX(ref_Unit_Balance!$V$31:$V$106,MATCH(UnitGradeInfo!B363,ref_Unit_Balance!$B$31:$B$1048576,0))
+
INDEX(ref_Unit_Balance!$AB$31:$AB$106,MATCH(UnitGradeInfo!B363,ref_Unit_Balance!$B$31:$B$1048576,0))*(D363-1)</f>
        <v>14000</v>
      </c>
      <c r="G363" s="5">
        <f>INDEX(ref_Unit_Balance!$R$31:$R$106,MATCH(UnitGradeInfo!B363,ref_Unit_Balance!$B$31:$B$1048576,0))
+
INDEX(ref_Unit_Balance!$AA$31:$AA$106,MATCH(UnitGradeInfo!B363,ref_Unit_Balance!$B$31:$B$1048576,0))*(D363-1)</f>
        <v>750</v>
      </c>
      <c r="H363" s="39">
        <f>IF(INDEX(Unitinfo!D:D,MATCH(UnitGradeInfo!B363,Unitinfo!A:A,0))=1,50,5)</f>
        <v>5</v>
      </c>
      <c r="I363" s="5">
        <f>IF(INDEX(ref_Unit_Balance!$T$31:$T$106,MATCH(UnitGradeInfo!B363,ref_Unit_Balance!$B$31:$B$1048576,0))=0,1,INDEX(ref_Unit_Balance!$T$31:$T$106,MATCH(UnitGradeInfo!B363,ref_Unit_Balance!$B$31:$B$1048576,0)))</f>
        <v>10</v>
      </c>
      <c r="J363" s="5">
        <f>INDEX(ref_Unit_Balance!$S$31:$S$106,MATCH(UnitGradeInfo!B363,ref_Unit_Balance!$B$31:$B$1048576,0))</f>
        <v>1000</v>
      </c>
      <c r="K363" s="5">
        <v>0</v>
      </c>
      <c r="L363" s="5">
        <f>INDEX(ref_Unit_Balance!$I$31:$I$106,MATCH(UnitGradeInfo!B363,ref_Unit_Balance!$B$31:$B$1048576,0))</f>
        <v>2</v>
      </c>
      <c r="M363" s="5">
        <f t="shared" si="38"/>
        <v>30</v>
      </c>
      <c r="N363" s="5">
        <f t="shared" si="39"/>
        <v>300</v>
      </c>
      <c r="O363" s="5">
        <f>(INDEX(Unitinfo!I:I,MATCH(B363,Unitinfo!A:A,0))+1)*2</f>
        <v>6</v>
      </c>
      <c r="P363" s="5">
        <v>0</v>
      </c>
      <c r="Q363" s="5">
        <v>0</v>
      </c>
      <c r="R363" s="19" t="s">
        <v>121</v>
      </c>
      <c r="S363" s="19" t="s">
        <v>121</v>
      </c>
      <c r="T363" s="5">
        <f t="shared" si="40"/>
        <v>2016</v>
      </c>
      <c r="U363" s="5">
        <f t="shared" si="41"/>
        <v>1</v>
      </c>
      <c r="V363" s="5">
        <v>0</v>
      </c>
      <c r="W363" s="5">
        <v>10</v>
      </c>
    </row>
    <row r="364" spans="1:23">
      <c r="A364" s="5">
        <f t="shared" si="42"/>
        <v>361</v>
      </c>
      <c r="B364" s="93">
        <f t="shared" si="35"/>
        <v>2016</v>
      </c>
      <c r="C364" s="20" t="str">
        <f>INDEX(Unitinfo!C:C,MATCH(UnitGradeInfo!B364,Unitinfo!A:A,0))</f>
        <v>(근거리)Orc_Club</v>
      </c>
      <c r="D364" s="5">
        <f>COUNTIF($B$4:B364,B364)</f>
        <v>16</v>
      </c>
      <c r="E364" s="5">
        <f>ROUNDDOWN(INDEX(ref_Unit_Balance!$G$31:$G$106,MATCH(UnitGradeInfo!B364,ref_Unit_Balance!$B$31:$B$1048576,0))
+INDEX(ref_Unit_Balance!$G$20:$G$23,MATCH(IFERROR(INDEX(ref_Unit_Balance!$D$31:$D$1048576,MATCH(B364,ref_Unit_Balance!$B$31:$B$1048576,0)),0),ref_Unit_Balance!$B$20:$B$23,0))*D364*ref_Unit_Balance!$C$25,0)</f>
        <v>1400</v>
      </c>
      <c r="F364" s="5">
        <f>INDEX(ref_Unit_Balance!$V$31:$V$106,MATCH(UnitGradeInfo!B364,ref_Unit_Balance!$B$31:$B$1048576,0))
+
INDEX(ref_Unit_Balance!$AB$31:$AB$106,MATCH(UnitGradeInfo!B364,ref_Unit_Balance!$B$31:$B$1048576,0))*(D364-1)</f>
        <v>14500</v>
      </c>
      <c r="G364" s="5">
        <f>INDEX(ref_Unit_Balance!$R$31:$R$106,MATCH(UnitGradeInfo!B364,ref_Unit_Balance!$B$31:$B$1048576,0))
+
INDEX(ref_Unit_Balance!$AA$31:$AA$106,MATCH(UnitGradeInfo!B364,ref_Unit_Balance!$B$31:$B$1048576,0))*(D364-1)</f>
        <v>795</v>
      </c>
      <c r="H364" s="39">
        <f>IF(INDEX(Unitinfo!D:D,MATCH(UnitGradeInfo!B364,Unitinfo!A:A,0))=1,50,5)</f>
        <v>5</v>
      </c>
      <c r="I364" s="5">
        <f>IF(INDEX(ref_Unit_Balance!$T$31:$T$106,MATCH(UnitGradeInfo!B364,ref_Unit_Balance!$B$31:$B$1048576,0))=0,1,INDEX(ref_Unit_Balance!$T$31:$T$106,MATCH(UnitGradeInfo!B364,ref_Unit_Balance!$B$31:$B$1048576,0)))</f>
        <v>10</v>
      </c>
      <c r="J364" s="5">
        <f>INDEX(ref_Unit_Balance!$S$31:$S$106,MATCH(UnitGradeInfo!B364,ref_Unit_Balance!$B$31:$B$1048576,0))</f>
        <v>1000</v>
      </c>
      <c r="K364" s="5">
        <v>0</v>
      </c>
      <c r="L364" s="5">
        <f>INDEX(ref_Unit_Balance!$I$31:$I$106,MATCH(UnitGradeInfo!B364,ref_Unit_Balance!$B$31:$B$1048576,0))</f>
        <v>2</v>
      </c>
      <c r="M364" s="5">
        <f t="shared" si="38"/>
        <v>32</v>
      </c>
      <c r="N364" s="5">
        <f t="shared" si="39"/>
        <v>320</v>
      </c>
      <c r="O364" s="5">
        <f>(INDEX(Unitinfo!I:I,MATCH(B364,Unitinfo!A:A,0))+1)*2</f>
        <v>6</v>
      </c>
      <c r="P364" s="5">
        <v>0</v>
      </c>
      <c r="Q364" s="5">
        <v>0</v>
      </c>
      <c r="R364" s="19" t="s">
        <v>121</v>
      </c>
      <c r="S364" s="19" t="s">
        <v>121</v>
      </c>
      <c r="T364" s="5">
        <f t="shared" si="40"/>
        <v>2016</v>
      </c>
      <c r="U364" s="5">
        <f t="shared" si="41"/>
        <v>1</v>
      </c>
      <c r="V364" s="5">
        <v>0</v>
      </c>
      <c r="W364" s="5">
        <v>10</v>
      </c>
    </row>
    <row r="365" spans="1:23">
      <c r="A365" s="5">
        <f t="shared" si="42"/>
        <v>362</v>
      </c>
      <c r="B365" s="93">
        <f t="shared" si="35"/>
        <v>2016</v>
      </c>
      <c r="C365" s="20" t="str">
        <f>INDEX(Unitinfo!C:C,MATCH(UnitGradeInfo!B365,Unitinfo!A:A,0))</f>
        <v>(근거리)Orc_Club</v>
      </c>
      <c r="D365" s="5">
        <f>COUNTIF($B$4:B365,B365)</f>
        <v>17</v>
      </c>
      <c r="E365" s="5">
        <f>ROUNDDOWN(INDEX(ref_Unit_Balance!$G$31:$G$106,MATCH(UnitGradeInfo!B365,ref_Unit_Balance!$B$31:$B$1048576,0))
+INDEX(ref_Unit_Balance!$G$20:$G$23,MATCH(IFERROR(INDEX(ref_Unit_Balance!$D$31:$D$1048576,MATCH(B365,ref_Unit_Balance!$B$31:$B$1048576,0)),0),ref_Unit_Balance!$B$20:$B$23,0))*D365*ref_Unit_Balance!$C$25,0)</f>
        <v>1475</v>
      </c>
      <c r="F365" s="5">
        <f>INDEX(ref_Unit_Balance!$V$31:$V$106,MATCH(UnitGradeInfo!B365,ref_Unit_Balance!$B$31:$B$1048576,0))
+
INDEX(ref_Unit_Balance!$AB$31:$AB$106,MATCH(UnitGradeInfo!B365,ref_Unit_Balance!$B$31:$B$1048576,0))*(D365-1)</f>
        <v>15000</v>
      </c>
      <c r="G365" s="5">
        <f>INDEX(ref_Unit_Balance!$R$31:$R$106,MATCH(UnitGradeInfo!B365,ref_Unit_Balance!$B$31:$B$1048576,0))
+
INDEX(ref_Unit_Balance!$AA$31:$AA$106,MATCH(UnitGradeInfo!B365,ref_Unit_Balance!$B$31:$B$1048576,0))*(D365-1)</f>
        <v>840</v>
      </c>
      <c r="H365" s="39">
        <f>IF(INDEX(Unitinfo!D:D,MATCH(UnitGradeInfo!B365,Unitinfo!A:A,0))=1,50,5)</f>
        <v>5</v>
      </c>
      <c r="I365" s="5">
        <f>IF(INDEX(ref_Unit_Balance!$T$31:$T$106,MATCH(UnitGradeInfo!B365,ref_Unit_Balance!$B$31:$B$1048576,0))=0,1,INDEX(ref_Unit_Balance!$T$31:$T$106,MATCH(UnitGradeInfo!B365,ref_Unit_Balance!$B$31:$B$1048576,0)))</f>
        <v>10</v>
      </c>
      <c r="J365" s="5">
        <f>INDEX(ref_Unit_Balance!$S$31:$S$106,MATCH(UnitGradeInfo!B365,ref_Unit_Balance!$B$31:$B$1048576,0))</f>
        <v>1000</v>
      </c>
      <c r="K365" s="5">
        <v>0</v>
      </c>
      <c r="L365" s="5">
        <f>INDEX(ref_Unit_Balance!$I$31:$I$106,MATCH(UnitGradeInfo!B365,ref_Unit_Balance!$B$31:$B$1048576,0))</f>
        <v>2</v>
      </c>
      <c r="M365" s="5">
        <f t="shared" si="38"/>
        <v>34</v>
      </c>
      <c r="N365" s="5">
        <f t="shared" si="39"/>
        <v>340</v>
      </c>
      <c r="O365" s="5">
        <f>(INDEX(Unitinfo!I:I,MATCH(B365,Unitinfo!A:A,0))+1)*2</f>
        <v>6</v>
      </c>
      <c r="P365" s="5">
        <v>0</v>
      </c>
      <c r="Q365" s="5">
        <v>0</v>
      </c>
      <c r="R365" s="19" t="s">
        <v>121</v>
      </c>
      <c r="S365" s="19" t="s">
        <v>121</v>
      </c>
      <c r="T365" s="5">
        <f t="shared" si="40"/>
        <v>2016</v>
      </c>
      <c r="U365" s="5">
        <f t="shared" si="41"/>
        <v>1</v>
      </c>
      <c r="V365" s="5">
        <v>0</v>
      </c>
      <c r="W365" s="5">
        <v>10</v>
      </c>
    </row>
    <row r="366" spans="1:23">
      <c r="A366" s="5">
        <f t="shared" si="42"/>
        <v>363</v>
      </c>
      <c r="B366" s="93">
        <f t="shared" si="35"/>
        <v>2016</v>
      </c>
      <c r="C366" s="20" t="str">
        <f>INDEX(Unitinfo!C:C,MATCH(UnitGradeInfo!B366,Unitinfo!A:A,0))</f>
        <v>(근거리)Orc_Club</v>
      </c>
      <c r="D366" s="5">
        <f>COUNTIF($B$4:B366,B366)</f>
        <v>18</v>
      </c>
      <c r="E366" s="5">
        <f>ROUNDDOWN(INDEX(ref_Unit_Balance!$G$31:$G$106,MATCH(UnitGradeInfo!B366,ref_Unit_Balance!$B$31:$B$1048576,0))
+INDEX(ref_Unit_Balance!$G$20:$G$23,MATCH(IFERROR(INDEX(ref_Unit_Balance!$D$31:$D$1048576,MATCH(B366,ref_Unit_Balance!$B$31:$B$1048576,0)),0),ref_Unit_Balance!$B$20:$B$23,0))*D366*ref_Unit_Balance!$C$25,0)</f>
        <v>1550</v>
      </c>
      <c r="F366" s="5">
        <f>INDEX(ref_Unit_Balance!$V$31:$V$106,MATCH(UnitGradeInfo!B366,ref_Unit_Balance!$B$31:$B$1048576,0))
+
INDEX(ref_Unit_Balance!$AB$31:$AB$106,MATCH(UnitGradeInfo!B366,ref_Unit_Balance!$B$31:$B$1048576,0))*(D366-1)</f>
        <v>15500</v>
      </c>
      <c r="G366" s="5">
        <f>INDEX(ref_Unit_Balance!$R$31:$R$106,MATCH(UnitGradeInfo!B366,ref_Unit_Balance!$B$31:$B$1048576,0))
+
INDEX(ref_Unit_Balance!$AA$31:$AA$106,MATCH(UnitGradeInfo!B366,ref_Unit_Balance!$B$31:$B$1048576,0))*(D366-1)</f>
        <v>885</v>
      </c>
      <c r="H366" s="39">
        <f>IF(INDEX(Unitinfo!D:D,MATCH(UnitGradeInfo!B366,Unitinfo!A:A,0))=1,50,5)</f>
        <v>5</v>
      </c>
      <c r="I366" s="5">
        <f>IF(INDEX(ref_Unit_Balance!$T$31:$T$106,MATCH(UnitGradeInfo!B366,ref_Unit_Balance!$B$31:$B$1048576,0))=0,1,INDEX(ref_Unit_Balance!$T$31:$T$106,MATCH(UnitGradeInfo!B366,ref_Unit_Balance!$B$31:$B$1048576,0)))</f>
        <v>10</v>
      </c>
      <c r="J366" s="5">
        <f>INDEX(ref_Unit_Balance!$S$31:$S$106,MATCH(UnitGradeInfo!B366,ref_Unit_Balance!$B$31:$B$1048576,0))</f>
        <v>1000</v>
      </c>
      <c r="K366" s="5">
        <v>0</v>
      </c>
      <c r="L366" s="5">
        <f>INDEX(ref_Unit_Balance!$I$31:$I$106,MATCH(UnitGradeInfo!B366,ref_Unit_Balance!$B$31:$B$1048576,0))</f>
        <v>2</v>
      </c>
      <c r="M366" s="5">
        <f t="shared" si="38"/>
        <v>36</v>
      </c>
      <c r="N366" s="5">
        <f t="shared" si="39"/>
        <v>360</v>
      </c>
      <c r="O366" s="5">
        <f>(INDEX(Unitinfo!I:I,MATCH(B366,Unitinfo!A:A,0))+1)*2</f>
        <v>6</v>
      </c>
      <c r="P366" s="5">
        <v>0</v>
      </c>
      <c r="Q366" s="5">
        <v>0</v>
      </c>
      <c r="R366" s="19" t="s">
        <v>121</v>
      </c>
      <c r="S366" s="19" t="s">
        <v>121</v>
      </c>
      <c r="T366" s="5">
        <f t="shared" si="40"/>
        <v>2016</v>
      </c>
      <c r="U366" s="5">
        <f t="shared" si="41"/>
        <v>1</v>
      </c>
      <c r="V366" s="5">
        <v>0</v>
      </c>
      <c r="W366" s="5">
        <v>10</v>
      </c>
    </row>
    <row r="367" spans="1:23">
      <c r="A367" s="5">
        <f t="shared" si="42"/>
        <v>364</v>
      </c>
      <c r="B367" s="93">
        <f t="shared" si="35"/>
        <v>2016</v>
      </c>
      <c r="C367" s="20" t="str">
        <f>INDEX(Unitinfo!C:C,MATCH(UnitGradeInfo!B367,Unitinfo!A:A,0))</f>
        <v>(근거리)Orc_Club</v>
      </c>
      <c r="D367" s="5">
        <f>COUNTIF($B$4:B367,B367)</f>
        <v>19</v>
      </c>
      <c r="E367" s="5">
        <f>ROUNDDOWN(INDEX(ref_Unit_Balance!$G$31:$G$106,MATCH(UnitGradeInfo!B367,ref_Unit_Balance!$B$31:$B$1048576,0))
+INDEX(ref_Unit_Balance!$G$20:$G$23,MATCH(IFERROR(INDEX(ref_Unit_Balance!$D$31:$D$1048576,MATCH(B367,ref_Unit_Balance!$B$31:$B$1048576,0)),0),ref_Unit_Balance!$B$20:$B$23,0))*D367*ref_Unit_Balance!$C$25,0)</f>
        <v>1625</v>
      </c>
      <c r="F367" s="5">
        <f>INDEX(ref_Unit_Balance!$V$31:$V$106,MATCH(UnitGradeInfo!B367,ref_Unit_Balance!$B$31:$B$1048576,0))
+
INDEX(ref_Unit_Balance!$AB$31:$AB$106,MATCH(UnitGradeInfo!B367,ref_Unit_Balance!$B$31:$B$1048576,0))*(D367-1)</f>
        <v>16000</v>
      </c>
      <c r="G367" s="5">
        <f>INDEX(ref_Unit_Balance!$R$31:$R$106,MATCH(UnitGradeInfo!B367,ref_Unit_Balance!$B$31:$B$1048576,0))
+
INDEX(ref_Unit_Balance!$AA$31:$AA$106,MATCH(UnitGradeInfo!B367,ref_Unit_Balance!$B$31:$B$1048576,0))*(D367-1)</f>
        <v>930</v>
      </c>
      <c r="H367" s="39">
        <f>IF(INDEX(Unitinfo!D:D,MATCH(UnitGradeInfo!B367,Unitinfo!A:A,0))=1,50,5)</f>
        <v>5</v>
      </c>
      <c r="I367" s="5">
        <f>IF(INDEX(ref_Unit_Balance!$T$31:$T$106,MATCH(UnitGradeInfo!B367,ref_Unit_Balance!$B$31:$B$1048576,0))=0,1,INDEX(ref_Unit_Balance!$T$31:$T$106,MATCH(UnitGradeInfo!B367,ref_Unit_Balance!$B$31:$B$1048576,0)))</f>
        <v>10</v>
      </c>
      <c r="J367" s="5">
        <f>INDEX(ref_Unit_Balance!$S$31:$S$106,MATCH(UnitGradeInfo!B367,ref_Unit_Balance!$B$31:$B$1048576,0))</f>
        <v>1000</v>
      </c>
      <c r="K367" s="5">
        <v>0</v>
      </c>
      <c r="L367" s="5">
        <f>INDEX(ref_Unit_Balance!$I$31:$I$106,MATCH(UnitGradeInfo!B367,ref_Unit_Balance!$B$31:$B$1048576,0))</f>
        <v>2</v>
      </c>
      <c r="M367" s="5">
        <f t="shared" si="38"/>
        <v>38</v>
      </c>
      <c r="N367" s="5">
        <f t="shared" si="39"/>
        <v>380</v>
      </c>
      <c r="O367" s="5">
        <f>(INDEX(Unitinfo!I:I,MATCH(B367,Unitinfo!A:A,0))+1)*2</f>
        <v>6</v>
      </c>
      <c r="P367" s="5">
        <v>0</v>
      </c>
      <c r="Q367" s="5">
        <v>0</v>
      </c>
      <c r="R367" s="19" t="s">
        <v>121</v>
      </c>
      <c r="S367" s="19" t="s">
        <v>121</v>
      </c>
      <c r="T367" s="5">
        <f t="shared" si="40"/>
        <v>2016</v>
      </c>
      <c r="U367" s="5">
        <f t="shared" si="41"/>
        <v>1</v>
      </c>
      <c r="V367" s="5">
        <v>0</v>
      </c>
      <c r="W367" s="5">
        <v>10</v>
      </c>
    </row>
    <row r="368" spans="1:23">
      <c r="A368" s="5">
        <f t="shared" si="42"/>
        <v>365</v>
      </c>
      <c r="B368" s="93">
        <f t="shared" si="35"/>
        <v>2016</v>
      </c>
      <c r="C368" s="20" t="str">
        <f>INDEX(Unitinfo!C:C,MATCH(UnitGradeInfo!B368,Unitinfo!A:A,0))</f>
        <v>(근거리)Orc_Club</v>
      </c>
      <c r="D368" s="5">
        <f>COUNTIF($B$4:B368,B368)</f>
        <v>20</v>
      </c>
      <c r="E368" s="5">
        <f>ROUNDDOWN(INDEX(ref_Unit_Balance!$G$31:$G$106,MATCH(UnitGradeInfo!B368,ref_Unit_Balance!$B$31:$B$1048576,0))
+INDEX(ref_Unit_Balance!$G$20:$G$23,MATCH(IFERROR(INDEX(ref_Unit_Balance!$D$31:$D$1048576,MATCH(B368,ref_Unit_Balance!$B$31:$B$1048576,0)),0),ref_Unit_Balance!$B$20:$B$23,0))*D368*ref_Unit_Balance!$C$25,0)</f>
        <v>1700</v>
      </c>
      <c r="F368" s="5">
        <f>INDEX(ref_Unit_Balance!$V$31:$V$106,MATCH(UnitGradeInfo!B368,ref_Unit_Balance!$B$31:$B$1048576,0))
+
INDEX(ref_Unit_Balance!$AB$31:$AB$106,MATCH(UnitGradeInfo!B368,ref_Unit_Balance!$B$31:$B$1048576,0))*(D368-1)</f>
        <v>16500</v>
      </c>
      <c r="G368" s="5">
        <f>INDEX(ref_Unit_Balance!$R$31:$R$106,MATCH(UnitGradeInfo!B368,ref_Unit_Balance!$B$31:$B$1048576,0))
+
INDEX(ref_Unit_Balance!$AA$31:$AA$106,MATCH(UnitGradeInfo!B368,ref_Unit_Balance!$B$31:$B$1048576,0))*(D368-1)</f>
        <v>975</v>
      </c>
      <c r="H368" s="39">
        <f>IF(INDEX(Unitinfo!D:D,MATCH(UnitGradeInfo!B368,Unitinfo!A:A,0))=1,50,5)</f>
        <v>5</v>
      </c>
      <c r="I368" s="5">
        <f>IF(INDEX(ref_Unit_Balance!$T$31:$T$106,MATCH(UnitGradeInfo!B368,ref_Unit_Balance!$B$31:$B$1048576,0))=0,1,INDEX(ref_Unit_Balance!$T$31:$T$106,MATCH(UnitGradeInfo!B368,ref_Unit_Balance!$B$31:$B$1048576,0)))</f>
        <v>10</v>
      </c>
      <c r="J368" s="5">
        <f>INDEX(ref_Unit_Balance!$S$31:$S$106,MATCH(UnitGradeInfo!B368,ref_Unit_Balance!$B$31:$B$1048576,0))</f>
        <v>1000</v>
      </c>
      <c r="K368" s="5">
        <v>0</v>
      </c>
      <c r="L368" s="5">
        <f>INDEX(ref_Unit_Balance!$I$31:$I$106,MATCH(UnitGradeInfo!B368,ref_Unit_Balance!$B$31:$B$1048576,0))</f>
        <v>2</v>
      </c>
      <c r="M368" s="5">
        <f t="shared" si="38"/>
        <v>40</v>
      </c>
      <c r="N368" s="5">
        <f t="shared" si="39"/>
        <v>400</v>
      </c>
      <c r="O368" s="5">
        <f>(INDEX(Unitinfo!I:I,MATCH(B368,Unitinfo!A:A,0))+1)*2</f>
        <v>6</v>
      </c>
      <c r="P368" s="5">
        <v>0</v>
      </c>
      <c r="Q368" s="5">
        <v>0</v>
      </c>
      <c r="R368" s="19" t="s">
        <v>121</v>
      </c>
      <c r="S368" s="19" t="s">
        <v>121</v>
      </c>
      <c r="T368" s="5">
        <f t="shared" si="40"/>
        <v>2016</v>
      </c>
      <c r="U368" s="5">
        <f t="shared" si="41"/>
        <v>1</v>
      </c>
      <c r="V368" s="5">
        <v>0</v>
      </c>
      <c r="W368" s="5">
        <v>10</v>
      </c>
    </row>
    <row r="369" spans="1:23">
      <c r="A369" s="5">
        <f t="shared" si="42"/>
        <v>366</v>
      </c>
      <c r="B369" s="93">
        <f t="shared" si="35"/>
        <v>2017</v>
      </c>
      <c r="C369" s="20" t="str">
        <f>INDEX(Unitinfo!C:C,MATCH(UnitGradeInfo!B369,Unitinfo!A:A,0))</f>
        <v>(근거리)Dragon</v>
      </c>
      <c r="D369" s="5">
        <f>COUNTIF($B$4:B369,B369)</f>
        <v>1</v>
      </c>
      <c r="E369" s="5">
        <f>ROUNDDOWN(INDEX(ref_Unit_Balance!$G$31:$G$106,MATCH(UnitGradeInfo!B369,ref_Unit_Balance!$B$31:$B$1048576,0))
+INDEX(ref_Unit_Balance!$G$20:$G$23,MATCH(IFERROR(INDEX(ref_Unit_Balance!$D$31:$D$1048576,MATCH(B369,ref_Unit_Balance!$B$31:$B$1048576,0)),0),ref_Unit_Balance!$B$20:$B$23,0))*D369*ref_Unit_Balance!$C$25,0)</f>
        <v>312</v>
      </c>
      <c r="F369" s="5">
        <f>INDEX(ref_Unit_Balance!$V$31:$V$106,MATCH(UnitGradeInfo!B369,ref_Unit_Balance!$B$31:$B$1048576,0))
+
INDEX(ref_Unit_Balance!$AB$31:$AB$106,MATCH(UnitGradeInfo!B369,ref_Unit_Balance!$B$31:$B$1048576,0))*(D369-1)</f>
        <v>9000</v>
      </c>
      <c r="G369" s="5">
        <f>INDEX(ref_Unit_Balance!$R$31:$R$106,MATCH(UnitGradeInfo!B369,ref_Unit_Balance!$B$31:$B$1048576,0))
+
INDEX(ref_Unit_Balance!$AA$31:$AA$106,MATCH(UnitGradeInfo!B369,ref_Unit_Balance!$B$31:$B$1048576,0))*(D369-1)</f>
        <v>1080</v>
      </c>
      <c r="H369" s="39">
        <v>7</v>
      </c>
      <c r="I369" s="5">
        <f>IF(INDEX(ref_Unit_Balance!$T$31:$T$106,MATCH(UnitGradeInfo!B369,ref_Unit_Balance!$B$31:$B$1048576,0))=0,1,INDEX(ref_Unit_Balance!$T$31:$T$106,MATCH(UnitGradeInfo!B369,ref_Unit_Balance!$B$31:$B$1048576,0)))</f>
        <v>10</v>
      </c>
      <c r="J369" s="5">
        <f>INDEX(ref_Unit_Balance!$S$31:$S$106,MATCH(UnitGradeInfo!B369,ref_Unit_Balance!$B$31:$B$1048576,0))</f>
        <v>1000</v>
      </c>
      <c r="K369" s="5">
        <v>0</v>
      </c>
      <c r="L369" s="5">
        <f>INDEX(ref_Unit_Balance!$I$31:$I$106,MATCH(UnitGradeInfo!B369,ref_Unit_Balance!$B$31:$B$1048576,0))</f>
        <v>1</v>
      </c>
      <c r="M369" s="5">
        <f t="shared" si="38"/>
        <v>2</v>
      </c>
      <c r="N369" s="5">
        <f t="shared" si="39"/>
        <v>20</v>
      </c>
      <c r="O369" s="5">
        <f>(INDEX(Unitinfo!I:I,MATCH(B369,Unitinfo!A:A,0))+1)*2</f>
        <v>8</v>
      </c>
      <c r="P369" s="5">
        <v>0</v>
      </c>
      <c r="Q369" s="5">
        <v>0</v>
      </c>
      <c r="R369" s="19" t="s">
        <v>121</v>
      </c>
      <c r="S369" s="19" t="s">
        <v>121</v>
      </c>
      <c r="T369" s="5">
        <f t="shared" ref="T369:T432" si="43">B369</f>
        <v>2017</v>
      </c>
      <c r="U369" s="5">
        <f t="shared" ref="U369:U432" si="44">IF(B369&gt;10000,0,1)</f>
        <v>1</v>
      </c>
      <c r="V369" s="5">
        <v>0</v>
      </c>
      <c r="W369" s="5">
        <v>10</v>
      </c>
    </row>
    <row r="370" spans="1:23">
      <c r="A370" s="5">
        <f t="shared" si="42"/>
        <v>367</v>
      </c>
      <c r="B370" s="93">
        <f t="shared" ref="B370:B433" si="45">QUOTIENT(A370-45-1,20)+2001</f>
        <v>2017</v>
      </c>
      <c r="C370" s="20" t="str">
        <f>INDEX(Unitinfo!C:C,MATCH(UnitGradeInfo!B370,Unitinfo!A:A,0))</f>
        <v>(근거리)Dragon</v>
      </c>
      <c r="D370" s="5">
        <f>COUNTIF($B$4:B370,B370)</f>
        <v>2</v>
      </c>
      <c r="E370" s="5">
        <f>ROUNDDOWN(INDEX(ref_Unit_Balance!$G$31:$G$106,MATCH(UnitGradeInfo!B370,ref_Unit_Balance!$B$31:$B$1048576,0))
+INDEX(ref_Unit_Balance!$G$20:$G$23,MATCH(IFERROR(INDEX(ref_Unit_Balance!$D$31:$D$1048576,MATCH(B370,ref_Unit_Balance!$B$31:$B$1048576,0)),0),ref_Unit_Balance!$B$20:$B$23,0))*D370*ref_Unit_Balance!$C$25,0)</f>
        <v>400</v>
      </c>
      <c r="F370" s="5">
        <f>INDEX(ref_Unit_Balance!$V$31:$V$106,MATCH(UnitGradeInfo!B370,ref_Unit_Balance!$B$31:$B$1048576,0))
+
INDEX(ref_Unit_Balance!$AB$31:$AB$106,MATCH(UnitGradeInfo!B370,ref_Unit_Balance!$B$31:$B$1048576,0))*(D370-1)</f>
        <v>10000</v>
      </c>
      <c r="G370" s="5">
        <f>INDEX(ref_Unit_Balance!$R$31:$R$106,MATCH(UnitGradeInfo!B370,ref_Unit_Balance!$B$31:$B$1048576,0))
+
INDEX(ref_Unit_Balance!$AA$31:$AA$106,MATCH(UnitGradeInfo!B370,ref_Unit_Balance!$B$31:$B$1048576,0))*(D370-1)</f>
        <v>1260</v>
      </c>
      <c r="H370" s="39">
        <v>7</v>
      </c>
      <c r="I370" s="5">
        <f>IF(INDEX(ref_Unit_Balance!$T$31:$T$106,MATCH(UnitGradeInfo!B370,ref_Unit_Balance!$B$31:$B$1048576,0))=0,1,INDEX(ref_Unit_Balance!$T$31:$T$106,MATCH(UnitGradeInfo!B370,ref_Unit_Balance!$B$31:$B$1048576,0)))</f>
        <v>10</v>
      </c>
      <c r="J370" s="5">
        <f>INDEX(ref_Unit_Balance!$S$31:$S$106,MATCH(UnitGradeInfo!B370,ref_Unit_Balance!$B$31:$B$1048576,0))</f>
        <v>1000</v>
      </c>
      <c r="K370" s="5">
        <v>0</v>
      </c>
      <c r="L370" s="5">
        <f>INDEX(ref_Unit_Balance!$I$31:$I$106,MATCH(UnitGradeInfo!B370,ref_Unit_Balance!$B$31:$B$1048576,0))</f>
        <v>1</v>
      </c>
      <c r="M370" s="5">
        <f t="shared" si="38"/>
        <v>4</v>
      </c>
      <c r="N370" s="5">
        <f t="shared" si="39"/>
        <v>40</v>
      </c>
      <c r="O370" s="5">
        <f>(INDEX(Unitinfo!I:I,MATCH(B370,Unitinfo!A:A,0))+1)*2</f>
        <v>8</v>
      </c>
      <c r="P370" s="5">
        <v>0</v>
      </c>
      <c r="Q370" s="5">
        <v>0</v>
      </c>
      <c r="R370" s="19" t="s">
        <v>121</v>
      </c>
      <c r="S370" s="19" t="s">
        <v>121</v>
      </c>
      <c r="T370" s="5">
        <f t="shared" si="43"/>
        <v>2017</v>
      </c>
      <c r="U370" s="5">
        <f t="shared" si="44"/>
        <v>1</v>
      </c>
      <c r="V370" s="5">
        <v>0</v>
      </c>
      <c r="W370" s="5">
        <v>10</v>
      </c>
    </row>
    <row r="371" spans="1:23">
      <c r="A371" s="5">
        <f t="shared" si="42"/>
        <v>368</v>
      </c>
      <c r="B371" s="93">
        <f t="shared" si="45"/>
        <v>2017</v>
      </c>
      <c r="C371" s="20" t="str">
        <f>INDEX(Unitinfo!C:C,MATCH(UnitGradeInfo!B371,Unitinfo!A:A,0))</f>
        <v>(근거리)Dragon</v>
      </c>
      <c r="D371" s="5">
        <f>COUNTIF($B$4:B371,B371)</f>
        <v>3</v>
      </c>
      <c r="E371" s="5">
        <f>ROUNDDOWN(INDEX(ref_Unit_Balance!$G$31:$G$106,MATCH(UnitGradeInfo!B371,ref_Unit_Balance!$B$31:$B$1048576,0))
+INDEX(ref_Unit_Balance!$G$20:$G$23,MATCH(IFERROR(INDEX(ref_Unit_Balance!$D$31:$D$1048576,MATCH(B371,ref_Unit_Balance!$B$31:$B$1048576,0)),0),ref_Unit_Balance!$B$20:$B$23,0))*D371*ref_Unit_Balance!$C$25,0)</f>
        <v>487</v>
      </c>
      <c r="F371" s="5">
        <f>INDEX(ref_Unit_Balance!$V$31:$V$106,MATCH(UnitGradeInfo!B371,ref_Unit_Balance!$B$31:$B$1048576,0))
+
INDEX(ref_Unit_Balance!$AB$31:$AB$106,MATCH(UnitGradeInfo!B371,ref_Unit_Balance!$B$31:$B$1048576,0))*(D371-1)</f>
        <v>11000</v>
      </c>
      <c r="G371" s="5">
        <f>INDEX(ref_Unit_Balance!$R$31:$R$106,MATCH(UnitGradeInfo!B371,ref_Unit_Balance!$B$31:$B$1048576,0))
+
INDEX(ref_Unit_Balance!$AA$31:$AA$106,MATCH(UnitGradeInfo!B371,ref_Unit_Balance!$B$31:$B$1048576,0))*(D371-1)</f>
        <v>1440</v>
      </c>
      <c r="H371" s="39">
        <v>7</v>
      </c>
      <c r="I371" s="5">
        <f>IF(INDEX(ref_Unit_Balance!$T$31:$T$106,MATCH(UnitGradeInfo!B371,ref_Unit_Balance!$B$31:$B$1048576,0))=0,1,INDEX(ref_Unit_Balance!$T$31:$T$106,MATCH(UnitGradeInfo!B371,ref_Unit_Balance!$B$31:$B$1048576,0)))</f>
        <v>10</v>
      </c>
      <c r="J371" s="5">
        <f>INDEX(ref_Unit_Balance!$S$31:$S$106,MATCH(UnitGradeInfo!B371,ref_Unit_Balance!$B$31:$B$1048576,0))</f>
        <v>1000</v>
      </c>
      <c r="K371" s="5">
        <v>0</v>
      </c>
      <c r="L371" s="5">
        <f>INDEX(ref_Unit_Balance!$I$31:$I$106,MATCH(UnitGradeInfo!B371,ref_Unit_Balance!$B$31:$B$1048576,0))</f>
        <v>1</v>
      </c>
      <c r="M371" s="5">
        <f t="shared" si="38"/>
        <v>6</v>
      </c>
      <c r="N371" s="5">
        <f t="shared" si="39"/>
        <v>60</v>
      </c>
      <c r="O371" s="5">
        <f>(INDEX(Unitinfo!I:I,MATCH(B371,Unitinfo!A:A,0))+1)*2</f>
        <v>8</v>
      </c>
      <c r="P371" s="5">
        <v>0</v>
      </c>
      <c r="Q371" s="5">
        <v>0</v>
      </c>
      <c r="R371" s="19" t="s">
        <v>121</v>
      </c>
      <c r="S371" s="19" t="s">
        <v>121</v>
      </c>
      <c r="T371" s="5">
        <f t="shared" si="43"/>
        <v>2017</v>
      </c>
      <c r="U371" s="5">
        <f t="shared" si="44"/>
        <v>1</v>
      </c>
      <c r="V371" s="5">
        <v>0</v>
      </c>
      <c r="W371" s="5">
        <v>10</v>
      </c>
    </row>
    <row r="372" spans="1:23">
      <c r="A372" s="5">
        <f t="shared" si="42"/>
        <v>369</v>
      </c>
      <c r="B372" s="93">
        <f t="shared" si="45"/>
        <v>2017</v>
      </c>
      <c r="C372" s="20" t="str">
        <f>INDEX(Unitinfo!C:C,MATCH(UnitGradeInfo!B372,Unitinfo!A:A,0))</f>
        <v>(근거리)Dragon</v>
      </c>
      <c r="D372" s="5">
        <f>COUNTIF($B$4:B372,B372)</f>
        <v>4</v>
      </c>
      <c r="E372" s="5">
        <f>ROUNDDOWN(INDEX(ref_Unit_Balance!$G$31:$G$106,MATCH(UnitGradeInfo!B372,ref_Unit_Balance!$B$31:$B$1048576,0))
+INDEX(ref_Unit_Balance!$G$20:$G$23,MATCH(IFERROR(INDEX(ref_Unit_Balance!$D$31:$D$1048576,MATCH(B372,ref_Unit_Balance!$B$31:$B$1048576,0)),0),ref_Unit_Balance!$B$20:$B$23,0))*D372*ref_Unit_Balance!$C$25,0)</f>
        <v>575</v>
      </c>
      <c r="F372" s="5">
        <f>INDEX(ref_Unit_Balance!$V$31:$V$106,MATCH(UnitGradeInfo!B372,ref_Unit_Balance!$B$31:$B$1048576,0))
+
INDEX(ref_Unit_Balance!$AB$31:$AB$106,MATCH(UnitGradeInfo!B372,ref_Unit_Balance!$B$31:$B$1048576,0))*(D372-1)</f>
        <v>12000</v>
      </c>
      <c r="G372" s="5">
        <f>INDEX(ref_Unit_Balance!$R$31:$R$106,MATCH(UnitGradeInfo!B372,ref_Unit_Balance!$B$31:$B$1048576,0))
+
INDEX(ref_Unit_Balance!$AA$31:$AA$106,MATCH(UnitGradeInfo!B372,ref_Unit_Balance!$B$31:$B$1048576,0))*(D372-1)</f>
        <v>1620</v>
      </c>
      <c r="H372" s="39">
        <v>7</v>
      </c>
      <c r="I372" s="5">
        <f>IF(INDEX(ref_Unit_Balance!$T$31:$T$106,MATCH(UnitGradeInfo!B372,ref_Unit_Balance!$B$31:$B$1048576,0))=0,1,INDEX(ref_Unit_Balance!$T$31:$T$106,MATCH(UnitGradeInfo!B372,ref_Unit_Balance!$B$31:$B$1048576,0)))</f>
        <v>10</v>
      </c>
      <c r="J372" s="5">
        <f>INDEX(ref_Unit_Balance!$S$31:$S$106,MATCH(UnitGradeInfo!B372,ref_Unit_Balance!$B$31:$B$1048576,0))</f>
        <v>1000</v>
      </c>
      <c r="K372" s="5">
        <v>0</v>
      </c>
      <c r="L372" s="5">
        <f>INDEX(ref_Unit_Balance!$I$31:$I$106,MATCH(UnitGradeInfo!B372,ref_Unit_Balance!$B$31:$B$1048576,0))</f>
        <v>1</v>
      </c>
      <c r="M372" s="5">
        <f t="shared" si="38"/>
        <v>8</v>
      </c>
      <c r="N372" s="5">
        <f t="shared" si="39"/>
        <v>80</v>
      </c>
      <c r="O372" s="5">
        <f>(INDEX(Unitinfo!I:I,MATCH(B372,Unitinfo!A:A,0))+1)*2</f>
        <v>8</v>
      </c>
      <c r="P372" s="5">
        <v>0</v>
      </c>
      <c r="Q372" s="5">
        <v>0</v>
      </c>
      <c r="R372" s="19" t="s">
        <v>121</v>
      </c>
      <c r="S372" s="19" t="s">
        <v>121</v>
      </c>
      <c r="T372" s="5">
        <f t="shared" si="43"/>
        <v>2017</v>
      </c>
      <c r="U372" s="5">
        <f t="shared" si="44"/>
        <v>1</v>
      </c>
      <c r="V372" s="5">
        <v>0</v>
      </c>
      <c r="W372" s="5">
        <v>10</v>
      </c>
    </row>
    <row r="373" spans="1:23">
      <c r="A373" s="5">
        <f t="shared" si="42"/>
        <v>370</v>
      </c>
      <c r="B373" s="93">
        <f t="shared" si="45"/>
        <v>2017</v>
      </c>
      <c r="C373" s="20" t="str">
        <f>INDEX(Unitinfo!C:C,MATCH(UnitGradeInfo!B373,Unitinfo!A:A,0))</f>
        <v>(근거리)Dragon</v>
      </c>
      <c r="D373" s="5">
        <f>COUNTIF($B$4:B373,B373)</f>
        <v>5</v>
      </c>
      <c r="E373" s="5">
        <f>ROUNDDOWN(INDEX(ref_Unit_Balance!$G$31:$G$106,MATCH(UnitGradeInfo!B373,ref_Unit_Balance!$B$31:$B$1048576,0))
+INDEX(ref_Unit_Balance!$G$20:$G$23,MATCH(IFERROR(INDEX(ref_Unit_Balance!$D$31:$D$1048576,MATCH(B373,ref_Unit_Balance!$B$31:$B$1048576,0)),0),ref_Unit_Balance!$B$20:$B$23,0))*D373*ref_Unit_Balance!$C$25,0)</f>
        <v>662</v>
      </c>
      <c r="F373" s="5">
        <f>INDEX(ref_Unit_Balance!$V$31:$V$106,MATCH(UnitGradeInfo!B373,ref_Unit_Balance!$B$31:$B$1048576,0))
+
INDEX(ref_Unit_Balance!$AB$31:$AB$106,MATCH(UnitGradeInfo!B373,ref_Unit_Balance!$B$31:$B$1048576,0))*(D373-1)</f>
        <v>13000</v>
      </c>
      <c r="G373" s="5">
        <f>INDEX(ref_Unit_Balance!$R$31:$R$106,MATCH(UnitGradeInfo!B373,ref_Unit_Balance!$B$31:$B$1048576,0))
+
INDEX(ref_Unit_Balance!$AA$31:$AA$106,MATCH(UnitGradeInfo!B373,ref_Unit_Balance!$B$31:$B$1048576,0))*(D373-1)</f>
        <v>1800</v>
      </c>
      <c r="H373" s="39">
        <v>7</v>
      </c>
      <c r="I373" s="5">
        <f>IF(INDEX(ref_Unit_Balance!$T$31:$T$106,MATCH(UnitGradeInfo!B373,ref_Unit_Balance!$B$31:$B$1048576,0))=0,1,INDEX(ref_Unit_Balance!$T$31:$T$106,MATCH(UnitGradeInfo!B373,ref_Unit_Balance!$B$31:$B$1048576,0)))</f>
        <v>10</v>
      </c>
      <c r="J373" s="5">
        <f>INDEX(ref_Unit_Balance!$S$31:$S$106,MATCH(UnitGradeInfo!B373,ref_Unit_Balance!$B$31:$B$1048576,0))</f>
        <v>1000</v>
      </c>
      <c r="K373" s="5">
        <v>0</v>
      </c>
      <c r="L373" s="5">
        <f>INDEX(ref_Unit_Balance!$I$31:$I$106,MATCH(UnitGradeInfo!B373,ref_Unit_Balance!$B$31:$B$1048576,0))</f>
        <v>1</v>
      </c>
      <c r="M373" s="5">
        <f t="shared" si="38"/>
        <v>10</v>
      </c>
      <c r="N373" s="5">
        <f t="shared" si="39"/>
        <v>100</v>
      </c>
      <c r="O373" s="5">
        <f>(INDEX(Unitinfo!I:I,MATCH(B373,Unitinfo!A:A,0))+1)*2</f>
        <v>8</v>
      </c>
      <c r="P373" s="5">
        <v>0</v>
      </c>
      <c r="Q373" s="5">
        <v>0</v>
      </c>
      <c r="R373" s="19" t="s">
        <v>121</v>
      </c>
      <c r="S373" s="19" t="s">
        <v>121</v>
      </c>
      <c r="T373" s="5">
        <f t="shared" si="43"/>
        <v>2017</v>
      </c>
      <c r="U373" s="5">
        <f t="shared" si="44"/>
        <v>1</v>
      </c>
      <c r="V373" s="5">
        <v>0</v>
      </c>
      <c r="W373" s="5">
        <v>10</v>
      </c>
    </row>
    <row r="374" spans="1:23">
      <c r="A374" s="5">
        <f t="shared" si="42"/>
        <v>371</v>
      </c>
      <c r="B374" s="93">
        <f t="shared" si="45"/>
        <v>2017</v>
      </c>
      <c r="C374" s="20" t="str">
        <f>INDEX(Unitinfo!C:C,MATCH(UnitGradeInfo!B374,Unitinfo!A:A,0))</f>
        <v>(근거리)Dragon</v>
      </c>
      <c r="D374" s="5">
        <f>COUNTIF($B$4:B374,B374)</f>
        <v>6</v>
      </c>
      <c r="E374" s="5">
        <f>ROUNDDOWN(INDEX(ref_Unit_Balance!$G$31:$G$106,MATCH(UnitGradeInfo!B374,ref_Unit_Balance!$B$31:$B$1048576,0))
+INDEX(ref_Unit_Balance!$G$20:$G$23,MATCH(IFERROR(INDEX(ref_Unit_Balance!$D$31:$D$1048576,MATCH(B374,ref_Unit_Balance!$B$31:$B$1048576,0)),0),ref_Unit_Balance!$B$20:$B$23,0))*D374*ref_Unit_Balance!$C$25,0)</f>
        <v>750</v>
      </c>
      <c r="F374" s="5">
        <f>INDEX(ref_Unit_Balance!$V$31:$V$106,MATCH(UnitGradeInfo!B374,ref_Unit_Balance!$B$31:$B$1048576,0))
+
INDEX(ref_Unit_Balance!$AB$31:$AB$106,MATCH(UnitGradeInfo!B374,ref_Unit_Balance!$B$31:$B$1048576,0))*(D374-1)</f>
        <v>14000</v>
      </c>
      <c r="G374" s="5">
        <f>INDEX(ref_Unit_Balance!$R$31:$R$106,MATCH(UnitGradeInfo!B374,ref_Unit_Balance!$B$31:$B$1048576,0))
+
INDEX(ref_Unit_Balance!$AA$31:$AA$106,MATCH(UnitGradeInfo!B374,ref_Unit_Balance!$B$31:$B$1048576,0))*(D374-1)</f>
        <v>1980</v>
      </c>
      <c r="H374" s="39">
        <v>7</v>
      </c>
      <c r="I374" s="5">
        <f>IF(INDEX(ref_Unit_Balance!$T$31:$T$106,MATCH(UnitGradeInfo!B374,ref_Unit_Balance!$B$31:$B$1048576,0))=0,1,INDEX(ref_Unit_Balance!$T$31:$T$106,MATCH(UnitGradeInfo!B374,ref_Unit_Balance!$B$31:$B$1048576,0)))</f>
        <v>10</v>
      </c>
      <c r="J374" s="5">
        <f>INDEX(ref_Unit_Balance!$S$31:$S$106,MATCH(UnitGradeInfo!B374,ref_Unit_Balance!$B$31:$B$1048576,0))</f>
        <v>1000</v>
      </c>
      <c r="K374" s="5">
        <v>0</v>
      </c>
      <c r="L374" s="5">
        <f>INDEX(ref_Unit_Balance!$I$31:$I$106,MATCH(UnitGradeInfo!B374,ref_Unit_Balance!$B$31:$B$1048576,0))</f>
        <v>1</v>
      </c>
      <c r="M374" s="5">
        <f t="shared" si="38"/>
        <v>12</v>
      </c>
      <c r="N374" s="5">
        <f t="shared" si="39"/>
        <v>120</v>
      </c>
      <c r="O374" s="5">
        <f>(INDEX(Unitinfo!I:I,MATCH(B374,Unitinfo!A:A,0))+1)*2</f>
        <v>8</v>
      </c>
      <c r="P374" s="5">
        <v>0</v>
      </c>
      <c r="Q374" s="5">
        <v>0</v>
      </c>
      <c r="R374" s="19" t="s">
        <v>121</v>
      </c>
      <c r="S374" s="19" t="s">
        <v>121</v>
      </c>
      <c r="T374" s="5">
        <f t="shared" si="43"/>
        <v>2017</v>
      </c>
      <c r="U374" s="5">
        <f t="shared" si="44"/>
        <v>1</v>
      </c>
      <c r="V374" s="5">
        <v>0</v>
      </c>
      <c r="W374" s="5">
        <v>10</v>
      </c>
    </row>
    <row r="375" spans="1:23">
      <c r="A375" s="5">
        <f t="shared" si="42"/>
        <v>372</v>
      </c>
      <c r="B375" s="93">
        <f t="shared" si="45"/>
        <v>2017</v>
      </c>
      <c r="C375" s="20" t="str">
        <f>INDEX(Unitinfo!C:C,MATCH(UnitGradeInfo!B375,Unitinfo!A:A,0))</f>
        <v>(근거리)Dragon</v>
      </c>
      <c r="D375" s="5">
        <f>COUNTIF($B$4:B375,B375)</f>
        <v>7</v>
      </c>
      <c r="E375" s="5">
        <f>ROUNDDOWN(INDEX(ref_Unit_Balance!$G$31:$G$106,MATCH(UnitGradeInfo!B375,ref_Unit_Balance!$B$31:$B$1048576,0))
+INDEX(ref_Unit_Balance!$G$20:$G$23,MATCH(IFERROR(INDEX(ref_Unit_Balance!$D$31:$D$1048576,MATCH(B375,ref_Unit_Balance!$B$31:$B$1048576,0)),0),ref_Unit_Balance!$B$20:$B$23,0))*D375*ref_Unit_Balance!$C$25,0)</f>
        <v>837</v>
      </c>
      <c r="F375" s="5">
        <f>INDEX(ref_Unit_Balance!$V$31:$V$106,MATCH(UnitGradeInfo!B375,ref_Unit_Balance!$B$31:$B$1048576,0))
+
INDEX(ref_Unit_Balance!$AB$31:$AB$106,MATCH(UnitGradeInfo!B375,ref_Unit_Balance!$B$31:$B$1048576,0))*(D375-1)</f>
        <v>15000</v>
      </c>
      <c r="G375" s="5">
        <f>INDEX(ref_Unit_Balance!$R$31:$R$106,MATCH(UnitGradeInfo!B375,ref_Unit_Balance!$B$31:$B$1048576,0))
+
INDEX(ref_Unit_Balance!$AA$31:$AA$106,MATCH(UnitGradeInfo!B375,ref_Unit_Balance!$B$31:$B$1048576,0))*(D375-1)</f>
        <v>2160</v>
      </c>
      <c r="H375" s="39">
        <v>7</v>
      </c>
      <c r="I375" s="5">
        <f>IF(INDEX(ref_Unit_Balance!$T$31:$T$106,MATCH(UnitGradeInfo!B375,ref_Unit_Balance!$B$31:$B$1048576,0))=0,1,INDEX(ref_Unit_Balance!$T$31:$T$106,MATCH(UnitGradeInfo!B375,ref_Unit_Balance!$B$31:$B$1048576,0)))</f>
        <v>10</v>
      </c>
      <c r="J375" s="5">
        <f>INDEX(ref_Unit_Balance!$S$31:$S$106,MATCH(UnitGradeInfo!B375,ref_Unit_Balance!$B$31:$B$1048576,0))</f>
        <v>1000</v>
      </c>
      <c r="K375" s="5">
        <v>0</v>
      </c>
      <c r="L375" s="5">
        <f>INDEX(ref_Unit_Balance!$I$31:$I$106,MATCH(UnitGradeInfo!B375,ref_Unit_Balance!$B$31:$B$1048576,0))</f>
        <v>1</v>
      </c>
      <c r="M375" s="5">
        <f t="shared" si="38"/>
        <v>14</v>
      </c>
      <c r="N375" s="5">
        <f t="shared" si="39"/>
        <v>140</v>
      </c>
      <c r="O375" s="5">
        <f>(INDEX(Unitinfo!I:I,MATCH(B375,Unitinfo!A:A,0))+1)*2</f>
        <v>8</v>
      </c>
      <c r="P375" s="5">
        <v>0</v>
      </c>
      <c r="Q375" s="5">
        <v>0</v>
      </c>
      <c r="R375" s="19" t="s">
        <v>121</v>
      </c>
      <c r="S375" s="19" t="s">
        <v>121</v>
      </c>
      <c r="T375" s="5">
        <f t="shared" si="43"/>
        <v>2017</v>
      </c>
      <c r="U375" s="5">
        <f t="shared" si="44"/>
        <v>1</v>
      </c>
      <c r="V375" s="5">
        <v>0</v>
      </c>
      <c r="W375" s="5">
        <v>10</v>
      </c>
    </row>
    <row r="376" spans="1:23">
      <c r="A376" s="5">
        <f t="shared" si="42"/>
        <v>373</v>
      </c>
      <c r="B376" s="93">
        <f t="shared" si="45"/>
        <v>2017</v>
      </c>
      <c r="C376" s="20" t="str">
        <f>INDEX(Unitinfo!C:C,MATCH(UnitGradeInfo!B376,Unitinfo!A:A,0))</f>
        <v>(근거리)Dragon</v>
      </c>
      <c r="D376" s="5">
        <f>COUNTIF($B$4:B376,B376)</f>
        <v>8</v>
      </c>
      <c r="E376" s="5">
        <f>ROUNDDOWN(INDEX(ref_Unit_Balance!$G$31:$G$106,MATCH(UnitGradeInfo!B376,ref_Unit_Balance!$B$31:$B$1048576,0))
+INDEX(ref_Unit_Balance!$G$20:$G$23,MATCH(IFERROR(INDEX(ref_Unit_Balance!$D$31:$D$1048576,MATCH(B376,ref_Unit_Balance!$B$31:$B$1048576,0)),0),ref_Unit_Balance!$B$20:$B$23,0))*D376*ref_Unit_Balance!$C$25,0)</f>
        <v>925</v>
      </c>
      <c r="F376" s="5">
        <f>INDEX(ref_Unit_Balance!$V$31:$V$106,MATCH(UnitGradeInfo!B376,ref_Unit_Balance!$B$31:$B$1048576,0))
+
INDEX(ref_Unit_Balance!$AB$31:$AB$106,MATCH(UnitGradeInfo!B376,ref_Unit_Balance!$B$31:$B$1048576,0))*(D376-1)</f>
        <v>16000</v>
      </c>
      <c r="G376" s="5">
        <f>INDEX(ref_Unit_Balance!$R$31:$R$106,MATCH(UnitGradeInfo!B376,ref_Unit_Balance!$B$31:$B$1048576,0))
+
INDEX(ref_Unit_Balance!$AA$31:$AA$106,MATCH(UnitGradeInfo!B376,ref_Unit_Balance!$B$31:$B$1048576,0))*(D376-1)</f>
        <v>2340</v>
      </c>
      <c r="H376" s="39">
        <v>7</v>
      </c>
      <c r="I376" s="5">
        <f>IF(INDEX(ref_Unit_Balance!$T$31:$T$106,MATCH(UnitGradeInfo!B376,ref_Unit_Balance!$B$31:$B$1048576,0))=0,1,INDEX(ref_Unit_Balance!$T$31:$T$106,MATCH(UnitGradeInfo!B376,ref_Unit_Balance!$B$31:$B$1048576,0)))</f>
        <v>10</v>
      </c>
      <c r="J376" s="5">
        <f>INDEX(ref_Unit_Balance!$S$31:$S$106,MATCH(UnitGradeInfo!B376,ref_Unit_Balance!$B$31:$B$1048576,0))</f>
        <v>1000</v>
      </c>
      <c r="K376" s="5">
        <v>0</v>
      </c>
      <c r="L376" s="5">
        <f>INDEX(ref_Unit_Balance!$I$31:$I$106,MATCH(UnitGradeInfo!B376,ref_Unit_Balance!$B$31:$B$1048576,0))</f>
        <v>1</v>
      </c>
      <c r="M376" s="5">
        <f t="shared" si="38"/>
        <v>16</v>
      </c>
      <c r="N376" s="5">
        <f t="shared" si="39"/>
        <v>160</v>
      </c>
      <c r="O376" s="5">
        <f>(INDEX(Unitinfo!I:I,MATCH(B376,Unitinfo!A:A,0))+1)*2</f>
        <v>8</v>
      </c>
      <c r="P376" s="5">
        <v>0</v>
      </c>
      <c r="Q376" s="5">
        <v>0</v>
      </c>
      <c r="R376" s="19" t="s">
        <v>121</v>
      </c>
      <c r="S376" s="19" t="s">
        <v>121</v>
      </c>
      <c r="T376" s="5">
        <f t="shared" si="43"/>
        <v>2017</v>
      </c>
      <c r="U376" s="5">
        <f t="shared" si="44"/>
        <v>1</v>
      </c>
      <c r="V376" s="5">
        <v>0</v>
      </c>
      <c r="W376" s="5">
        <v>10</v>
      </c>
    </row>
    <row r="377" spans="1:23">
      <c r="A377" s="5">
        <f t="shared" si="42"/>
        <v>374</v>
      </c>
      <c r="B377" s="93">
        <f t="shared" si="45"/>
        <v>2017</v>
      </c>
      <c r="C377" s="20" t="str">
        <f>INDEX(Unitinfo!C:C,MATCH(UnitGradeInfo!B377,Unitinfo!A:A,0))</f>
        <v>(근거리)Dragon</v>
      </c>
      <c r="D377" s="5">
        <f>COUNTIF($B$4:B377,B377)</f>
        <v>9</v>
      </c>
      <c r="E377" s="5">
        <f>ROUNDDOWN(INDEX(ref_Unit_Balance!$G$31:$G$106,MATCH(UnitGradeInfo!B377,ref_Unit_Balance!$B$31:$B$1048576,0))
+INDEX(ref_Unit_Balance!$G$20:$G$23,MATCH(IFERROR(INDEX(ref_Unit_Balance!$D$31:$D$1048576,MATCH(B377,ref_Unit_Balance!$B$31:$B$1048576,0)),0),ref_Unit_Balance!$B$20:$B$23,0))*D377*ref_Unit_Balance!$C$25,0)</f>
        <v>1012</v>
      </c>
      <c r="F377" s="5">
        <f>INDEX(ref_Unit_Balance!$V$31:$V$106,MATCH(UnitGradeInfo!B377,ref_Unit_Balance!$B$31:$B$1048576,0))
+
INDEX(ref_Unit_Balance!$AB$31:$AB$106,MATCH(UnitGradeInfo!B377,ref_Unit_Balance!$B$31:$B$1048576,0))*(D377-1)</f>
        <v>17000</v>
      </c>
      <c r="G377" s="5">
        <f>INDEX(ref_Unit_Balance!$R$31:$R$106,MATCH(UnitGradeInfo!B377,ref_Unit_Balance!$B$31:$B$1048576,0))
+
INDEX(ref_Unit_Balance!$AA$31:$AA$106,MATCH(UnitGradeInfo!B377,ref_Unit_Balance!$B$31:$B$1048576,0))*(D377-1)</f>
        <v>2520</v>
      </c>
      <c r="H377" s="39">
        <v>7</v>
      </c>
      <c r="I377" s="5">
        <f>IF(INDEX(ref_Unit_Balance!$T$31:$T$106,MATCH(UnitGradeInfo!B377,ref_Unit_Balance!$B$31:$B$1048576,0))=0,1,INDEX(ref_Unit_Balance!$T$31:$T$106,MATCH(UnitGradeInfo!B377,ref_Unit_Balance!$B$31:$B$1048576,0)))</f>
        <v>10</v>
      </c>
      <c r="J377" s="5">
        <f>INDEX(ref_Unit_Balance!$S$31:$S$106,MATCH(UnitGradeInfo!B377,ref_Unit_Balance!$B$31:$B$1048576,0))</f>
        <v>1000</v>
      </c>
      <c r="K377" s="5">
        <v>0</v>
      </c>
      <c r="L377" s="5">
        <f>INDEX(ref_Unit_Balance!$I$31:$I$106,MATCH(UnitGradeInfo!B377,ref_Unit_Balance!$B$31:$B$1048576,0))</f>
        <v>1</v>
      </c>
      <c r="M377" s="5">
        <f t="shared" si="38"/>
        <v>18</v>
      </c>
      <c r="N377" s="5">
        <f t="shared" si="39"/>
        <v>180</v>
      </c>
      <c r="O377" s="5">
        <f>(INDEX(Unitinfo!I:I,MATCH(B377,Unitinfo!A:A,0))+1)*2</f>
        <v>8</v>
      </c>
      <c r="P377" s="5">
        <v>0</v>
      </c>
      <c r="Q377" s="5">
        <v>0</v>
      </c>
      <c r="R377" s="19" t="s">
        <v>121</v>
      </c>
      <c r="S377" s="19" t="s">
        <v>121</v>
      </c>
      <c r="T377" s="5">
        <f t="shared" si="43"/>
        <v>2017</v>
      </c>
      <c r="U377" s="5">
        <f t="shared" si="44"/>
        <v>1</v>
      </c>
      <c r="V377" s="5">
        <v>0</v>
      </c>
      <c r="W377" s="5">
        <v>10</v>
      </c>
    </row>
    <row r="378" spans="1:23">
      <c r="A378" s="5">
        <f t="shared" si="42"/>
        <v>375</v>
      </c>
      <c r="B378" s="93">
        <f t="shared" si="45"/>
        <v>2017</v>
      </c>
      <c r="C378" s="20" t="str">
        <f>INDEX(Unitinfo!C:C,MATCH(UnitGradeInfo!B378,Unitinfo!A:A,0))</f>
        <v>(근거리)Dragon</v>
      </c>
      <c r="D378" s="5">
        <f>COUNTIF($B$4:B378,B378)</f>
        <v>10</v>
      </c>
      <c r="E378" s="5">
        <f>ROUNDDOWN(INDEX(ref_Unit_Balance!$G$31:$G$106,MATCH(UnitGradeInfo!B378,ref_Unit_Balance!$B$31:$B$1048576,0))
+INDEX(ref_Unit_Balance!$G$20:$G$23,MATCH(IFERROR(INDEX(ref_Unit_Balance!$D$31:$D$1048576,MATCH(B378,ref_Unit_Balance!$B$31:$B$1048576,0)),0),ref_Unit_Balance!$B$20:$B$23,0))*D378*ref_Unit_Balance!$C$25,0)</f>
        <v>1100</v>
      </c>
      <c r="F378" s="5">
        <f>INDEX(ref_Unit_Balance!$V$31:$V$106,MATCH(UnitGradeInfo!B378,ref_Unit_Balance!$B$31:$B$1048576,0))
+
INDEX(ref_Unit_Balance!$AB$31:$AB$106,MATCH(UnitGradeInfo!B378,ref_Unit_Balance!$B$31:$B$1048576,0))*(D378-1)</f>
        <v>18000</v>
      </c>
      <c r="G378" s="5">
        <f>INDEX(ref_Unit_Balance!$R$31:$R$106,MATCH(UnitGradeInfo!B378,ref_Unit_Balance!$B$31:$B$1048576,0))
+
INDEX(ref_Unit_Balance!$AA$31:$AA$106,MATCH(UnitGradeInfo!B378,ref_Unit_Balance!$B$31:$B$1048576,0))*(D378-1)</f>
        <v>2700</v>
      </c>
      <c r="H378" s="39">
        <v>7</v>
      </c>
      <c r="I378" s="5">
        <f>IF(INDEX(ref_Unit_Balance!$T$31:$T$106,MATCH(UnitGradeInfo!B378,ref_Unit_Balance!$B$31:$B$1048576,0))=0,1,INDEX(ref_Unit_Balance!$T$31:$T$106,MATCH(UnitGradeInfo!B378,ref_Unit_Balance!$B$31:$B$1048576,0)))</f>
        <v>10</v>
      </c>
      <c r="J378" s="5">
        <f>INDEX(ref_Unit_Balance!$S$31:$S$106,MATCH(UnitGradeInfo!B378,ref_Unit_Balance!$B$31:$B$1048576,0))</f>
        <v>1000</v>
      </c>
      <c r="K378" s="5">
        <v>0</v>
      </c>
      <c r="L378" s="5">
        <f>INDEX(ref_Unit_Balance!$I$31:$I$106,MATCH(UnitGradeInfo!B378,ref_Unit_Balance!$B$31:$B$1048576,0))</f>
        <v>1</v>
      </c>
      <c r="M378" s="5">
        <f t="shared" si="38"/>
        <v>20</v>
      </c>
      <c r="N378" s="5">
        <f t="shared" si="39"/>
        <v>200</v>
      </c>
      <c r="O378" s="5">
        <f>(INDEX(Unitinfo!I:I,MATCH(B378,Unitinfo!A:A,0))+1)*2</f>
        <v>8</v>
      </c>
      <c r="P378" s="5">
        <v>0</v>
      </c>
      <c r="Q378" s="5">
        <v>0</v>
      </c>
      <c r="R378" s="19" t="s">
        <v>121</v>
      </c>
      <c r="S378" s="19" t="s">
        <v>121</v>
      </c>
      <c r="T378" s="5">
        <f t="shared" si="43"/>
        <v>2017</v>
      </c>
      <c r="U378" s="5">
        <f t="shared" si="44"/>
        <v>1</v>
      </c>
      <c r="V378" s="5">
        <v>0</v>
      </c>
      <c r="W378" s="5">
        <v>10</v>
      </c>
    </row>
    <row r="379" spans="1:23">
      <c r="A379" s="5">
        <f t="shared" si="42"/>
        <v>376</v>
      </c>
      <c r="B379" s="93">
        <f t="shared" si="45"/>
        <v>2017</v>
      </c>
      <c r="C379" s="20" t="str">
        <f>INDEX(Unitinfo!C:C,MATCH(UnitGradeInfo!B379,Unitinfo!A:A,0))</f>
        <v>(근거리)Dragon</v>
      </c>
      <c r="D379" s="5">
        <f>COUNTIF($B$4:B379,B379)</f>
        <v>11</v>
      </c>
      <c r="E379" s="5">
        <f>ROUNDDOWN(INDEX(ref_Unit_Balance!$G$31:$G$106,MATCH(UnitGradeInfo!B379,ref_Unit_Balance!$B$31:$B$1048576,0))
+INDEX(ref_Unit_Balance!$G$20:$G$23,MATCH(IFERROR(INDEX(ref_Unit_Balance!$D$31:$D$1048576,MATCH(B379,ref_Unit_Balance!$B$31:$B$1048576,0)),0),ref_Unit_Balance!$B$20:$B$23,0))*D379*ref_Unit_Balance!$C$25,0)</f>
        <v>1187</v>
      </c>
      <c r="F379" s="5">
        <f>INDEX(ref_Unit_Balance!$V$31:$V$106,MATCH(UnitGradeInfo!B379,ref_Unit_Balance!$B$31:$B$1048576,0))
+
INDEX(ref_Unit_Balance!$AB$31:$AB$106,MATCH(UnitGradeInfo!B379,ref_Unit_Balance!$B$31:$B$1048576,0))*(D379-1)</f>
        <v>19000</v>
      </c>
      <c r="G379" s="5">
        <f>INDEX(ref_Unit_Balance!$R$31:$R$106,MATCH(UnitGradeInfo!B379,ref_Unit_Balance!$B$31:$B$1048576,0))
+
INDEX(ref_Unit_Balance!$AA$31:$AA$106,MATCH(UnitGradeInfo!B379,ref_Unit_Balance!$B$31:$B$1048576,0))*(D379-1)</f>
        <v>2880</v>
      </c>
      <c r="H379" s="39">
        <v>7</v>
      </c>
      <c r="I379" s="5">
        <f>IF(INDEX(ref_Unit_Balance!$T$31:$T$106,MATCH(UnitGradeInfo!B379,ref_Unit_Balance!$B$31:$B$1048576,0))=0,1,INDEX(ref_Unit_Balance!$T$31:$T$106,MATCH(UnitGradeInfo!B379,ref_Unit_Balance!$B$31:$B$1048576,0)))</f>
        <v>10</v>
      </c>
      <c r="J379" s="5">
        <f>INDEX(ref_Unit_Balance!$S$31:$S$106,MATCH(UnitGradeInfo!B379,ref_Unit_Balance!$B$31:$B$1048576,0))</f>
        <v>1000</v>
      </c>
      <c r="K379" s="5">
        <v>0</v>
      </c>
      <c r="L379" s="5">
        <f>INDEX(ref_Unit_Balance!$I$31:$I$106,MATCH(UnitGradeInfo!B379,ref_Unit_Balance!$B$31:$B$1048576,0))</f>
        <v>1</v>
      </c>
      <c r="M379" s="5">
        <f t="shared" si="38"/>
        <v>22</v>
      </c>
      <c r="N379" s="5">
        <f t="shared" si="39"/>
        <v>220</v>
      </c>
      <c r="O379" s="5">
        <f>(INDEX(Unitinfo!I:I,MATCH(B379,Unitinfo!A:A,0))+1)*2</f>
        <v>8</v>
      </c>
      <c r="P379" s="5">
        <v>0</v>
      </c>
      <c r="Q379" s="5">
        <v>0</v>
      </c>
      <c r="R379" s="19" t="s">
        <v>121</v>
      </c>
      <c r="S379" s="19" t="s">
        <v>121</v>
      </c>
      <c r="T379" s="5">
        <f t="shared" si="43"/>
        <v>2017</v>
      </c>
      <c r="U379" s="5">
        <f t="shared" si="44"/>
        <v>1</v>
      </c>
      <c r="V379" s="5">
        <v>0</v>
      </c>
      <c r="W379" s="5">
        <v>10</v>
      </c>
    </row>
    <row r="380" spans="1:23">
      <c r="A380" s="5">
        <f t="shared" si="42"/>
        <v>377</v>
      </c>
      <c r="B380" s="93">
        <f t="shared" si="45"/>
        <v>2017</v>
      </c>
      <c r="C380" s="20" t="str">
        <f>INDEX(Unitinfo!C:C,MATCH(UnitGradeInfo!B380,Unitinfo!A:A,0))</f>
        <v>(근거리)Dragon</v>
      </c>
      <c r="D380" s="5">
        <f>COUNTIF($B$4:B380,B380)</f>
        <v>12</v>
      </c>
      <c r="E380" s="5">
        <f>ROUNDDOWN(INDEX(ref_Unit_Balance!$G$31:$G$106,MATCH(UnitGradeInfo!B380,ref_Unit_Balance!$B$31:$B$1048576,0))
+INDEX(ref_Unit_Balance!$G$20:$G$23,MATCH(IFERROR(INDEX(ref_Unit_Balance!$D$31:$D$1048576,MATCH(B380,ref_Unit_Balance!$B$31:$B$1048576,0)),0),ref_Unit_Balance!$B$20:$B$23,0))*D380*ref_Unit_Balance!$C$25,0)</f>
        <v>1275</v>
      </c>
      <c r="F380" s="5">
        <f>INDEX(ref_Unit_Balance!$V$31:$V$106,MATCH(UnitGradeInfo!B380,ref_Unit_Balance!$B$31:$B$1048576,0))
+
INDEX(ref_Unit_Balance!$AB$31:$AB$106,MATCH(UnitGradeInfo!B380,ref_Unit_Balance!$B$31:$B$1048576,0))*(D380-1)</f>
        <v>20000</v>
      </c>
      <c r="G380" s="5">
        <f>INDEX(ref_Unit_Balance!$R$31:$R$106,MATCH(UnitGradeInfo!B380,ref_Unit_Balance!$B$31:$B$1048576,0))
+
INDEX(ref_Unit_Balance!$AA$31:$AA$106,MATCH(UnitGradeInfo!B380,ref_Unit_Balance!$B$31:$B$1048576,0))*(D380-1)</f>
        <v>3060</v>
      </c>
      <c r="H380" s="39">
        <v>7</v>
      </c>
      <c r="I380" s="5">
        <f>IF(INDEX(ref_Unit_Balance!$T$31:$T$106,MATCH(UnitGradeInfo!B380,ref_Unit_Balance!$B$31:$B$1048576,0))=0,1,INDEX(ref_Unit_Balance!$T$31:$T$106,MATCH(UnitGradeInfo!B380,ref_Unit_Balance!$B$31:$B$1048576,0)))</f>
        <v>10</v>
      </c>
      <c r="J380" s="5">
        <f>INDEX(ref_Unit_Balance!$S$31:$S$106,MATCH(UnitGradeInfo!B380,ref_Unit_Balance!$B$31:$B$1048576,0))</f>
        <v>1000</v>
      </c>
      <c r="K380" s="5">
        <v>0</v>
      </c>
      <c r="L380" s="5">
        <f>INDEX(ref_Unit_Balance!$I$31:$I$106,MATCH(UnitGradeInfo!B380,ref_Unit_Balance!$B$31:$B$1048576,0))</f>
        <v>1</v>
      </c>
      <c r="M380" s="5">
        <f t="shared" si="38"/>
        <v>24</v>
      </c>
      <c r="N380" s="5">
        <f t="shared" si="39"/>
        <v>240</v>
      </c>
      <c r="O380" s="5">
        <f>(INDEX(Unitinfo!I:I,MATCH(B380,Unitinfo!A:A,0))+1)*2</f>
        <v>8</v>
      </c>
      <c r="P380" s="5">
        <v>0</v>
      </c>
      <c r="Q380" s="5">
        <v>0</v>
      </c>
      <c r="R380" s="19" t="s">
        <v>121</v>
      </c>
      <c r="S380" s="19" t="s">
        <v>121</v>
      </c>
      <c r="T380" s="5">
        <f t="shared" si="43"/>
        <v>2017</v>
      </c>
      <c r="U380" s="5">
        <f t="shared" si="44"/>
        <v>1</v>
      </c>
      <c r="V380" s="5">
        <v>0</v>
      </c>
      <c r="W380" s="5">
        <v>10</v>
      </c>
    </row>
    <row r="381" spans="1:23">
      <c r="A381" s="5">
        <f t="shared" si="42"/>
        <v>378</v>
      </c>
      <c r="B381" s="93">
        <f t="shared" si="45"/>
        <v>2017</v>
      </c>
      <c r="C381" s="20" t="str">
        <f>INDEX(Unitinfo!C:C,MATCH(UnitGradeInfo!B381,Unitinfo!A:A,0))</f>
        <v>(근거리)Dragon</v>
      </c>
      <c r="D381" s="5">
        <f>COUNTIF($B$4:B381,B381)</f>
        <v>13</v>
      </c>
      <c r="E381" s="5">
        <f>ROUNDDOWN(INDEX(ref_Unit_Balance!$G$31:$G$106,MATCH(UnitGradeInfo!B381,ref_Unit_Balance!$B$31:$B$1048576,0))
+INDEX(ref_Unit_Balance!$G$20:$G$23,MATCH(IFERROR(INDEX(ref_Unit_Balance!$D$31:$D$1048576,MATCH(B381,ref_Unit_Balance!$B$31:$B$1048576,0)),0),ref_Unit_Balance!$B$20:$B$23,0))*D381*ref_Unit_Balance!$C$25,0)</f>
        <v>1362</v>
      </c>
      <c r="F381" s="5">
        <f>INDEX(ref_Unit_Balance!$V$31:$V$106,MATCH(UnitGradeInfo!B381,ref_Unit_Balance!$B$31:$B$1048576,0))
+
INDEX(ref_Unit_Balance!$AB$31:$AB$106,MATCH(UnitGradeInfo!B381,ref_Unit_Balance!$B$31:$B$1048576,0))*(D381-1)</f>
        <v>21000</v>
      </c>
      <c r="G381" s="5">
        <f>INDEX(ref_Unit_Balance!$R$31:$R$106,MATCH(UnitGradeInfo!B381,ref_Unit_Balance!$B$31:$B$1048576,0))
+
INDEX(ref_Unit_Balance!$AA$31:$AA$106,MATCH(UnitGradeInfo!B381,ref_Unit_Balance!$B$31:$B$1048576,0))*(D381-1)</f>
        <v>3240</v>
      </c>
      <c r="H381" s="39">
        <v>7</v>
      </c>
      <c r="I381" s="5">
        <f>IF(INDEX(ref_Unit_Balance!$T$31:$T$106,MATCH(UnitGradeInfo!B381,ref_Unit_Balance!$B$31:$B$1048576,0))=0,1,INDEX(ref_Unit_Balance!$T$31:$T$106,MATCH(UnitGradeInfo!B381,ref_Unit_Balance!$B$31:$B$1048576,0)))</f>
        <v>10</v>
      </c>
      <c r="J381" s="5">
        <f>INDEX(ref_Unit_Balance!$S$31:$S$106,MATCH(UnitGradeInfo!B381,ref_Unit_Balance!$B$31:$B$1048576,0))</f>
        <v>1000</v>
      </c>
      <c r="K381" s="5">
        <v>0</v>
      </c>
      <c r="L381" s="5">
        <f>INDEX(ref_Unit_Balance!$I$31:$I$106,MATCH(UnitGradeInfo!B381,ref_Unit_Balance!$B$31:$B$1048576,0))</f>
        <v>1</v>
      </c>
      <c r="M381" s="5">
        <f t="shared" si="38"/>
        <v>26</v>
      </c>
      <c r="N381" s="5">
        <f t="shared" si="39"/>
        <v>260</v>
      </c>
      <c r="O381" s="5">
        <f>(INDEX(Unitinfo!I:I,MATCH(B381,Unitinfo!A:A,0))+1)*2</f>
        <v>8</v>
      </c>
      <c r="P381" s="5">
        <v>0</v>
      </c>
      <c r="Q381" s="5">
        <v>0</v>
      </c>
      <c r="R381" s="19" t="s">
        <v>121</v>
      </c>
      <c r="S381" s="19" t="s">
        <v>121</v>
      </c>
      <c r="T381" s="5">
        <f t="shared" si="43"/>
        <v>2017</v>
      </c>
      <c r="U381" s="5">
        <f t="shared" si="44"/>
        <v>1</v>
      </c>
      <c r="V381" s="5">
        <v>0</v>
      </c>
      <c r="W381" s="5">
        <v>10</v>
      </c>
    </row>
    <row r="382" spans="1:23">
      <c r="A382" s="5">
        <f t="shared" si="42"/>
        <v>379</v>
      </c>
      <c r="B382" s="93">
        <f t="shared" si="45"/>
        <v>2017</v>
      </c>
      <c r="C382" s="20" t="str">
        <f>INDEX(Unitinfo!C:C,MATCH(UnitGradeInfo!B382,Unitinfo!A:A,0))</f>
        <v>(근거리)Dragon</v>
      </c>
      <c r="D382" s="5">
        <f>COUNTIF($B$4:B382,B382)</f>
        <v>14</v>
      </c>
      <c r="E382" s="5">
        <f>ROUNDDOWN(INDEX(ref_Unit_Balance!$G$31:$G$106,MATCH(UnitGradeInfo!B382,ref_Unit_Balance!$B$31:$B$1048576,0))
+INDEX(ref_Unit_Balance!$G$20:$G$23,MATCH(IFERROR(INDEX(ref_Unit_Balance!$D$31:$D$1048576,MATCH(B382,ref_Unit_Balance!$B$31:$B$1048576,0)),0),ref_Unit_Balance!$B$20:$B$23,0))*D382*ref_Unit_Balance!$C$25,0)</f>
        <v>1450</v>
      </c>
      <c r="F382" s="5">
        <f>INDEX(ref_Unit_Balance!$V$31:$V$106,MATCH(UnitGradeInfo!B382,ref_Unit_Balance!$B$31:$B$1048576,0))
+
INDEX(ref_Unit_Balance!$AB$31:$AB$106,MATCH(UnitGradeInfo!B382,ref_Unit_Balance!$B$31:$B$1048576,0))*(D382-1)</f>
        <v>22000</v>
      </c>
      <c r="G382" s="5">
        <f>INDEX(ref_Unit_Balance!$R$31:$R$106,MATCH(UnitGradeInfo!B382,ref_Unit_Balance!$B$31:$B$1048576,0))
+
INDEX(ref_Unit_Balance!$AA$31:$AA$106,MATCH(UnitGradeInfo!B382,ref_Unit_Balance!$B$31:$B$1048576,0))*(D382-1)</f>
        <v>3420</v>
      </c>
      <c r="H382" s="39">
        <v>7</v>
      </c>
      <c r="I382" s="5">
        <f>IF(INDEX(ref_Unit_Balance!$T$31:$T$106,MATCH(UnitGradeInfo!B382,ref_Unit_Balance!$B$31:$B$1048576,0))=0,1,INDEX(ref_Unit_Balance!$T$31:$T$106,MATCH(UnitGradeInfo!B382,ref_Unit_Balance!$B$31:$B$1048576,0)))</f>
        <v>10</v>
      </c>
      <c r="J382" s="5">
        <f>INDEX(ref_Unit_Balance!$S$31:$S$106,MATCH(UnitGradeInfo!B382,ref_Unit_Balance!$B$31:$B$1048576,0))</f>
        <v>1000</v>
      </c>
      <c r="K382" s="5">
        <v>0</v>
      </c>
      <c r="L382" s="5">
        <f>INDEX(ref_Unit_Balance!$I$31:$I$106,MATCH(UnitGradeInfo!B382,ref_Unit_Balance!$B$31:$B$1048576,0))</f>
        <v>1</v>
      </c>
      <c r="M382" s="5">
        <f t="shared" si="38"/>
        <v>28</v>
      </c>
      <c r="N382" s="5">
        <f t="shared" si="39"/>
        <v>280</v>
      </c>
      <c r="O382" s="5">
        <f>(INDEX(Unitinfo!I:I,MATCH(B382,Unitinfo!A:A,0))+1)*2</f>
        <v>8</v>
      </c>
      <c r="P382" s="5">
        <v>0</v>
      </c>
      <c r="Q382" s="5">
        <v>0</v>
      </c>
      <c r="R382" s="19" t="s">
        <v>121</v>
      </c>
      <c r="S382" s="19" t="s">
        <v>121</v>
      </c>
      <c r="T382" s="5">
        <f t="shared" si="43"/>
        <v>2017</v>
      </c>
      <c r="U382" s="5">
        <f t="shared" si="44"/>
        <v>1</v>
      </c>
      <c r="V382" s="5">
        <v>0</v>
      </c>
      <c r="W382" s="5">
        <v>10</v>
      </c>
    </row>
    <row r="383" spans="1:23">
      <c r="A383" s="5">
        <f t="shared" si="42"/>
        <v>380</v>
      </c>
      <c r="B383" s="93">
        <f t="shared" si="45"/>
        <v>2017</v>
      </c>
      <c r="C383" s="20" t="str">
        <f>INDEX(Unitinfo!C:C,MATCH(UnitGradeInfo!B383,Unitinfo!A:A,0))</f>
        <v>(근거리)Dragon</v>
      </c>
      <c r="D383" s="5">
        <f>COUNTIF($B$4:B383,B383)</f>
        <v>15</v>
      </c>
      <c r="E383" s="5">
        <f>ROUNDDOWN(INDEX(ref_Unit_Balance!$G$31:$G$106,MATCH(UnitGradeInfo!B383,ref_Unit_Balance!$B$31:$B$1048576,0))
+INDEX(ref_Unit_Balance!$G$20:$G$23,MATCH(IFERROR(INDEX(ref_Unit_Balance!$D$31:$D$1048576,MATCH(B383,ref_Unit_Balance!$B$31:$B$1048576,0)),0),ref_Unit_Balance!$B$20:$B$23,0))*D383*ref_Unit_Balance!$C$25,0)</f>
        <v>1537</v>
      </c>
      <c r="F383" s="5">
        <f>INDEX(ref_Unit_Balance!$V$31:$V$106,MATCH(UnitGradeInfo!B383,ref_Unit_Balance!$B$31:$B$1048576,0))
+
INDEX(ref_Unit_Balance!$AB$31:$AB$106,MATCH(UnitGradeInfo!B383,ref_Unit_Balance!$B$31:$B$1048576,0))*(D383-1)</f>
        <v>23000</v>
      </c>
      <c r="G383" s="5">
        <f>INDEX(ref_Unit_Balance!$R$31:$R$106,MATCH(UnitGradeInfo!B383,ref_Unit_Balance!$B$31:$B$1048576,0))
+
INDEX(ref_Unit_Balance!$AA$31:$AA$106,MATCH(UnitGradeInfo!B383,ref_Unit_Balance!$B$31:$B$1048576,0))*(D383-1)</f>
        <v>3600</v>
      </c>
      <c r="H383" s="39">
        <v>7</v>
      </c>
      <c r="I383" s="5">
        <f>IF(INDEX(ref_Unit_Balance!$T$31:$T$106,MATCH(UnitGradeInfo!B383,ref_Unit_Balance!$B$31:$B$1048576,0))=0,1,INDEX(ref_Unit_Balance!$T$31:$T$106,MATCH(UnitGradeInfo!B383,ref_Unit_Balance!$B$31:$B$1048576,0)))</f>
        <v>10</v>
      </c>
      <c r="J383" s="5">
        <f>INDEX(ref_Unit_Balance!$S$31:$S$106,MATCH(UnitGradeInfo!B383,ref_Unit_Balance!$B$31:$B$1048576,0))</f>
        <v>1000</v>
      </c>
      <c r="K383" s="5">
        <v>0</v>
      </c>
      <c r="L383" s="5">
        <f>INDEX(ref_Unit_Balance!$I$31:$I$106,MATCH(UnitGradeInfo!B383,ref_Unit_Balance!$B$31:$B$1048576,0))</f>
        <v>1</v>
      </c>
      <c r="M383" s="5">
        <f t="shared" si="38"/>
        <v>30</v>
      </c>
      <c r="N383" s="5">
        <f t="shared" si="39"/>
        <v>300</v>
      </c>
      <c r="O383" s="5">
        <f>(INDEX(Unitinfo!I:I,MATCH(B383,Unitinfo!A:A,0))+1)*2</f>
        <v>8</v>
      </c>
      <c r="P383" s="5">
        <v>0</v>
      </c>
      <c r="Q383" s="5">
        <v>0</v>
      </c>
      <c r="R383" s="19" t="s">
        <v>121</v>
      </c>
      <c r="S383" s="19" t="s">
        <v>121</v>
      </c>
      <c r="T383" s="5">
        <f t="shared" si="43"/>
        <v>2017</v>
      </c>
      <c r="U383" s="5">
        <f t="shared" si="44"/>
        <v>1</v>
      </c>
      <c r="V383" s="5">
        <v>0</v>
      </c>
      <c r="W383" s="5">
        <v>10</v>
      </c>
    </row>
    <row r="384" spans="1:23">
      <c r="A384" s="5">
        <f t="shared" si="42"/>
        <v>381</v>
      </c>
      <c r="B384" s="93">
        <f t="shared" si="45"/>
        <v>2017</v>
      </c>
      <c r="C384" s="20" t="str">
        <f>INDEX(Unitinfo!C:C,MATCH(UnitGradeInfo!B384,Unitinfo!A:A,0))</f>
        <v>(근거리)Dragon</v>
      </c>
      <c r="D384" s="5">
        <f>COUNTIF($B$4:B384,B384)</f>
        <v>16</v>
      </c>
      <c r="E384" s="5">
        <f>ROUNDDOWN(INDEX(ref_Unit_Balance!$G$31:$G$106,MATCH(UnitGradeInfo!B384,ref_Unit_Balance!$B$31:$B$1048576,0))
+INDEX(ref_Unit_Balance!$G$20:$G$23,MATCH(IFERROR(INDEX(ref_Unit_Balance!$D$31:$D$1048576,MATCH(B384,ref_Unit_Balance!$B$31:$B$1048576,0)),0),ref_Unit_Balance!$B$20:$B$23,0))*D384*ref_Unit_Balance!$C$25,0)</f>
        <v>1625</v>
      </c>
      <c r="F384" s="5">
        <f>INDEX(ref_Unit_Balance!$V$31:$V$106,MATCH(UnitGradeInfo!B384,ref_Unit_Balance!$B$31:$B$1048576,0))
+
INDEX(ref_Unit_Balance!$AB$31:$AB$106,MATCH(UnitGradeInfo!B384,ref_Unit_Balance!$B$31:$B$1048576,0))*(D384-1)</f>
        <v>24000</v>
      </c>
      <c r="G384" s="5">
        <f>INDEX(ref_Unit_Balance!$R$31:$R$106,MATCH(UnitGradeInfo!B384,ref_Unit_Balance!$B$31:$B$1048576,0))
+
INDEX(ref_Unit_Balance!$AA$31:$AA$106,MATCH(UnitGradeInfo!B384,ref_Unit_Balance!$B$31:$B$1048576,0))*(D384-1)</f>
        <v>3780</v>
      </c>
      <c r="H384" s="39">
        <v>7</v>
      </c>
      <c r="I384" s="5">
        <f>IF(INDEX(ref_Unit_Balance!$T$31:$T$106,MATCH(UnitGradeInfo!B384,ref_Unit_Balance!$B$31:$B$1048576,0))=0,1,INDEX(ref_Unit_Balance!$T$31:$T$106,MATCH(UnitGradeInfo!B384,ref_Unit_Balance!$B$31:$B$1048576,0)))</f>
        <v>10</v>
      </c>
      <c r="J384" s="5">
        <f>INDEX(ref_Unit_Balance!$S$31:$S$106,MATCH(UnitGradeInfo!B384,ref_Unit_Balance!$B$31:$B$1048576,0))</f>
        <v>1000</v>
      </c>
      <c r="K384" s="5">
        <v>0</v>
      </c>
      <c r="L384" s="5">
        <f>INDEX(ref_Unit_Balance!$I$31:$I$106,MATCH(UnitGradeInfo!B384,ref_Unit_Balance!$B$31:$B$1048576,0))</f>
        <v>1</v>
      </c>
      <c r="M384" s="5">
        <f t="shared" si="38"/>
        <v>32</v>
      </c>
      <c r="N384" s="5">
        <f t="shared" si="39"/>
        <v>320</v>
      </c>
      <c r="O384" s="5">
        <f>(INDEX(Unitinfo!I:I,MATCH(B384,Unitinfo!A:A,0))+1)*2</f>
        <v>8</v>
      </c>
      <c r="P384" s="5">
        <v>0</v>
      </c>
      <c r="Q384" s="5">
        <v>0</v>
      </c>
      <c r="R384" s="19" t="s">
        <v>121</v>
      </c>
      <c r="S384" s="19" t="s">
        <v>121</v>
      </c>
      <c r="T384" s="5">
        <f t="shared" si="43"/>
        <v>2017</v>
      </c>
      <c r="U384" s="5">
        <f t="shared" si="44"/>
        <v>1</v>
      </c>
      <c r="V384" s="5">
        <v>0</v>
      </c>
      <c r="W384" s="5">
        <v>10</v>
      </c>
    </row>
    <row r="385" spans="1:23">
      <c r="A385" s="5">
        <f t="shared" si="42"/>
        <v>382</v>
      </c>
      <c r="B385" s="93">
        <f t="shared" si="45"/>
        <v>2017</v>
      </c>
      <c r="C385" s="20" t="str">
        <f>INDEX(Unitinfo!C:C,MATCH(UnitGradeInfo!B385,Unitinfo!A:A,0))</f>
        <v>(근거리)Dragon</v>
      </c>
      <c r="D385" s="5">
        <f>COUNTIF($B$4:B385,B385)</f>
        <v>17</v>
      </c>
      <c r="E385" s="5">
        <f>ROUNDDOWN(INDEX(ref_Unit_Balance!$G$31:$G$106,MATCH(UnitGradeInfo!B385,ref_Unit_Balance!$B$31:$B$1048576,0))
+INDEX(ref_Unit_Balance!$G$20:$G$23,MATCH(IFERROR(INDEX(ref_Unit_Balance!$D$31:$D$1048576,MATCH(B385,ref_Unit_Balance!$B$31:$B$1048576,0)),0),ref_Unit_Balance!$B$20:$B$23,0))*D385*ref_Unit_Balance!$C$25,0)</f>
        <v>1712</v>
      </c>
      <c r="F385" s="5">
        <f>INDEX(ref_Unit_Balance!$V$31:$V$106,MATCH(UnitGradeInfo!B385,ref_Unit_Balance!$B$31:$B$1048576,0))
+
INDEX(ref_Unit_Balance!$AB$31:$AB$106,MATCH(UnitGradeInfo!B385,ref_Unit_Balance!$B$31:$B$1048576,0))*(D385-1)</f>
        <v>25000</v>
      </c>
      <c r="G385" s="5">
        <f>INDEX(ref_Unit_Balance!$R$31:$R$106,MATCH(UnitGradeInfo!B385,ref_Unit_Balance!$B$31:$B$1048576,0))
+
INDEX(ref_Unit_Balance!$AA$31:$AA$106,MATCH(UnitGradeInfo!B385,ref_Unit_Balance!$B$31:$B$1048576,0))*(D385-1)</f>
        <v>3960</v>
      </c>
      <c r="H385" s="39">
        <v>7</v>
      </c>
      <c r="I385" s="5">
        <f>IF(INDEX(ref_Unit_Balance!$T$31:$T$106,MATCH(UnitGradeInfo!B385,ref_Unit_Balance!$B$31:$B$1048576,0))=0,1,INDEX(ref_Unit_Balance!$T$31:$T$106,MATCH(UnitGradeInfo!B385,ref_Unit_Balance!$B$31:$B$1048576,0)))</f>
        <v>10</v>
      </c>
      <c r="J385" s="5">
        <f>INDEX(ref_Unit_Balance!$S$31:$S$106,MATCH(UnitGradeInfo!B385,ref_Unit_Balance!$B$31:$B$1048576,0))</f>
        <v>1000</v>
      </c>
      <c r="K385" s="5">
        <v>0</v>
      </c>
      <c r="L385" s="5">
        <f>INDEX(ref_Unit_Balance!$I$31:$I$106,MATCH(UnitGradeInfo!B385,ref_Unit_Balance!$B$31:$B$1048576,0))</f>
        <v>1</v>
      </c>
      <c r="M385" s="5">
        <f t="shared" si="38"/>
        <v>34</v>
      </c>
      <c r="N385" s="5">
        <f t="shared" si="39"/>
        <v>340</v>
      </c>
      <c r="O385" s="5">
        <f>(INDEX(Unitinfo!I:I,MATCH(B385,Unitinfo!A:A,0))+1)*2</f>
        <v>8</v>
      </c>
      <c r="P385" s="5">
        <v>0</v>
      </c>
      <c r="Q385" s="5">
        <v>0</v>
      </c>
      <c r="R385" s="19" t="s">
        <v>121</v>
      </c>
      <c r="S385" s="19" t="s">
        <v>121</v>
      </c>
      <c r="T385" s="5">
        <f t="shared" si="43"/>
        <v>2017</v>
      </c>
      <c r="U385" s="5">
        <f t="shared" si="44"/>
        <v>1</v>
      </c>
      <c r="V385" s="5">
        <v>0</v>
      </c>
      <c r="W385" s="5">
        <v>10</v>
      </c>
    </row>
    <row r="386" spans="1:23">
      <c r="A386" s="5">
        <f t="shared" si="42"/>
        <v>383</v>
      </c>
      <c r="B386" s="93">
        <f t="shared" si="45"/>
        <v>2017</v>
      </c>
      <c r="C386" s="20" t="str">
        <f>INDEX(Unitinfo!C:C,MATCH(UnitGradeInfo!B386,Unitinfo!A:A,0))</f>
        <v>(근거리)Dragon</v>
      </c>
      <c r="D386" s="5">
        <f>COUNTIF($B$4:B386,B386)</f>
        <v>18</v>
      </c>
      <c r="E386" s="5">
        <f>ROUNDDOWN(INDEX(ref_Unit_Balance!$G$31:$G$106,MATCH(UnitGradeInfo!B386,ref_Unit_Balance!$B$31:$B$1048576,0))
+INDEX(ref_Unit_Balance!$G$20:$G$23,MATCH(IFERROR(INDEX(ref_Unit_Balance!$D$31:$D$1048576,MATCH(B386,ref_Unit_Balance!$B$31:$B$1048576,0)),0),ref_Unit_Balance!$B$20:$B$23,0))*D386*ref_Unit_Balance!$C$25,0)</f>
        <v>1800</v>
      </c>
      <c r="F386" s="5">
        <f>INDEX(ref_Unit_Balance!$V$31:$V$106,MATCH(UnitGradeInfo!B386,ref_Unit_Balance!$B$31:$B$1048576,0))
+
INDEX(ref_Unit_Balance!$AB$31:$AB$106,MATCH(UnitGradeInfo!B386,ref_Unit_Balance!$B$31:$B$1048576,0))*(D386-1)</f>
        <v>26000</v>
      </c>
      <c r="G386" s="5">
        <f>INDEX(ref_Unit_Balance!$R$31:$R$106,MATCH(UnitGradeInfo!B386,ref_Unit_Balance!$B$31:$B$1048576,0))
+
INDEX(ref_Unit_Balance!$AA$31:$AA$106,MATCH(UnitGradeInfo!B386,ref_Unit_Balance!$B$31:$B$1048576,0))*(D386-1)</f>
        <v>4140</v>
      </c>
      <c r="H386" s="39">
        <v>7</v>
      </c>
      <c r="I386" s="5">
        <f>IF(INDEX(ref_Unit_Balance!$T$31:$T$106,MATCH(UnitGradeInfo!B386,ref_Unit_Balance!$B$31:$B$1048576,0))=0,1,INDEX(ref_Unit_Balance!$T$31:$T$106,MATCH(UnitGradeInfo!B386,ref_Unit_Balance!$B$31:$B$1048576,0)))</f>
        <v>10</v>
      </c>
      <c r="J386" s="5">
        <f>INDEX(ref_Unit_Balance!$S$31:$S$106,MATCH(UnitGradeInfo!B386,ref_Unit_Balance!$B$31:$B$1048576,0))</f>
        <v>1000</v>
      </c>
      <c r="K386" s="5">
        <v>0</v>
      </c>
      <c r="L386" s="5">
        <f>INDEX(ref_Unit_Balance!$I$31:$I$106,MATCH(UnitGradeInfo!B386,ref_Unit_Balance!$B$31:$B$1048576,0))</f>
        <v>1</v>
      </c>
      <c r="M386" s="5">
        <f t="shared" si="38"/>
        <v>36</v>
      </c>
      <c r="N386" s="5">
        <f t="shared" si="39"/>
        <v>360</v>
      </c>
      <c r="O386" s="5">
        <f>(INDEX(Unitinfo!I:I,MATCH(B386,Unitinfo!A:A,0))+1)*2</f>
        <v>8</v>
      </c>
      <c r="P386" s="5">
        <v>0</v>
      </c>
      <c r="Q386" s="5">
        <v>0</v>
      </c>
      <c r="R386" s="19" t="s">
        <v>121</v>
      </c>
      <c r="S386" s="19" t="s">
        <v>121</v>
      </c>
      <c r="T386" s="5">
        <f t="shared" si="43"/>
        <v>2017</v>
      </c>
      <c r="U386" s="5">
        <f t="shared" si="44"/>
        <v>1</v>
      </c>
      <c r="V386" s="5">
        <v>0</v>
      </c>
      <c r="W386" s="5">
        <v>10</v>
      </c>
    </row>
    <row r="387" spans="1:23">
      <c r="A387" s="5">
        <f t="shared" si="42"/>
        <v>384</v>
      </c>
      <c r="B387" s="93">
        <f t="shared" si="45"/>
        <v>2017</v>
      </c>
      <c r="C387" s="20" t="str">
        <f>INDEX(Unitinfo!C:C,MATCH(UnitGradeInfo!B387,Unitinfo!A:A,0))</f>
        <v>(근거리)Dragon</v>
      </c>
      <c r="D387" s="5">
        <f>COUNTIF($B$4:B387,B387)</f>
        <v>19</v>
      </c>
      <c r="E387" s="5">
        <f>ROUNDDOWN(INDEX(ref_Unit_Balance!$G$31:$G$106,MATCH(UnitGradeInfo!B387,ref_Unit_Balance!$B$31:$B$1048576,0))
+INDEX(ref_Unit_Balance!$G$20:$G$23,MATCH(IFERROR(INDEX(ref_Unit_Balance!$D$31:$D$1048576,MATCH(B387,ref_Unit_Balance!$B$31:$B$1048576,0)),0),ref_Unit_Balance!$B$20:$B$23,0))*D387*ref_Unit_Balance!$C$25,0)</f>
        <v>1887</v>
      </c>
      <c r="F387" s="5">
        <f>INDEX(ref_Unit_Balance!$V$31:$V$106,MATCH(UnitGradeInfo!B387,ref_Unit_Balance!$B$31:$B$1048576,0))
+
INDEX(ref_Unit_Balance!$AB$31:$AB$106,MATCH(UnitGradeInfo!B387,ref_Unit_Balance!$B$31:$B$1048576,0))*(D387-1)</f>
        <v>27000</v>
      </c>
      <c r="G387" s="5">
        <f>INDEX(ref_Unit_Balance!$R$31:$R$106,MATCH(UnitGradeInfo!B387,ref_Unit_Balance!$B$31:$B$1048576,0))
+
INDEX(ref_Unit_Balance!$AA$31:$AA$106,MATCH(UnitGradeInfo!B387,ref_Unit_Balance!$B$31:$B$1048576,0))*(D387-1)</f>
        <v>4320</v>
      </c>
      <c r="H387" s="39">
        <v>7</v>
      </c>
      <c r="I387" s="5">
        <f>IF(INDEX(ref_Unit_Balance!$T$31:$T$106,MATCH(UnitGradeInfo!B387,ref_Unit_Balance!$B$31:$B$1048576,0))=0,1,INDEX(ref_Unit_Balance!$T$31:$T$106,MATCH(UnitGradeInfo!B387,ref_Unit_Balance!$B$31:$B$1048576,0)))</f>
        <v>10</v>
      </c>
      <c r="J387" s="5">
        <f>INDEX(ref_Unit_Balance!$S$31:$S$106,MATCH(UnitGradeInfo!B387,ref_Unit_Balance!$B$31:$B$1048576,0))</f>
        <v>1000</v>
      </c>
      <c r="K387" s="5">
        <v>0</v>
      </c>
      <c r="L387" s="5">
        <f>INDEX(ref_Unit_Balance!$I$31:$I$106,MATCH(UnitGradeInfo!B387,ref_Unit_Balance!$B$31:$B$1048576,0))</f>
        <v>1</v>
      </c>
      <c r="M387" s="5">
        <f t="shared" si="38"/>
        <v>38</v>
      </c>
      <c r="N387" s="5">
        <f t="shared" si="39"/>
        <v>380</v>
      </c>
      <c r="O387" s="5">
        <f>(INDEX(Unitinfo!I:I,MATCH(B387,Unitinfo!A:A,0))+1)*2</f>
        <v>8</v>
      </c>
      <c r="P387" s="5">
        <v>0</v>
      </c>
      <c r="Q387" s="5">
        <v>0</v>
      </c>
      <c r="R387" s="19" t="s">
        <v>121</v>
      </c>
      <c r="S387" s="19" t="s">
        <v>121</v>
      </c>
      <c r="T387" s="5">
        <f t="shared" si="43"/>
        <v>2017</v>
      </c>
      <c r="U387" s="5">
        <f t="shared" si="44"/>
        <v>1</v>
      </c>
      <c r="V387" s="5">
        <v>0</v>
      </c>
      <c r="W387" s="5">
        <v>10</v>
      </c>
    </row>
    <row r="388" spans="1:23">
      <c r="A388" s="5">
        <f t="shared" si="42"/>
        <v>385</v>
      </c>
      <c r="B388" s="93">
        <f t="shared" si="45"/>
        <v>2017</v>
      </c>
      <c r="C388" s="20" t="str">
        <f>INDEX(Unitinfo!C:C,MATCH(UnitGradeInfo!B388,Unitinfo!A:A,0))</f>
        <v>(근거리)Dragon</v>
      </c>
      <c r="D388" s="5">
        <f>COUNTIF($B$4:B388,B388)</f>
        <v>20</v>
      </c>
      <c r="E388" s="5">
        <f>ROUNDDOWN(INDEX(ref_Unit_Balance!$G$31:$G$106,MATCH(UnitGradeInfo!B388,ref_Unit_Balance!$B$31:$B$1048576,0))
+INDEX(ref_Unit_Balance!$G$20:$G$23,MATCH(IFERROR(INDEX(ref_Unit_Balance!$D$31:$D$1048576,MATCH(B388,ref_Unit_Balance!$B$31:$B$1048576,0)),0),ref_Unit_Balance!$B$20:$B$23,0))*D388*ref_Unit_Balance!$C$25,0)</f>
        <v>1975</v>
      </c>
      <c r="F388" s="5">
        <f>INDEX(ref_Unit_Balance!$V$31:$V$106,MATCH(UnitGradeInfo!B388,ref_Unit_Balance!$B$31:$B$1048576,0))
+
INDEX(ref_Unit_Balance!$AB$31:$AB$106,MATCH(UnitGradeInfo!B388,ref_Unit_Balance!$B$31:$B$1048576,0))*(D388-1)</f>
        <v>28000</v>
      </c>
      <c r="G388" s="5">
        <f>INDEX(ref_Unit_Balance!$R$31:$R$106,MATCH(UnitGradeInfo!B388,ref_Unit_Balance!$B$31:$B$1048576,0))
+
INDEX(ref_Unit_Balance!$AA$31:$AA$106,MATCH(UnitGradeInfo!B388,ref_Unit_Balance!$B$31:$B$1048576,0))*(D388-1)</f>
        <v>4500</v>
      </c>
      <c r="H388" s="39">
        <v>7</v>
      </c>
      <c r="I388" s="5">
        <f>IF(INDEX(ref_Unit_Balance!$T$31:$T$106,MATCH(UnitGradeInfo!B388,ref_Unit_Balance!$B$31:$B$1048576,0))=0,1,INDEX(ref_Unit_Balance!$T$31:$T$106,MATCH(UnitGradeInfo!B388,ref_Unit_Balance!$B$31:$B$1048576,0)))</f>
        <v>10</v>
      </c>
      <c r="J388" s="5">
        <f>INDEX(ref_Unit_Balance!$S$31:$S$106,MATCH(UnitGradeInfo!B388,ref_Unit_Balance!$B$31:$B$1048576,0))</f>
        <v>1000</v>
      </c>
      <c r="K388" s="5">
        <v>0</v>
      </c>
      <c r="L388" s="5">
        <f>INDEX(ref_Unit_Balance!$I$31:$I$106,MATCH(UnitGradeInfo!B388,ref_Unit_Balance!$B$31:$B$1048576,0))</f>
        <v>1</v>
      </c>
      <c r="M388" s="5">
        <f t="shared" si="38"/>
        <v>40</v>
      </c>
      <c r="N388" s="5">
        <f t="shared" si="39"/>
        <v>400</v>
      </c>
      <c r="O388" s="5">
        <f>(INDEX(Unitinfo!I:I,MATCH(B388,Unitinfo!A:A,0))+1)*2</f>
        <v>8</v>
      </c>
      <c r="P388" s="5">
        <v>0</v>
      </c>
      <c r="Q388" s="5">
        <v>0</v>
      </c>
      <c r="R388" s="19" t="s">
        <v>121</v>
      </c>
      <c r="S388" s="19" t="s">
        <v>121</v>
      </c>
      <c r="T388" s="5">
        <f t="shared" si="43"/>
        <v>2017</v>
      </c>
      <c r="U388" s="5">
        <f t="shared" si="44"/>
        <v>1</v>
      </c>
      <c r="V388" s="5">
        <v>0</v>
      </c>
      <c r="W388" s="5">
        <v>10</v>
      </c>
    </row>
    <row r="389" spans="1:23">
      <c r="A389" s="5">
        <f t="shared" si="42"/>
        <v>386</v>
      </c>
      <c r="B389" s="93">
        <f t="shared" si="45"/>
        <v>2018</v>
      </c>
      <c r="C389" s="20" t="str">
        <f>INDEX(Unitinfo!C:C,MATCH(UnitGradeInfo!B389,Unitinfo!A:A,0))</f>
        <v>(원거리)Dragon_Fire</v>
      </c>
      <c r="D389" s="5">
        <f>COUNTIF($B$4:B389,B389)</f>
        <v>1</v>
      </c>
      <c r="E389" s="5">
        <f>ROUNDDOWN(INDEX(ref_Unit_Balance!$G$31:$G$106,MATCH(UnitGradeInfo!B389,ref_Unit_Balance!$B$31:$B$1048576,0))
+INDEX(ref_Unit_Balance!$G$20:$G$23,MATCH(IFERROR(INDEX(ref_Unit_Balance!$D$31:$D$1048576,MATCH(B389,ref_Unit_Balance!$B$31:$B$1048576,0)),0),ref_Unit_Balance!$B$20:$B$23,0))*D389*ref_Unit_Balance!$C$25,0)</f>
        <v>312</v>
      </c>
      <c r="F389" s="5">
        <f>INDEX(ref_Unit_Balance!$V$31:$V$106,MATCH(UnitGradeInfo!B389,ref_Unit_Balance!$B$31:$B$1048576,0))
+
INDEX(ref_Unit_Balance!$AB$31:$AB$106,MATCH(UnitGradeInfo!B389,ref_Unit_Balance!$B$31:$B$1048576,0))*(D389-1)</f>
        <v>6750</v>
      </c>
      <c r="G389" s="5">
        <f>INDEX(ref_Unit_Balance!$R$31:$R$106,MATCH(UnitGradeInfo!B389,ref_Unit_Balance!$B$31:$B$1048576,0))
+
INDEX(ref_Unit_Balance!$AA$31:$AA$106,MATCH(UnitGradeInfo!B389,ref_Unit_Balance!$B$31:$B$1048576,0))*(D389-1)</f>
        <v>864</v>
      </c>
      <c r="H389" s="39">
        <f>IF(INDEX(Unitinfo!D:D,MATCH(UnitGradeInfo!B389,Unitinfo!A:A,0))=1,50,5)</f>
        <v>50</v>
      </c>
      <c r="I389" s="5">
        <f>IF(INDEX(ref_Unit_Balance!$T$31:$T$106,MATCH(UnitGradeInfo!B389,ref_Unit_Balance!$B$31:$B$1048576,0))=0,1,INDEX(ref_Unit_Balance!$T$31:$T$106,MATCH(UnitGradeInfo!B389,ref_Unit_Balance!$B$31:$B$1048576,0)))</f>
        <v>5</v>
      </c>
      <c r="J389" s="5">
        <f>INDEX(ref_Unit_Balance!$S$31:$S$106,MATCH(UnitGradeInfo!B389,ref_Unit_Balance!$B$31:$B$1048576,0))</f>
        <v>1200</v>
      </c>
      <c r="K389" s="5">
        <v>0</v>
      </c>
      <c r="L389" s="5">
        <f>INDEX(ref_Unit_Balance!$I$31:$I$106,MATCH(UnitGradeInfo!B389,ref_Unit_Balance!$B$31:$B$1048576,0))</f>
        <v>1</v>
      </c>
      <c r="M389" s="5">
        <f t="shared" ref="M389:M452" si="46">D389*2</f>
        <v>2</v>
      </c>
      <c r="N389" s="5">
        <f t="shared" ref="N389:N452" si="47">D389*20</f>
        <v>20</v>
      </c>
      <c r="O389" s="5">
        <f>(INDEX(Unitinfo!I:I,MATCH(B389,Unitinfo!A:A,0))+1)*2</f>
        <v>8</v>
      </c>
      <c r="P389" s="5">
        <v>0</v>
      </c>
      <c r="Q389" s="5">
        <v>0</v>
      </c>
      <c r="R389" s="19" t="s">
        <v>121</v>
      </c>
      <c r="S389" s="19" t="s">
        <v>121</v>
      </c>
      <c r="T389" s="5">
        <f t="shared" si="43"/>
        <v>2018</v>
      </c>
      <c r="U389" s="5">
        <f t="shared" si="44"/>
        <v>1</v>
      </c>
      <c r="V389" s="5">
        <v>0</v>
      </c>
      <c r="W389" s="5">
        <v>10</v>
      </c>
    </row>
    <row r="390" spans="1:23">
      <c r="A390" s="5">
        <f t="shared" si="42"/>
        <v>387</v>
      </c>
      <c r="B390" s="93">
        <f t="shared" si="45"/>
        <v>2018</v>
      </c>
      <c r="C390" s="20" t="str">
        <f>INDEX(Unitinfo!C:C,MATCH(UnitGradeInfo!B390,Unitinfo!A:A,0))</f>
        <v>(원거리)Dragon_Fire</v>
      </c>
      <c r="D390" s="5">
        <f>COUNTIF($B$4:B390,B390)</f>
        <v>2</v>
      </c>
      <c r="E390" s="5">
        <f>ROUNDDOWN(INDEX(ref_Unit_Balance!$G$31:$G$106,MATCH(UnitGradeInfo!B390,ref_Unit_Balance!$B$31:$B$1048576,0))
+INDEX(ref_Unit_Balance!$G$20:$G$23,MATCH(IFERROR(INDEX(ref_Unit_Balance!$D$31:$D$1048576,MATCH(B390,ref_Unit_Balance!$B$31:$B$1048576,0)),0),ref_Unit_Balance!$B$20:$B$23,0))*D390*ref_Unit_Balance!$C$25,0)</f>
        <v>400</v>
      </c>
      <c r="F390" s="5">
        <f>INDEX(ref_Unit_Balance!$V$31:$V$106,MATCH(UnitGradeInfo!B390,ref_Unit_Balance!$B$31:$B$1048576,0))
+
INDEX(ref_Unit_Balance!$AB$31:$AB$106,MATCH(UnitGradeInfo!B390,ref_Unit_Balance!$B$31:$B$1048576,0))*(D390-1)</f>
        <v>7350</v>
      </c>
      <c r="G390" s="5">
        <f>INDEX(ref_Unit_Balance!$R$31:$R$106,MATCH(UnitGradeInfo!B390,ref_Unit_Balance!$B$31:$B$1048576,0))
+
INDEX(ref_Unit_Balance!$AA$31:$AA$106,MATCH(UnitGradeInfo!B390,ref_Unit_Balance!$B$31:$B$1048576,0))*(D390-1)</f>
        <v>1008</v>
      </c>
      <c r="H390" s="39">
        <f>IF(INDEX(Unitinfo!D:D,MATCH(UnitGradeInfo!B390,Unitinfo!A:A,0))=1,50,5)</f>
        <v>50</v>
      </c>
      <c r="I390" s="5">
        <f>IF(INDEX(ref_Unit_Balance!$T$31:$T$106,MATCH(UnitGradeInfo!B390,ref_Unit_Balance!$B$31:$B$1048576,0))=0,1,INDEX(ref_Unit_Balance!$T$31:$T$106,MATCH(UnitGradeInfo!B390,ref_Unit_Balance!$B$31:$B$1048576,0)))</f>
        <v>5</v>
      </c>
      <c r="J390" s="5">
        <f>INDEX(ref_Unit_Balance!$S$31:$S$106,MATCH(UnitGradeInfo!B390,ref_Unit_Balance!$B$31:$B$1048576,0))</f>
        <v>1200</v>
      </c>
      <c r="K390" s="5">
        <v>0</v>
      </c>
      <c r="L390" s="5">
        <f>INDEX(ref_Unit_Balance!$I$31:$I$106,MATCH(UnitGradeInfo!B390,ref_Unit_Balance!$B$31:$B$1048576,0))</f>
        <v>1</v>
      </c>
      <c r="M390" s="5">
        <f t="shared" si="46"/>
        <v>4</v>
      </c>
      <c r="N390" s="5">
        <f t="shared" si="47"/>
        <v>40</v>
      </c>
      <c r="O390" s="5">
        <f>(INDEX(Unitinfo!I:I,MATCH(B390,Unitinfo!A:A,0))+1)*2</f>
        <v>8</v>
      </c>
      <c r="P390" s="5">
        <v>0</v>
      </c>
      <c r="Q390" s="5">
        <v>0</v>
      </c>
      <c r="R390" s="19" t="s">
        <v>121</v>
      </c>
      <c r="S390" s="19" t="s">
        <v>121</v>
      </c>
      <c r="T390" s="5">
        <f t="shared" si="43"/>
        <v>2018</v>
      </c>
      <c r="U390" s="5">
        <f t="shared" si="44"/>
        <v>1</v>
      </c>
      <c r="V390" s="5">
        <v>0</v>
      </c>
      <c r="W390" s="5">
        <v>10</v>
      </c>
    </row>
    <row r="391" spans="1:23">
      <c r="A391" s="5">
        <f t="shared" si="42"/>
        <v>388</v>
      </c>
      <c r="B391" s="93">
        <f t="shared" si="45"/>
        <v>2018</v>
      </c>
      <c r="C391" s="20" t="str">
        <f>INDEX(Unitinfo!C:C,MATCH(UnitGradeInfo!B391,Unitinfo!A:A,0))</f>
        <v>(원거리)Dragon_Fire</v>
      </c>
      <c r="D391" s="5">
        <f>COUNTIF($B$4:B391,B391)</f>
        <v>3</v>
      </c>
      <c r="E391" s="5">
        <f>ROUNDDOWN(INDEX(ref_Unit_Balance!$G$31:$G$106,MATCH(UnitGradeInfo!B391,ref_Unit_Balance!$B$31:$B$1048576,0))
+INDEX(ref_Unit_Balance!$G$20:$G$23,MATCH(IFERROR(INDEX(ref_Unit_Balance!$D$31:$D$1048576,MATCH(B391,ref_Unit_Balance!$B$31:$B$1048576,0)),0),ref_Unit_Balance!$B$20:$B$23,0))*D391*ref_Unit_Balance!$C$25,0)</f>
        <v>487</v>
      </c>
      <c r="F391" s="5">
        <f>INDEX(ref_Unit_Balance!$V$31:$V$106,MATCH(UnitGradeInfo!B391,ref_Unit_Balance!$B$31:$B$1048576,0))
+
INDEX(ref_Unit_Balance!$AB$31:$AB$106,MATCH(UnitGradeInfo!B391,ref_Unit_Balance!$B$31:$B$1048576,0))*(D391-1)</f>
        <v>7950</v>
      </c>
      <c r="G391" s="5">
        <f>INDEX(ref_Unit_Balance!$R$31:$R$106,MATCH(UnitGradeInfo!B391,ref_Unit_Balance!$B$31:$B$1048576,0))
+
INDEX(ref_Unit_Balance!$AA$31:$AA$106,MATCH(UnitGradeInfo!B391,ref_Unit_Balance!$B$31:$B$1048576,0))*(D391-1)</f>
        <v>1152</v>
      </c>
      <c r="H391" s="39">
        <f>IF(INDEX(Unitinfo!D:D,MATCH(UnitGradeInfo!B391,Unitinfo!A:A,0))=1,50,5)</f>
        <v>50</v>
      </c>
      <c r="I391" s="5">
        <f>IF(INDEX(ref_Unit_Balance!$T$31:$T$106,MATCH(UnitGradeInfo!B391,ref_Unit_Balance!$B$31:$B$1048576,0))=0,1,INDEX(ref_Unit_Balance!$T$31:$T$106,MATCH(UnitGradeInfo!B391,ref_Unit_Balance!$B$31:$B$1048576,0)))</f>
        <v>5</v>
      </c>
      <c r="J391" s="5">
        <f>INDEX(ref_Unit_Balance!$S$31:$S$106,MATCH(UnitGradeInfo!B391,ref_Unit_Balance!$B$31:$B$1048576,0))</f>
        <v>1200</v>
      </c>
      <c r="K391" s="5">
        <v>0</v>
      </c>
      <c r="L391" s="5">
        <f>INDEX(ref_Unit_Balance!$I$31:$I$106,MATCH(UnitGradeInfo!B391,ref_Unit_Balance!$B$31:$B$1048576,0))</f>
        <v>1</v>
      </c>
      <c r="M391" s="5">
        <f t="shared" si="46"/>
        <v>6</v>
      </c>
      <c r="N391" s="5">
        <f t="shared" si="47"/>
        <v>60</v>
      </c>
      <c r="O391" s="5">
        <f>(INDEX(Unitinfo!I:I,MATCH(B391,Unitinfo!A:A,0))+1)*2</f>
        <v>8</v>
      </c>
      <c r="P391" s="5">
        <v>0</v>
      </c>
      <c r="Q391" s="5">
        <v>0</v>
      </c>
      <c r="R391" s="19" t="s">
        <v>121</v>
      </c>
      <c r="S391" s="19" t="s">
        <v>121</v>
      </c>
      <c r="T391" s="5">
        <f t="shared" si="43"/>
        <v>2018</v>
      </c>
      <c r="U391" s="5">
        <f t="shared" si="44"/>
        <v>1</v>
      </c>
      <c r="V391" s="5">
        <v>0</v>
      </c>
      <c r="W391" s="5">
        <v>10</v>
      </c>
    </row>
    <row r="392" spans="1:23">
      <c r="A392" s="5">
        <f t="shared" si="42"/>
        <v>389</v>
      </c>
      <c r="B392" s="93">
        <f t="shared" si="45"/>
        <v>2018</v>
      </c>
      <c r="C392" s="20" t="str">
        <f>INDEX(Unitinfo!C:C,MATCH(UnitGradeInfo!B392,Unitinfo!A:A,0))</f>
        <v>(원거리)Dragon_Fire</v>
      </c>
      <c r="D392" s="5">
        <f>COUNTIF($B$4:B392,B392)</f>
        <v>4</v>
      </c>
      <c r="E392" s="5">
        <f>ROUNDDOWN(INDEX(ref_Unit_Balance!$G$31:$G$106,MATCH(UnitGradeInfo!B392,ref_Unit_Balance!$B$31:$B$1048576,0))
+INDEX(ref_Unit_Balance!$G$20:$G$23,MATCH(IFERROR(INDEX(ref_Unit_Balance!$D$31:$D$1048576,MATCH(B392,ref_Unit_Balance!$B$31:$B$1048576,0)),0),ref_Unit_Balance!$B$20:$B$23,0))*D392*ref_Unit_Balance!$C$25,0)</f>
        <v>575</v>
      </c>
      <c r="F392" s="5">
        <f>INDEX(ref_Unit_Balance!$V$31:$V$106,MATCH(UnitGradeInfo!B392,ref_Unit_Balance!$B$31:$B$1048576,0))
+
INDEX(ref_Unit_Balance!$AB$31:$AB$106,MATCH(UnitGradeInfo!B392,ref_Unit_Balance!$B$31:$B$1048576,0))*(D392-1)</f>
        <v>8550</v>
      </c>
      <c r="G392" s="5">
        <f>INDEX(ref_Unit_Balance!$R$31:$R$106,MATCH(UnitGradeInfo!B392,ref_Unit_Balance!$B$31:$B$1048576,0))
+
INDEX(ref_Unit_Balance!$AA$31:$AA$106,MATCH(UnitGradeInfo!B392,ref_Unit_Balance!$B$31:$B$1048576,0))*(D392-1)</f>
        <v>1296</v>
      </c>
      <c r="H392" s="39">
        <f>IF(INDEX(Unitinfo!D:D,MATCH(UnitGradeInfo!B392,Unitinfo!A:A,0))=1,50,5)</f>
        <v>50</v>
      </c>
      <c r="I392" s="5">
        <f>IF(INDEX(ref_Unit_Balance!$T$31:$T$106,MATCH(UnitGradeInfo!B392,ref_Unit_Balance!$B$31:$B$1048576,0))=0,1,INDEX(ref_Unit_Balance!$T$31:$T$106,MATCH(UnitGradeInfo!B392,ref_Unit_Balance!$B$31:$B$1048576,0)))</f>
        <v>5</v>
      </c>
      <c r="J392" s="5">
        <f>INDEX(ref_Unit_Balance!$S$31:$S$106,MATCH(UnitGradeInfo!B392,ref_Unit_Balance!$B$31:$B$1048576,0))</f>
        <v>1200</v>
      </c>
      <c r="K392" s="5">
        <v>0</v>
      </c>
      <c r="L392" s="5">
        <f>INDEX(ref_Unit_Balance!$I$31:$I$106,MATCH(UnitGradeInfo!B392,ref_Unit_Balance!$B$31:$B$1048576,0))</f>
        <v>1</v>
      </c>
      <c r="M392" s="5">
        <f t="shared" si="46"/>
        <v>8</v>
      </c>
      <c r="N392" s="5">
        <f t="shared" si="47"/>
        <v>80</v>
      </c>
      <c r="O392" s="5">
        <f>(INDEX(Unitinfo!I:I,MATCH(B392,Unitinfo!A:A,0))+1)*2</f>
        <v>8</v>
      </c>
      <c r="P392" s="5">
        <v>0</v>
      </c>
      <c r="Q392" s="5">
        <v>0</v>
      </c>
      <c r="R392" s="19" t="s">
        <v>121</v>
      </c>
      <c r="S392" s="19" t="s">
        <v>121</v>
      </c>
      <c r="T392" s="5">
        <f t="shared" si="43"/>
        <v>2018</v>
      </c>
      <c r="U392" s="5">
        <f t="shared" si="44"/>
        <v>1</v>
      </c>
      <c r="V392" s="5">
        <v>0</v>
      </c>
      <c r="W392" s="5">
        <v>10</v>
      </c>
    </row>
    <row r="393" spans="1:23">
      <c r="A393" s="5">
        <f t="shared" si="42"/>
        <v>390</v>
      </c>
      <c r="B393" s="93">
        <f t="shared" si="45"/>
        <v>2018</v>
      </c>
      <c r="C393" s="20" t="str">
        <f>INDEX(Unitinfo!C:C,MATCH(UnitGradeInfo!B393,Unitinfo!A:A,0))</f>
        <v>(원거리)Dragon_Fire</v>
      </c>
      <c r="D393" s="5">
        <f>COUNTIF($B$4:B393,B393)</f>
        <v>5</v>
      </c>
      <c r="E393" s="5">
        <f>ROUNDDOWN(INDEX(ref_Unit_Balance!$G$31:$G$106,MATCH(UnitGradeInfo!B393,ref_Unit_Balance!$B$31:$B$1048576,0))
+INDEX(ref_Unit_Balance!$G$20:$G$23,MATCH(IFERROR(INDEX(ref_Unit_Balance!$D$31:$D$1048576,MATCH(B393,ref_Unit_Balance!$B$31:$B$1048576,0)),0),ref_Unit_Balance!$B$20:$B$23,0))*D393*ref_Unit_Balance!$C$25,0)</f>
        <v>662</v>
      </c>
      <c r="F393" s="5">
        <f>INDEX(ref_Unit_Balance!$V$31:$V$106,MATCH(UnitGradeInfo!B393,ref_Unit_Balance!$B$31:$B$1048576,0))
+
INDEX(ref_Unit_Balance!$AB$31:$AB$106,MATCH(UnitGradeInfo!B393,ref_Unit_Balance!$B$31:$B$1048576,0))*(D393-1)</f>
        <v>9150</v>
      </c>
      <c r="G393" s="5">
        <f>INDEX(ref_Unit_Balance!$R$31:$R$106,MATCH(UnitGradeInfo!B393,ref_Unit_Balance!$B$31:$B$1048576,0))
+
INDEX(ref_Unit_Balance!$AA$31:$AA$106,MATCH(UnitGradeInfo!B393,ref_Unit_Balance!$B$31:$B$1048576,0))*(D393-1)</f>
        <v>1440</v>
      </c>
      <c r="H393" s="39">
        <f>IF(INDEX(Unitinfo!D:D,MATCH(UnitGradeInfo!B393,Unitinfo!A:A,0))=1,50,5)</f>
        <v>50</v>
      </c>
      <c r="I393" s="5">
        <f>IF(INDEX(ref_Unit_Balance!$T$31:$T$106,MATCH(UnitGradeInfo!B393,ref_Unit_Balance!$B$31:$B$1048576,0))=0,1,INDEX(ref_Unit_Balance!$T$31:$T$106,MATCH(UnitGradeInfo!B393,ref_Unit_Balance!$B$31:$B$1048576,0)))</f>
        <v>5</v>
      </c>
      <c r="J393" s="5">
        <f>INDEX(ref_Unit_Balance!$S$31:$S$106,MATCH(UnitGradeInfo!B393,ref_Unit_Balance!$B$31:$B$1048576,0))</f>
        <v>1200</v>
      </c>
      <c r="K393" s="5">
        <v>0</v>
      </c>
      <c r="L393" s="5">
        <f>INDEX(ref_Unit_Balance!$I$31:$I$106,MATCH(UnitGradeInfo!B393,ref_Unit_Balance!$B$31:$B$1048576,0))</f>
        <v>1</v>
      </c>
      <c r="M393" s="5">
        <f t="shared" si="46"/>
        <v>10</v>
      </c>
      <c r="N393" s="5">
        <f t="shared" si="47"/>
        <v>100</v>
      </c>
      <c r="O393" s="5">
        <f>(INDEX(Unitinfo!I:I,MATCH(B393,Unitinfo!A:A,0))+1)*2</f>
        <v>8</v>
      </c>
      <c r="P393" s="5">
        <v>0</v>
      </c>
      <c r="Q393" s="5">
        <v>0</v>
      </c>
      <c r="R393" s="19" t="s">
        <v>121</v>
      </c>
      <c r="S393" s="19" t="s">
        <v>121</v>
      </c>
      <c r="T393" s="5">
        <f t="shared" si="43"/>
        <v>2018</v>
      </c>
      <c r="U393" s="5">
        <f t="shared" si="44"/>
        <v>1</v>
      </c>
      <c r="V393" s="5">
        <v>0</v>
      </c>
      <c r="W393" s="5">
        <v>10</v>
      </c>
    </row>
    <row r="394" spans="1:23">
      <c r="A394" s="5">
        <f t="shared" si="42"/>
        <v>391</v>
      </c>
      <c r="B394" s="93">
        <f t="shared" si="45"/>
        <v>2018</v>
      </c>
      <c r="C394" s="20" t="str">
        <f>INDEX(Unitinfo!C:C,MATCH(UnitGradeInfo!B394,Unitinfo!A:A,0))</f>
        <v>(원거리)Dragon_Fire</v>
      </c>
      <c r="D394" s="5">
        <f>COUNTIF($B$4:B394,B394)</f>
        <v>6</v>
      </c>
      <c r="E394" s="5">
        <f>ROUNDDOWN(INDEX(ref_Unit_Balance!$G$31:$G$106,MATCH(UnitGradeInfo!B394,ref_Unit_Balance!$B$31:$B$1048576,0))
+INDEX(ref_Unit_Balance!$G$20:$G$23,MATCH(IFERROR(INDEX(ref_Unit_Balance!$D$31:$D$1048576,MATCH(B394,ref_Unit_Balance!$B$31:$B$1048576,0)),0),ref_Unit_Balance!$B$20:$B$23,0))*D394*ref_Unit_Balance!$C$25,0)</f>
        <v>750</v>
      </c>
      <c r="F394" s="5">
        <f>INDEX(ref_Unit_Balance!$V$31:$V$106,MATCH(UnitGradeInfo!B394,ref_Unit_Balance!$B$31:$B$1048576,0))
+
INDEX(ref_Unit_Balance!$AB$31:$AB$106,MATCH(UnitGradeInfo!B394,ref_Unit_Balance!$B$31:$B$1048576,0))*(D394-1)</f>
        <v>9750</v>
      </c>
      <c r="G394" s="5">
        <f>INDEX(ref_Unit_Balance!$R$31:$R$106,MATCH(UnitGradeInfo!B394,ref_Unit_Balance!$B$31:$B$1048576,0))
+
INDEX(ref_Unit_Balance!$AA$31:$AA$106,MATCH(UnitGradeInfo!B394,ref_Unit_Balance!$B$31:$B$1048576,0))*(D394-1)</f>
        <v>1584</v>
      </c>
      <c r="H394" s="39">
        <f>IF(INDEX(Unitinfo!D:D,MATCH(UnitGradeInfo!B394,Unitinfo!A:A,0))=1,50,5)</f>
        <v>50</v>
      </c>
      <c r="I394" s="5">
        <f>IF(INDEX(ref_Unit_Balance!$T$31:$T$106,MATCH(UnitGradeInfo!B394,ref_Unit_Balance!$B$31:$B$1048576,0))=0,1,INDEX(ref_Unit_Balance!$T$31:$T$106,MATCH(UnitGradeInfo!B394,ref_Unit_Balance!$B$31:$B$1048576,0)))</f>
        <v>5</v>
      </c>
      <c r="J394" s="5">
        <f>INDEX(ref_Unit_Balance!$S$31:$S$106,MATCH(UnitGradeInfo!B394,ref_Unit_Balance!$B$31:$B$1048576,0))</f>
        <v>1200</v>
      </c>
      <c r="K394" s="5">
        <v>0</v>
      </c>
      <c r="L394" s="5">
        <f>INDEX(ref_Unit_Balance!$I$31:$I$106,MATCH(UnitGradeInfo!B394,ref_Unit_Balance!$B$31:$B$1048576,0))</f>
        <v>1</v>
      </c>
      <c r="M394" s="5">
        <f t="shared" si="46"/>
        <v>12</v>
      </c>
      <c r="N394" s="5">
        <f t="shared" si="47"/>
        <v>120</v>
      </c>
      <c r="O394" s="5">
        <f>(INDEX(Unitinfo!I:I,MATCH(B394,Unitinfo!A:A,0))+1)*2</f>
        <v>8</v>
      </c>
      <c r="P394" s="5">
        <v>0</v>
      </c>
      <c r="Q394" s="5">
        <v>0</v>
      </c>
      <c r="R394" s="19" t="s">
        <v>121</v>
      </c>
      <c r="S394" s="19" t="s">
        <v>121</v>
      </c>
      <c r="T394" s="5">
        <f t="shared" si="43"/>
        <v>2018</v>
      </c>
      <c r="U394" s="5">
        <f t="shared" si="44"/>
        <v>1</v>
      </c>
      <c r="V394" s="5">
        <v>0</v>
      </c>
      <c r="W394" s="5">
        <v>10</v>
      </c>
    </row>
    <row r="395" spans="1:23">
      <c r="A395" s="5">
        <f t="shared" si="42"/>
        <v>392</v>
      </c>
      <c r="B395" s="93">
        <f t="shared" si="45"/>
        <v>2018</v>
      </c>
      <c r="C395" s="20" t="str">
        <f>INDEX(Unitinfo!C:C,MATCH(UnitGradeInfo!B395,Unitinfo!A:A,0))</f>
        <v>(원거리)Dragon_Fire</v>
      </c>
      <c r="D395" s="5">
        <f>COUNTIF($B$4:B395,B395)</f>
        <v>7</v>
      </c>
      <c r="E395" s="5">
        <f>ROUNDDOWN(INDEX(ref_Unit_Balance!$G$31:$G$106,MATCH(UnitGradeInfo!B395,ref_Unit_Balance!$B$31:$B$1048576,0))
+INDEX(ref_Unit_Balance!$G$20:$G$23,MATCH(IFERROR(INDEX(ref_Unit_Balance!$D$31:$D$1048576,MATCH(B395,ref_Unit_Balance!$B$31:$B$1048576,0)),0),ref_Unit_Balance!$B$20:$B$23,0))*D395*ref_Unit_Balance!$C$25,0)</f>
        <v>837</v>
      </c>
      <c r="F395" s="5">
        <f>INDEX(ref_Unit_Balance!$V$31:$V$106,MATCH(UnitGradeInfo!B395,ref_Unit_Balance!$B$31:$B$1048576,0))
+
INDEX(ref_Unit_Balance!$AB$31:$AB$106,MATCH(UnitGradeInfo!B395,ref_Unit_Balance!$B$31:$B$1048576,0))*(D395-1)</f>
        <v>10350</v>
      </c>
      <c r="G395" s="5">
        <f>INDEX(ref_Unit_Balance!$R$31:$R$106,MATCH(UnitGradeInfo!B395,ref_Unit_Balance!$B$31:$B$1048576,0))
+
INDEX(ref_Unit_Balance!$AA$31:$AA$106,MATCH(UnitGradeInfo!B395,ref_Unit_Balance!$B$31:$B$1048576,0))*(D395-1)</f>
        <v>1728</v>
      </c>
      <c r="H395" s="39">
        <f>IF(INDEX(Unitinfo!D:D,MATCH(UnitGradeInfo!B395,Unitinfo!A:A,0))=1,50,5)</f>
        <v>50</v>
      </c>
      <c r="I395" s="5">
        <f>IF(INDEX(ref_Unit_Balance!$T$31:$T$106,MATCH(UnitGradeInfo!B395,ref_Unit_Balance!$B$31:$B$1048576,0))=0,1,INDEX(ref_Unit_Balance!$T$31:$T$106,MATCH(UnitGradeInfo!B395,ref_Unit_Balance!$B$31:$B$1048576,0)))</f>
        <v>5</v>
      </c>
      <c r="J395" s="5">
        <f>INDEX(ref_Unit_Balance!$S$31:$S$106,MATCH(UnitGradeInfo!B395,ref_Unit_Balance!$B$31:$B$1048576,0))</f>
        <v>1200</v>
      </c>
      <c r="K395" s="5">
        <v>0</v>
      </c>
      <c r="L395" s="5">
        <f>INDEX(ref_Unit_Balance!$I$31:$I$106,MATCH(UnitGradeInfo!B395,ref_Unit_Balance!$B$31:$B$1048576,0))</f>
        <v>1</v>
      </c>
      <c r="M395" s="5">
        <f t="shared" si="46"/>
        <v>14</v>
      </c>
      <c r="N395" s="5">
        <f t="shared" si="47"/>
        <v>140</v>
      </c>
      <c r="O395" s="5">
        <f>(INDEX(Unitinfo!I:I,MATCH(B395,Unitinfo!A:A,0))+1)*2</f>
        <v>8</v>
      </c>
      <c r="P395" s="5">
        <v>0</v>
      </c>
      <c r="Q395" s="5">
        <v>0</v>
      </c>
      <c r="R395" s="19" t="s">
        <v>121</v>
      </c>
      <c r="S395" s="19" t="s">
        <v>121</v>
      </c>
      <c r="T395" s="5">
        <f t="shared" si="43"/>
        <v>2018</v>
      </c>
      <c r="U395" s="5">
        <f t="shared" si="44"/>
        <v>1</v>
      </c>
      <c r="V395" s="5">
        <v>0</v>
      </c>
      <c r="W395" s="5">
        <v>10</v>
      </c>
    </row>
    <row r="396" spans="1:23">
      <c r="A396" s="5">
        <f t="shared" si="42"/>
        <v>393</v>
      </c>
      <c r="B396" s="93">
        <f t="shared" si="45"/>
        <v>2018</v>
      </c>
      <c r="C396" s="20" t="str">
        <f>INDEX(Unitinfo!C:C,MATCH(UnitGradeInfo!B396,Unitinfo!A:A,0))</f>
        <v>(원거리)Dragon_Fire</v>
      </c>
      <c r="D396" s="5">
        <f>COUNTIF($B$4:B396,B396)</f>
        <v>8</v>
      </c>
      <c r="E396" s="5">
        <f>ROUNDDOWN(INDEX(ref_Unit_Balance!$G$31:$G$106,MATCH(UnitGradeInfo!B396,ref_Unit_Balance!$B$31:$B$1048576,0))
+INDEX(ref_Unit_Balance!$G$20:$G$23,MATCH(IFERROR(INDEX(ref_Unit_Balance!$D$31:$D$1048576,MATCH(B396,ref_Unit_Balance!$B$31:$B$1048576,0)),0),ref_Unit_Balance!$B$20:$B$23,0))*D396*ref_Unit_Balance!$C$25,0)</f>
        <v>925</v>
      </c>
      <c r="F396" s="5">
        <f>INDEX(ref_Unit_Balance!$V$31:$V$106,MATCH(UnitGradeInfo!B396,ref_Unit_Balance!$B$31:$B$1048576,0))
+
INDEX(ref_Unit_Balance!$AB$31:$AB$106,MATCH(UnitGradeInfo!B396,ref_Unit_Balance!$B$31:$B$1048576,0))*(D396-1)</f>
        <v>10950</v>
      </c>
      <c r="G396" s="5">
        <f>INDEX(ref_Unit_Balance!$R$31:$R$106,MATCH(UnitGradeInfo!B396,ref_Unit_Balance!$B$31:$B$1048576,0))
+
INDEX(ref_Unit_Balance!$AA$31:$AA$106,MATCH(UnitGradeInfo!B396,ref_Unit_Balance!$B$31:$B$1048576,0))*(D396-1)</f>
        <v>1872</v>
      </c>
      <c r="H396" s="39">
        <f>IF(INDEX(Unitinfo!D:D,MATCH(UnitGradeInfo!B396,Unitinfo!A:A,0))=1,50,5)</f>
        <v>50</v>
      </c>
      <c r="I396" s="5">
        <f>IF(INDEX(ref_Unit_Balance!$T$31:$T$106,MATCH(UnitGradeInfo!B396,ref_Unit_Balance!$B$31:$B$1048576,0))=0,1,INDEX(ref_Unit_Balance!$T$31:$T$106,MATCH(UnitGradeInfo!B396,ref_Unit_Balance!$B$31:$B$1048576,0)))</f>
        <v>5</v>
      </c>
      <c r="J396" s="5">
        <f>INDEX(ref_Unit_Balance!$S$31:$S$106,MATCH(UnitGradeInfo!B396,ref_Unit_Balance!$B$31:$B$1048576,0))</f>
        <v>1200</v>
      </c>
      <c r="K396" s="5">
        <v>0</v>
      </c>
      <c r="L396" s="5">
        <f>INDEX(ref_Unit_Balance!$I$31:$I$106,MATCH(UnitGradeInfo!B396,ref_Unit_Balance!$B$31:$B$1048576,0))</f>
        <v>1</v>
      </c>
      <c r="M396" s="5">
        <f t="shared" si="46"/>
        <v>16</v>
      </c>
      <c r="N396" s="5">
        <f t="shared" si="47"/>
        <v>160</v>
      </c>
      <c r="O396" s="5">
        <f>(INDEX(Unitinfo!I:I,MATCH(B396,Unitinfo!A:A,0))+1)*2</f>
        <v>8</v>
      </c>
      <c r="P396" s="5">
        <v>0</v>
      </c>
      <c r="Q396" s="5">
        <v>0</v>
      </c>
      <c r="R396" s="19" t="s">
        <v>121</v>
      </c>
      <c r="S396" s="19" t="s">
        <v>121</v>
      </c>
      <c r="T396" s="5">
        <f t="shared" si="43"/>
        <v>2018</v>
      </c>
      <c r="U396" s="5">
        <f t="shared" si="44"/>
        <v>1</v>
      </c>
      <c r="V396" s="5">
        <v>0</v>
      </c>
      <c r="W396" s="5">
        <v>10</v>
      </c>
    </row>
    <row r="397" spans="1:23">
      <c r="A397" s="5">
        <f t="shared" si="42"/>
        <v>394</v>
      </c>
      <c r="B397" s="93">
        <f t="shared" si="45"/>
        <v>2018</v>
      </c>
      <c r="C397" s="20" t="str">
        <f>INDEX(Unitinfo!C:C,MATCH(UnitGradeInfo!B397,Unitinfo!A:A,0))</f>
        <v>(원거리)Dragon_Fire</v>
      </c>
      <c r="D397" s="5">
        <f>COUNTIF($B$4:B397,B397)</f>
        <v>9</v>
      </c>
      <c r="E397" s="5">
        <f>ROUNDDOWN(INDEX(ref_Unit_Balance!$G$31:$G$106,MATCH(UnitGradeInfo!B397,ref_Unit_Balance!$B$31:$B$1048576,0))
+INDEX(ref_Unit_Balance!$G$20:$G$23,MATCH(IFERROR(INDEX(ref_Unit_Balance!$D$31:$D$1048576,MATCH(B397,ref_Unit_Balance!$B$31:$B$1048576,0)),0),ref_Unit_Balance!$B$20:$B$23,0))*D397*ref_Unit_Balance!$C$25,0)</f>
        <v>1012</v>
      </c>
      <c r="F397" s="5">
        <f>INDEX(ref_Unit_Balance!$V$31:$V$106,MATCH(UnitGradeInfo!B397,ref_Unit_Balance!$B$31:$B$1048576,0))
+
INDEX(ref_Unit_Balance!$AB$31:$AB$106,MATCH(UnitGradeInfo!B397,ref_Unit_Balance!$B$31:$B$1048576,0))*(D397-1)</f>
        <v>11550</v>
      </c>
      <c r="G397" s="5">
        <f>INDEX(ref_Unit_Balance!$R$31:$R$106,MATCH(UnitGradeInfo!B397,ref_Unit_Balance!$B$31:$B$1048576,0))
+
INDEX(ref_Unit_Balance!$AA$31:$AA$106,MATCH(UnitGradeInfo!B397,ref_Unit_Balance!$B$31:$B$1048576,0))*(D397-1)</f>
        <v>2016</v>
      </c>
      <c r="H397" s="39">
        <f>IF(INDEX(Unitinfo!D:D,MATCH(UnitGradeInfo!B397,Unitinfo!A:A,0))=1,50,5)</f>
        <v>50</v>
      </c>
      <c r="I397" s="5">
        <f>IF(INDEX(ref_Unit_Balance!$T$31:$T$106,MATCH(UnitGradeInfo!B397,ref_Unit_Balance!$B$31:$B$1048576,0))=0,1,INDEX(ref_Unit_Balance!$T$31:$T$106,MATCH(UnitGradeInfo!B397,ref_Unit_Balance!$B$31:$B$1048576,0)))</f>
        <v>5</v>
      </c>
      <c r="J397" s="5">
        <f>INDEX(ref_Unit_Balance!$S$31:$S$106,MATCH(UnitGradeInfo!B397,ref_Unit_Balance!$B$31:$B$1048576,0))</f>
        <v>1200</v>
      </c>
      <c r="K397" s="5">
        <v>0</v>
      </c>
      <c r="L397" s="5">
        <f>INDEX(ref_Unit_Balance!$I$31:$I$106,MATCH(UnitGradeInfo!B397,ref_Unit_Balance!$B$31:$B$1048576,0))</f>
        <v>1</v>
      </c>
      <c r="M397" s="5">
        <f t="shared" si="46"/>
        <v>18</v>
      </c>
      <c r="N397" s="5">
        <f t="shared" si="47"/>
        <v>180</v>
      </c>
      <c r="O397" s="5">
        <f>(INDEX(Unitinfo!I:I,MATCH(B397,Unitinfo!A:A,0))+1)*2</f>
        <v>8</v>
      </c>
      <c r="P397" s="5">
        <v>0</v>
      </c>
      <c r="Q397" s="5">
        <v>0</v>
      </c>
      <c r="R397" s="19" t="s">
        <v>121</v>
      </c>
      <c r="S397" s="19" t="s">
        <v>121</v>
      </c>
      <c r="T397" s="5">
        <f t="shared" si="43"/>
        <v>2018</v>
      </c>
      <c r="U397" s="5">
        <f t="shared" si="44"/>
        <v>1</v>
      </c>
      <c r="V397" s="5">
        <v>0</v>
      </c>
      <c r="W397" s="5">
        <v>10</v>
      </c>
    </row>
    <row r="398" spans="1:23">
      <c r="A398" s="5">
        <f t="shared" si="42"/>
        <v>395</v>
      </c>
      <c r="B398" s="93">
        <f t="shared" si="45"/>
        <v>2018</v>
      </c>
      <c r="C398" s="20" t="str">
        <f>INDEX(Unitinfo!C:C,MATCH(UnitGradeInfo!B398,Unitinfo!A:A,0))</f>
        <v>(원거리)Dragon_Fire</v>
      </c>
      <c r="D398" s="5">
        <f>COUNTIF($B$4:B398,B398)</f>
        <v>10</v>
      </c>
      <c r="E398" s="5">
        <f>ROUNDDOWN(INDEX(ref_Unit_Balance!$G$31:$G$106,MATCH(UnitGradeInfo!B398,ref_Unit_Balance!$B$31:$B$1048576,0))
+INDEX(ref_Unit_Balance!$G$20:$G$23,MATCH(IFERROR(INDEX(ref_Unit_Balance!$D$31:$D$1048576,MATCH(B398,ref_Unit_Balance!$B$31:$B$1048576,0)),0),ref_Unit_Balance!$B$20:$B$23,0))*D398*ref_Unit_Balance!$C$25,0)</f>
        <v>1100</v>
      </c>
      <c r="F398" s="5">
        <f>INDEX(ref_Unit_Balance!$V$31:$V$106,MATCH(UnitGradeInfo!B398,ref_Unit_Balance!$B$31:$B$1048576,0))
+
INDEX(ref_Unit_Balance!$AB$31:$AB$106,MATCH(UnitGradeInfo!B398,ref_Unit_Balance!$B$31:$B$1048576,0))*(D398-1)</f>
        <v>12150</v>
      </c>
      <c r="G398" s="5">
        <f>INDEX(ref_Unit_Balance!$R$31:$R$106,MATCH(UnitGradeInfo!B398,ref_Unit_Balance!$B$31:$B$1048576,0))
+
INDEX(ref_Unit_Balance!$AA$31:$AA$106,MATCH(UnitGradeInfo!B398,ref_Unit_Balance!$B$31:$B$1048576,0))*(D398-1)</f>
        <v>2160</v>
      </c>
      <c r="H398" s="39">
        <f>IF(INDEX(Unitinfo!D:D,MATCH(UnitGradeInfo!B398,Unitinfo!A:A,0))=1,50,5)</f>
        <v>50</v>
      </c>
      <c r="I398" s="5">
        <f>IF(INDEX(ref_Unit_Balance!$T$31:$T$106,MATCH(UnitGradeInfo!B398,ref_Unit_Balance!$B$31:$B$1048576,0))=0,1,INDEX(ref_Unit_Balance!$T$31:$T$106,MATCH(UnitGradeInfo!B398,ref_Unit_Balance!$B$31:$B$1048576,0)))</f>
        <v>5</v>
      </c>
      <c r="J398" s="5">
        <f>INDEX(ref_Unit_Balance!$S$31:$S$106,MATCH(UnitGradeInfo!B398,ref_Unit_Balance!$B$31:$B$1048576,0))</f>
        <v>1200</v>
      </c>
      <c r="K398" s="5">
        <v>0</v>
      </c>
      <c r="L398" s="5">
        <f>INDEX(ref_Unit_Balance!$I$31:$I$106,MATCH(UnitGradeInfo!B398,ref_Unit_Balance!$B$31:$B$1048576,0))</f>
        <v>1</v>
      </c>
      <c r="M398" s="5">
        <f t="shared" si="46"/>
        <v>20</v>
      </c>
      <c r="N398" s="5">
        <f t="shared" si="47"/>
        <v>200</v>
      </c>
      <c r="O398" s="5">
        <f>(INDEX(Unitinfo!I:I,MATCH(B398,Unitinfo!A:A,0))+1)*2</f>
        <v>8</v>
      </c>
      <c r="P398" s="5">
        <v>0</v>
      </c>
      <c r="Q398" s="5">
        <v>0</v>
      </c>
      <c r="R398" s="19" t="s">
        <v>121</v>
      </c>
      <c r="S398" s="19" t="s">
        <v>121</v>
      </c>
      <c r="T398" s="5">
        <f t="shared" si="43"/>
        <v>2018</v>
      </c>
      <c r="U398" s="5">
        <f t="shared" si="44"/>
        <v>1</v>
      </c>
      <c r="V398" s="5">
        <v>0</v>
      </c>
      <c r="W398" s="5">
        <v>10</v>
      </c>
    </row>
    <row r="399" spans="1:23">
      <c r="A399" s="5">
        <f t="shared" si="42"/>
        <v>396</v>
      </c>
      <c r="B399" s="93">
        <f t="shared" si="45"/>
        <v>2018</v>
      </c>
      <c r="C399" s="20" t="str">
        <f>INDEX(Unitinfo!C:C,MATCH(UnitGradeInfo!B399,Unitinfo!A:A,0))</f>
        <v>(원거리)Dragon_Fire</v>
      </c>
      <c r="D399" s="5">
        <f>COUNTIF($B$4:B399,B399)</f>
        <v>11</v>
      </c>
      <c r="E399" s="5">
        <f>ROUNDDOWN(INDEX(ref_Unit_Balance!$G$31:$G$106,MATCH(UnitGradeInfo!B399,ref_Unit_Balance!$B$31:$B$1048576,0))
+INDEX(ref_Unit_Balance!$G$20:$G$23,MATCH(IFERROR(INDEX(ref_Unit_Balance!$D$31:$D$1048576,MATCH(B399,ref_Unit_Balance!$B$31:$B$1048576,0)),0),ref_Unit_Balance!$B$20:$B$23,0))*D399*ref_Unit_Balance!$C$25,0)</f>
        <v>1187</v>
      </c>
      <c r="F399" s="5">
        <f>INDEX(ref_Unit_Balance!$V$31:$V$106,MATCH(UnitGradeInfo!B399,ref_Unit_Balance!$B$31:$B$1048576,0))
+
INDEX(ref_Unit_Balance!$AB$31:$AB$106,MATCH(UnitGradeInfo!B399,ref_Unit_Balance!$B$31:$B$1048576,0))*(D399-1)</f>
        <v>12750</v>
      </c>
      <c r="G399" s="5">
        <f>INDEX(ref_Unit_Balance!$R$31:$R$106,MATCH(UnitGradeInfo!B399,ref_Unit_Balance!$B$31:$B$1048576,0))
+
INDEX(ref_Unit_Balance!$AA$31:$AA$106,MATCH(UnitGradeInfo!B399,ref_Unit_Balance!$B$31:$B$1048576,0))*(D399-1)</f>
        <v>2304</v>
      </c>
      <c r="H399" s="39">
        <f>IF(INDEX(Unitinfo!D:D,MATCH(UnitGradeInfo!B399,Unitinfo!A:A,0))=1,50,5)</f>
        <v>50</v>
      </c>
      <c r="I399" s="5">
        <f>IF(INDEX(ref_Unit_Balance!$T$31:$T$106,MATCH(UnitGradeInfo!B399,ref_Unit_Balance!$B$31:$B$1048576,0))=0,1,INDEX(ref_Unit_Balance!$T$31:$T$106,MATCH(UnitGradeInfo!B399,ref_Unit_Balance!$B$31:$B$1048576,0)))</f>
        <v>5</v>
      </c>
      <c r="J399" s="5">
        <f>INDEX(ref_Unit_Balance!$S$31:$S$106,MATCH(UnitGradeInfo!B399,ref_Unit_Balance!$B$31:$B$1048576,0))</f>
        <v>1200</v>
      </c>
      <c r="K399" s="5">
        <v>0</v>
      </c>
      <c r="L399" s="5">
        <f>INDEX(ref_Unit_Balance!$I$31:$I$106,MATCH(UnitGradeInfo!B399,ref_Unit_Balance!$B$31:$B$1048576,0))</f>
        <v>1</v>
      </c>
      <c r="M399" s="5">
        <f t="shared" si="46"/>
        <v>22</v>
      </c>
      <c r="N399" s="5">
        <f t="shared" si="47"/>
        <v>220</v>
      </c>
      <c r="O399" s="5">
        <f>(INDEX(Unitinfo!I:I,MATCH(B399,Unitinfo!A:A,0))+1)*2</f>
        <v>8</v>
      </c>
      <c r="P399" s="5">
        <v>0</v>
      </c>
      <c r="Q399" s="5">
        <v>0</v>
      </c>
      <c r="R399" s="19" t="s">
        <v>121</v>
      </c>
      <c r="S399" s="19" t="s">
        <v>121</v>
      </c>
      <c r="T399" s="5">
        <f t="shared" si="43"/>
        <v>2018</v>
      </c>
      <c r="U399" s="5">
        <f t="shared" si="44"/>
        <v>1</v>
      </c>
      <c r="V399" s="5">
        <v>0</v>
      </c>
      <c r="W399" s="5">
        <v>10</v>
      </c>
    </row>
    <row r="400" spans="1:23">
      <c r="A400" s="5">
        <f t="shared" si="42"/>
        <v>397</v>
      </c>
      <c r="B400" s="93">
        <f t="shared" si="45"/>
        <v>2018</v>
      </c>
      <c r="C400" s="20" t="str">
        <f>INDEX(Unitinfo!C:C,MATCH(UnitGradeInfo!B400,Unitinfo!A:A,0))</f>
        <v>(원거리)Dragon_Fire</v>
      </c>
      <c r="D400" s="5">
        <f>COUNTIF($B$4:B400,B400)</f>
        <v>12</v>
      </c>
      <c r="E400" s="5">
        <f>ROUNDDOWN(INDEX(ref_Unit_Balance!$G$31:$G$106,MATCH(UnitGradeInfo!B400,ref_Unit_Balance!$B$31:$B$1048576,0))
+INDEX(ref_Unit_Balance!$G$20:$G$23,MATCH(IFERROR(INDEX(ref_Unit_Balance!$D$31:$D$1048576,MATCH(B400,ref_Unit_Balance!$B$31:$B$1048576,0)),0),ref_Unit_Balance!$B$20:$B$23,0))*D400*ref_Unit_Balance!$C$25,0)</f>
        <v>1275</v>
      </c>
      <c r="F400" s="5">
        <f>INDEX(ref_Unit_Balance!$V$31:$V$106,MATCH(UnitGradeInfo!B400,ref_Unit_Balance!$B$31:$B$1048576,0))
+
INDEX(ref_Unit_Balance!$AB$31:$AB$106,MATCH(UnitGradeInfo!B400,ref_Unit_Balance!$B$31:$B$1048576,0))*(D400-1)</f>
        <v>13350</v>
      </c>
      <c r="G400" s="5">
        <f>INDEX(ref_Unit_Balance!$R$31:$R$106,MATCH(UnitGradeInfo!B400,ref_Unit_Balance!$B$31:$B$1048576,0))
+
INDEX(ref_Unit_Balance!$AA$31:$AA$106,MATCH(UnitGradeInfo!B400,ref_Unit_Balance!$B$31:$B$1048576,0))*(D400-1)</f>
        <v>2448</v>
      </c>
      <c r="H400" s="39">
        <f>IF(INDEX(Unitinfo!D:D,MATCH(UnitGradeInfo!B400,Unitinfo!A:A,0))=1,50,5)</f>
        <v>50</v>
      </c>
      <c r="I400" s="5">
        <f>IF(INDEX(ref_Unit_Balance!$T$31:$T$106,MATCH(UnitGradeInfo!B400,ref_Unit_Balance!$B$31:$B$1048576,0))=0,1,INDEX(ref_Unit_Balance!$T$31:$T$106,MATCH(UnitGradeInfo!B400,ref_Unit_Balance!$B$31:$B$1048576,0)))</f>
        <v>5</v>
      </c>
      <c r="J400" s="5">
        <f>INDEX(ref_Unit_Balance!$S$31:$S$106,MATCH(UnitGradeInfo!B400,ref_Unit_Balance!$B$31:$B$1048576,0))</f>
        <v>1200</v>
      </c>
      <c r="K400" s="5">
        <v>0</v>
      </c>
      <c r="L400" s="5">
        <f>INDEX(ref_Unit_Balance!$I$31:$I$106,MATCH(UnitGradeInfo!B400,ref_Unit_Balance!$B$31:$B$1048576,0))</f>
        <v>1</v>
      </c>
      <c r="M400" s="5">
        <f t="shared" si="46"/>
        <v>24</v>
      </c>
      <c r="N400" s="5">
        <f t="shared" si="47"/>
        <v>240</v>
      </c>
      <c r="O400" s="5">
        <f>(INDEX(Unitinfo!I:I,MATCH(B400,Unitinfo!A:A,0))+1)*2</f>
        <v>8</v>
      </c>
      <c r="P400" s="5">
        <v>0</v>
      </c>
      <c r="Q400" s="5">
        <v>0</v>
      </c>
      <c r="R400" s="19" t="s">
        <v>121</v>
      </c>
      <c r="S400" s="19" t="s">
        <v>121</v>
      </c>
      <c r="T400" s="5">
        <f t="shared" si="43"/>
        <v>2018</v>
      </c>
      <c r="U400" s="5">
        <f t="shared" si="44"/>
        <v>1</v>
      </c>
      <c r="V400" s="5">
        <v>0</v>
      </c>
      <c r="W400" s="5">
        <v>10</v>
      </c>
    </row>
    <row r="401" spans="1:23">
      <c r="A401" s="5">
        <f t="shared" si="42"/>
        <v>398</v>
      </c>
      <c r="B401" s="93">
        <f t="shared" si="45"/>
        <v>2018</v>
      </c>
      <c r="C401" s="20" t="str">
        <f>INDEX(Unitinfo!C:C,MATCH(UnitGradeInfo!B401,Unitinfo!A:A,0))</f>
        <v>(원거리)Dragon_Fire</v>
      </c>
      <c r="D401" s="5">
        <f>COUNTIF($B$4:B401,B401)</f>
        <v>13</v>
      </c>
      <c r="E401" s="5">
        <f>ROUNDDOWN(INDEX(ref_Unit_Balance!$G$31:$G$106,MATCH(UnitGradeInfo!B401,ref_Unit_Balance!$B$31:$B$1048576,0))
+INDEX(ref_Unit_Balance!$G$20:$G$23,MATCH(IFERROR(INDEX(ref_Unit_Balance!$D$31:$D$1048576,MATCH(B401,ref_Unit_Balance!$B$31:$B$1048576,0)),0),ref_Unit_Balance!$B$20:$B$23,0))*D401*ref_Unit_Balance!$C$25,0)</f>
        <v>1362</v>
      </c>
      <c r="F401" s="5">
        <f>INDEX(ref_Unit_Balance!$V$31:$V$106,MATCH(UnitGradeInfo!B401,ref_Unit_Balance!$B$31:$B$1048576,0))
+
INDEX(ref_Unit_Balance!$AB$31:$AB$106,MATCH(UnitGradeInfo!B401,ref_Unit_Balance!$B$31:$B$1048576,0))*(D401-1)</f>
        <v>13950</v>
      </c>
      <c r="G401" s="5">
        <f>INDEX(ref_Unit_Balance!$R$31:$R$106,MATCH(UnitGradeInfo!B401,ref_Unit_Balance!$B$31:$B$1048576,0))
+
INDEX(ref_Unit_Balance!$AA$31:$AA$106,MATCH(UnitGradeInfo!B401,ref_Unit_Balance!$B$31:$B$1048576,0))*(D401-1)</f>
        <v>2592</v>
      </c>
      <c r="H401" s="39">
        <f>IF(INDEX(Unitinfo!D:D,MATCH(UnitGradeInfo!B401,Unitinfo!A:A,0))=1,50,5)</f>
        <v>50</v>
      </c>
      <c r="I401" s="5">
        <f>IF(INDEX(ref_Unit_Balance!$T$31:$T$106,MATCH(UnitGradeInfo!B401,ref_Unit_Balance!$B$31:$B$1048576,0))=0,1,INDEX(ref_Unit_Balance!$T$31:$T$106,MATCH(UnitGradeInfo!B401,ref_Unit_Balance!$B$31:$B$1048576,0)))</f>
        <v>5</v>
      </c>
      <c r="J401" s="5">
        <f>INDEX(ref_Unit_Balance!$S$31:$S$106,MATCH(UnitGradeInfo!B401,ref_Unit_Balance!$B$31:$B$1048576,0))</f>
        <v>1200</v>
      </c>
      <c r="K401" s="5">
        <v>0</v>
      </c>
      <c r="L401" s="5">
        <f>INDEX(ref_Unit_Balance!$I$31:$I$106,MATCH(UnitGradeInfo!B401,ref_Unit_Balance!$B$31:$B$1048576,0))</f>
        <v>1</v>
      </c>
      <c r="M401" s="5">
        <f t="shared" si="46"/>
        <v>26</v>
      </c>
      <c r="N401" s="5">
        <f t="shared" si="47"/>
        <v>260</v>
      </c>
      <c r="O401" s="5">
        <f>(INDEX(Unitinfo!I:I,MATCH(B401,Unitinfo!A:A,0))+1)*2</f>
        <v>8</v>
      </c>
      <c r="P401" s="5">
        <v>0</v>
      </c>
      <c r="Q401" s="5">
        <v>0</v>
      </c>
      <c r="R401" s="19" t="s">
        <v>121</v>
      </c>
      <c r="S401" s="19" t="s">
        <v>121</v>
      </c>
      <c r="T401" s="5">
        <f t="shared" si="43"/>
        <v>2018</v>
      </c>
      <c r="U401" s="5">
        <f t="shared" si="44"/>
        <v>1</v>
      </c>
      <c r="V401" s="5">
        <v>0</v>
      </c>
      <c r="W401" s="5">
        <v>10</v>
      </c>
    </row>
    <row r="402" spans="1:23">
      <c r="A402" s="5">
        <f t="shared" si="42"/>
        <v>399</v>
      </c>
      <c r="B402" s="93">
        <f t="shared" si="45"/>
        <v>2018</v>
      </c>
      <c r="C402" s="20" t="str">
        <f>INDEX(Unitinfo!C:C,MATCH(UnitGradeInfo!B402,Unitinfo!A:A,0))</f>
        <v>(원거리)Dragon_Fire</v>
      </c>
      <c r="D402" s="5">
        <f>COUNTIF($B$4:B402,B402)</f>
        <v>14</v>
      </c>
      <c r="E402" s="5">
        <f>ROUNDDOWN(INDEX(ref_Unit_Balance!$G$31:$G$106,MATCH(UnitGradeInfo!B402,ref_Unit_Balance!$B$31:$B$1048576,0))
+INDEX(ref_Unit_Balance!$G$20:$G$23,MATCH(IFERROR(INDEX(ref_Unit_Balance!$D$31:$D$1048576,MATCH(B402,ref_Unit_Balance!$B$31:$B$1048576,0)),0),ref_Unit_Balance!$B$20:$B$23,0))*D402*ref_Unit_Balance!$C$25,0)</f>
        <v>1450</v>
      </c>
      <c r="F402" s="5">
        <f>INDEX(ref_Unit_Balance!$V$31:$V$106,MATCH(UnitGradeInfo!B402,ref_Unit_Balance!$B$31:$B$1048576,0))
+
INDEX(ref_Unit_Balance!$AB$31:$AB$106,MATCH(UnitGradeInfo!B402,ref_Unit_Balance!$B$31:$B$1048576,0))*(D402-1)</f>
        <v>14550</v>
      </c>
      <c r="G402" s="5">
        <f>INDEX(ref_Unit_Balance!$R$31:$R$106,MATCH(UnitGradeInfo!B402,ref_Unit_Balance!$B$31:$B$1048576,0))
+
INDEX(ref_Unit_Balance!$AA$31:$AA$106,MATCH(UnitGradeInfo!B402,ref_Unit_Balance!$B$31:$B$1048576,0))*(D402-1)</f>
        <v>2736</v>
      </c>
      <c r="H402" s="39">
        <f>IF(INDEX(Unitinfo!D:D,MATCH(UnitGradeInfo!B402,Unitinfo!A:A,0))=1,50,5)</f>
        <v>50</v>
      </c>
      <c r="I402" s="5">
        <f>IF(INDEX(ref_Unit_Balance!$T$31:$T$106,MATCH(UnitGradeInfo!B402,ref_Unit_Balance!$B$31:$B$1048576,0))=0,1,INDEX(ref_Unit_Balance!$T$31:$T$106,MATCH(UnitGradeInfo!B402,ref_Unit_Balance!$B$31:$B$1048576,0)))</f>
        <v>5</v>
      </c>
      <c r="J402" s="5">
        <f>INDEX(ref_Unit_Balance!$S$31:$S$106,MATCH(UnitGradeInfo!B402,ref_Unit_Balance!$B$31:$B$1048576,0))</f>
        <v>1200</v>
      </c>
      <c r="K402" s="5">
        <v>0</v>
      </c>
      <c r="L402" s="5">
        <f>INDEX(ref_Unit_Balance!$I$31:$I$106,MATCH(UnitGradeInfo!B402,ref_Unit_Balance!$B$31:$B$1048576,0))</f>
        <v>1</v>
      </c>
      <c r="M402" s="5">
        <f t="shared" si="46"/>
        <v>28</v>
      </c>
      <c r="N402" s="5">
        <f t="shared" si="47"/>
        <v>280</v>
      </c>
      <c r="O402" s="5">
        <f>(INDEX(Unitinfo!I:I,MATCH(B402,Unitinfo!A:A,0))+1)*2</f>
        <v>8</v>
      </c>
      <c r="P402" s="5">
        <v>0</v>
      </c>
      <c r="Q402" s="5">
        <v>0</v>
      </c>
      <c r="R402" s="19" t="s">
        <v>121</v>
      </c>
      <c r="S402" s="19" t="s">
        <v>121</v>
      </c>
      <c r="T402" s="5">
        <f t="shared" si="43"/>
        <v>2018</v>
      </c>
      <c r="U402" s="5">
        <f t="shared" si="44"/>
        <v>1</v>
      </c>
      <c r="V402" s="5">
        <v>0</v>
      </c>
      <c r="W402" s="5">
        <v>10</v>
      </c>
    </row>
    <row r="403" spans="1:23">
      <c r="A403" s="5">
        <f t="shared" si="42"/>
        <v>400</v>
      </c>
      <c r="B403" s="93">
        <f t="shared" si="45"/>
        <v>2018</v>
      </c>
      <c r="C403" s="20" t="str">
        <f>INDEX(Unitinfo!C:C,MATCH(UnitGradeInfo!B403,Unitinfo!A:A,0))</f>
        <v>(원거리)Dragon_Fire</v>
      </c>
      <c r="D403" s="5">
        <f>COUNTIF($B$4:B403,B403)</f>
        <v>15</v>
      </c>
      <c r="E403" s="5">
        <f>ROUNDDOWN(INDEX(ref_Unit_Balance!$G$31:$G$106,MATCH(UnitGradeInfo!B403,ref_Unit_Balance!$B$31:$B$1048576,0))
+INDEX(ref_Unit_Balance!$G$20:$G$23,MATCH(IFERROR(INDEX(ref_Unit_Balance!$D$31:$D$1048576,MATCH(B403,ref_Unit_Balance!$B$31:$B$1048576,0)),0),ref_Unit_Balance!$B$20:$B$23,0))*D403*ref_Unit_Balance!$C$25,0)</f>
        <v>1537</v>
      </c>
      <c r="F403" s="5">
        <f>INDEX(ref_Unit_Balance!$V$31:$V$106,MATCH(UnitGradeInfo!B403,ref_Unit_Balance!$B$31:$B$1048576,0))
+
INDEX(ref_Unit_Balance!$AB$31:$AB$106,MATCH(UnitGradeInfo!B403,ref_Unit_Balance!$B$31:$B$1048576,0))*(D403-1)</f>
        <v>15150</v>
      </c>
      <c r="G403" s="5">
        <f>INDEX(ref_Unit_Balance!$R$31:$R$106,MATCH(UnitGradeInfo!B403,ref_Unit_Balance!$B$31:$B$1048576,0))
+
INDEX(ref_Unit_Balance!$AA$31:$AA$106,MATCH(UnitGradeInfo!B403,ref_Unit_Balance!$B$31:$B$1048576,0))*(D403-1)</f>
        <v>2880</v>
      </c>
      <c r="H403" s="39">
        <f>IF(INDEX(Unitinfo!D:D,MATCH(UnitGradeInfo!B403,Unitinfo!A:A,0))=1,50,5)</f>
        <v>50</v>
      </c>
      <c r="I403" s="5">
        <f>IF(INDEX(ref_Unit_Balance!$T$31:$T$106,MATCH(UnitGradeInfo!B403,ref_Unit_Balance!$B$31:$B$1048576,0))=0,1,INDEX(ref_Unit_Balance!$T$31:$T$106,MATCH(UnitGradeInfo!B403,ref_Unit_Balance!$B$31:$B$1048576,0)))</f>
        <v>5</v>
      </c>
      <c r="J403" s="5">
        <f>INDEX(ref_Unit_Balance!$S$31:$S$106,MATCH(UnitGradeInfo!B403,ref_Unit_Balance!$B$31:$B$1048576,0))</f>
        <v>1200</v>
      </c>
      <c r="K403" s="5">
        <v>0</v>
      </c>
      <c r="L403" s="5">
        <f>INDEX(ref_Unit_Balance!$I$31:$I$106,MATCH(UnitGradeInfo!B403,ref_Unit_Balance!$B$31:$B$1048576,0))</f>
        <v>1</v>
      </c>
      <c r="M403" s="5">
        <f t="shared" si="46"/>
        <v>30</v>
      </c>
      <c r="N403" s="5">
        <f t="shared" si="47"/>
        <v>300</v>
      </c>
      <c r="O403" s="5">
        <f>(INDEX(Unitinfo!I:I,MATCH(B403,Unitinfo!A:A,0))+1)*2</f>
        <v>8</v>
      </c>
      <c r="P403" s="5">
        <v>0</v>
      </c>
      <c r="Q403" s="5">
        <v>0</v>
      </c>
      <c r="R403" s="19" t="s">
        <v>121</v>
      </c>
      <c r="S403" s="19" t="s">
        <v>121</v>
      </c>
      <c r="T403" s="5">
        <f t="shared" si="43"/>
        <v>2018</v>
      </c>
      <c r="U403" s="5">
        <f t="shared" si="44"/>
        <v>1</v>
      </c>
      <c r="V403" s="5">
        <v>0</v>
      </c>
      <c r="W403" s="5">
        <v>10</v>
      </c>
    </row>
    <row r="404" spans="1:23">
      <c r="A404" s="5">
        <f t="shared" si="42"/>
        <v>401</v>
      </c>
      <c r="B404" s="93">
        <f t="shared" si="45"/>
        <v>2018</v>
      </c>
      <c r="C404" s="20" t="str">
        <f>INDEX(Unitinfo!C:C,MATCH(UnitGradeInfo!B404,Unitinfo!A:A,0))</f>
        <v>(원거리)Dragon_Fire</v>
      </c>
      <c r="D404" s="5">
        <f>COUNTIF($B$4:B404,B404)</f>
        <v>16</v>
      </c>
      <c r="E404" s="5">
        <f>ROUNDDOWN(INDEX(ref_Unit_Balance!$G$31:$G$106,MATCH(UnitGradeInfo!B404,ref_Unit_Balance!$B$31:$B$1048576,0))
+INDEX(ref_Unit_Balance!$G$20:$G$23,MATCH(IFERROR(INDEX(ref_Unit_Balance!$D$31:$D$1048576,MATCH(B404,ref_Unit_Balance!$B$31:$B$1048576,0)),0),ref_Unit_Balance!$B$20:$B$23,0))*D404*ref_Unit_Balance!$C$25,0)</f>
        <v>1625</v>
      </c>
      <c r="F404" s="5">
        <f>INDEX(ref_Unit_Balance!$V$31:$V$106,MATCH(UnitGradeInfo!B404,ref_Unit_Balance!$B$31:$B$1048576,0))
+
INDEX(ref_Unit_Balance!$AB$31:$AB$106,MATCH(UnitGradeInfo!B404,ref_Unit_Balance!$B$31:$B$1048576,0))*(D404-1)</f>
        <v>15750</v>
      </c>
      <c r="G404" s="5">
        <f>INDEX(ref_Unit_Balance!$R$31:$R$106,MATCH(UnitGradeInfo!B404,ref_Unit_Balance!$B$31:$B$1048576,0))
+
INDEX(ref_Unit_Balance!$AA$31:$AA$106,MATCH(UnitGradeInfo!B404,ref_Unit_Balance!$B$31:$B$1048576,0))*(D404-1)</f>
        <v>3024</v>
      </c>
      <c r="H404" s="39">
        <f>IF(INDEX(Unitinfo!D:D,MATCH(UnitGradeInfo!B404,Unitinfo!A:A,0))=1,50,5)</f>
        <v>50</v>
      </c>
      <c r="I404" s="5">
        <f>IF(INDEX(ref_Unit_Balance!$T$31:$T$106,MATCH(UnitGradeInfo!B404,ref_Unit_Balance!$B$31:$B$1048576,0))=0,1,INDEX(ref_Unit_Balance!$T$31:$T$106,MATCH(UnitGradeInfo!B404,ref_Unit_Balance!$B$31:$B$1048576,0)))</f>
        <v>5</v>
      </c>
      <c r="J404" s="5">
        <f>INDEX(ref_Unit_Balance!$S$31:$S$106,MATCH(UnitGradeInfo!B404,ref_Unit_Balance!$B$31:$B$1048576,0))</f>
        <v>1200</v>
      </c>
      <c r="K404" s="5">
        <v>0</v>
      </c>
      <c r="L404" s="5">
        <f>INDEX(ref_Unit_Balance!$I$31:$I$106,MATCH(UnitGradeInfo!B404,ref_Unit_Balance!$B$31:$B$1048576,0))</f>
        <v>1</v>
      </c>
      <c r="M404" s="5">
        <f t="shared" si="46"/>
        <v>32</v>
      </c>
      <c r="N404" s="5">
        <f t="shared" si="47"/>
        <v>320</v>
      </c>
      <c r="O404" s="5">
        <f>(INDEX(Unitinfo!I:I,MATCH(B404,Unitinfo!A:A,0))+1)*2</f>
        <v>8</v>
      </c>
      <c r="P404" s="5">
        <v>0</v>
      </c>
      <c r="Q404" s="5">
        <v>0</v>
      </c>
      <c r="R404" s="19" t="s">
        <v>121</v>
      </c>
      <c r="S404" s="19" t="s">
        <v>121</v>
      </c>
      <c r="T404" s="5">
        <f t="shared" si="43"/>
        <v>2018</v>
      </c>
      <c r="U404" s="5">
        <f t="shared" si="44"/>
        <v>1</v>
      </c>
      <c r="V404" s="5">
        <v>0</v>
      </c>
      <c r="W404" s="5">
        <v>10</v>
      </c>
    </row>
    <row r="405" spans="1:23">
      <c r="A405" s="5">
        <f t="shared" si="42"/>
        <v>402</v>
      </c>
      <c r="B405" s="93">
        <f t="shared" si="45"/>
        <v>2018</v>
      </c>
      <c r="C405" s="20" t="str">
        <f>INDEX(Unitinfo!C:C,MATCH(UnitGradeInfo!B405,Unitinfo!A:A,0))</f>
        <v>(원거리)Dragon_Fire</v>
      </c>
      <c r="D405" s="5">
        <f>COUNTIF($B$4:B405,B405)</f>
        <v>17</v>
      </c>
      <c r="E405" s="5">
        <f>ROUNDDOWN(INDEX(ref_Unit_Balance!$G$31:$G$106,MATCH(UnitGradeInfo!B405,ref_Unit_Balance!$B$31:$B$1048576,0))
+INDEX(ref_Unit_Balance!$G$20:$G$23,MATCH(IFERROR(INDEX(ref_Unit_Balance!$D$31:$D$1048576,MATCH(B405,ref_Unit_Balance!$B$31:$B$1048576,0)),0),ref_Unit_Balance!$B$20:$B$23,0))*D405*ref_Unit_Balance!$C$25,0)</f>
        <v>1712</v>
      </c>
      <c r="F405" s="5">
        <f>INDEX(ref_Unit_Balance!$V$31:$V$106,MATCH(UnitGradeInfo!B405,ref_Unit_Balance!$B$31:$B$1048576,0))
+
INDEX(ref_Unit_Balance!$AB$31:$AB$106,MATCH(UnitGradeInfo!B405,ref_Unit_Balance!$B$31:$B$1048576,0))*(D405-1)</f>
        <v>16350</v>
      </c>
      <c r="G405" s="5">
        <f>INDEX(ref_Unit_Balance!$R$31:$R$106,MATCH(UnitGradeInfo!B405,ref_Unit_Balance!$B$31:$B$1048576,0))
+
INDEX(ref_Unit_Balance!$AA$31:$AA$106,MATCH(UnitGradeInfo!B405,ref_Unit_Balance!$B$31:$B$1048576,0))*(D405-1)</f>
        <v>3168</v>
      </c>
      <c r="H405" s="39">
        <f>IF(INDEX(Unitinfo!D:D,MATCH(UnitGradeInfo!B405,Unitinfo!A:A,0))=1,50,5)</f>
        <v>50</v>
      </c>
      <c r="I405" s="5">
        <f>IF(INDEX(ref_Unit_Balance!$T$31:$T$106,MATCH(UnitGradeInfo!B405,ref_Unit_Balance!$B$31:$B$1048576,0))=0,1,INDEX(ref_Unit_Balance!$T$31:$T$106,MATCH(UnitGradeInfo!B405,ref_Unit_Balance!$B$31:$B$1048576,0)))</f>
        <v>5</v>
      </c>
      <c r="J405" s="5">
        <f>INDEX(ref_Unit_Balance!$S$31:$S$106,MATCH(UnitGradeInfo!B405,ref_Unit_Balance!$B$31:$B$1048576,0))</f>
        <v>1200</v>
      </c>
      <c r="K405" s="5">
        <v>0</v>
      </c>
      <c r="L405" s="5">
        <f>INDEX(ref_Unit_Balance!$I$31:$I$106,MATCH(UnitGradeInfo!B405,ref_Unit_Balance!$B$31:$B$1048576,0))</f>
        <v>1</v>
      </c>
      <c r="M405" s="5">
        <f t="shared" si="46"/>
        <v>34</v>
      </c>
      <c r="N405" s="5">
        <f t="shared" si="47"/>
        <v>340</v>
      </c>
      <c r="O405" s="5">
        <f>(INDEX(Unitinfo!I:I,MATCH(B405,Unitinfo!A:A,0))+1)*2</f>
        <v>8</v>
      </c>
      <c r="P405" s="5">
        <v>0</v>
      </c>
      <c r="Q405" s="5">
        <v>0</v>
      </c>
      <c r="R405" s="19" t="s">
        <v>121</v>
      </c>
      <c r="S405" s="19" t="s">
        <v>121</v>
      </c>
      <c r="T405" s="5">
        <f t="shared" si="43"/>
        <v>2018</v>
      </c>
      <c r="U405" s="5">
        <f t="shared" si="44"/>
        <v>1</v>
      </c>
      <c r="V405" s="5">
        <v>0</v>
      </c>
      <c r="W405" s="5">
        <v>10</v>
      </c>
    </row>
    <row r="406" spans="1:23">
      <c r="A406" s="5">
        <f t="shared" si="42"/>
        <v>403</v>
      </c>
      <c r="B406" s="93">
        <f t="shared" si="45"/>
        <v>2018</v>
      </c>
      <c r="C406" s="20" t="str">
        <f>INDEX(Unitinfo!C:C,MATCH(UnitGradeInfo!B406,Unitinfo!A:A,0))</f>
        <v>(원거리)Dragon_Fire</v>
      </c>
      <c r="D406" s="5">
        <f>COUNTIF($B$4:B406,B406)</f>
        <v>18</v>
      </c>
      <c r="E406" s="5">
        <f>ROUNDDOWN(INDEX(ref_Unit_Balance!$G$31:$G$106,MATCH(UnitGradeInfo!B406,ref_Unit_Balance!$B$31:$B$1048576,0))
+INDEX(ref_Unit_Balance!$G$20:$G$23,MATCH(IFERROR(INDEX(ref_Unit_Balance!$D$31:$D$1048576,MATCH(B406,ref_Unit_Balance!$B$31:$B$1048576,0)),0),ref_Unit_Balance!$B$20:$B$23,0))*D406*ref_Unit_Balance!$C$25,0)</f>
        <v>1800</v>
      </c>
      <c r="F406" s="5">
        <f>INDEX(ref_Unit_Balance!$V$31:$V$106,MATCH(UnitGradeInfo!B406,ref_Unit_Balance!$B$31:$B$1048576,0))
+
INDEX(ref_Unit_Balance!$AB$31:$AB$106,MATCH(UnitGradeInfo!B406,ref_Unit_Balance!$B$31:$B$1048576,0))*(D406-1)</f>
        <v>16950</v>
      </c>
      <c r="G406" s="5">
        <f>INDEX(ref_Unit_Balance!$R$31:$R$106,MATCH(UnitGradeInfo!B406,ref_Unit_Balance!$B$31:$B$1048576,0))
+
INDEX(ref_Unit_Balance!$AA$31:$AA$106,MATCH(UnitGradeInfo!B406,ref_Unit_Balance!$B$31:$B$1048576,0))*(D406-1)</f>
        <v>3312</v>
      </c>
      <c r="H406" s="39">
        <f>IF(INDEX(Unitinfo!D:D,MATCH(UnitGradeInfo!B406,Unitinfo!A:A,0))=1,50,5)</f>
        <v>50</v>
      </c>
      <c r="I406" s="5">
        <f>IF(INDEX(ref_Unit_Balance!$T$31:$T$106,MATCH(UnitGradeInfo!B406,ref_Unit_Balance!$B$31:$B$1048576,0))=0,1,INDEX(ref_Unit_Balance!$T$31:$T$106,MATCH(UnitGradeInfo!B406,ref_Unit_Balance!$B$31:$B$1048576,0)))</f>
        <v>5</v>
      </c>
      <c r="J406" s="5">
        <f>INDEX(ref_Unit_Balance!$S$31:$S$106,MATCH(UnitGradeInfo!B406,ref_Unit_Balance!$B$31:$B$1048576,0))</f>
        <v>1200</v>
      </c>
      <c r="K406" s="5">
        <v>0</v>
      </c>
      <c r="L406" s="5">
        <f>INDEX(ref_Unit_Balance!$I$31:$I$106,MATCH(UnitGradeInfo!B406,ref_Unit_Balance!$B$31:$B$1048576,0))</f>
        <v>1</v>
      </c>
      <c r="M406" s="5">
        <f t="shared" si="46"/>
        <v>36</v>
      </c>
      <c r="N406" s="5">
        <f t="shared" si="47"/>
        <v>360</v>
      </c>
      <c r="O406" s="5">
        <f>(INDEX(Unitinfo!I:I,MATCH(B406,Unitinfo!A:A,0))+1)*2</f>
        <v>8</v>
      </c>
      <c r="P406" s="5">
        <v>0</v>
      </c>
      <c r="Q406" s="5">
        <v>0</v>
      </c>
      <c r="R406" s="19" t="s">
        <v>121</v>
      </c>
      <c r="S406" s="19" t="s">
        <v>121</v>
      </c>
      <c r="T406" s="5">
        <f t="shared" si="43"/>
        <v>2018</v>
      </c>
      <c r="U406" s="5">
        <f t="shared" si="44"/>
        <v>1</v>
      </c>
      <c r="V406" s="5">
        <v>0</v>
      </c>
      <c r="W406" s="5">
        <v>10</v>
      </c>
    </row>
    <row r="407" spans="1:23">
      <c r="A407" s="5">
        <f t="shared" si="42"/>
        <v>404</v>
      </c>
      <c r="B407" s="93">
        <f t="shared" si="45"/>
        <v>2018</v>
      </c>
      <c r="C407" s="20" t="str">
        <f>INDEX(Unitinfo!C:C,MATCH(UnitGradeInfo!B407,Unitinfo!A:A,0))</f>
        <v>(원거리)Dragon_Fire</v>
      </c>
      <c r="D407" s="5">
        <f>COUNTIF($B$4:B407,B407)</f>
        <v>19</v>
      </c>
      <c r="E407" s="5">
        <f>ROUNDDOWN(INDEX(ref_Unit_Balance!$G$31:$G$106,MATCH(UnitGradeInfo!B407,ref_Unit_Balance!$B$31:$B$1048576,0))
+INDEX(ref_Unit_Balance!$G$20:$G$23,MATCH(IFERROR(INDEX(ref_Unit_Balance!$D$31:$D$1048576,MATCH(B407,ref_Unit_Balance!$B$31:$B$1048576,0)),0),ref_Unit_Balance!$B$20:$B$23,0))*D407*ref_Unit_Balance!$C$25,0)</f>
        <v>1887</v>
      </c>
      <c r="F407" s="5">
        <f>INDEX(ref_Unit_Balance!$V$31:$V$106,MATCH(UnitGradeInfo!B407,ref_Unit_Balance!$B$31:$B$1048576,0))
+
INDEX(ref_Unit_Balance!$AB$31:$AB$106,MATCH(UnitGradeInfo!B407,ref_Unit_Balance!$B$31:$B$1048576,0))*(D407-1)</f>
        <v>17550</v>
      </c>
      <c r="G407" s="5">
        <f>INDEX(ref_Unit_Balance!$R$31:$R$106,MATCH(UnitGradeInfo!B407,ref_Unit_Balance!$B$31:$B$1048576,0))
+
INDEX(ref_Unit_Balance!$AA$31:$AA$106,MATCH(UnitGradeInfo!B407,ref_Unit_Balance!$B$31:$B$1048576,0))*(D407-1)</f>
        <v>3456</v>
      </c>
      <c r="H407" s="39">
        <f>IF(INDEX(Unitinfo!D:D,MATCH(UnitGradeInfo!B407,Unitinfo!A:A,0))=1,50,5)</f>
        <v>50</v>
      </c>
      <c r="I407" s="5">
        <f>IF(INDEX(ref_Unit_Balance!$T$31:$T$106,MATCH(UnitGradeInfo!B407,ref_Unit_Balance!$B$31:$B$1048576,0))=0,1,INDEX(ref_Unit_Balance!$T$31:$T$106,MATCH(UnitGradeInfo!B407,ref_Unit_Balance!$B$31:$B$1048576,0)))</f>
        <v>5</v>
      </c>
      <c r="J407" s="5">
        <f>INDEX(ref_Unit_Balance!$S$31:$S$106,MATCH(UnitGradeInfo!B407,ref_Unit_Balance!$B$31:$B$1048576,0))</f>
        <v>1200</v>
      </c>
      <c r="K407" s="5">
        <v>0</v>
      </c>
      <c r="L407" s="5">
        <f>INDEX(ref_Unit_Balance!$I$31:$I$106,MATCH(UnitGradeInfo!B407,ref_Unit_Balance!$B$31:$B$1048576,0))</f>
        <v>1</v>
      </c>
      <c r="M407" s="5">
        <f t="shared" si="46"/>
        <v>38</v>
      </c>
      <c r="N407" s="5">
        <f t="shared" si="47"/>
        <v>380</v>
      </c>
      <c r="O407" s="5">
        <f>(INDEX(Unitinfo!I:I,MATCH(B407,Unitinfo!A:A,0))+1)*2</f>
        <v>8</v>
      </c>
      <c r="P407" s="5">
        <v>0</v>
      </c>
      <c r="Q407" s="5">
        <v>0</v>
      </c>
      <c r="R407" s="19" t="s">
        <v>121</v>
      </c>
      <c r="S407" s="19" t="s">
        <v>121</v>
      </c>
      <c r="T407" s="5">
        <f t="shared" si="43"/>
        <v>2018</v>
      </c>
      <c r="U407" s="5">
        <f t="shared" si="44"/>
        <v>1</v>
      </c>
      <c r="V407" s="5">
        <v>0</v>
      </c>
      <c r="W407" s="5">
        <v>10</v>
      </c>
    </row>
    <row r="408" spans="1:23">
      <c r="A408" s="5">
        <f t="shared" si="42"/>
        <v>405</v>
      </c>
      <c r="B408" s="93">
        <f t="shared" si="45"/>
        <v>2018</v>
      </c>
      <c r="C408" s="20" t="str">
        <f>INDEX(Unitinfo!C:C,MATCH(UnitGradeInfo!B408,Unitinfo!A:A,0))</f>
        <v>(원거리)Dragon_Fire</v>
      </c>
      <c r="D408" s="5">
        <f>COUNTIF($B$4:B408,B408)</f>
        <v>20</v>
      </c>
      <c r="E408" s="5">
        <f>ROUNDDOWN(INDEX(ref_Unit_Balance!$G$31:$G$106,MATCH(UnitGradeInfo!B408,ref_Unit_Balance!$B$31:$B$1048576,0))
+INDEX(ref_Unit_Balance!$G$20:$G$23,MATCH(IFERROR(INDEX(ref_Unit_Balance!$D$31:$D$1048576,MATCH(B408,ref_Unit_Balance!$B$31:$B$1048576,0)),0),ref_Unit_Balance!$B$20:$B$23,0))*D408*ref_Unit_Balance!$C$25,0)</f>
        <v>1975</v>
      </c>
      <c r="F408" s="5">
        <f>INDEX(ref_Unit_Balance!$V$31:$V$106,MATCH(UnitGradeInfo!B408,ref_Unit_Balance!$B$31:$B$1048576,0))
+
INDEX(ref_Unit_Balance!$AB$31:$AB$106,MATCH(UnitGradeInfo!B408,ref_Unit_Balance!$B$31:$B$1048576,0))*(D408-1)</f>
        <v>18150</v>
      </c>
      <c r="G408" s="5">
        <f>INDEX(ref_Unit_Balance!$R$31:$R$106,MATCH(UnitGradeInfo!B408,ref_Unit_Balance!$B$31:$B$1048576,0))
+
INDEX(ref_Unit_Balance!$AA$31:$AA$106,MATCH(UnitGradeInfo!B408,ref_Unit_Balance!$B$31:$B$1048576,0))*(D408-1)</f>
        <v>3600</v>
      </c>
      <c r="H408" s="39">
        <f>IF(INDEX(Unitinfo!D:D,MATCH(UnitGradeInfo!B408,Unitinfo!A:A,0))=1,50,5)</f>
        <v>50</v>
      </c>
      <c r="I408" s="5">
        <f>IF(INDEX(ref_Unit_Balance!$T$31:$T$106,MATCH(UnitGradeInfo!B408,ref_Unit_Balance!$B$31:$B$1048576,0))=0,1,INDEX(ref_Unit_Balance!$T$31:$T$106,MATCH(UnitGradeInfo!B408,ref_Unit_Balance!$B$31:$B$1048576,0)))</f>
        <v>5</v>
      </c>
      <c r="J408" s="5">
        <f>INDEX(ref_Unit_Balance!$S$31:$S$106,MATCH(UnitGradeInfo!B408,ref_Unit_Balance!$B$31:$B$1048576,0))</f>
        <v>1200</v>
      </c>
      <c r="K408" s="5">
        <v>0</v>
      </c>
      <c r="L408" s="5">
        <f>INDEX(ref_Unit_Balance!$I$31:$I$106,MATCH(UnitGradeInfo!B408,ref_Unit_Balance!$B$31:$B$1048576,0))</f>
        <v>1</v>
      </c>
      <c r="M408" s="5">
        <f t="shared" si="46"/>
        <v>40</v>
      </c>
      <c r="N408" s="5">
        <f t="shared" si="47"/>
        <v>400</v>
      </c>
      <c r="O408" s="5">
        <f>(INDEX(Unitinfo!I:I,MATCH(B408,Unitinfo!A:A,0))+1)*2</f>
        <v>8</v>
      </c>
      <c r="P408" s="5">
        <v>0</v>
      </c>
      <c r="Q408" s="5">
        <v>0</v>
      </c>
      <c r="R408" s="19" t="s">
        <v>121</v>
      </c>
      <c r="S408" s="19" t="s">
        <v>121</v>
      </c>
      <c r="T408" s="5">
        <f t="shared" si="43"/>
        <v>2018</v>
      </c>
      <c r="U408" s="5">
        <f t="shared" si="44"/>
        <v>1</v>
      </c>
      <c r="V408" s="5">
        <v>0</v>
      </c>
      <c r="W408" s="5">
        <v>10</v>
      </c>
    </row>
    <row r="409" spans="1:23">
      <c r="A409" s="5">
        <f t="shared" si="42"/>
        <v>406</v>
      </c>
      <c r="B409" s="93">
        <f t="shared" si="45"/>
        <v>2019</v>
      </c>
      <c r="C409" s="20" t="str">
        <f>INDEX(Unitinfo!C:C,MATCH(UnitGradeInfo!B409,Unitinfo!A:A,0))</f>
        <v>(근거리)Slime_Red</v>
      </c>
      <c r="D409" s="5">
        <f>COUNTIF($B$4:B409,B409)</f>
        <v>1</v>
      </c>
      <c r="E409" s="5">
        <f>ROUNDDOWN(INDEX(ref_Unit_Balance!$G$31:$G$106,MATCH(UnitGradeInfo!B409,ref_Unit_Balance!$B$31:$B$1048576,0))
+INDEX(ref_Unit_Balance!$G$20:$G$23,MATCH(IFERROR(INDEX(ref_Unit_Balance!$D$31:$D$1048576,MATCH(B409,ref_Unit_Balance!$B$31:$B$1048576,0)),0),ref_Unit_Balance!$B$20:$B$23,0))*D409*ref_Unit_Balance!$C$25,0)</f>
        <v>200</v>
      </c>
      <c r="F409" s="5">
        <f>INDEX(ref_Unit_Balance!$V$31:$V$106,MATCH(UnitGradeInfo!B409,ref_Unit_Balance!$B$31:$B$1048576,0))
+
INDEX(ref_Unit_Balance!$AB$31:$AB$106,MATCH(UnitGradeInfo!B409,ref_Unit_Balance!$B$31:$B$1048576,0))*(D409-1)</f>
        <v>900</v>
      </c>
      <c r="G409" s="5">
        <f>INDEX(ref_Unit_Balance!$R$31:$R$106,MATCH(UnitGradeInfo!B409,ref_Unit_Balance!$B$31:$B$1048576,0))
+
INDEX(ref_Unit_Balance!$AA$31:$AA$106,MATCH(UnitGradeInfo!B409,ref_Unit_Balance!$B$31:$B$1048576,0))*(D409-1)</f>
        <v>176</v>
      </c>
      <c r="H409" s="39">
        <f>IF(INDEX(Unitinfo!D:D,MATCH(UnitGradeInfo!B409,Unitinfo!A:A,0))=1,50,5)</f>
        <v>5</v>
      </c>
      <c r="I409" s="5">
        <f>IF(INDEX(ref_Unit_Balance!$T$31:$T$106,MATCH(UnitGradeInfo!B409,ref_Unit_Balance!$B$31:$B$1048576,0))=0,1,INDEX(ref_Unit_Balance!$T$31:$T$106,MATCH(UnitGradeInfo!B409,ref_Unit_Balance!$B$31:$B$1048576,0)))</f>
        <v>5</v>
      </c>
      <c r="J409" s="5">
        <f>INDEX(ref_Unit_Balance!$S$31:$S$106,MATCH(UnitGradeInfo!B409,ref_Unit_Balance!$B$31:$B$1048576,0))</f>
        <v>800</v>
      </c>
      <c r="K409" s="5">
        <v>0</v>
      </c>
      <c r="L409" s="5">
        <f>INDEX(ref_Unit_Balance!$I$31:$I$106,MATCH(UnitGradeInfo!B409,ref_Unit_Balance!$B$31:$B$1048576,0))</f>
        <v>5</v>
      </c>
      <c r="M409" s="5">
        <f t="shared" si="46"/>
        <v>2</v>
      </c>
      <c r="N409" s="5">
        <f t="shared" si="47"/>
        <v>20</v>
      </c>
      <c r="O409" s="5">
        <f>(INDEX(Unitinfo!I:I,MATCH(B409,Unitinfo!A:A,0))+1)*2</f>
        <v>2</v>
      </c>
      <c r="P409" s="5">
        <v>0</v>
      </c>
      <c r="Q409" s="5">
        <v>0</v>
      </c>
      <c r="R409" s="19" t="s">
        <v>121</v>
      </c>
      <c r="S409" s="19" t="s">
        <v>121</v>
      </c>
      <c r="T409" s="5">
        <f t="shared" si="43"/>
        <v>2019</v>
      </c>
      <c r="U409" s="5">
        <f t="shared" si="44"/>
        <v>1</v>
      </c>
      <c r="V409" s="5">
        <v>0</v>
      </c>
      <c r="W409" s="5">
        <v>10</v>
      </c>
    </row>
    <row r="410" spans="1:23">
      <c r="A410" s="5">
        <f t="shared" si="42"/>
        <v>407</v>
      </c>
      <c r="B410" s="93">
        <f t="shared" si="45"/>
        <v>2019</v>
      </c>
      <c r="C410" s="20" t="str">
        <f>INDEX(Unitinfo!C:C,MATCH(UnitGradeInfo!B410,Unitinfo!A:A,0))</f>
        <v>(근거리)Slime_Red</v>
      </c>
      <c r="D410" s="5">
        <f>COUNTIF($B$4:B410,B410)</f>
        <v>2</v>
      </c>
      <c r="E410" s="5">
        <f>ROUNDDOWN(INDEX(ref_Unit_Balance!$G$31:$G$106,MATCH(UnitGradeInfo!B410,ref_Unit_Balance!$B$31:$B$1048576,0))
+INDEX(ref_Unit_Balance!$G$20:$G$23,MATCH(IFERROR(INDEX(ref_Unit_Balance!$D$31:$D$1048576,MATCH(B410,ref_Unit_Balance!$B$31:$B$1048576,0)),0),ref_Unit_Balance!$B$20:$B$23,0))*D410*ref_Unit_Balance!$C$25,0)</f>
        <v>250</v>
      </c>
      <c r="F410" s="5">
        <f>INDEX(ref_Unit_Balance!$V$31:$V$106,MATCH(UnitGradeInfo!B410,ref_Unit_Balance!$B$31:$B$1048576,0))
+
INDEX(ref_Unit_Balance!$AB$31:$AB$106,MATCH(UnitGradeInfo!B410,ref_Unit_Balance!$B$31:$B$1048576,0))*(D410-1)</f>
        <v>1100</v>
      </c>
      <c r="G410" s="5">
        <f>INDEX(ref_Unit_Balance!$R$31:$R$106,MATCH(UnitGradeInfo!B410,ref_Unit_Balance!$B$31:$B$1048576,0))
+
INDEX(ref_Unit_Balance!$AA$31:$AA$106,MATCH(UnitGradeInfo!B410,ref_Unit_Balance!$B$31:$B$1048576,0))*(D410-1)</f>
        <v>181</v>
      </c>
      <c r="H410" s="39">
        <f>IF(INDEX(Unitinfo!D:D,MATCH(UnitGradeInfo!B410,Unitinfo!A:A,0))=1,50,5)</f>
        <v>5</v>
      </c>
      <c r="I410" s="5">
        <f>IF(INDEX(ref_Unit_Balance!$T$31:$T$106,MATCH(UnitGradeInfo!B410,ref_Unit_Balance!$B$31:$B$1048576,0))=0,1,INDEX(ref_Unit_Balance!$T$31:$T$106,MATCH(UnitGradeInfo!B410,ref_Unit_Balance!$B$31:$B$1048576,0)))</f>
        <v>5</v>
      </c>
      <c r="J410" s="5">
        <f>INDEX(ref_Unit_Balance!$S$31:$S$106,MATCH(UnitGradeInfo!B410,ref_Unit_Balance!$B$31:$B$1048576,0))</f>
        <v>800</v>
      </c>
      <c r="K410" s="5">
        <v>0</v>
      </c>
      <c r="L410" s="5">
        <f>INDEX(ref_Unit_Balance!$I$31:$I$106,MATCH(UnitGradeInfo!B410,ref_Unit_Balance!$B$31:$B$1048576,0))</f>
        <v>5</v>
      </c>
      <c r="M410" s="5">
        <f t="shared" si="46"/>
        <v>4</v>
      </c>
      <c r="N410" s="5">
        <f t="shared" si="47"/>
        <v>40</v>
      </c>
      <c r="O410" s="5">
        <f>(INDEX(Unitinfo!I:I,MATCH(B410,Unitinfo!A:A,0))+1)*2</f>
        <v>2</v>
      </c>
      <c r="P410" s="5">
        <v>0</v>
      </c>
      <c r="Q410" s="5">
        <v>0</v>
      </c>
      <c r="R410" s="19" t="s">
        <v>121</v>
      </c>
      <c r="S410" s="19" t="s">
        <v>121</v>
      </c>
      <c r="T410" s="5">
        <f t="shared" si="43"/>
        <v>2019</v>
      </c>
      <c r="U410" s="5">
        <f t="shared" si="44"/>
        <v>1</v>
      </c>
      <c r="V410" s="5">
        <v>0</v>
      </c>
      <c r="W410" s="5">
        <v>10</v>
      </c>
    </row>
    <row r="411" spans="1:23">
      <c r="A411" s="5">
        <f t="shared" si="42"/>
        <v>408</v>
      </c>
      <c r="B411" s="93">
        <f t="shared" si="45"/>
        <v>2019</v>
      </c>
      <c r="C411" s="20" t="str">
        <f>INDEX(Unitinfo!C:C,MATCH(UnitGradeInfo!B411,Unitinfo!A:A,0))</f>
        <v>(근거리)Slime_Red</v>
      </c>
      <c r="D411" s="5">
        <f>COUNTIF($B$4:B411,B411)</f>
        <v>3</v>
      </c>
      <c r="E411" s="5">
        <f>ROUNDDOWN(INDEX(ref_Unit_Balance!$G$31:$G$106,MATCH(UnitGradeInfo!B411,ref_Unit_Balance!$B$31:$B$1048576,0))
+INDEX(ref_Unit_Balance!$G$20:$G$23,MATCH(IFERROR(INDEX(ref_Unit_Balance!$D$31:$D$1048576,MATCH(B411,ref_Unit_Balance!$B$31:$B$1048576,0)),0),ref_Unit_Balance!$B$20:$B$23,0))*D411*ref_Unit_Balance!$C$25,0)</f>
        <v>300</v>
      </c>
      <c r="F411" s="5">
        <f>INDEX(ref_Unit_Balance!$V$31:$V$106,MATCH(UnitGradeInfo!B411,ref_Unit_Balance!$B$31:$B$1048576,0))
+
INDEX(ref_Unit_Balance!$AB$31:$AB$106,MATCH(UnitGradeInfo!B411,ref_Unit_Balance!$B$31:$B$1048576,0))*(D411-1)</f>
        <v>1300</v>
      </c>
      <c r="G411" s="5">
        <f>INDEX(ref_Unit_Balance!$R$31:$R$106,MATCH(UnitGradeInfo!B411,ref_Unit_Balance!$B$31:$B$1048576,0))
+
INDEX(ref_Unit_Balance!$AA$31:$AA$106,MATCH(UnitGradeInfo!B411,ref_Unit_Balance!$B$31:$B$1048576,0))*(D411-1)</f>
        <v>186</v>
      </c>
      <c r="H411" s="39">
        <f>IF(INDEX(Unitinfo!D:D,MATCH(UnitGradeInfo!B411,Unitinfo!A:A,0))=1,50,5)</f>
        <v>5</v>
      </c>
      <c r="I411" s="5">
        <f>IF(INDEX(ref_Unit_Balance!$T$31:$T$106,MATCH(UnitGradeInfo!B411,ref_Unit_Balance!$B$31:$B$1048576,0))=0,1,INDEX(ref_Unit_Balance!$T$31:$T$106,MATCH(UnitGradeInfo!B411,ref_Unit_Balance!$B$31:$B$1048576,0)))</f>
        <v>5</v>
      </c>
      <c r="J411" s="5">
        <f>INDEX(ref_Unit_Balance!$S$31:$S$106,MATCH(UnitGradeInfo!B411,ref_Unit_Balance!$B$31:$B$1048576,0))</f>
        <v>800</v>
      </c>
      <c r="K411" s="5">
        <v>0</v>
      </c>
      <c r="L411" s="5">
        <f>INDEX(ref_Unit_Balance!$I$31:$I$106,MATCH(UnitGradeInfo!B411,ref_Unit_Balance!$B$31:$B$1048576,0))</f>
        <v>5</v>
      </c>
      <c r="M411" s="5">
        <f t="shared" si="46"/>
        <v>6</v>
      </c>
      <c r="N411" s="5">
        <f t="shared" si="47"/>
        <v>60</v>
      </c>
      <c r="O411" s="5">
        <f>(INDEX(Unitinfo!I:I,MATCH(B411,Unitinfo!A:A,0))+1)*2</f>
        <v>2</v>
      </c>
      <c r="P411" s="5">
        <v>0</v>
      </c>
      <c r="Q411" s="5">
        <v>0</v>
      </c>
      <c r="R411" s="19" t="s">
        <v>121</v>
      </c>
      <c r="S411" s="19" t="s">
        <v>121</v>
      </c>
      <c r="T411" s="5">
        <f t="shared" si="43"/>
        <v>2019</v>
      </c>
      <c r="U411" s="5">
        <f t="shared" si="44"/>
        <v>1</v>
      </c>
      <c r="V411" s="5">
        <v>0</v>
      </c>
      <c r="W411" s="5">
        <v>10</v>
      </c>
    </row>
    <row r="412" spans="1:23">
      <c r="A412" s="5">
        <f t="shared" si="42"/>
        <v>409</v>
      </c>
      <c r="B412" s="93">
        <f t="shared" si="45"/>
        <v>2019</v>
      </c>
      <c r="C412" s="20" t="str">
        <f>INDEX(Unitinfo!C:C,MATCH(UnitGradeInfo!B412,Unitinfo!A:A,0))</f>
        <v>(근거리)Slime_Red</v>
      </c>
      <c r="D412" s="5">
        <f>COUNTIF($B$4:B412,B412)</f>
        <v>4</v>
      </c>
      <c r="E412" s="5">
        <f>ROUNDDOWN(INDEX(ref_Unit_Balance!$G$31:$G$106,MATCH(UnitGradeInfo!B412,ref_Unit_Balance!$B$31:$B$1048576,0))
+INDEX(ref_Unit_Balance!$G$20:$G$23,MATCH(IFERROR(INDEX(ref_Unit_Balance!$D$31:$D$1048576,MATCH(B412,ref_Unit_Balance!$B$31:$B$1048576,0)),0),ref_Unit_Balance!$B$20:$B$23,0))*D412*ref_Unit_Balance!$C$25,0)</f>
        <v>350</v>
      </c>
      <c r="F412" s="5">
        <f>INDEX(ref_Unit_Balance!$V$31:$V$106,MATCH(UnitGradeInfo!B412,ref_Unit_Balance!$B$31:$B$1048576,0))
+
INDEX(ref_Unit_Balance!$AB$31:$AB$106,MATCH(UnitGradeInfo!B412,ref_Unit_Balance!$B$31:$B$1048576,0))*(D412-1)</f>
        <v>1500</v>
      </c>
      <c r="G412" s="5">
        <f>INDEX(ref_Unit_Balance!$R$31:$R$106,MATCH(UnitGradeInfo!B412,ref_Unit_Balance!$B$31:$B$1048576,0))
+
INDEX(ref_Unit_Balance!$AA$31:$AA$106,MATCH(UnitGradeInfo!B412,ref_Unit_Balance!$B$31:$B$1048576,0))*(D412-1)</f>
        <v>191</v>
      </c>
      <c r="H412" s="39">
        <f>IF(INDEX(Unitinfo!D:D,MATCH(UnitGradeInfo!B412,Unitinfo!A:A,0))=1,50,5)</f>
        <v>5</v>
      </c>
      <c r="I412" s="5">
        <f>IF(INDEX(ref_Unit_Balance!$T$31:$T$106,MATCH(UnitGradeInfo!B412,ref_Unit_Balance!$B$31:$B$1048576,0))=0,1,INDEX(ref_Unit_Balance!$T$31:$T$106,MATCH(UnitGradeInfo!B412,ref_Unit_Balance!$B$31:$B$1048576,0)))</f>
        <v>5</v>
      </c>
      <c r="J412" s="5">
        <f>INDEX(ref_Unit_Balance!$S$31:$S$106,MATCH(UnitGradeInfo!B412,ref_Unit_Balance!$B$31:$B$1048576,0))</f>
        <v>800</v>
      </c>
      <c r="K412" s="5">
        <v>0</v>
      </c>
      <c r="L412" s="5">
        <f>INDEX(ref_Unit_Balance!$I$31:$I$106,MATCH(UnitGradeInfo!B412,ref_Unit_Balance!$B$31:$B$1048576,0))</f>
        <v>5</v>
      </c>
      <c r="M412" s="5">
        <f t="shared" si="46"/>
        <v>8</v>
      </c>
      <c r="N412" s="5">
        <f t="shared" si="47"/>
        <v>80</v>
      </c>
      <c r="O412" s="5">
        <f>(INDEX(Unitinfo!I:I,MATCH(B412,Unitinfo!A:A,0))+1)*2</f>
        <v>2</v>
      </c>
      <c r="P412" s="5">
        <v>0</v>
      </c>
      <c r="Q412" s="5">
        <v>0</v>
      </c>
      <c r="R412" s="19" t="s">
        <v>121</v>
      </c>
      <c r="S412" s="19" t="s">
        <v>121</v>
      </c>
      <c r="T412" s="5">
        <f t="shared" si="43"/>
        <v>2019</v>
      </c>
      <c r="U412" s="5">
        <f t="shared" si="44"/>
        <v>1</v>
      </c>
      <c r="V412" s="5">
        <v>0</v>
      </c>
      <c r="W412" s="5">
        <v>10</v>
      </c>
    </row>
    <row r="413" spans="1:23">
      <c r="A413" s="5">
        <f t="shared" si="42"/>
        <v>410</v>
      </c>
      <c r="B413" s="93">
        <f t="shared" si="45"/>
        <v>2019</v>
      </c>
      <c r="C413" s="20" t="str">
        <f>INDEX(Unitinfo!C:C,MATCH(UnitGradeInfo!B413,Unitinfo!A:A,0))</f>
        <v>(근거리)Slime_Red</v>
      </c>
      <c r="D413" s="5">
        <f>COUNTIF($B$4:B413,B413)</f>
        <v>5</v>
      </c>
      <c r="E413" s="5">
        <f>ROUNDDOWN(INDEX(ref_Unit_Balance!$G$31:$G$106,MATCH(UnitGradeInfo!B413,ref_Unit_Balance!$B$31:$B$1048576,0))
+INDEX(ref_Unit_Balance!$G$20:$G$23,MATCH(IFERROR(INDEX(ref_Unit_Balance!$D$31:$D$1048576,MATCH(B413,ref_Unit_Balance!$B$31:$B$1048576,0)),0),ref_Unit_Balance!$B$20:$B$23,0))*D413*ref_Unit_Balance!$C$25,0)</f>
        <v>400</v>
      </c>
      <c r="F413" s="5">
        <f>INDEX(ref_Unit_Balance!$V$31:$V$106,MATCH(UnitGradeInfo!B413,ref_Unit_Balance!$B$31:$B$1048576,0))
+
INDEX(ref_Unit_Balance!$AB$31:$AB$106,MATCH(UnitGradeInfo!B413,ref_Unit_Balance!$B$31:$B$1048576,0))*(D413-1)</f>
        <v>1700</v>
      </c>
      <c r="G413" s="5">
        <f>INDEX(ref_Unit_Balance!$R$31:$R$106,MATCH(UnitGradeInfo!B413,ref_Unit_Balance!$B$31:$B$1048576,0))
+
INDEX(ref_Unit_Balance!$AA$31:$AA$106,MATCH(UnitGradeInfo!B413,ref_Unit_Balance!$B$31:$B$1048576,0))*(D413-1)</f>
        <v>196</v>
      </c>
      <c r="H413" s="39">
        <f>IF(INDEX(Unitinfo!D:D,MATCH(UnitGradeInfo!B413,Unitinfo!A:A,0))=1,50,5)</f>
        <v>5</v>
      </c>
      <c r="I413" s="5">
        <f>IF(INDEX(ref_Unit_Balance!$T$31:$T$106,MATCH(UnitGradeInfo!B413,ref_Unit_Balance!$B$31:$B$1048576,0))=0,1,INDEX(ref_Unit_Balance!$T$31:$T$106,MATCH(UnitGradeInfo!B413,ref_Unit_Balance!$B$31:$B$1048576,0)))</f>
        <v>5</v>
      </c>
      <c r="J413" s="5">
        <f>INDEX(ref_Unit_Balance!$S$31:$S$106,MATCH(UnitGradeInfo!B413,ref_Unit_Balance!$B$31:$B$1048576,0))</f>
        <v>800</v>
      </c>
      <c r="K413" s="5">
        <v>0</v>
      </c>
      <c r="L413" s="5">
        <f>INDEX(ref_Unit_Balance!$I$31:$I$106,MATCH(UnitGradeInfo!B413,ref_Unit_Balance!$B$31:$B$1048576,0))</f>
        <v>5</v>
      </c>
      <c r="M413" s="5">
        <f t="shared" si="46"/>
        <v>10</v>
      </c>
      <c r="N413" s="5">
        <f t="shared" si="47"/>
        <v>100</v>
      </c>
      <c r="O413" s="5">
        <f>(INDEX(Unitinfo!I:I,MATCH(B413,Unitinfo!A:A,0))+1)*2</f>
        <v>2</v>
      </c>
      <c r="P413" s="5">
        <v>0</v>
      </c>
      <c r="Q413" s="5">
        <v>0</v>
      </c>
      <c r="R413" s="19" t="s">
        <v>121</v>
      </c>
      <c r="S413" s="19" t="s">
        <v>121</v>
      </c>
      <c r="T413" s="5">
        <f t="shared" si="43"/>
        <v>2019</v>
      </c>
      <c r="U413" s="5">
        <f t="shared" si="44"/>
        <v>1</v>
      </c>
      <c r="V413" s="5">
        <v>0</v>
      </c>
      <c r="W413" s="5">
        <v>10</v>
      </c>
    </row>
    <row r="414" spans="1:23">
      <c r="A414" s="5">
        <f t="shared" si="42"/>
        <v>411</v>
      </c>
      <c r="B414" s="93">
        <f t="shared" si="45"/>
        <v>2019</v>
      </c>
      <c r="C414" s="20" t="str">
        <f>INDEX(Unitinfo!C:C,MATCH(UnitGradeInfo!B414,Unitinfo!A:A,0))</f>
        <v>(근거리)Slime_Red</v>
      </c>
      <c r="D414" s="5">
        <f>COUNTIF($B$4:B414,B414)</f>
        <v>6</v>
      </c>
      <c r="E414" s="5">
        <f>ROUNDDOWN(INDEX(ref_Unit_Balance!$G$31:$G$106,MATCH(UnitGradeInfo!B414,ref_Unit_Balance!$B$31:$B$1048576,0))
+INDEX(ref_Unit_Balance!$G$20:$G$23,MATCH(IFERROR(INDEX(ref_Unit_Balance!$D$31:$D$1048576,MATCH(B414,ref_Unit_Balance!$B$31:$B$1048576,0)),0),ref_Unit_Balance!$B$20:$B$23,0))*D414*ref_Unit_Balance!$C$25,0)</f>
        <v>450</v>
      </c>
      <c r="F414" s="5">
        <f>INDEX(ref_Unit_Balance!$V$31:$V$106,MATCH(UnitGradeInfo!B414,ref_Unit_Balance!$B$31:$B$1048576,0))
+
INDEX(ref_Unit_Balance!$AB$31:$AB$106,MATCH(UnitGradeInfo!B414,ref_Unit_Balance!$B$31:$B$1048576,0))*(D414-1)</f>
        <v>1900</v>
      </c>
      <c r="G414" s="5">
        <f>INDEX(ref_Unit_Balance!$R$31:$R$106,MATCH(UnitGradeInfo!B414,ref_Unit_Balance!$B$31:$B$1048576,0))
+
INDEX(ref_Unit_Balance!$AA$31:$AA$106,MATCH(UnitGradeInfo!B414,ref_Unit_Balance!$B$31:$B$1048576,0))*(D414-1)</f>
        <v>201</v>
      </c>
      <c r="H414" s="39">
        <f>IF(INDEX(Unitinfo!D:D,MATCH(UnitGradeInfo!B414,Unitinfo!A:A,0))=1,50,5)</f>
        <v>5</v>
      </c>
      <c r="I414" s="5">
        <f>IF(INDEX(ref_Unit_Balance!$T$31:$T$106,MATCH(UnitGradeInfo!B414,ref_Unit_Balance!$B$31:$B$1048576,0))=0,1,INDEX(ref_Unit_Balance!$T$31:$T$106,MATCH(UnitGradeInfo!B414,ref_Unit_Balance!$B$31:$B$1048576,0)))</f>
        <v>5</v>
      </c>
      <c r="J414" s="5">
        <f>INDEX(ref_Unit_Balance!$S$31:$S$106,MATCH(UnitGradeInfo!B414,ref_Unit_Balance!$B$31:$B$1048576,0))</f>
        <v>800</v>
      </c>
      <c r="K414" s="5">
        <v>0</v>
      </c>
      <c r="L414" s="5">
        <f>INDEX(ref_Unit_Balance!$I$31:$I$106,MATCH(UnitGradeInfo!B414,ref_Unit_Balance!$B$31:$B$1048576,0))</f>
        <v>5</v>
      </c>
      <c r="M414" s="5">
        <f t="shared" si="46"/>
        <v>12</v>
      </c>
      <c r="N414" s="5">
        <f t="shared" si="47"/>
        <v>120</v>
      </c>
      <c r="O414" s="5">
        <f>(INDEX(Unitinfo!I:I,MATCH(B414,Unitinfo!A:A,0))+1)*2</f>
        <v>2</v>
      </c>
      <c r="P414" s="5">
        <v>0</v>
      </c>
      <c r="Q414" s="5">
        <v>0</v>
      </c>
      <c r="R414" s="19" t="s">
        <v>121</v>
      </c>
      <c r="S414" s="19" t="s">
        <v>121</v>
      </c>
      <c r="T414" s="5">
        <f t="shared" si="43"/>
        <v>2019</v>
      </c>
      <c r="U414" s="5">
        <f t="shared" si="44"/>
        <v>1</v>
      </c>
      <c r="V414" s="5">
        <v>0</v>
      </c>
      <c r="W414" s="5">
        <v>10</v>
      </c>
    </row>
    <row r="415" spans="1:23">
      <c r="A415" s="5">
        <f t="shared" si="42"/>
        <v>412</v>
      </c>
      <c r="B415" s="93">
        <f t="shared" si="45"/>
        <v>2019</v>
      </c>
      <c r="C415" s="20" t="str">
        <f>INDEX(Unitinfo!C:C,MATCH(UnitGradeInfo!B415,Unitinfo!A:A,0))</f>
        <v>(근거리)Slime_Red</v>
      </c>
      <c r="D415" s="5">
        <f>COUNTIF($B$4:B415,B415)</f>
        <v>7</v>
      </c>
      <c r="E415" s="5">
        <f>ROUNDDOWN(INDEX(ref_Unit_Balance!$G$31:$G$106,MATCH(UnitGradeInfo!B415,ref_Unit_Balance!$B$31:$B$1048576,0))
+INDEX(ref_Unit_Balance!$G$20:$G$23,MATCH(IFERROR(INDEX(ref_Unit_Balance!$D$31:$D$1048576,MATCH(B415,ref_Unit_Balance!$B$31:$B$1048576,0)),0),ref_Unit_Balance!$B$20:$B$23,0))*D415*ref_Unit_Balance!$C$25,0)</f>
        <v>500</v>
      </c>
      <c r="F415" s="5">
        <f>INDEX(ref_Unit_Balance!$V$31:$V$106,MATCH(UnitGradeInfo!B415,ref_Unit_Balance!$B$31:$B$1048576,0))
+
INDEX(ref_Unit_Balance!$AB$31:$AB$106,MATCH(UnitGradeInfo!B415,ref_Unit_Balance!$B$31:$B$1048576,0))*(D415-1)</f>
        <v>2100</v>
      </c>
      <c r="G415" s="5">
        <f>INDEX(ref_Unit_Balance!$R$31:$R$106,MATCH(UnitGradeInfo!B415,ref_Unit_Balance!$B$31:$B$1048576,0))
+
INDEX(ref_Unit_Balance!$AA$31:$AA$106,MATCH(UnitGradeInfo!B415,ref_Unit_Balance!$B$31:$B$1048576,0))*(D415-1)</f>
        <v>206</v>
      </c>
      <c r="H415" s="39">
        <f>IF(INDEX(Unitinfo!D:D,MATCH(UnitGradeInfo!B415,Unitinfo!A:A,0))=1,50,5)</f>
        <v>5</v>
      </c>
      <c r="I415" s="5">
        <f>IF(INDEX(ref_Unit_Balance!$T$31:$T$106,MATCH(UnitGradeInfo!B415,ref_Unit_Balance!$B$31:$B$1048576,0))=0,1,INDEX(ref_Unit_Balance!$T$31:$T$106,MATCH(UnitGradeInfo!B415,ref_Unit_Balance!$B$31:$B$1048576,0)))</f>
        <v>5</v>
      </c>
      <c r="J415" s="5">
        <f>INDEX(ref_Unit_Balance!$S$31:$S$106,MATCH(UnitGradeInfo!B415,ref_Unit_Balance!$B$31:$B$1048576,0))</f>
        <v>800</v>
      </c>
      <c r="K415" s="5">
        <v>0</v>
      </c>
      <c r="L415" s="5">
        <f>INDEX(ref_Unit_Balance!$I$31:$I$106,MATCH(UnitGradeInfo!B415,ref_Unit_Balance!$B$31:$B$1048576,0))</f>
        <v>5</v>
      </c>
      <c r="M415" s="5">
        <f t="shared" si="46"/>
        <v>14</v>
      </c>
      <c r="N415" s="5">
        <f t="shared" si="47"/>
        <v>140</v>
      </c>
      <c r="O415" s="5">
        <f>(INDEX(Unitinfo!I:I,MATCH(B415,Unitinfo!A:A,0))+1)*2</f>
        <v>2</v>
      </c>
      <c r="P415" s="5">
        <v>0</v>
      </c>
      <c r="Q415" s="5">
        <v>0</v>
      </c>
      <c r="R415" s="19" t="s">
        <v>121</v>
      </c>
      <c r="S415" s="19" t="s">
        <v>121</v>
      </c>
      <c r="T415" s="5">
        <f t="shared" si="43"/>
        <v>2019</v>
      </c>
      <c r="U415" s="5">
        <f t="shared" si="44"/>
        <v>1</v>
      </c>
      <c r="V415" s="5">
        <v>0</v>
      </c>
      <c r="W415" s="5">
        <v>10</v>
      </c>
    </row>
    <row r="416" spans="1:23">
      <c r="A416" s="5">
        <f t="shared" si="42"/>
        <v>413</v>
      </c>
      <c r="B416" s="93">
        <f t="shared" si="45"/>
        <v>2019</v>
      </c>
      <c r="C416" s="20" t="str">
        <f>INDEX(Unitinfo!C:C,MATCH(UnitGradeInfo!B416,Unitinfo!A:A,0))</f>
        <v>(근거리)Slime_Red</v>
      </c>
      <c r="D416" s="5">
        <f>COUNTIF($B$4:B416,B416)</f>
        <v>8</v>
      </c>
      <c r="E416" s="5">
        <f>ROUNDDOWN(INDEX(ref_Unit_Balance!$G$31:$G$106,MATCH(UnitGradeInfo!B416,ref_Unit_Balance!$B$31:$B$1048576,0))
+INDEX(ref_Unit_Balance!$G$20:$G$23,MATCH(IFERROR(INDEX(ref_Unit_Balance!$D$31:$D$1048576,MATCH(B416,ref_Unit_Balance!$B$31:$B$1048576,0)),0),ref_Unit_Balance!$B$20:$B$23,0))*D416*ref_Unit_Balance!$C$25,0)</f>
        <v>550</v>
      </c>
      <c r="F416" s="5">
        <f>INDEX(ref_Unit_Balance!$V$31:$V$106,MATCH(UnitGradeInfo!B416,ref_Unit_Balance!$B$31:$B$1048576,0))
+
INDEX(ref_Unit_Balance!$AB$31:$AB$106,MATCH(UnitGradeInfo!B416,ref_Unit_Balance!$B$31:$B$1048576,0))*(D416-1)</f>
        <v>2300</v>
      </c>
      <c r="G416" s="5">
        <f>INDEX(ref_Unit_Balance!$R$31:$R$106,MATCH(UnitGradeInfo!B416,ref_Unit_Balance!$B$31:$B$1048576,0))
+
INDEX(ref_Unit_Balance!$AA$31:$AA$106,MATCH(UnitGradeInfo!B416,ref_Unit_Balance!$B$31:$B$1048576,0))*(D416-1)</f>
        <v>211</v>
      </c>
      <c r="H416" s="39">
        <f>IF(INDEX(Unitinfo!D:D,MATCH(UnitGradeInfo!B416,Unitinfo!A:A,0))=1,50,5)</f>
        <v>5</v>
      </c>
      <c r="I416" s="5">
        <f>IF(INDEX(ref_Unit_Balance!$T$31:$T$106,MATCH(UnitGradeInfo!B416,ref_Unit_Balance!$B$31:$B$1048576,0))=0,1,INDEX(ref_Unit_Balance!$T$31:$T$106,MATCH(UnitGradeInfo!B416,ref_Unit_Balance!$B$31:$B$1048576,0)))</f>
        <v>5</v>
      </c>
      <c r="J416" s="5">
        <f>INDEX(ref_Unit_Balance!$S$31:$S$106,MATCH(UnitGradeInfo!B416,ref_Unit_Balance!$B$31:$B$1048576,0))</f>
        <v>800</v>
      </c>
      <c r="K416" s="5">
        <v>0</v>
      </c>
      <c r="L416" s="5">
        <f>INDEX(ref_Unit_Balance!$I$31:$I$106,MATCH(UnitGradeInfo!B416,ref_Unit_Balance!$B$31:$B$1048576,0))</f>
        <v>5</v>
      </c>
      <c r="M416" s="5">
        <f t="shared" si="46"/>
        <v>16</v>
      </c>
      <c r="N416" s="5">
        <f t="shared" si="47"/>
        <v>160</v>
      </c>
      <c r="O416" s="5">
        <f>(INDEX(Unitinfo!I:I,MATCH(B416,Unitinfo!A:A,0))+1)*2</f>
        <v>2</v>
      </c>
      <c r="P416" s="5">
        <v>0</v>
      </c>
      <c r="Q416" s="5">
        <v>0</v>
      </c>
      <c r="R416" s="19" t="s">
        <v>121</v>
      </c>
      <c r="S416" s="19" t="s">
        <v>121</v>
      </c>
      <c r="T416" s="5">
        <f t="shared" si="43"/>
        <v>2019</v>
      </c>
      <c r="U416" s="5">
        <f t="shared" si="44"/>
        <v>1</v>
      </c>
      <c r="V416" s="5">
        <v>0</v>
      </c>
      <c r="W416" s="5">
        <v>10</v>
      </c>
    </row>
    <row r="417" spans="1:23">
      <c r="A417" s="5">
        <f t="shared" si="42"/>
        <v>414</v>
      </c>
      <c r="B417" s="93">
        <f t="shared" si="45"/>
        <v>2019</v>
      </c>
      <c r="C417" s="20" t="str">
        <f>INDEX(Unitinfo!C:C,MATCH(UnitGradeInfo!B417,Unitinfo!A:A,0))</f>
        <v>(근거리)Slime_Red</v>
      </c>
      <c r="D417" s="5">
        <f>COUNTIF($B$4:B417,B417)</f>
        <v>9</v>
      </c>
      <c r="E417" s="5">
        <f>ROUNDDOWN(INDEX(ref_Unit_Balance!$G$31:$G$106,MATCH(UnitGradeInfo!B417,ref_Unit_Balance!$B$31:$B$1048576,0))
+INDEX(ref_Unit_Balance!$G$20:$G$23,MATCH(IFERROR(INDEX(ref_Unit_Balance!$D$31:$D$1048576,MATCH(B417,ref_Unit_Balance!$B$31:$B$1048576,0)),0),ref_Unit_Balance!$B$20:$B$23,0))*D417*ref_Unit_Balance!$C$25,0)</f>
        <v>600</v>
      </c>
      <c r="F417" s="5">
        <f>INDEX(ref_Unit_Balance!$V$31:$V$106,MATCH(UnitGradeInfo!B417,ref_Unit_Balance!$B$31:$B$1048576,0))
+
INDEX(ref_Unit_Balance!$AB$31:$AB$106,MATCH(UnitGradeInfo!B417,ref_Unit_Balance!$B$31:$B$1048576,0))*(D417-1)</f>
        <v>2500</v>
      </c>
      <c r="G417" s="5">
        <f>INDEX(ref_Unit_Balance!$R$31:$R$106,MATCH(UnitGradeInfo!B417,ref_Unit_Balance!$B$31:$B$1048576,0))
+
INDEX(ref_Unit_Balance!$AA$31:$AA$106,MATCH(UnitGradeInfo!B417,ref_Unit_Balance!$B$31:$B$1048576,0))*(D417-1)</f>
        <v>216</v>
      </c>
      <c r="H417" s="39">
        <f>IF(INDEX(Unitinfo!D:D,MATCH(UnitGradeInfo!B417,Unitinfo!A:A,0))=1,50,5)</f>
        <v>5</v>
      </c>
      <c r="I417" s="5">
        <f>IF(INDEX(ref_Unit_Balance!$T$31:$T$106,MATCH(UnitGradeInfo!B417,ref_Unit_Balance!$B$31:$B$1048576,0))=0,1,INDEX(ref_Unit_Balance!$T$31:$T$106,MATCH(UnitGradeInfo!B417,ref_Unit_Balance!$B$31:$B$1048576,0)))</f>
        <v>5</v>
      </c>
      <c r="J417" s="5">
        <f>INDEX(ref_Unit_Balance!$S$31:$S$106,MATCH(UnitGradeInfo!B417,ref_Unit_Balance!$B$31:$B$1048576,0))</f>
        <v>800</v>
      </c>
      <c r="K417" s="5">
        <v>0</v>
      </c>
      <c r="L417" s="5">
        <f>INDEX(ref_Unit_Balance!$I$31:$I$106,MATCH(UnitGradeInfo!B417,ref_Unit_Balance!$B$31:$B$1048576,0))</f>
        <v>5</v>
      </c>
      <c r="M417" s="5">
        <f t="shared" si="46"/>
        <v>18</v>
      </c>
      <c r="N417" s="5">
        <f t="shared" si="47"/>
        <v>180</v>
      </c>
      <c r="O417" s="5">
        <f>(INDEX(Unitinfo!I:I,MATCH(B417,Unitinfo!A:A,0))+1)*2</f>
        <v>2</v>
      </c>
      <c r="P417" s="5">
        <v>0</v>
      </c>
      <c r="Q417" s="5">
        <v>0</v>
      </c>
      <c r="R417" s="19" t="s">
        <v>121</v>
      </c>
      <c r="S417" s="19" t="s">
        <v>121</v>
      </c>
      <c r="T417" s="5">
        <f t="shared" si="43"/>
        <v>2019</v>
      </c>
      <c r="U417" s="5">
        <f t="shared" si="44"/>
        <v>1</v>
      </c>
      <c r="V417" s="5">
        <v>0</v>
      </c>
      <c r="W417" s="5">
        <v>10</v>
      </c>
    </row>
    <row r="418" spans="1:23">
      <c r="A418" s="5">
        <f t="shared" si="42"/>
        <v>415</v>
      </c>
      <c r="B418" s="93">
        <f t="shared" si="45"/>
        <v>2019</v>
      </c>
      <c r="C418" s="20" t="str">
        <f>INDEX(Unitinfo!C:C,MATCH(UnitGradeInfo!B418,Unitinfo!A:A,0))</f>
        <v>(근거리)Slime_Red</v>
      </c>
      <c r="D418" s="5">
        <f>COUNTIF($B$4:B418,B418)</f>
        <v>10</v>
      </c>
      <c r="E418" s="5">
        <f>ROUNDDOWN(INDEX(ref_Unit_Balance!$G$31:$G$106,MATCH(UnitGradeInfo!B418,ref_Unit_Balance!$B$31:$B$1048576,0))
+INDEX(ref_Unit_Balance!$G$20:$G$23,MATCH(IFERROR(INDEX(ref_Unit_Balance!$D$31:$D$1048576,MATCH(B418,ref_Unit_Balance!$B$31:$B$1048576,0)),0),ref_Unit_Balance!$B$20:$B$23,0))*D418*ref_Unit_Balance!$C$25,0)</f>
        <v>650</v>
      </c>
      <c r="F418" s="5">
        <f>INDEX(ref_Unit_Balance!$V$31:$V$106,MATCH(UnitGradeInfo!B418,ref_Unit_Balance!$B$31:$B$1048576,0))
+
INDEX(ref_Unit_Balance!$AB$31:$AB$106,MATCH(UnitGradeInfo!B418,ref_Unit_Balance!$B$31:$B$1048576,0))*(D418-1)</f>
        <v>2700</v>
      </c>
      <c r="G418" s="5">
        <f>INDEX(ref_Unit_Balance!$R$31:$R$106,MATCH(UnitGradeInfo!B418,ref_Unit_Balance!$B$31:$B$1048576,0))
+
INDEX(ref_Unit_Balance!$AA$31:$AA$106,MATCH(UnitGradeInfo!B418,ref_Unit_Balance!$B$31:$B$1048576,0))*(D418-1)</f>
        <v>221</v>
      </c>
      <c r="H418" s="39">
        <f>IF(INDEX(Unitinfo!D:D,MATCH(UnitGradeInfo!B418,Unitinfo!A:A,0))=1,50,5)</f>
        <v>5</v>
      </c>
      <c r="I418" s="5">
        <f>IF(INDEX(ref_Unit_Balance!$T$31:$T$106,MATCH(UnitGradeInfo!B418,ref_Unit_Balance!$B$31:$B$1048576,0))=0,1,INDEX(ref_Unit_Balance!$T$31:$T$106,MATCH(UnitGradeInfo!B418,ref_Unit_Balance!$B$31:$B$1048576,0)))</f>
        <v>5</v>
      </c>
      <c r="J418" s="5">
        <f>INDEX(ref_Unit_Balance!$S$31:$S$106,MATCH(UnitGradeInfo!B418,ref_Unit_Balance!$B$31:$B$1048576,0))</f>
        <v>800</v>
      </c>
      <c r="K418" s="5">
        <v>0</v>
      </c>
      <c r="L418" s="5">
        <f>INDEX(ref_Unit_Balance!$I$31:$I$106,MATCH(UnitGradeInfo!B418,ref_Unit_Balance!$B$31:$B$1048576,0))</f>
        <v>5</v>
      </c>
      <c r="M418" s="5">
        <f t="shared" si="46"/>
        <v>20</v>
      </c>
      <c r="N418" s="5">
        <f t="shared" si="47"/>
        <v>200</v>
      </c>
      <c r="O418" s="5">
        <f>(INDEX(Unitinfo!I:I,MATCH(B418,Unitinfo!A:A,0))+1)*2</f>
        <v>2</v>
      </c>
      <c r="P418" s="5">
        <v>0</v>
      </c>
      <c r="Q418" s="5">
        <v>0</v>
      </c>
      <c r="R418" s="19" t="s">
        <v>121</v>
      </c>
      <c r="S418" s="19" t="s">
        <v>121</v>
      </c>
      <c r="T418" s="5">
        <f t="shared" si="43"/>
        <v>2019</v>
      </c>
      <c r="U418" s="5">
        <f t="shared" si="44"/>
        <v>1</v>
      </c>
      <c r="V418" s="5">
        <v>0</v>
      </c>
      <c r="W418" s="5">
        <v>10</v>
      </c>
    </row>
    <row r="419" spans="1:23">
      <c r="A419" s="5">
        <f t="shared" si="42"/>
        <v>416</v>
      </c>
      <c r="B419" s="93">
        <f t="shared" si="45"/>
        <v>2019</v>
      </c>
      <c r="C419" s="20" t="str">
        <f>INDEX(Unitinfo!C:C,MATCH(UnitGradeInfo!B419,Unitinfo!A:A,0))</f>
        <v>(근거리)Slime_Red</v>
      </c>
      <c r="D419" s="5">
        <f>COUNTIF($B$4:B419,B419)</f>
        <v>11</v>
      </c>
      <c r="E419" s="5">
        <f>ROUNDDOWN(INDEX(ref_Unit_Balance!$G$31:$G$106,MATCH(UnitGradeInfo!B419,ref_Unit_Balance!$B$31:$B$1048576,0))
+INDEX(ref_Unit_Balance!$G$20:$G$23,MATCH(IFERROR(INDEX(ref_Unit_Balance!$D$31:$D$1048576,MATCH(B419,ref_Unit_Balance!$B$31:$B$1048576,0)),0),ref_Unit_Balance!$B$20:$B$23,0))*D419*ref_Unit_Balance!$C$25,0)</f>
        <v>700</v>
      </c>
      <c r="F419" s="5">
        <f>INDEX(ref_Unit_Balance!$V$31:$V$106,MATCH(UnitGradeInfo!B419,ref_Unit_Balance!$B$31:$B$1048576,0))
+
INDEX(ref_Unit_Balance!$AB$31:$AB$106,MATCH(UnitGradeInfo!B419,ref_Unit_Balance!$B$31:$B$1048576,0))*(D419-1)</f>
        <v>2900</v>
      </c>
      <c r="G419" s="5">
        <f>INDEX(ref_Unit_Balance!$R$31:$R$106,MATCH(UnitGradeInfo!B419,ref_Unit_Balance!$B$31:$B$1048576,0))
+
INDEX(ref_Unit_Balance!$AA$31:$AA$106,MATCH(UnitGradeInfo!B419,ref_Unit_Balance!$B$31:$B$1048576,0))*(D419-1)</f>
        <v>226</v>
      </c>
      <c r="H419" s="39">
        <f>IF(INDEX(Unitinfo!D:D,MATCH(UnitGradeInfo!B419,Unitinfo!A:A,0))=1,50,5)</f>
        <v>5</v>
      </c>
      <c r="I419" s="5">
        <f>IF(INDEX(ref_Unit_Balance!$T$31:$T$106,MATCH(UnitGradeInfo!B419,ref_Unit_Balance!$B$31:$B$1048576,0))=0,1,INDEX(ref_Unit_Balance!$T$31:$T$106,MATCH(UnitGradeInfo!B419,ref_Unit_Balance!$B$31:$B$1048576,0)))</f>
        <v>5</v>
      </c>
      <c r="J419" s="5">
        <f>INDEX(ref_Unit_Balance!$S$31:$S$106,MATCH(UnitGradeInfo!B419,ref_Unit_Balance!$B$31:$B$1048576,0))</f>
        <v>800</v>
      </c>
      <c r="K419" s="5">
        <v>0</v>
      </c>
      <c r="L419" s="5">
        <f>INDEX(ref_Unit_Balance!$I$31:$I$106,MATCH(UnitGradeInfo!B419,ref_Unit_Balance!$B$31:$B$1048576,0))</f>
        <v>5</v>
      </c>
      <c r="M419" s="5">
        <f t="shared" si="46"/>
        <v>22</v>
      </c>
      <c r="N419" s="5">
        <f t="shared" si="47"/>
        <v>220</v>
      </c>
      <c r="O419" s="5">
        <f>(INDEX(Unitinfo!I:I,MATCH(B419,Unitinfo!A:A,0))+1)*2</f>
        <v>2</v>
      </c>
      <c r="P419" s="5">
        <v>0</v>
      </c>
      <c r="Q419" s="5">
        <v>0</v>
      </c>
      <c r="R419" s="19" t="s">
        <v>121</v>
      </c>
      <c r="S419" s="19" t="s">
        <v>121</v>
      </c>
      <c r="T419" s="5">
        <f t="shared" si="43"/>
        <v>2019</v>
      </c>
      <c r="U419" s="5">
        <f t="shared" si="44"/>
        <v>1</v>
      </c>
      <c r="V419" s="5">
        <v>0</v>
      </c>
      <c r="W419" s="5">
        <v>10</v>
      </c>
    </row>
    <row r="420" spans="1:23">
      <c r="A420" s="5">
        <f t="shared" si="42"/>
        <v>417</v>
      </c>
      <c r="B420" s="93">
        <f t="shared" si="45"/>
        <v>2019</v>
      </c>
      <c r="C420" s="20" t="str">
        <f>INDEX(Unitinfo!C:C,MATCH(UnitGradeInfo!B420,Unitinfo!A:A,0))</f>
        <v>(근거리)Slime_Red</v>
      </c>
      <c r="D420" s="5">
        <f>COUNTIF($B$4:B420,B420)</f>
        <v>12</v>
      </c>
      <c r="E420" s="5">
        <f>ROUNDDOWN(INDEX(ref_Unit_Balance!$G$31:$G$106,MATCH(UnitGradeInfo!B420,ref_Unit_Balance!$B$31:$B$1048576,0))
+INDEX(ref_Unit_Balance!$G$20:$G$23,MATCH(IFERROR(INDEX(ref_Unit_Balance!$D$31:$D$1048576,MATCH(B420,ref_Unit_Balance!$B$31:$B$1048576,0)),0),ref_Unit_Balance!$B$20:$B$23,0))*D420*ref_Unit_Balance!$C$25,0)</f>
        <v>750</v>
      </c>
      <c r="F420" s="5">
        <f>INDEX(ref_Unit_Balance!$V$31:$V$106,MATCH(UnitGradeInfo!B420,ref_Unit_Balance!$B$31:$B$1048576,0))
+
INDEX(ref_Unit_Balance!$AB$31:$AB$106,MATCH(UnitGradeInfo!B420,ref_Unit_Balance!$B$31:$B$1048576,0))*(D420-1)</f>
        <v>3100</v>
      </c>
      <c r="G420" s="5">
        <f>INDEX(ref_Unit_Balance!$R$31:$R$106,MATCH(UnitGradeInfo!B420,ref_Unit_Balance!$B$31:$B$1048576,0))
+
INDEX(ref_Unit_Balance!$AA$31:$AA$106,MATCH(UnitGradeInfo!B420,ref_Unit_Balance!$B$31:$B$1048576,0))*(D420-1)</f>
        <v>231</v>
      </c>
      <c r="H420" s="39">
        <f>IF(INDEX(Unitinfo!D:D,MATCH(UnitGradeInfo!B420,Unitinfo!A:A,0))=1,50,5)</f>
        <v>5</v>
      </c>
      <c r="I420" s="5">
        <f>IF(INDEX(ref_Unit_Balance!$T$31:$T$106,MATCH(UnitGradeInfo!B420,ref_Unit_Balance!$B$31:$B$1048576,0))=0,1,INDEX(ref_Unit_Balance!$T$31:$T$106,MATCH(UnitGradeInfo!B420,ref_Unit_Balance!$B$31:$B$1048576,0)))</f>
        <v>5</v>
      </c>
      <c r="J420" s="5">
        <f>INDEX(ref_Unit_Balance!$S$31:$S$106,MATCH(UnitGradeInfo!B420,ref_Unit_Balance!$B$31:$B$1048576,0))</f>
        <v>800</v>
      </c>
      <c r="K420" s="5">
        <v>0</v>
      </c>
      <c r="L420" s="5">
        <f>INDEX(ref_Unit_Balance!$I$31:$I$106,MATCH(UnitGradeInfo!B420,ref_Unit_Balance!$B$31:$B$1048576,0))</f>
        <v>5</v>
      </c>
      <c r="M420" s="5">
        <f t="shared" si="46"/>
        <v>24</v>
      </c>
      <c r="N420" s="5">
        <f t="shared" si="47"/>
        <v>240</v>
      </c>
      <c r="O420" s="5">
        <f>(INDEX(Unitinfo!I:I,MATCH(B420,Unitinfo!A:A,0))+1)*2</f>
        <v>2</v>
      </c>
      <c r="P420" s="5">
        <v>0</v>
      </c>
      <c r="Q420" s="5">
        <v>0</v>
      </c>
      <c r="R420" s="19" t="s">
        <v>121</v>
      </c>
      <c r="S420" s="19" t="s">
        <v>121</v>
      </c>
      <c r="T420" s="5">
        <f t="shared" si="43"/>
        <v>2019</v>
      </c>
      <c r="U420" s="5">
        <f t="shared" si="44"/>
        <v>1</v>
      </c>
      <c r="V420" s="5">
        <v>0</v>
      </c>
      <c r="W420" s="5">
        <v>10</v>
      </c>
    </row>
    <row r="421" spans="1:23">
      <c r="A421" s="5">
        <f t="shared" si="42"/>
        <v>418</v>
      </c>
      <c r="B421" s="93">
        <f t="shared" si="45"/>
        <v>2019</v>
      </c>
      <c r="C421" s="20" t="str">
        <f>INDEX(Unitinfo!C:C,MATCH(UnitGradeInfo!B421,Unitinfo!A:A,0))</f>
        <v>(근거리)Slime_Red</v>
      </c>
      <c r="D421" s="5">
        <f>COUNTIF($B$4:B421,B421)</f>
        <v>13</v>
      </c>
      <c r="E421" s="5">
        <f>ROUNDDOWN(INDEX(ref_Unit_Balance!$G$31:$G$106,MATCH(UnitGradeInfo!B421,ref_Unit_Balance!$B$31:$B$1048576,0))
+INDEX(ref_Unit_Balance!$G$20:$G$23,MATCH(IFERROR(INDEX(ref_Unit_Balance!$D$31:$D$1048576,MATCH(B421,ref_Unit_Balance!$B$31:$B$1048576,0)),0),ref_Unit_Balance!$B$20:$B$23,0))*D421*ref_Unit_Balance!$C$25,0)</f>
        <v>800</v>
      </c>
      <c r="F421" s="5">
        <f>INDEX(ref_Unit_Balance!$V$31:$V$106,MATCH(UnitGradeInfo!B421,ref_Unit_Balance!$B$31:$B$1048576,0))
+
INDEX(ref_Unit_Balance!$AB$31:$AB$106,MATCH(UnitGradeInfo!B421,ref_Unit_Balance!$B$31:$B$1048576,0))*(D421-1)</f>
        <v>3300</v>
      </c>
      <c r="G421" s="5">
        <f>INDEX(ref_Unit_Balance!$R$31:$R$106,MATCH(UnitGradeInfo!B421,ref_Unit_Balance!$B$31:$B$1048576,0))
+
INDEX(ref_Unit_Balance!$AA$31:$AA$106,MATCH(UnitGradeInfo!B421,ref_Unit_Balance!$B$31:$B$1048576,0))*(D421-1)</f>
        <v>236</v>
      </c>
      <c r="H421" s="39">
        <f>IF(INDEX(Unitinfo!D:D,MATCH(UnitGradeInfo!B421,Unitinfo!A:A,0))=1,50,5)</f>
        <v>5</v>
      </c>
      <c r="I421" s="5">
        <f>IF(INDEX(ref_Unit_Balance!$T$31:$T$106,MATCH(UnitGradeInfo!B421,ref_Unit_Balance!$B$31:$B$1048576,0))=0,1,INDEX(ref_Unit_Balance!$T$31:$T$106,MATCH(UnitGradeInfo!B421,ref_Unit_Balance!$B$31:$B$1048576,0)))</f>
        <v>5</v>
      </c>
      <c r="J421" s="5">
        <f>INDEX(ref_Unit_Balance!$S$31:$S$106,MATCH(UnitGradeInfo!B421,ref_Unit_Balance!$B$31:$B$1048576,0))</f>
        <v>800</v>
      </c>
      <c r="K421" s="5">
        <v>0</v>
      </c>
      <c r="L421" s="5">
        <f>INDEX(ref_Unit_Balance!$I$31:$I$106,MATCH(UnitGradeInfo!B421,ref_Unit_Balance!$B$31:$B$1048576,0))</f>
        <v>5</v>
      </c>
      <c r="M421" s="5">
        <f t="shared" si="46"/>
        <v>26</v>
      </c>
      <c r="N421" s="5">
        <f t="shared" si="47"/>
        <v>260</v>
      </c>
      <c r="O421" s="5">
        <f>(INDEX(Unitinfo!I:I,MATCH(B421,Unitinfo!A:A,0))+1)*2</f>
        <v>2</v>
      </c>
      <c r="P421" s="5">
        <v>0</v>
      </c>
      <c r="Q421" s="5">
        <v>0</v>
      </c>
      <c r="R421" s="19" t="s">
        <v>121</v>
      </c>
      <c r="S421" s="19" t="s">
        <v>121</v>
      </c>
      <c r="T421" s="5">
        <f t="shared" si="43"/>
        <v>2019</v>
      </c>
      <c r="U421" s="5">
        <f t="shared" si="44"/>
        <v>1</v>
      </c>
      <c r="V421" s="5">
        <v>0</v>
      </c>
      <c r="W421" s="5">
        <v>10</v>
      </c>
    </row>
    <row r="422" spans="1:23">
      <c r="A422" s="5">
        <f t="shared" si="42"/>
        <v>419</v>
      </c>
      <c r="B422" s="93">
        <f t="shared" si="45"/>
        <v>2019</v>
      </c>
      <c r="C422" s="20" t="str">
        <f>INDEX(Unitinfo!C:C,MATCH(UnitGradeInfo!B422,Unitinfo!A:A,0))</f>
        <v>(근거리)Slime_Red</v>
      </c>
      <c r="D422" s="5">
        <f>COUNTIF($B$4:B422,B422)</f>
        <v>14</v>
      </c>
      <c r="E422" s="5">
        <f>ROUNDDOWN(INDEX(ref_Unit_Balance!$G$31:$G$106,MATCH(UnitGradeInfo!B422,ref_Unit_Balance!$B$31:$B$1048576,0))
+INDEX(ref_Unit_Balance!$G$20:$G$23,MATCH(IFERROR(INDEX(ref_Unit_Balance!$D$31:$D$1048576,MATCH(B422,ref_Unit_Balance!$B$31:$B$1048576,0)),0),ref_Unit_Balance!$B$20:$B$23,0))*D422*ref_Unit_Balance!$C$25,0)</f>
        <v>850</v>
      </c>
      <c r="F422" s="5">
        <f>INDEX(ref_Unit_Balance!$V$31:$V$106,MATCH(UnitGradeInfo!B422,ref_Unit_Balance!$B$31:$B$1048576,0))
+
INDEX(ref_Unit_Balance!$AB$31:$AB$106,MATCH(UnitGradeInfo!B422,ref_Unit_Balance!$B$31:$B$1048576,0))*(D422-1)</f>
        <v>3500</v>
      </c>
      <c r="G422" s="5">
        <f>INDEX(ref_Unit_Balance!$R$31:$R$106,MATCH(UnitGradeInfo!B422,ref_Unit_Balance!$B$31:$B$1048576,0))
+
INDEX(ref_Unit_Balance!$AA$31:$AA$106,MATCH(UnitGradeInfo!B422,ref_Unit_Balance!$B$31:$B$1048576,0))*(D422-1)</f>
        <v>241</v>
      </c>
      <c r="H422" s="39">
        <f>IF(INDEX(Unitinfo!D:D,MATCH(UnitGradeInfo!B422,Unitinfo!A:A,0))=1,50,5)</f>
        <v>5</v>
      </c>
      <c r="I422" s="5">
        <f>IF(INDEX(ref_Unit_Balance!$T$31:$T$106,MATCH(UnitGradeInfo!B422,ref_Unit_Balance!$B$31:$B$1048576,0))=0,1,INDEX(ref_Unit_Balance!$T$31:$T$106,MATCH(UnitGradeInfo!B422,ref_Unit_Balance!$B$31:$B$1048576,0)))</f>
        <v>5</v>
      </c>
      <c r="J422" s="5">
        <f>INDEX(ref_Unit_Balance!$S$31:$S$106,MATCH(UnitGradeInfo!B422,ref_Unit_Balance!$B$31:$B$1048576,0))</f>
        <v>800</v>
      </c>
      <c r="K422" s="5">
        <v>0</v>
      </c>
      <c r="L422" s="5">
        <f>INDEX(ref_Unit_Balance!$I$31:$I$106,MATCH(UnitGradeInfo!B422,ref_Unit_Balance!$B$31:$B$1048576,0))</f>
        <v>5</v>
      </c>
      <c r="M422" s="5">
        <f t="shared" si="46"/>
        <v>28</v>
      </c>
      <c r="N422" s="5">
        <f t="shared" si="47"/>
        <v>280</v>
      </c>
      <c r="O422" s="5">
        <f>(INDEX(Unitinfo!I:I,MATCH(B422,Unitinfo!A:A,0))+1)*2</f>
        <v>2</v>
      </c>
      <c r="P422" s="5">
        <v>0</v>
      </c>
      <c r="Q422" s="5">
        <v>0</v>
      </c>
      <c r="R422" s="19" t="s">
        <v>121</v>
      </c>
      <c r="S422" s="19" t="s">
        <v>121</v>
      </c>
      <c r="T422" s="5">
        <f t="shared" si="43"/>
        <v>2019</v>
      </c>
      <c r="U422" s="5">
        <f t="shared" si="44"/>
        <v>1</v>
      </c>
      <c r="V422" s="5">
        <v>0</v>
      </c>
      <c r="W422" s="5">
        <v>10</v>
      </c>
    </row>
    <row r="423" spans="1:23">
      <c r="A423" s="5">
        <f t="shared" si="42"/>
        <v>420</v>
      </c>
      <c r="B423" s="93">
        <f t="shared" si="45"/>
        <v>2019</v>
      </c>
      <c r="C423" s="20" t="str">
        <f>INDEX(Unitinfo!C:C,MATCH(UnitGradeInfo!B423,Unitinfo!A:A,0))</f>
        <v>(근거리)Slime_Red</v>
      </c>
      <c r="D423" s="5">
        <f>COUNTIF($B$4:B423,B423)</f>
        <v>15</v>
      </c>
      <c r="E423" s="5">
        <f>ROUNDDOWN(INDEX(ref_Unit_Balance!$G$31:$G$106,MATCH(UnitGradeInfo!B423,ref_Unit_Balance!$B$31:$B$1048576,0))
+INDEX(ref_Unit_Balance!$G$20:$G$23,MATCH(IFERROR(INDEX(ref_Unit_Balance!$D$31:$D$1048576,MATCH(B423,ref_Unit_Balance!$B$31:$B$1048576,0)),0),ref_Unit_Balance!$B$20:$B$23,0))*D423*ref_Unit_Balance!$C$25,0)</f>
        <v>900</v>
      </c>
      <c r="F423" s="5">
        <f>INDEX(ref_Unit_Balance!$V$31:$V$106,MATCH(UnitGradeInfo!B423,ref_Unit_Balance!$B$31:$B$1048576,0))
+
INDEX(ref_Unit_Balance!$AB$31:$AB$106,MATCH(UnitGradeInfo!B423,ref_Unit_Balance!$B$31:$B$1048576,0))*(D423-1)</f>
        <v>3700</v>
      </c>
      <c r="G423" s="5">
        <f>INDEX(ref_Unit_Balance!$R$31:$R$106,MATCH(UnitGradeInfo!B423,ref_Unit_Balance!$B$31:$B$1048576,0))
+
INDEX(ref_Unit_Balance!$AA$31:$AA$106,MATCH(UnitGradeInfo!B423,ref_Unit_Balance!$B$31:$B$1048576,0))*(D423-1)</f>
        <v>246</v>
      </c>
      <c r="H423" s="39">
        <f>IF(INDEX(Unitinfo!D:D,MATCH(UnitGradeInfo!B423,Unitinfo!A:A,0))=1,50,5)</f>
        <v>5</v>
      </c>
      <c r="I423" s="5">
        <f>IF(INDEX(ref_Unit_Balance!$T$31:$T$106,MATCH(UnitGradeInfo!B423,ref_Unit_Balance!$B$31:$B$1048576,0))=0,1,INDEX(ref_Unit_Balance!$T$31:$T$106,MATCH(UnitGradeInfo!B423,ref_Unit_Balance!$B$31:$B$1048576,0)))</f>
        <v>5</v>
      </c>
      <c r="J423" s="5">
        <f>INDEX(ref_Unit_Balance!$S$31:$S$106,MATCH(UnitGradeInfo!B423,ref_Unit_Balance!$B$31:$B$1048576,0))</f>
        <v>800</v>
      </c>
      <c r="K423" s="5">
        <v>0</v>
      </c>
      <c r="L423" s="5">
        <f>INDEX(ref_Unit_Balance!$I$31:$I$106,MATCH(UnitGradeInfo!B423,ref_Unit_Balance!$B$31:$B$1048576,0))</f>
        <v>5</v>
      </c>
      <c r="M423" s="5">
        <f t="shared" si="46"/>
        <v>30</v>
      </c>
      <c r="N423" s="5">
        <f t="shared" si="47"/>
        <v>300</v>
      </c>
      <c r="O423" s="5">
        <f>(INDEX(Unitinfo!I:I,MATCH(B423,Unitinfo!A:A,0))+1)*2</f>
        <v>2</v>
      </c>
      <c r="P423" s="5">
        <v>0</v>
      </c>
      <c r="Q423" s="5">
        <v>0</v>
      </c>
      <c r="R423" s="19" t="s">
        <v>121</v>
      </c>
      <c r="S423" s="19" t="s">
        <v>121</v>
      </c>
      <c r="T423" s="5">
        <f t="shared" si="43"/>
        <v>2019</v>
      </c>
      <c r="U423" s="5">
        <f t="shared" si="44"/>
        <v>1</v>
      </c>
      <c r="V423" s="5">
        <v>0</v>
      </c>
      <c r="W423" s="5">
        <v>10</v>
      </c>
    </row>
    <row r="424" spans="1:23">
      <c r="A424" s="5">
        <f t="shared" ref="A424:A487" si="48">A423+1</f>
        <v>421</v>
      </c>
      <c r="B424" s="93">
        <f t="shared" si="45"/>
        <v>2019</v>
      </c>
      <c r="C424" s="20" t="str">
        <f>INDEX(Unitinfo!C:C,MATCH(UnitGradeInfo!B424,Unitinfo!A:A,0))</f>
        <v>(근거리)Slime_Red</v>
      </c>
      <c r="D424" s="5">
        <f>COUNTIF($B$4:B424,B424)</f>
        <v>16</v>
      </c>
      <c r="E424" s="5">
        <f>ROUNDDOWN(INDEX(ref_Unit_Balance!$G$31:$G$106,MATCH(UnitGradeInfo!B424,ref_Unit_Balance!$B$31:$B$1048576,0))
+INDEX(ref_Unit_Balance!$G$20:$G$23,MATCH(IFERROR(INDEX(ref_Unit_Balance!$D$31:$D$1048576,MATCH(B424,ref_Unit_Balance!$B$31:$B$1048576,0)),0),ref_Unit_Balance!$B$20:$B$23,0))*D424*ref_Unit_Balance!$C$25,0)</f>
        <v>950</v>
      </c>
      <c r="F424" s="5">
        <f>INDEX(ref_Unit_Balance!$V$31:$V$106,MATCH(UnitGradeInfo!B424,ref_Unit_Balance!$B$31:$B$1048576,0))
+
INDEX(ref_Unit_Balance!$AB$31:$AB$106,MATCH(UnitGradeInfo!B424,ref_Unit_Balance!$B$31:$B$1048576,0))*(D424-1)</f>
        <v>3900</v>
      </c>
      <c r="G424" s="5">
        <f>INDEX(ref_Unit_Balance!$R$31:$R$106,MATCH(UnitGradeInfo!B424,ref_Unit_Balance!$B$31:$B$1048576,0))
+
INDEX(ref_Unit_Balance!$AA$31:$AA$106,MATCH(UnitGradeInfo!B424,ref_Unit_Balance!$B$31:$B$1048576,0))*(D424-1)</f>
        <v>251</v>
      </c>
      <c r="H424" s="39">
        <f>IF(INDEX(Unitinfo!D:D,MATCH(UnitGradeInfo!B424,Unitinfo!A:A,0))=1,50,5)</f>
        <v>5</v>
      </c>
      <c r="I424" s="5">
        <f>IF(INDEX(ref_Unit_Balance!$T$31:$T$106,MATCH(UnitGradeInfo!B424,ref_Unit_Balance!$B$31:$B$1048576,0))=0,1,INDEX(ref_Unit_Balance!$T$31:$T$106,MATCH(UnitGradeInfo!B424,ref_Unit_Balance!$B$31:$B$1048576,0)))</f>
        <v>5</v>
      </c>
      <c r="J424" s="5">
        <f>INDEX(ref_Unit_Balance!$S$31:$S$106,MATCH(UnitGradeInfo!B424,ref_Unit_Balance!$B$31:$B$1048576,0))</f>
        <v>800</v>
      </c>
      <c r="K424" s="5">
        <v>0</v>
      </c>
      <c r="L424" s="5">
        <f>INDEX(ref_Unit_Balance!$I$31:$I$106,MATCH(UnitGradeInfo!B424,ref_Unit_Balance!$B$31:$B$1048576,0))</f>
        <v>5</v>
      </c>
      <c r="M424" s="5">
        <f t="shared" si="46"/>
        <v>32</v>
      </c>
      <c r="N424" s="5">
        <f t="shared" si="47"/>
        <v>320</v>
      </c>
      <c r="O424" s="5">
        <f>(INDEX(Unitinfo!I:I,MATCH(B424,Unitinfo!A:A,0))+1)*2</f>
        <v>2</v>
      </c>
      <c r="P424" s="5">
        <v>0</v>
      </c>
      <c r="Q424" s="5">
        <v>0</v>
      </c>
      <c r="R424" s="19" t="s">
        <v>121</v>
      </c>
      <c r="S424" s="19" t="s">
        <v>121</v>
      </c>
      <c r="T424" s="5">
        <f t="shared" si="43"/>
        <v>2019</v>
      </c>
      <c r="U424" s="5">
        <f t="shared" si="44"/>
        <v>1</v>
      </c>
      <c r="V424" s="5">
        <v>0</v>
      </c>
      <c r="W424" s="5">
        <v>10</v>
      </c>
    </row>
    <row r="425" spans="1:23">
      <c r="A425" s="5">
        <f t="shared" si="48"/>
        <v>422</v>
      </c>
      <c r="B425" s="93">
        <f t="shared" si="45"/>
        <v>2019</v>
      </c>
      <c r="C425" s="20" t="str">
        <f>INDEX(Unitinfo!C:C,MATCH(UnitGradeInfo!B425,Unitinfo!A:A,0))</f>
        <v>(근거리)Slime_Red</v>
      </c>
      <c r="D425" s="5">
        <f>COUNTIF($B$4:B425,B425)</f>
        <v>17</v>
      </c>
      <c r="E425" s="5">
        <f>ROUNDDOWN(INDEX(ref_Unit_Balance!$G$31:$G$106,MATCH(UnitGradeInfo!B425,ref_Unit_Balance!$B$31:$B$1048576,0))
+INDEX(ref_Unit_Balance!$G$20:$G$23,MATCH(IFERROR(INDEX(ref_Unit_Balance!$D$31:$D$1048576,MATCH(B425,ref_Unit_Balance!$B$31:$B$1048576,0)),0),ref_Unit_Balance!$B$20:$B$23,0))*D425*ref_Unit_Balance!$C$25,0)</f>
        <v>1000</v>
      </c>
      <c r="F425" s="5">
        <f>INDEX(ref_Unit_Balance!$V$31:$V$106,MATCH(UnitGradeInfo!B425,ref_Unit_Balance!$B$31:$B$1048576,0))
+
INDEX(ref_Unit_Balance!$AB$31:$AB$106,MATCH(UnitGradeInfo!B425,ref_Unit_Balance!$B$31:$B$1048576,0))*(D425-1)</f>
        <v>4100</v>
      </c>
      <c r="G425" s="5">
        <f>INDEX(ref_Unit_Balance!$R$31:$R$106,MATCH(UnitGradeInfo!B425,ref_Unit_Balance!$B$31:$B$1048576,0))
+
INDEX(ref_Unit_Balance!$AA$31:$AA$106,MATCH(UnitGradeInfo!B425,ref_Unit_Balance!$B$31:$B$1048576,0))*(D425-1)</f>
        <v>256</v>
      </c>
      <c r="H425" s="39">
        <f>IF(INDEX(Unitinfo!D:D,MATCH(UnitGradeInfo!B425,Unitinfo!A:A,0))=1,50,5)</f>
        <v>5</v>
      </c>
      <c r="I425" s="5">
        <f>IF(INDEX(ref_Unit_Balance!$T$31:$T$106,MATCH(UnitGradeInfo!B425,ref_Unit_Balance!$B$31:$B$1048576,0))=0,1,INDEX(ref_Unit_Balance!$T$31:$T$106,MATCH(UnitGradeInfo!B425,ref_Unit_Balance!$B$31:$B$1048576,0)))</f>
        <v>5</v>
      </c>
      <c r="J425" s="5">
        <f>INDEX(ref_Unit_Balance!$S$31:$S$106,MATCH(UnitGradeInfo!B425,ref_Unit_Balance!$B$31:$B$1048576,0))</f>
        <v>800</v>
      </c>
      <c r="K425" s="5">
        <v>0</v>
      </c>
      <c r="L425" s="5">
        <f>INDEX(ref_Unit_Balance!$I$31:$I$106,MATCH(UnitGradeInfo!B425,ref_Unit_Balance!$B$31:$B$1048576,0))</f>
        <v>5</v>
      </c>
      <c r="M425" s="5">
        <f t="shared" si="46"/>
        <v>34</v>
      </c>
      <c r="N425" s="5">
        <f t="shared" si="47"/>
        <v>340</v>
      </c>
      <c r="O425" s="5">
        <f>(INDEX(Unitinfo!I:I,MATCH(B425,Unitinfo!A:A,0))+1)*2</f>
        <v>2</v>
      </c>
      <c r="P425" s="5">
        <v>0</v>
      </c>
      <c r="Q425" s="5">
        <v>0</v>
      </c>
      <c r="R425" s="19" t="s">
        <v>121</v>
      </c>
      <c r="S425" s="19" t="s">
        <v>121</v>
      </c>
      <c r="T425" s="5">
        <f t="shared" si="43"/>
        <v>2019</v>
      </c>
      <c r="U425" s="5">
        <f t="shared" si="44"/>
        <v>1</v>
      </c>
      <c r="V425" s="5">
        <v>0</v>
      </c>
      <c r="W425" s="5">
        <v>10</v>
      </c>
    </row>
    <row r="426" spans="1:23">
      <c r="A426" s="5">
        <f t="shared" si="48"/>
        <v>423</v>
      </c>
      <c r="B426" s="93">
        <f t="shared" si="45"/>
        <v>2019</v>
      </c>
      <c r="C426" s="20" t="str">
        <f>INDEX(Unitinfo!C:C,MATCH(UnitGradeInfo!B426,Unitinfo!A:A,0))</f>
        <v>(근거리)Slime_Red</v>
      </c>
      <c r="D426" s="5">
        <f>COUNTIF($B$4:B426,B426)</f>
        <v>18</v>
      </c>
      <c r="E426" s="5">
        <f>ROUNDDOWN(INDEX(ref_Unit_Balance!$G$31:$G$106,MATCH(UnitGradeInfo!B426,ref_Unit_Balance!$B$31:$B$1048576,0))
+INDEX(ref_Unit_Balance!$G$20:$G$23,MATCH(IFERROR(INDEX(ref_Unit_Balance!$D$31:$D$1048576,MATCH(B426,ref_Unit_Balance!$B$31:$B$1048576,0)),0),ref_Unit_Balance!$B$20:$B$23,0))*D426*ref_Unit_Balance!$C$25,0)</f>
        <v>1050</v>
      </c>
      <c r="F426" s="5">
        <f>INDEX(ref_Unit_Balance!$V$31:$V$106,MATCH(UnitGradeInfo!B426,ref_Unit_Balance!$B$31:$B$1048576,0))
+
INDEX(ref_Unit_Balance!$AB$31:$AB$106,MATCH(UnitGradeInfo!B426,ref_Unit_Balance!$B$31:$B$1048576,0))*(D426-1)</f>
        <v>4300</v>
      </c>
      <c r="G426" s="5">
        <f>INDEX(ref_Unit_Balance!$R$31:$R$106,MATCH(UnitGradeInfo!B426,ref_Unit_Balance!$B$31:$B$1048576,0))
+
INDEX(ref_Unit_Balance!$AA$31:$AA$106,MATCH(UnitGradeInfo!B426,ref_Unit_Balance!$B$31:$B$1048576,0))*(D426-1)</f>
        <v>261</v>
      </c>
      <c r="H426" s="39">
        <f>IF(INDEX(Unitinfo!D:D,MATCH(UnitGradeInfo!B426,Unitinfo!A:A,0))=1,50,5)</f>
        <v>5</v>
      </c>
      <c r="I426" s="5">
        <f>IF(INDEX(ref_Unit_Balance!$T$31:$T$106,MATCH(UnitGradeInfo!B426,ref_Unit_Balance!$B$31:$B$1048576,0))=0,1,INDEX(ref_Unit_Balance!$T$31:$T$106,MATCH(UnitGradeInfo!B426,ref_Unit_Balance!$B$31:$B$1048576,0)))</f>
        <v>5</v>
      </c>
      <c r="J426" s="5">
        <f>INDEX(ref_Unit_Balance!$S$31:$S$106,MATCH(UnitGradeInfo!B426,ref_Unit_Balance!$B$31:$B$1048576,0))</f>
        <v>800</v>
      </c>
      <c r="K426" s="5">
        <v>0</v>
      </c>
      <c r="L426" s="5">
        <f>INDEX(ref_Unit_Balance!$I$31:$I$106,MATCH(UnitGradeInfo!B426,ref_Unit_Balance!$B$31:$B$1048576,0))</f>
        <v>5</v>
      </c>
      <c r="M426" s="5">
        <f t="shared" si="46"/>
        <v>36</v>
      </c>
      <c r="N426" s="5">
        <f t="shared" si="47"/>
        <v>360</v>
      </c>
      <c r="O426" s="5">
        <f>(INDEX(Unitinfo!I:I,MATCH(B426,Unitinfo!A:A,0))+1)*2</f>
        <v>2</v>
      </c>
      <c r="P426" s="5">
        <v>0</v>
      </c>
      <c r="Q426" s="5">
        <v>0</v>
      </c>
      <c r="R426" s="19" t="s">
        <v>121</v>
      </c>
      <c r="S426" s="19" t="s">
        <v>121</v>
      </c>
      <c r="T426" s="5">
        <f t="shared" si="43"/>
        <v>2019</v>
      </c>
      <c r="U426" s="5">
        <f t="shared" si="44"/>
        <v>1</v>
      </c>
      <c r="V426" s="5">
        <v>0</v>
      </c>
      <c r="W426" s="5">
        <v>10</v>
      </c>
    </row>
    <row r="427" spans="1:23">
      <c r="A427" s="5">
        <f t="shared" si="48"/>
        <v>424</v>
      </c>
      <c r="B427" s="93">
        <f t="shared" si="45"/>
        <v>2019</v>
      </c>
      <c r="C427" s="20" t="str">
        <f>INDEX(Unitinfo!C:C,MATCH(UnitGradeInfo!B427,Unitinfo!A:A,0))</f>
        <v>(근거리)Slime_Red</v>
      </c>
      <c r="D427" s="5">
        <f>COUNTIF($B$4:B427,B427)</f>
        <v>19</v>
      </c>
      <c r="E427" s="5">
        <f>ROUNDDOWN(INDEX(ref_Unit_Balance!$G$31:$G$106,MATCH(UnitGradeInfo!B427,ref_Unit_Balance!$B$31:$B$1048576,0))
+INDEX(ref_Unit_Balance!$G$20:$G$23,MATCH(IFERROR(INDEX(ref_Unit_Balance!$D$31:$D$1048576,MATCH(B427,ref_Unit_Balance!$B$31:$B$1048576,0)),0),ref_Unit_Balance!$B$20:$B$23,0))*D427*ref_Unit_Balance!$C$25,0)</f>
        <v>1100</v>
      </c>
      <c r="F427" s="5">
        <f>INDEX(ref_Unit_Balance!$V$31:$V$106,MATCH(UnitGradeInfo!B427,ref_Unit_Balance!$B$31:$B$1048576,0))
+
INDEX(ref_Unit_Balance!$AB$31:$AB$106,MATCH(UnitGradeInfo!B427,ref_Unit_Balance!$B$31:$B$1048576,0))*(D427-1)</f>
        <v>4500</v>
      </c>
      <c r="G427" s="5">
        <f>INDEX(ref_Unit_Balance!$R$31:$R$106,MATCH(UnitGradeInfo!B427,ref_Unit_Balance!$B$31:$B$1048576,0))
+
INDEX(ref_Unit_Balance!$AA$31:$AA$106,MATCH(UnitGradeInfo!B427,ref_Unit_Balance!$B$31:$B$1048576,0))*(D427-1)</f>
        <v>266</v>
      </c>
      <c r="H427" s="39">
        <f>IF(INDEX(Unitinfo!D:D,MATCH(UnitGradeInfo!B427,Unitinfo!A:A,0))=1,50,5)</f>
        <v>5</v>
      </c>
      <c r="I427" s="5">
        <f>IF(INDEX(ref_Unit_Balance!$T$31:$T$106,MATCH(UnitGradeInfo!B427,ref_Unit_Balance!$B$31:$B$1048576,0))=0,1,INDEX(ref_Unit_Balance!$T$31:$T$106,MATCH(UnitGradeInfo!B427,ref_Unit_Balance!$B$31:$B$1048576,0)))</f>
        <v>5</v>
      </c>
      <c r="J427" s="5">
        <f>INDEX(ref_Unit_Balance!$S$31:$S$106,MATCH(UnitGradeInfo!B427,ref_Unit_Balance!$B$31:$B$1048576,0))</f>
        <v>800</v>
      </c>
      <c r="K427" s="5">
        <v>0</v>
      </c>
      <c r="L427" s="5">
        <f>INDEX(ref_Unit_Balance!$I$31:$I$106,MATCH(UnitGradeInfo!B427,ref_Unit_Balance!$B$31:$B$1048576,0))</f>
        <v>5</v>
      </c>
      <c r="M427" s="5">
        <f t="shared" si="46"/>
        <v>38</v>
      </c>
      <c r="N427" s="5">
        <f t="shared" si="47"/>
        <v>380</v>
      </c>
      <c r="O427" s="5">
        <f>(INDEX(Unitinfo!I:I,MATCH(B427,Unitinfo!A:A,0))+1)*2</f>
        <v>2</v>
      </c>
      <c r="P427" s="5">
        <v>0</v>
      </c>
      <c r="Q427" s="5">
        <v>0</v>
      </c>
      <c r="R427" s="19" t="s">
        <v>121</v>
      </c>
      <c r="S427" s="19" t="s">
        <v>121</v>
      </c>
      <c r="T427" s="5">
        <f t="shared" si="43"/>
        <v>2019</v>
      </c>
      <c r="U427" s="5">
        <f t="shared" si="44"/>
        <v>1</v>
      </c>
      <c r="V427" s="5">
        <v>0</v>
      </c>
      <c r="W427" s="5">
        <v>10</v>
      </c>
    </row>
    <row r="428" spans="1:23">
      <c r="A428" s="5">
        <f t="shared" si="48"/>
        <v>425</v>
      </c>
      <c r="B428" s="93">
        <f t="shared" si="45"/>
        <v>2019</v>
      </c>
      <c r="C428" s="20" t="str">
        <f>INDEX(Unitinfo!C:C,MATCH(UnitGradeInfo!B428,Unitinfo!A:A,0))</f>
        <v>(근거리)Slime_Red</v>
      </c>
      <c r="D428" s="5">
        <f>COUNTIF($B$4:B428,B428)</f>
        <v>20</v>
      </c>
      <c r="E428" s="5">
        <f>ROUNDDOWN(INDEX(ref_Unit_Balance!$G$31:$G$106,MATCH(UnitGradeInfo!B428,ref_Unit_Balance!$B$31:$B$1048576,0))
+INDEX(ref_Unit_Balance!$G$20:$G$23,MATCH(IFERROR(INDEX(ref_Unit_Balance!$D$31:$D$1048576,MATCH(B428,ref_Unit_Balance!$B$31:$B$1048576,0)),0),ref_Unit_Balance!$B$20:$B$23,0))*D428*ref_Unit_Balance!$C$25,0)</f>
        <v>1150</v>
      </c>
      <c r="F428" s="5">
        <f>INDEX(ref_Unit_Balance!$V$31:$V$106,MATCH(UnitGradeInfo!B428,ref_Unit_Balance!$B$31:$B$1048576,0))
+
INDEX(ref_Unit_Balance!$AB$31:$AB$106,MATCH(UnitGradeInfo!B428,ref_Unit_Balance!$B$31:$B$1048576,0))*(D428-1)</f>
        <v>4700</v>
      </c>
      <c r="G428" s="5">
        <f>INDEX(ref_Unit_Balance!$R$31:$R$106,MATCH(UnitGradeInfo!B428,ref_Unit_Balance!$B$31:$B$1048576,0))
+
INDEX(ref_Unit_Balance!$AA$31:$AA$106,MATCH(UnitGradeInfo!B428,ref_Unit_Balance!$B$31:$B$1048576,0))*(D428-1)</f>
        <v>271</v>
      </c>
      <c r="H428" s="39">
        <f>IF(INDEX(Unitinfo!D:D,MATCH(UnitGradeInfo!B428,Unitinfo!A:A,0))=1,50,5)</f>
        <v>5</v>
      </c>
      <c r="I428" s="5">
        <f>IF(INDEX(ref_Unit_Balance!$T$31:$T$106,MATCH(UnitGradeInfo!B428,ref_Unit_Balance!$B$31:$B$1048576,0))=0,1,INDEX(ref_Unit_Balance!$T$31:$T$106,MATCH(UnitGradeInfo!B428,ref_Unit_Balance!$B$31:$B$1048576,0)))</f>
        <v>5</v>
      </c>
      <c r="J428" s="5">
        <f>INDEX(ref_Unit_Balance!$S$31:$S$106,MATCH(UnitGradeInfo!B428,ref_Unit_Balance!$B$31:$B$1048576,0))</f>
        <v>800</v>
      </c>
      <c r="K428" s="5">
        <v>0</v>
      </c>
      <c r="L428" s="5">
        <f>INDEX(ref_Unit_Balance!$I$31:$I$106,MATCH(UnitGradeInfo!B428,ref_Unit_Balance!$B$31:$B$1048576,0))</f>
        <v>5</v>
      </c>
      <c r="M428" s="5">
        <f t="shared" si="46"/>
        <v>40</v>
      </c>
      <c r="N428" s="5">
        <f t="shared" si="47"/>
        <v>400</v>
      </c>
      <c r="O428" s="5">
        <f>(INDEX(Unitinfo!I:I,MATCH(B428,Unitinfo!A:A,0))+1)*2</f>
        <v>2</v>
      </c>
      <c r="P428" s="5">
        <v>0</v>
      </c>
      <c r="Q428" s="5">
        <v>0</v>
      </c>
      <c r="R428" s="19" t="s">
        <v>121</v>
      </c>
      <c r="S428" s="19" t="s">
        <v>121</v>
      </c>
      <c r="T428" s="5">
        <f t="shared" si="43"/>
        <v>2019</v>
      </c>
      <c r="U428" s="5">
        <f t="shared" si="44"/>
        <v>1</v>
      </c>
      <c r="V428" s="5">
        <v>0</v>
      </c>
      <c r="W428" s="5">
        <v>10</v>
      </c>
    </row>
    <row r="429" spans="1:23">
      <c r="A429" s="5">
        <f t="shared" si="48"/>
        <v>426</v>
      </c>
      <c r="B429" s="93">
        <f t="shared" si="45"/>
        <v>2020</v>
      </c>
      <c r="C429" s="20" t="str">
        <f>INDEX(Unitinfo!C:C,MATCH(UnitGradeInfo!B429,Unitinfo!A:A,0))</f>
        <v>(근거리)Slime_Yellow</v>
      </c>
      <c r="D429" s="5">
        <f>COUNTIF($B$4:B429,B429)</f>
        <v>1</v>
      </c>
      <c r="E429" s="5">
        <f>ROUNDDOWN(INDEX(ref_Unit_Balance!$G$31:$G$106,MATCH(UnitGradeInfo!B429,ref_Unit_Balance!$B$31:$B$1048576,0))
+INDEX(ref_Unit_Balance!$G$20:$G$23,MATCH(IFERROR(INDEX(ref_Unit_Balance!$D$31:$D$1048576,MATCH(B429,ref_Unit_Balance!$B$31:$B$1048576,0)),0),ref_Unit_Balance!$B$20:$B$23,0))*D429*ref_Unit_Balance!$C$25,0)</f>
        <v>200</v>
      </c>
      <c r="F429" s="5">
        <f>INDEX(ref_Unit_Balance!$V$31:$V$106,MATCH(UnitGradeInfo!B429,ref_Unit_Balance!$B$31:$B$1048576,0))
+
INDEX(ref_Unit_Balance!$AB$31:$AB$106,MATCH(UnitGradeInfo!B429,ref_Unit_Balance!$B$31:$B$1048576,0))*(D429-1)</f>
        <v>900</v>
      </c>
      <c r="G429" s="5">
        <f>INDEX(ref_Unit_Balance!$R$31:$R$106,MATCH(UnitGradeInfo!B429,ref_Unit_Balance!$B$31:$B$1048576,0))
+
INDEX(ref_Unit_Balance!$AA$31:$AA$106,MATCH(UnitGradeInfo!B429,ref_Unit_Balance!$B$31:$B$1048576,0))*(D429-1)</f>
        <v>198</v>
      </c>
      <c r="H429" s="39">
        <f>IF(INDEX(Unitinfo!D:D,MATCH(UnitGradeInfo!B429,Unitinfo!A:A,0))=1,50,5)</f>
        <v>5</v>
      </c>
      <c r="I429" s="5">
        <f>IF(INDEX(ref_Unit_Balance!$T$31:$T$106,MATCH(UnitGradeInfo!B429,ref_Unit_Balance!$B$31:$B$1048576,0))=0,1,INDEX(ref_Unit_Balance!$T$31:$T$106,MATCH(UnitGradeInfo!B429,ref_Unit_Balance!$B$31:$B$1048576,0)))</f>
        <v>5</v>
      </c>
      <c r="J429" s="5">
        <f>INDEX(ref_Unit_Balance!$S$31:$S$106,MATCH(UnitGradeInfo!B429,ref_Unit_Balance!$B$31:$B$1048576,0))</f>
        <v>900</v>
      </c>
      <c r="K429" s="5">
        <v>0</v>
      </c>
      <c r="L429" s="5">
        <f>INDEX(ref_Unit_Balance!$I$31:$I$106,MATCH(UnitGradeInfo!B429,ref_Unit_Balance!$B$31:$B$1048576,0))</f>
        <v>5</v>
      </c>
      <c r="M429" s="5">
        <f t="shared" si="46"/>
        <v>2</v>
      </c>
      <c r="N429" s="5">
        <f t="shared" si="47"/>
        <v>20</v>
      </c>
      <c r="O429" s="5">
        <f>(INDEX(Unitinfo!I:I,MATCH(B429,Unitinfo!A:A,0))+1)*2</f>
        <v>2</v>
      </c>
      <c r="P429" s="5">
        <v>0</v>
      </c>
      <c r="Q429" s="5">
        <v>0</v>
      </c>
      <c r="R429" s="19" t="s">
        <v>121</v>
      </c>
      <c r="S429" s="19" t="s">
        <v>121</v>
      </c>
      <c r="T429" s="5">
        <f t="shared" si="43"/>
        <v>2020</v>
      </c>
      <c r="U429" s="5">
        <f t="shared" si="44"/>
        <v>1</v>
      </c>
      <c r="V429" s="5">
        <v>0</v>
      </c>
      <c r="W429" s="5">
        <v>10</v>
      </c>
    </row>
    <row r="430" spans="1:23">
      <c r="A430" s="5">
        <f t="shared" si="48"/>
        <v>427</v>
      </c>
      <c r="B430" s="93">
        <f t="shared" si="45"/>
        <v>2020</v>
      </c>
      <c r="C430" s="20" t="str">
        <f>INDEX(Unitinfo!C:C,MATCH(UnitGradeInfo!B430,Unitinfo!A:A,0))</f>
        <v>(근거리)Slime_Yellow</v>
      </c>
      <c r="D430" s="5">
        <f>COUNTIF($B$4:B430,B430)</f>
        <v>2</v>
      </c>
      <c r="E430" s="5">
        <f>ROUNDDOWN(INDEX(ref_Unit_Balance!$G$31:$G$106,MATCH(UnitGradeInfo!B430,ref_Unit_Balance!$B$31:$B$1048576,0))
+INDEX(ref_Unit_Balance!$G$20:$G$23,MATCH(IFERROR(INDEX(ref_Unit_Balance!$D$31:$D$1048576,MATCH(B430,ref_Unit_Balance!$B$31:$B$1048576,0)),0),ref_Unit_Balance!$B$20:$B$23,0))*D430*ref_Unit_Balance!$C$25,0)</f>
        <v>250</v>
      </c>
      <c r="F430" s="5">
        <f>INDEX(ref_Unit_Balance!$V$31:$V$106,MATCH(UnitGradeInfo!B430,ref_Unit_Balance!$B$31:$B$1048576,0))
+
INDEX(ref_Unit_Balance!$AB$31:$AB$106,MATCH(UnitGradeInfo!B430,ref_Unit_Balance!$B$31:$B$1048576,0))*(D430-1)</f>
        <v>1100</v>
      </c>
      <c r="G430" s="5">
        <f>INDEX(ref_Unit_Balance!$R$31:$R$106,MATCH(UnitGradeInfo!B430,ref_Unit_Balance!$B$31:$B$1048576,0))
+
INDEX(ref_Unit_Balance!$AA$31:$AA$106,MATCH(UnitGradeInfo!B430,ref_Unit_Balance!$B$31:$B$1048576,0))*(D430-1)</f>
        <v>204</v>
      </c>
      <c r="H430" s="39">
        <f>IF(INDEX(Unitinfo!D:D,MATCH(UnitGradeInfo!B430,Unitinfo!A:A,0))=1,50,5)</f>
        <v>5</v>
      </c>
      <c r="I430" s="5">
        <f>IF(INDEX(ref_Unit_Balance!$T$31:$T$106,MATCH(UnitGradeInfo!B430,ref_Unit_Balance!$B$31:$B$1048576,0))=0,1,INDEX(ref_Unit_Balance!$T$31:$T$106,MATCH(UnitGradeInfo!B430,ref_Unit_Balance!$B$31:$B$1048576,0)))</f>
        <v>5</v>
      </c>
      <c r="J430" s="5">
        <f>INDEX(ref_Unit_Balance!$S$31:$S$106,MATCH(UnitGradeInfo!B430,ref_Unit_Balance!$B$31:$B$1048576,0))</f>
        <v>900</v>
      </c>
      <c r="K430" s="5">
        <v>0</v>
      </c>
      <c r="L430" s="5">
        <f>INDEX(ref_Unit_Balance!$I$31:$I$106,MATCH(UnitGradeInfo!B430,ref_Unit_Balance!$B$31:$B$1048576,0))</f>
        <v>5</v>
      </c>
      <c r="M430" s="5">
        <f t="shared" si="46"/>
        <v>4</v>
      </c>
      <c r="N430" s="5">
        <f t="shared" si="47"/>
        <v>40</v>
      </c>
      <c r="O430" s="5">
        <f>(INDEX(Unitinfo!I:I,MATCH(B430,Unitinfo!A:A,0))+1)*2</f>
        <v>2</v>
      </c>
      <c r="P430" s="5">
        <v>0</v>
      </c>
      <c r="Q430" s="5">
        <v>0</v>
      </c>
      <c r="R430" s="19" t="s">
        <v>121</v>
      </c>
      <c r="S430" s="19" t="s">
        <v>121</v>
      </c>
      <c r="T430" s="5">
        <f t="shared" si="43"/>
        <v>2020</v>
      </c>
      <c r="U430" s="5">
        <f t="shared" si="44"/>
        <v>1</v>
      </c>
      <c r="V430" s="5">
        <v>0</v>
      </c>
      <c r="W430" s="5">
        <v>10</v>
      </c>
    </row>
    <row r="431" spans="1:23">
      <c r="A431" s="5">
        <f t="shared" si="48"/>
        <v>428</v>
      </c>
      <c r="B431" s="93">
        <f t="shared" si="45"/>
        <v>2020</v>
      </c>
      <c r="C431" s="20" t="str">
        <f>INDEX(Unitinfo!C:C,MATCH(UnitGradeInfo!B431,Unitinfo!A:A,0))</f>
        <v>(근거리)Slime_Yellow</v>
      </c>
      <c r="D431" s="5">
        <f>COUNTIF($B$4:B431,B431)</f>
        <v>3</v>
      </c>
      <c r="E431" s="5">
        <f>ROUNDDOWN(INDEX(ref_Unit_Balance!$G$31:$G$106,MATCH(UnitGradeInfo!B431,ref_Unit_Balance!$B$31:$B$1048576,0))
+INDEX(ref_Unit_Balance!$G$20:$G$23,MATCH(IFERROR(INDEX(ref_Unit_Balance!$D$31:$D$1048576,MATCH(B431,ref_Unit_Balance!$B$31:$B$1048576,0)),0),ref_Unit_Balance!$B$20:$B$23,0))*D431*ref_Unit_Balance!$C$25,0)</f>
        <v>300</v>
      </c>
      <c r="F431" s="5">
        <f>INDEX(ref_Unit_Balance!$V$31:$V$106,MATCH(UnitGradeInfo!B431,ref_Unit_Balance!$B$31:$B$1048576,0))
+
INDEX(ref_Unit_Balance!$AB$31:$AB$106,MATCH(UnitGradeInfo!B431,ref_Unit_Balance!$B$31:$B$1048576,0))*(D431-1)</f>
        <v>1300</v>
      </c>
      <c r="G431" s="5">
        <f>INDEX(ref_Unit_Balance!$R$31:$R$106,MATCH(UnitGradeInfo!B431,ref_Unit_Balance!$B$31:$B$1048576,0))
+
INDEX(ref_Unit_Balance!$AA$31:$AA$106,MATCH(UnitGradeInfo!B431,ref_Unit_Balance!$B$31:$B$1048576,0))*(D431-1)</f>
        <v>210</v>
      </c>
      <c r="H431" s="39">
        <f>IF(INDEX(Unitinfo!D:D,MATCH(UnitGradeInfo!B431,Unitinfo!A:A,0))=1,50,5)</f>
        <v>5</v>
      </c>
      <c r="I431" s="5">
        <f>IF(INDEX(ref_Unit_Balance!$T$31:$T$106,MATCH(UnitGradeInfo!B431,ref_Unit_Balance!$B$31:$B$1048576,0))=0,1,INDEX(ref_Unit_Balance!$T$31:$T$106,MATCH(UnitGradeInfo!B431,ref_Unit_Balance!$B$31:$B$1048576,0)))</f>
        <v>5</v>
      </c>
      <c r="J431" s="5">
        <f>INDEX(ref_Unit_Balance!$S$31:$S$106,MATCH(UnitGradeInfo!B431,ref_Unit_Balance!$B$31:$B$1048576,0))</f>
        <v>900</v>
      </c>
      <c r="K431" s="5">
        <v>0</v>
      </c>
      <c r="L431" s="5">
        <f>INDEX(ref_Unit_Balance!$I$31:$I$106,MATCH(UnitGradeInfo!B431,ref_Unit_Balance!$B$31:$B$1048576,0))</f>
        <v>5</v>
      </c>
      <c r="M431" s="5">
        <f t="shared" si="46"/>
        <v>6</v>
      </c>
      <c r="N431" s="5">
        <f t="shared" si="47"/>
        <v>60</v>
      </c>
      <c r="O431" s="5">
        <f>(INDEX(Unitinfo!I:I,MATCH(B431,Unitinfo!A:A,0))+1)*2</f>
        <v>2</v>
      </c>
      <c r="P431" s="5">
        <v>0</v>
      </c>
      <c r="Q431" s="5">
        <v>0</v>
      </c>
      <c r="R431" s="19" t="s">
        <v>121</v>
      </c>
      <c r="S431" s="19" t="s">
        <v>121</v>
      </c>
      <c r="T431" s="5">
        <f t="shared" si="43"/>
        <v>2020</v>
      </c>
      <c r="U431" s="5">
        <f t="shared" si="44"/>
        <v>1</v>
      </c>
      <c r="V431" s="5">
        <v>0</v>
      </c>
      <c r="W431" s="5">
        <v>10</v>
      </c>
    </row>
    <row r="432" spans="1:23">
      <c r="A432" s="5">
        <f t="shared" si="48"/>
        <v>429</v>
      </c>
      <c r="B432" s="93">
        <f t="shared" si="45"/>
        <v>2020</v>
      </c>
      <c r="C432" s="20" t="str">
        <f>INDEX(Unitinfo!C:C,MATCH(UnitGradeInfo!B432,Unitinfo!A:A,0))</f>
        <v>(근거리)Slime_Yellow</v>
      </c>
      <c r="D432" s="5">
        <f>COUNTIF($B$4:B432,B432)</f>
        <v>4</v>
      </c>
      <c r="E432" s="5">
        <f>ROUNDDOWN(INDEX(ref_Unit_Balance!$G$31:$G$106,MATCH(UnitGradeInfo!B432,ref_Unit_Balance!$B$31:$B$1048576,0))
+INDEX(ref_Unit_Balance!$G$20:$G$23,MATCH(IFERROR(INDEX(ref_Unit_Balance!$D$31:$D$1048576,MATCH(B432,ref_Unit_Balance!$B$31:$B$1048576,0)),0),ref_Unit_Balance!$B$20:$B$23,0))*D432*ref_Unit_Balance!$C$25,0)</f>
        <v>350</v>
      </c>
      <c r="F432" s="5">
        <f>INDEX(ref_Unit_Balance!$V$31:$V$106,MATCH(UnitGradeInfo!B432,ref_Unit_Balance!$B$31:$B$1048576,0))
+
INDEX(ref_Unit_Balance!$AB$31:$AB$106,MATCH(UnitGradeInfo!B432,ref_Unit_Balance!$B$31:$B$1048576,0))*(D432-1)</f>
        <v>1500</v>
      </c>
      <c r="G432" s="5">
        <f>INDEX(ref_Unit_Balance!$R$31:$R$106,MATCH(UnitGradeInfo!B432,ref_Unit_Balance!$B$31:$B$1048576,0))
+
INDEX(ref_Unit_Balance!$AA$31:$AA$106,MATCH(UnitGradeInfo!B432,ref_Unit_Balance!$B$31:$B$1048576,0))*(D432-1)</f>
        <v>216</v>
      </c>
      <c r="H432" s="39">
        <f>IF(INDEX(Unitinfo!D:D,MATCH(UnitGradeInfo!B432,Unitinfo!A:A,0))=1,50,5)</f>
        <v>5</v>
      </c>
      <c r="I432" s="5">
        <f>IF(INDEX(ref_Unit_Balance!$T$31:$T$106,MATCH(UnitGradeInfo!B432,ref_Unit_Balance!$B$31:$B$1048576,0))=0,1,INDEX(ref_Unit_Balance!$T$31:$T$106,MATCH(UnitGradeInfo!B432,ref_Unit_Balance!$B$31:$B$1048576,0)))</f>
        <v>5</v>
      </c>
      <c r="J432" s="5">
        <f>INDEX(ref_Unit_Balance!$S$31:$S$106,MATCH(UnitGradeInfo!B432,ref_Unit_Balance!$B$31:$B$1048576,0))</f>
        <v>900</v>
      </c>
      <c r="K432" s="5">
        <v>0</v>
      </c>
      <c r="L432" s="5">
        <f>INDEX(ref_Unit_Balance!$I$31:$I$106,MATCH(UnitGradeInfo!B432,ref_Unit_Balance!$B$31:$B$1048576,0))</f>
        <v>5</v>
      </c>
      <c r="M432" s="5">
        <f t="shared" si="46"/>
        <v>8</v>
      </c>
      <c r="N432" s="5">
        <f t="shared" si="47"/>
        <v>80</v>
      </c>
      <c r="O432" s="5">
        <f>(INDEX(Unitinfo!I:I,MATCH(B432,Unitinfo!A:A,0))+1)*2</f>
        <v>2</v>
      </c>
      <c r="P432" s="5">
        <v>0</v>
      </c>
      <c r="Q432" s="5">
        <v>0</v>
      </c>
      <c r="R432" s="19" t="s">
        <v>121</v>
      </c>
      <c r="S432" s="19" t="s">
        <v>121</v>
      </c>
      <c r="T432" s="5">
        <f t="shared" si="43"/>
        <v>2020</v>
      </c>
      <c r="U432" s="5">
        <f t="shared" si="44"/>
        <v>1</v>
      </c>
      <c r="V432" s="5">
        <v>0</v>
      </c>
      <c r="W432" s="5">
        <v>10</v>
      </c>
    </row>
    <row r="433" spans="1:23">
      <c r="A433" s="5">
        <f t="shared" si="48"/>
        <v>430</v>
      </c>
      <c r="B433" s="93">
        <f t="shared" si="45"/>
        <v>2020</v>
      </c>
      <c r="C433" s="20" t="str">
        <f>INDEX(Unitinfo!C:C,MATCH(UnitGradeInfo!B433,Unitinfo!A:A,0))</f>
        <v>(근거리)Slime_Yellow</v>
      </c>
      <c r="D433" s="5">
        <f>COUNTIF($B$4:B433,B433)</f>
        <v>5</v>
      </c>
      <c r="E433" s="5">
        <f>ROUNDDOWN(INDEX(ref_Unit_Balance!$G$31:$G$106,MATCH(UnitGradeInfo!B433,ref_Unit_Balance!$B$31:$B$1048576,0))
+INDEX(ref_Unit_Balance!$G$20:$G$23,MATCH(IFERROR(INDEX(ref_Unit_Balance!$D$31:$D$1048576,MATCH(B433,ref_Unit_Balance!$B$31:$B$1048576,0)),0),ref_Unit_Balance!$B$20:$B$23,0))*D433*ref_Unit_Balance!$C$25,0)</f>
        <v>400</v>
      </c>
      <c r="F433" s="5">
        <f>INDEX(ref_Unit_Balance!$V$31:$V$106,MATCH(UnitGradeInfo!B433,ref_Unit_Balance!$B$31:$B$1048576,0))
+
INDEX(ref_Unit_Balance!$AB$31:$AB$106,MATCH(UnitGradeInfo!B433,ref_Unit_Balance!$B$31:$B$1048576,0))*(D433-1)</f>
        <v>1700</v>
      </c>
      <c r="G433" s="5">
        <f>INDEX(ref_Unit_Balance!$R$31:$R$106,MATCH(UnitGradeInfo!B433,ref_Unit_Balance!$B$31:$B$1048576,0))
+
INDEX(ref_Unit_Balance!$AA$31:$AA$106,MATCH(UnitGradeInfo!B433,ref_Unit_Balance!$B$31:$B$1048576,0))*(D433-1)</f>
        <v>222</v>
      </c>
      <c r="H433" s="39">
        <f>IF(INDEX(Unitinfo!D:D,MATCH(UnitGradeInfo!B433,Unitinfo!A:A,0))=1,50,5)</f>
        <v>5</v>
      </c>
      <c r="I433" s="5">
        <f>IF(INDEX(ref_Unit_Balance!$T$31:$T$106,MATCH(UnitGradeInfo!B433,ref_Unit_Balance!$B$31:$B$1048576,0))=0,1,INDEX(ref_Unit_Balance!$T$31:$T$106,MATCH(UnitGradeInfo!B433,ref_Unit_Balance!$B$31:$B$1048576,0)))</f>
        <v>5</v>
      </c>
      <c r="J433" s="5">
        <f>INDEX(ref_Unit_Balance!$S$31:$S$106,MATCH(UnitGradeInfo!B433,ref_Unit_Balance!$B$31:$B$1048576,0))</f>
        <v>900</v>
      </c>
      <c r="K433" s="5">
        <v>0</v>
      </c>
      <c r="L433" s="5">
        <f>INDEX(ref_Unit_Balance!$I$31:$I$106,MATCH(UnitGradeInfo!B433,ref_Unit_Balance!$B$31:$B$1048576,0))</f>
        <v>5</v>
      </c>
      <c r="M433" s="5">
        <f t="shared" si="46"/>
        <v>10</v>
      </c>
      <c r="N433" s="5">
        <f t="shared" si="47"/>
        <v>100</v>
      </c>
      <c r="O433" s="5">
        <f>(INDEX(Unitinfo!I:I,MATCH(B433,Unitinfo!A:A,0))+1)*2</f>
        <v>2</v>
      </c>
      <c r="P433" s="5">
        <v>0</v>
      </c>
      <c r="Q433" s="5">
        <v>0</v>
      </c>
      <c r="R433" s="19" t="s">
        <v>121</v>
      </c>
      <c r="S433" s="19" t="s">
        <v>121</v>
      </c>
      <c r="T433" s="5">
        <f t="shared" ref="T433:T496" si="49">B433</f>
        <v>2020</v>
      </c>
      <c r="U433" s="5">
        <f t="shared" ref="U433:U496" si="50">IF(B433&gt;10000,0,1)</f>
        <v>1</v>
      </c>
      <c r="V433" s="5">
        <v>0</v>
      </c>
      <c r="W433" s="5">
        <v>10</v>
      </c>
    </row>
    <row r="434" spans="1:23">
      <c r="A434" s="5">
        <f t="shared" si="48"/>
        <v>431</v>
      </c>
      <c r="B434" s="93">
        <f t="shared" ref="B434:B497" si="51">QUOTIENT(A434-45-1,20)+2001</f>
        <v>2020</v>
      </c>
      <c r="C434" s="20" t="str">
        <f>INDEX(Unitinfo!C:C,MATCH(UnitGradeInfo!B434,Unitinfo!A:A,0))</f>
        <v>(근거리)Slime_Yellow</v>
      </c>
      <c r="D434" s="5">
        <f>COUNTIF($B$4:B434,B434)</f>
        <v>6</v>
      </c>
      <c r="E434" s="5">
        <f>ROUNDDOWN(INDEX(ref_Unit_Balance!$G$31:$G$106,MATCH(UnitGradeInfo!B434,ref_Unit_Balance!$B$31:$B$1048576,0))
+INDEX(ref_Unit_Balance!$G$20:$G$23,MATCH(IFERROR(INDEX(ref_Unit_Balance!$D$31:$D$1048576,MATCH(B434,ref_Unit_Balance!$B$31:$B$1048576,0)),0),ref_Unit_Balance!$B$20:$B$23,0))*D434*ref_Unit_Balance!$C$25,0)</f>
        <v>450</v>
      </c>
      <c r="F434" s="5">
        <f>INDEX(ref_Unit_Balance!$V$31:$V$106,MATCH(UnitGradeInfo!B434,ref_Unit_Balance!$B$31:$B$1048576,0))
+
INDEX(ref_Unit_Balance!$AB$31:$AB$106,MATCH(UnitGradeInfo!B434,ref_Unit_Balance!$B$31:$B$1048576,0))*(D434-1)</f>
        <v>1900</v>
      </c>
      <c r="G434" s="5">
        <f>INDEX(ref_Unit_Balance!$R$31:$R$106,MATCH(UnitGradeInfo!B434,ref_Unit_Balance!$B$31:$B$1048576,0))
+
INDEX(ref_Unit_Balance!$AA$31:$AA$106,MATCH(UnitGradeInfo!B434,ref_Unit_Balance!$B$31:$B$1048576,0))*(D434-1)</f>
        <v>228</v>
      </c>
      <c r="H434" s="39">
        <f>IF(INDEX(Unitinfo!D:D,MATCH(UnitGradeInfo!B434,Unitinfo!A:A,0))=1,50,5)</f>
        <v>5</v>
      </c>
      <c r="I434" s="5">
        <f>IF(INDEX(ref_Unit_Balance!$T$31:$T$106,MATCH(UnitGradeInfo!B434,ref_Unit_Balance!$B$31:$B$1048576,0))=0,1,INDEX(ref_Unit_Balance!$T$31:$T$106,MATCH(UnitGradeInfo!B434,ref_Unit_Balance!$B$31:$B$1048576,0)))</f>
        <v>5</v>
      </c>
      <c r="J434" s="5">
        <f>INDEX(ref_Unit_Balance!$S$31:$S$106,MATCH(UnitGradeInfo!B434,ref_Unit_Balance!$B$31:$B$1048576,0))</f>
        <v>900</v>
      </c>
      <c r="K434" s="5">
        <v>0</v>
      </c>
      <c r="L434" s="5">
        <f>INDEX(ref_Unit_Balance!$I$31:$I$106,MATCH(UnitGradeInfo!B434,ref_Unit_Balance!$B$31:$B$1048576,0))</f>
        <v>5</v>
      </c>
      <c r="M434" s="5">
        <f t="shared" si="46"/>
        <v>12</v>
      </c>
      <c r="N434" s="5">
        <f t="shared" si="47"/>
        <v>120</v>
      </c>
      <c r="O434" s="5">
        <f>(INDEX(Unitinfo!I:I,MATCH(B434,Unitinfo!A:A,0))+1)*2</f>
        <v>2</v>
      </c>
      <c r="P434" s="5">
        <v>0</v>
      </c>
      <c r="Q434" s="5">
        <v>0</v>
      </c>
      <c r="R434" s="19" t="s">
        <v>121</v>
      </c>
      <c r="S434" s="19" t="s">
        <v>121</v>
      </c>
      <c r="T434" s="5">
        <f t="shared" si="49"/>
        <v>2020</v>
      </c>
      <c r="U434" s="5">
        <f t="shared" si="50"/>
        <v>1</v>
      </c>
      <c r="V434" s="5">
        <v>0</v>
      </c>
      <c r="W434" s="5">
        <v>10</v>
      </c>
    </row>
    <row r="435" spans="1:23">
      <c r="A435" s="5">
        <f t="shared" si="48"/>
        <v>432</v>
      </c>
      <c r="B435" s="93">
        <f t="shared" si="51"/>
        <v>2020</v>
      </c>
      <c r="C435" s="20" t="str">
        <f>INDEX(Unitinfo!C:C,MATCH(UnitGradeInfo!B435,Unitinfo!A:A,0))</f>
        <v>(근거리)Slime_Yellow</v>
      </c>
      <c r="D435" s="5">
        <f>COUNTIF($B$4:B435,B435)</f>
        <v>7</v>
      </c>
      <c r="E435" s="5">
        <f>ROUNDDOWN(INDEX(ref_Unit_Balance!$G$31:$G$106,MATCH(UnitGradeInfo!B435,ref_Unit_Balance!$B$31:$B$1048576,0))
+INDEX(ref_Unit_Balance!$G$20:$G$23,MATCH(IFERROR(INDEX(ref_Unit_Balance!$D$31:$D$1048576,MATCH(B435,ref_Unit_Balance!$B$31:$B$1048576,0)),0),ref_Unit_Balance!$B$20:$B$23,0))*D435*ref_Unit_Balance!$C$25,0)</f>
        <v>500</v>
      </c>
      <c r="F435" s="5">
        <f>INDEX(ref_Unit_Balance!$V$31:$V$106,MATCH(UnitGradeInfo!B435,ref_Unit_Balance!$B$31:$B$1048576,0))
+
INDEX(ref_Unit_Balance!$AB$31:$AB$106,MATCH(UnitGradeInfo!B435,ref_Unit_Balance!$B$31:$B$1048576,0))*(D435-1)</f>
        <v>2100</v>
      </c>
      <c r="G435" s="5">
        <f>INDEX(ref_Unit_Balance!$R$31:$R$106,MATCH(UnitGradeInfo!B435,ref_Unit_Balance!$B$31:$B$1048576,0))
+
INDEX(ref_Unit_Balance!$AA$31:$AA$106,MATCH(UnitGradeInfo!B435,ref_Unit_Balance!$B$31:$B$1048576,0))*(D435-1)</f>
        <v>234</v>
      </c>
      <c r="H435" s="39">
        <f>IF(INDEX(Unitinfo!D:D,MATCH(UnitGradeInfo!B435,Unitinfo!A:A,0))=1,50,5)</f>
        <v>5</v>
      </c>
      <c r="I435" s="5">
        <f>IF(INDEX(ref_Unit_Balance!$T$31:$T$106,MATCH(UnitGradeInfo!B435,ref_Unit_Balance!$B$31:$B$1048576,0))=0,1,INDEX(ref_Unit_Balance!$T$31:$T$106,MATCH(UnitGradeInfo!B435,ref_Unit_Balance!$B$31:$B$1048576,0)))</f>
        <v>5</v>
      </c>
      <c r="J435" s="5">
        <f>INDEX(ref_Unit_Balance!$S$31:$S$106,MATCH(UnitGradeInfo!B435,ref_Unit_Balance!$B$31:$B$1048576,0))</f>
        <v>900</v>
      </c>
      <c r="K435" s="5">
        <v>0</v>
      </c>
      <c r="L435" s="5">
        <f>INDEX(ref_Unit_Balance!$I$31:$I$106,MATCH(UnitGradeInfo!B435,ref_Unit_Balance!$B$31:$B$1048576,0))</f>
        <v>5</v>
      </c>
      <c r="M435" s="5">
        <f t="shared" si="46"/>
        <v>14</v>
      </c>
      <c r="N435" s="5">
        <f t="shared" si="47"/>
        <v>140</v>
      </c>
      <c r="O435" s="5">
        <f>(INDEX(Unitinfo!I:I,MATCH(B435,Unitinfo!A:A,0))+1)*2</f>
        <v>2</v>
      </c>
      <c r="P435" s="5">
        <v>0</v>
      </c>
      <c r="Q435" s="5">
        <v>0</v>
      </c>
      <c r="R435" s="19" t="s">
        <v>121</v>
      </c>
      <c r="S435" s="19" t="s">
        <v>121</v>
      </c>
      <c r="T435" s="5">
        <f t="shared" si="49"/>
        <v>2020</v>
      </c>
      <c r="U435" s="5">
        <f t="shared" si="50"/>
        <v>1</v>
      </c>
      <c r="V435" s="5">
        <v>0</v>
      </c>
      <c r="W435" s="5">
        <v>10</v>
      </c>
    </row>
    <row r="436" spans="1:23">
      <c r="A436" s="5">
        <f t="shared" si="48"/>
        <v>433</v>
      </c>
      <c r="B436" s="93">
        <f t="shared" si="51"/>
        <v>2020</v>
      </c>
      <c r="C436" s="20" t="str">
        <f>INDEX(Unitinfo!C:C,MATCH(UnitGradeInfo!B436,Unitinfo!A:A,0))</f>
        <v>(근거리)Slime_Yellow</v>
      </c>
      <c r="D436" s="5">
        <f>COUNTIF($B$4:B436,B436)</f>
        <v>8</v>
      </c>
      <c r="E436" s="5">
        <f>ROUNDDOWN(INDEX(ref_Unit_Balance!$G$31:$G$106,MATCH(UnitGradeInfo!B436,ref_Unit_Balance!$B$31:$B$1048576,0))
+INDEX(ref_Unit_Balance!$G$20:$G$23,MATCH(IFERROR(INDEX(ref_Unit_Balance!$D$31:$D$1048576,MATCH(B436,ref_Unit_Balance!$B$31:$B$1048576,0)),0),ref_Unit_Balance!$B$20:$B$23,0))*D436*ref_Unit_Balance!$C$25,0)</f>
        <v>550</v>
      </c>
      <c r="F436" s="5">
        <f>INDEX(ref_Unit_Balance!$V$31:$V$106,MATCH(UnitGradeInfo!B436,ref_Unit_Balance!$B$31:$B$1048576,0))
+
INDEX(ref_Unit_Balance!$AB$31:$AB$106,MATCH(UnitGradeInfo!B436,ref_Unit_Balance!$B$31:$B$1048576,0))*(D436-1)</f>
        <v>2300</v>
      </c>
      <c r="G436" s="5">
        <f>INDEX(ref_Unit_Balance!$R$31:$R$106,MATCH(UnitGradeInfo!B436,ref_Unit_Balance!$B$31:$B$1048576,0))
+
INDEX(ref_Unit_Balance!$AA$31:$AA$106,MATCH(UnitGradeInfo!B436,ref_Unit_Balance!$B$31:$B$1048576,0))*(D436-1)</f>
        <v>240</v>
      </c>
      <c r="H436" s="39">
        <f>IF(INDEX(Unitinfo!D:D,MATCH(UnitGradeInfo!B436,Unitinfo!A:A,0))=1,50,5)</f>
        <v>5</v>
      </c>
      <c r="I436" s="5">
        <f>IF(INDEX(ref_Unit_Balance!$T$31:$T$106,MATCH(UnitGradeInfo!B436,ref_Unit_Balance!$B$31:$B$1048576,0))=0,1,INDEX(ref_Unit_Balance!$T$31:$T$106,MATCH(UnitGradeInfo!B436,ref_Unit_Balance!$B$31:$B$1048576,0)))</f>
        <v>5</v>
      </c>
      <c r="J436" s="5">
        <f>INDEX(ref_Unit_Balance!$S$31:$S$106,MATCH(UnitGradeInfo!B436,ref_Unit_Balance!$B$31:$B$1048576,0))</f>
        <v>900</v>
      </c>
      <c r="K436" s="5">
        <v>0</v>
      </c>
      <c r="L436" s="5">
        <f>INDEX(ref_Unit_Balance!$I$31:$I$106,MATCH(UnitGradeInfo!B436,ref_Unit_Balance!$B$31:$B$1048576,0))</f>
        <v>5</v>
      </c>
      <c r="M436" s="5">
        <f t="shared" si="46"/>
        <v>16</v>
      </c>
      <c r="N436" s="5">
        <f t="shared" si="47"/>
        <v>160</v>
      </c>
      <c r="O436" s="5">
        <f>(INDEX(Unitinfo!I:I,MATCH(B436,Unitinfo!A:A,0))+1)*2</f>
        <v>2</v>
      </c>
      <c r="P436" s="5">
        <v>0</v>
      </c>
      <c r="Q436" s="5">
        <v>0</v>
      </c>
      <c r="R436" s="19" t="s">
        <v>121</v>
      </c>
      <c r="S436" s="19" t="s">
        <v>121</v>
      </c>
      <c r="T436" s="5">
        <f t="shared" si="49"/>
        <v>2020</v>
      </c>
      <c r="U436" s="5">
        <f t="shared" si="50"/>
        <v>1</v>
      </c>
      <c r="V436" s="5">
        <v>0</v>
      </c>
      <c r="W436" s="5">
        <v>10</v>
      </c>
    </row>
    <row r="437" spans="1:23">
      <c r="A437" s="5">
        <f t="shared" si="48"/>
        <v>434</v>
      </c>
      <c r="B437" s="93">
        <f t="shared" si="51"/>
        <v>2020</v>
      </c>
      <c r="C437" s="20" t="str">
        <f>INDEX(Unitinfo!C:C,MATCH(UnitGradeInfo!B437,Unitinfo!A:A,0))</f>
        <v>(근거리)Slime_Yellow</v>
      </c>
      <c r="D437" s="5">
        <f>COUNTIF($B$4:B437,B437)</f>
        <v>9</v>
      </c>
      <c r="E437" s="5">
        <f>ROUNDDOWN(INDEX(ref_Unit_Balance!$G$31:$G$106,MATCH(UnitGradeInfo!B437,ref_Unit_Balance!$B$31:$B$1048576,0))
+INDEX(ref_Unit_Balance!$G$20:$G$23,MATCH(IFERROR(INDEX(ref_Unit_Balance!$D$31:$D$1048576,MATCH(B437,ref_Unit_Balance!$B$31:$B$1048576,0)),0),ref_Unit_Balance!$B$20:$B$23,0))*D437*ref_Unit_Balance!$C$25,0)</f>
        <v>600</v>
      </c>
      <c r="F437" s="5">
        <f>INDEX(ref_Unit_Balance!$V$31:$V$106,MATCH(UnitGradeInfo!B437,ref_Unit_Balance!$B$31:$B$1048576,0))
+
INDEX(ref_Unit_Balance!$AB$31:$AB$106,MATCH(UnitGradeInfo!B437,ref_Unit_Balance!$B$31:$B$1048576,0))*(D437-1)</f>
        <v>2500</v>
      </c>
      <c r="G437" s="5">
        <f>INDEX(ref_Unit_Balance!$R$31:$R$106,MATCH(UnitGradeInfo!B437,ref_Unit_Balance!$B$31:$B$1048576,0))
+
INDEX(ref_Unit_Balance!$AA$31:$AA$106,MATCH(UnitGradeInfo!B437,ref_Unit_Balance!$B$31:$B$1048576,0))*(D437-1)</f>
        <v>246</v>
      </c>
      <c r="H437" s="39">
        <f>IF(INDEX(Unitinfo!D:D,MATCH(UnitGradeInfo!B437,Unitinfo!A:A,0))=1,50,5)</f>
        <v>5</v>
      </c>
      <c r="I437" s="5">
        <f>IF(INDEX(ref_Unit_Balance!$T$31:$T$106,MATCH(UnitGradeInfo!B437,ref_Unit_Balance!$B$31:$B$1048576,0))=0,1,INDEX(ref_Unit_Balance!$T$31:$T$106,MATCH(UnitGradeInfo!B437,ref_Unit_Balance!$B$31:$B$1048576,0)))</f>
        <v>5</v>
      </c>
      <c r="J437" s="5">
        <f>INDEX(ref_Unit_Balance!$S$31:$S$106,MATCH(UnitGradeInfo!B437,ref_Unit_Balance!$B$31:$B$1048576,0))</f>
        <v>900</v>
      </c>
      <c r="K437" s="5">
        <v>0</v>
      </c>
      <c r="L437" s="5">
        <f>INDEX(ref_Unit_Balance!$I$31:$I$106,MATCH(UnitGradeInfo!B437,ref_Unit_Balance!$B$31:$B$1048576,0))</f>
        <v>5</v>
      </c>
      <c r="M437" s="5">
        <f t="shared" si="46"/>
        <v>18</v>
      </c>
      <c r="N437" s="5">
        <f t="shared" si="47"/>
        <v>180</v>
      </c>
      <c r="O437" s="5">
        <f>(INDEX(Unitinfo!I:I,MATCH(B437,Unitinfo!A:A,0))+1)*2</f>
        <v>2</v>
      </c>
      <c r="P437" s="5">
        <v>0</v>
      </c>
      <c r="Q437" s="5">
        <v>0</v>
      </c>
      <c r="R437" s="19" t="s">
        <v>121</v>
      </c>
      <c r="S437" s="19" t="s">
        <v>121</v>
      </c>
      <c r="T437" s="5">
        <f t="shared" si="49"/>
        <v>2020</v>
      </c>
      <c r="U437" s="5">
        <f t="shared" si="50"/>
        <v>1</v>
      </c>
      <c r="V437" s="5">
        <v>0</v>
      </c>
      <c r="W437" s="5">
        <v>10</v>
      </c>
    </row>
    <row r="438" spans="1:23">
      <c r="A438" s="5">
        <f t="shared" si="48"/>
        <v>435</v>
      </c>
      <c r="B438" s="93">
        <f t="shared" si="51"/>
        <v>2020</v>
      </c>
      <c r="C438" s="20" t="str">
        <f>INDEX(Unitinfo!C:C,MATCH(UnitGradeInfo!B438,Unitinfo!A:A,0))</f>
        <v>(근거리)Slime_Yellow</v>
      </c>
      <c r="D438" s="5">
        <f>COUNTIF($B$4:B438,B438)</f>
        <v>10</v>
      </c>
      <c r="E438" s="5">
        <f>ROUNDDOWN(INDEX(ref_Unit_Balance!$G$31:$G$106,MATCH(UnitGradeInfo!B438,ref_Unit_Balance!$B$31:$B$1048576,0))
+INDEX(ref_Unit_Balance!$G$20:$G$23,MATCH(IFERROR(INDEX(ref_Unit_Balance!$D$31:$D$1048576,MATCH(B438,ref_Unit_Balance!$B$31:$B$1048576,0)),0),ref_Unit_Balance!$B$20:$B$23,0))*D438*ref_Unit_Balance!$C$25,0)</f>
        <v>650</v>
      </c>
      <c r="F438" s="5">
        <f>INDEX(ref_Unit_Balance!$V$31:$V$106,MATCH(UnitGradeInfo!B438,ref_Unit_Balance!$B$31:$B$1048576,0))
+
INDEX(ref_Unit_Balance!$AB$31:$AB$106,MATCH(UnitGradeInfo!B438,ref_Unit_Balance!$B$31:$B$1048576,0))*(D438-1)</f>
        <v>2700</v>
      </c>
      <c r="G438" s="5">
        <f>INDEX(ref_Unit_Balance!$R$31:$R$106,MATCH(UnitGradeInfo!B438,ref_Unit_Balance!$B$31:$B$1048576,0))
+
INDEX(ref_Unit_Balance!$AA$31:$AA$106,MATCH(UnitGradeInfo!B438,ref_Unit_Balance!$B$31:$B$1048576,0))*(D438-1)</f>
        <v>252</v>
      </c>
      <c r="H438" s="39">
        <f>IF(INDEX(Unitinfo!D:D,MATCH(UnitGradeInfo!B438,Unitinfo!A:A,0))=1,50,5)</f>
        <v>5</v>
      </c>
      <c r="I438" s="5">
        <f>IF(INDEX(ref_Unit_Balance!$T$31:$T$106,MATCH(UnitGradeInfo!B438,ref_Unit_Balance!$B$31:$B$1048576,0))=0,1,INDEX(ref_Unit_Balance!$T$31:$T$106,MATCH(UnitGradeInfo!B438,ref_Unit_Balance!$B$31:$B$1048576,0)))</f>
        <v>5</v>
      </c>
      <c r="J438" s="5">
        <f>INDEX(ref_Unit_Balance!$S$31:$S$106,MATCH(UnitGradeInfo!B438,ref_Unit_Balance!$B$31:$B$1048576,0))</f>
        <v>900</v>
      </c>
      <c r="K438" s="5">
        <v>0</v>
      </c>
      <c r="L438" s="5">
        <f>INDEX(ref_Unit_Balance!$I$31:$I$106,MATCH(UnitGradeInfo!B438,ref_Unit_Balance!$B$31:$B$1048576,0))</f>
        <v>5</v>
      </c>
      <c r="M438" s="5">
        <f t="shared" si="46"/>
        <v>20</v>
      </c>
      <c r="N438" s="5">
        <f t="shared" si="47"/>
        <v>200</v>
      </c>
      <c r="O438" s="5">
        <f>(INDEX(Unitinfo!I:I,MATCH(B438,Unitinfo!A:A,0))+1)*2</f>
        <v>2</v>
      </c>
      <c r="P438" s="5">
        <v>0</v>
      </c>
      <c r="Q438" s="5">
        <v>0</v>
      </c>
      <c r="R438" s="19" t="s">
        <v>121</v>
      </c>
      <c r="S438" s="19" t="s">
        <v>121</v>
      </c>
      <c r="T438" s="5">
        <f t="shared" si="49"/>
        <v>2020</v>
      </c>
      <c r="U438" s="5">
        <f t="shared" si="50"/>
        <v>1</v>
      </c>
      <c r="V438" s="5">
        <v>0</v>
      </c>
      <c r="W438" s="5">
        <v>10</v>
      </c>
    </row>
    <row r="439" spans="1:23">
      <c r="A439" s="5">
        <f t="shared" si="48"/>
        <v>436</v>
      </c>
      <c r="B439" s="93">
        <f t="shared" si="51"/>
        <v>2020</v>
      </c>
      <c r="C439" s="20" t="str">
        <f>INDEX(Unitinfo!C:C,MATCH(UnitGradeInfo!B439,Unitinfo!A:A,0))</f>
        <v>(근거리)Slime_Yellow</v>
      </c>
      <c r="D439" s="5">
        <f>COUNTIF($B$4:B439,B439)</f>
        <v>11</v>
      </c>
      <c r="E439" s="5">
        <f>ROUNDDOWN(INDEX(ref_Unit_Balance!$G$31:$G$106,MATCH(UnitGradeInfo!B439,ref_Unit_Balance!$B$31:$B$1048576,0))
+INDEX(ref_Unit_Balance!$G$20:$G$23,MATCH(IFERROR(INDEX(ref_Unit_Balance!$D$31:$D$1048576,MATCH(B439,ref_Unit_Balance!$B$31:$B$1048576,0)),0),ref_Unit_Balance!$B$20:$B$23,0))*D439*ref_Unit_Balance!$C$25,0)</f>
        <v>700</v>
      </c>
      <c r="F439" s="5">
        <f>INDEX(ref_Unit_Balance!$V$31:$V$106,MATCH(UnitGradeInfo!B439,ref_Unit_Balance!$B$31:$B$1048576,0))
+
INDEX(ref_Unit_Balance!$AB$31:$AB$106,MATCH(UnitGradeInfo!B439,ref_Unit_Balance!$B$31:$B$1048576,0))*(D439-1)</f>
        <v>2900</v>
      </c>
      <c r="G439" s="5">
        <f>INDEX(ref_Unit_Balance!$R$31:$R$106,MATCH(UnitGradeInfo!B439,ref_Unit_Balance!$B$31:$B$1048576,0))
+
INDEX(ref_Unit_Balance!$AA$31:$AA$106,MATCH(UnitGradeInfo!B439,ref_Unit_Balance!$B$31:$B$1048576,0))*(D439-1)</f>
        <v>258</v>
      </c>
      <c r="H439" s="39">
        <f>IF(INDEX(Unitinfo!D:D,MATCH(UnitGradeInfo!B439,Unitinfo!A:A,0))=1,50,5)</f>
        <v>5</v>
      </c>
      <c r="I439" s="5">
        <f>IF(INDEX(ref_Unit_Balance!$T$31:$T$106,MATCH(UnitGradeInfo!B439,ref_Unit_Balance!$B$31:$B$1048576,0))=0,1,INDEX(ref_Unit_Balance!$T$31:$T$106,MATCH(UnitGradeInfo!B439,ref_Unit_Balance!$B$31:$B$1048576,0)))</f>
        <v>5</v>
      </c>
      <c r="J439" s="5">
        <f>INDEX(ref_Unit_Balance!$S$31:$S$106,MATCH(UnitGradeInfo!B439,ref_Unit_Balance!$B$31:$B$1048576,0))</f>
        <v>900</v>
      </c>
      <c r="K439" s="5">
        <v>0</v>
      </c>
      <c r="L439" s="5">
        <f>INDEX(ref_Unit_Balance!$I$31:$I$106,MATCH(UnitGradeInfo!B439,ref_Unit_Balance!$B$31:$B$1048576,0))</f>
        <v>5</v>
      </c>
      <c r="M439" s="5">
        <f t="shared" si="46"/>
        <v>22</v>
      </c>
      <c r="N439" s="5">
        <f t="shared" si="47"/>
        <v>220</v>
      </c>
      <c r="O439" s="5">
        <f>(INDEX(Unitinfo!I:I,MATCH(B439,Unitinfo!A:A,0))+1)*2</f>
        <v>2</v>
      </c>
      <c r="P439" s="5">
        <v>0</v>
      </c>
      <c r="Q439" s="5">
        <v>0</v>
      </c>
      <c r="R439" s="19" t="s">
        <v>121</v>
      </c>
      <c r="S439" s="19" t="s">
        <v>121</v>
      </c>
      <c r="T439" s="5">
        <f t="shared" si="49"/>
        <v>2020</v>
      </c>
      <c r="U439" s="5">
        <f t="shared" si="50"/>
        <v>1</v>
      </c>
      <c r="V439" s="5">
        <v>0</v>
      </c>
      <c r="W439" s="5">
        <v>10</v>
      </c>
    </row>
    <row r="440" spans="1:23">
      <c r="A440" s="5">
        <f t="shared" si="48"/>
        <v>437</v>
      </c>
      <c r="B440" s="93">
        <f t="shared" si="51"/>
        <v>2020</v>
      </c>
      <c r="C440" s="20" t="str">
        <f>INDEX(Unitinfo!C:C,MATCH(UnitGradeInfo!B440,Unitinfo!A:A,0))</f>
        <v>(근거리)Slime_Yellow</v>
      </c>
      <c r="D440" s="5">
        <f>COUNTIF($B$4:B440,B440)</f>
        <v>12</v>
      </c>
      <c r="E440" s="5">
        <f>ROUNDDOWN(INDEX(ref_Unit_Balance!$G$31:$G$106,MATCH(UnitGradeInfo!B440,ref_Unit_Balance!$B$31:$B$1048576,0))
+INDEX(ref_Unit_Balance!$G$20:$G$23,MATCH(IFERROR(INDEX(ref_Unit_Balance!$D$31:$D$1048576,MATCH(B440,ref_Unit_Balance!$B$31:$B$1048576,0)),0),ref_Unit_Balance!$B$20:$B$23,0))*D440*ref_Unit_Balance!$C$25,0)</f>
        <v>750</v>
      </c>
      <c r="F440" s="5">
        <f>INDEX(ref_Unit_Balance!$V$31:$V$106,MATCH(UnitGradeInfo!B440,ref_Unit_Balance!$B$31:$B$1048576,0))
+
INDEX(ref_Unit_Balance!$AB$31:$AB$106,MATCH(UnitGradeInfo!B440,ref_Unit_Balance!$B$31:$B$1048576,0))*(D440-1)</f>
        <v>3100</v>
      </c>
      <c r="G440" s="5">
        <f>INDEX(ref_Unit_Balance!$R$31:$R$106,MATCH(UnitGradeInfo!B440,ref_Unit_Balance!$B$31:$B$1048576,0))
+
INDEX(ref_Unit_Balance!$AA$31:$AA$106,MATCH(UnitGradeInfo!B440,ref_Unit_Balance!$B$31:$B$1048576,0))*(D440-1)</f>
        <v>264</v>
      </c>
      <c r="H440" s="39">
        <f>IF(INDEX(Unitinfo!D:D,MATCH(UnitGradeInfo!B440,Unitinfo!A:A,0))=1,50,5)</f>
        <v>5</v>
      </c>
      <c r="I440" s="5">
        <f>IF(INDEX(ref_Unit_Balance!$T$31:$T$106,MATCH(UnitGradeInfo!B440,ref_Unit_Balance!$B$31:$B$1048576,0))=0,1,INDEX(ref_Unit_Balance!$T$31:$T$106,MATCH(UnitGradeInfo!B440,ref_Unit_Balance!$B$31:$B$1048576,0)))</f>
        <v>5</v>
      </c>
      <c r="J440" s="5">
        <f>INDEX(ref_Unit_Balance!$S$31:$S$106,MATCH(UnitGradeInfo!B440,ref_Unit_Balance!$B$31:$B$1048576,0))</f>
        <v>900</v>
      </c>
      <c r="K440" s="5">
        <v>0</v>
      </c>
      <c r="L440" s="5">
        <f>INDEX(ref_Unit_Balance!$I$31:$I$106,MATCH(UnitGradeInfo!B440,ref_Unit_Balance!$B$31:$B$1048576,0))</f>
        <v>5</v>
      </c>
      <c r="M440" s="5">
        <f t="shared" si="46"/>
        <v>24</v>
      </c>
      <c r="N440" s="5">
        <f t="shared" si="47"/>
        <v>240</v>
      </c>
      <c r="O440" s="5">
        <f>(INDEX(Unitinfo!I:I,MATCH(B440,Unitinfo!A:A,0))+1)*2</f>
        <v>2</v>
      </c>
      <c r="P440" s="5">
        <v>0</v>
      </c>
      <c r="Q440" s="5">
        <v>0</v>
      </c>
      <c r="R440" s="19" t="s">
        <v>121</v>
      </c>
      <c r="S440" s="19" t="s">
        <v>121</v>
      </c>
      <c r="T440" s="5">
        <f t="shared" si="49"/>
        <v>2020</v>
      </c>
      <c r="U440" s="5">
        <f t="shared" si="50"/>
        <v>1</v>
      </c>
      <c r="V440" s="5">
        <v>0</v>
      </c>
      <c r="W440" s="5">
        <v>10</v>
      </c>
    </row>
    <row r="441" spans="1:23">
      <c r="A441" s="5">
        <f t="shared" si="48"/>
        <v>438</v>
      </c>
      <c r="B441" s="93">
        <f t="shared" si="51"/>
        <v>2020</v>
      </c>
      <c r="C441" s="20" t="str">
        <f>INDEX(Unitinfo!C:C,MATCH(UnitGradeInfo!B441,Unitinfo!A:A,0))</f>
        <v>(근거리)Slime_Yellow</v>
      </c>
      <c r="D441" s="5">
        <f>COUNTIF($B$4:B441,B441)</f>
        <v>13</v>
      </c>
      <c r="E441" s="5">
        <f>ROUNDDOWN(INDEX(ref_Unit_Balance!$G$31:$G$106,MATCH(UnitGradeInfo!B441,ref_Unit_Balance!$B$31:$B$1048576,0))
+INDEX(ref_Unit_Balance!$G$20:$G$23,MATCH(IFERROR(INDEX(ref_Unit_Balance!$D$31:$D$1048576,MATCH(B441,ref_Unit_Balance!$B$31:$B$1048576,0)),0),ref_Unit_Balance!$B$20:$B$23,0))*D441*ref_Unit_Balance!$C$25,0)</f>
        <v>800</v>
      </c>
      <c r="F441" s="5">
        <f>INDEX(ref_Unit_Balance!$V$31:$V$106,MATCH(UnitGradeInfo!B441,ref_Unit_Balance!$B$31:$B$1048576,0))
+
INDEX(ref_Unit_Balance!$AB$31:$AB$106,MATCH(UnitGradeInfo!B441,ref_Unit_Balance!$B$31:$B$1048576,0))*(D441-1)</f>
        <v>3300</v>
      </c>
      <c r="G441" s="5">
        <f>INDEX(ref_Unit_Balance!$R$31:$R$106,MATCH(UnitGradeInfo!B441,ref_Unit_Balance!$B$31:$B$1048576,0))
+
INDEX(ref_Unit_Balance!$AA$31:$AA$106,MATCH(UnitGradeInfo!B441,ref_Unit_Balance!$B$31:$B$1048576,0))*(D441-1)</f>
        <v>270</v>
      </c>
      <c r="H441" s="39">
        <f>IF(INDEX(Unitinfo!D:D,MATCH(UnitGradeInfo!B441,Unitinfo!A:A,0))=1,50,5)</f>
        <v>5</v>
      </c>
      <c r="I441" s="5">
        <f>IF(INDEX(ref_Unit_Balance!$T$31:$T$106,MATCH(UnitGradeInfo!B441,ref_Unit_Balance!$B$31:$B$1048576,0))=0,1,INDEX(ref_Unit_Balance!$T$31:$T$106,MATCH(UnitGradeInfo!B441,ref_Unit_Balance!$B$31:$B$1048576,0)))</f>
        <v>5</v>
      </c>
      <c r="J441" s="5">
        <f>INDEX(ref_Unit_Balance!$S$31:$S$106,MATCH(UnitGradeInfo!B441,ref_Unit_Balance!$B$31:$B$1048576,0))</f>
        <v>900</v>
      </c>
      <c r="K441" s="5">
        <v>0</v>
      </c>
      <c r="L441" s="5">
        <f>INDEX(ref_Unit_Balance!$I$31:$I$106,MATCH(UnitGradeInfo!B441,ref_Unit_Balance!$B$31:$B$1048576,0))</f>
        <v>5</v>
      </c>
      <c r="M441" s="5">
        <f t="shared" si="46"/>
        <v>26</v>
      </c>
      <c r="N441" s="5">
        <f t="shared" si="47"/>
        <v>260</v>
      </c>
      <c r="O441" s="5">
        <f>(INDEX(Unitinfo!I:I,MATCH(B441,Unitinfo!A:A,0))+1)*2</f>
        <v>2</v>
      </c>
      <c r="P441" s="5">
        <v>0</v>
      </c>
      <c r="Q441" s="5">
        <v>0</v>
      </c>
      <c r="R441" s="19" t="s">
        <v>121</v>
      </c>
      <c r="S441" s="19" t="s">
        <v>121</v>
      </c>
      <c r="T441" s="5">
        <f t="shared" si="49"/>
        <v>2020</v>
      </c>
      <c r="U441" s="5">
        <f t="shared" si="50"/>
        <v>1</v>
      </c>
      <c r="V441" s="5">
        <v>0</v>
      </c>
      <c r="W441" s="5">
        <v>10</v>
      </c>
    </row>
    <row r="442" spans="1:23">
      <c r="A442" s="5">
        <f t="shared" si="48"/>
        <v>439</v>
      </c>
      <c r="B442" s="93">
        <f t="shared" si="51"/>
        <v>2020</v>
      </c>
      <c r="C442" s="20" t="str">
        <f>INDEX(Unitinfo!C:C,MATCH(UnitGradeInfo!B442,Unitinfo!A:A,0))</f>
        <v>(근거리)Slime_Yellow</v>
      </c>
      <c r="D442" s="5">
        <f>COUNTIF($B$4:B442,B442)</f>
        <v>14</v>
      </c>
      <c r="E442" s="5">
        <f>ROUNDDOWN(INDEX(ref_Unit_Balance!$G$31:$G$106,MATCH(UnitGradeInfo!B442,ref_Unit_Balance!$B$31:$B$1048576,0))
+INDEX(ref_Unit_Balance!$G$20:$G$23,MATCH(IFERROR(INDEX(ref_Unit_Balance!$D$31:$D$1048576,MATCH(B442,ref_Unit_Balance!$B$31:$B$1048576,0)),0),ref_Unit_Balance!$B$20:$B$23,0))*D442*ref_Unit_Balance!$C$25,0)</f>
        <v>850</v>
      </c>
      <c r="F442" s="5">
        <f>INDEX(ref_Unit_Balance!$V$31:$V$106,MATCH(UnitGradeInfo!B442,ref_Unit_Balance!$B$31:$B$1048576,0))
+
INDEX(ref_Unit_Balance!$AB$31:$AB$106,MATCH(UnitGradeInfo!B442,ref_Unit_Balance!$B$31:$B$1048576,0))*(D442-1)</f>
        <v>3500</v>
      </c>
      <c r="G442" s="5">
        <f>INDEX(ref_Unit_Balance!$R$31:$R$106,MATCH(UnitGradeInfo!B442,ref_Unit_Balance!$B$31:$B$1048576,0))
+
INDEX(ref_Unit_Balance!$AA$31:$AA$106,MATCH(UnitGradeInfo!B442,ref_Unit_Balance!$B$31:$B$1048576,0))*(D442-1)</f>
        <v>276</v>
      </c>
      <c r="H442" s="39">
        <f>IF(INDEX(Unitinfo!D:D,MATCH(UnitGradeInfo!B442,Unitinfo!A:A,0))=1,50,5)</f>
        <v>5</v>
      </c>
      <c r="I442" s="5">
        <f>IF(INDEX(ref_Unit_Balance!$T$31:$T$106,MATCH(UnitGradeInfo!B442,ref_Unit_Balance!$B$31:$B$1048576,0))=0,1,INDEX(ref_Unit_Balance!$T$31:$T$106,MATCH(UnitGradeInfo!B442,ref_Unit_Balance!$B$31:$B$1048576,0)))</f>
        <v>5</v>
      </c>
      <c r="J442" s="5">
        <f>INDEX(ref_Unit_Balance!$S$31:$S$106,MATCH(UnitGradeInfo!B442,ref_Unit_Balance!$B$31:$B$1048576,0))</f>
        <v>900</v>
      </c>
      <c r="K442" s="5">
        <v>0</v>
      </c>
      <c r="L442" s="5">
        <f>INDEX(ref_Unit_Balance!$I$31:$I$106,MATCH(UnitGradeInfo!B442,ref_Unit_Balance!$B$31:$B$1048576,0))</f>
        <v>5</v>
      </c>
      <c r="M442" s="5">
        <f t="shared" si="46"/>
        <v>28</v>
      </c>
      <c r="N442" s="5">
        <f t="shared" si="47"/>
        <v>280</v>
      </c>
      <c r="O442" s="5">
        <f>(INDEX(Unitinfo!I:I,MATCH(B442,Unitinfo!A:A,0))+1)*2</f>
        <v>2</v>
      </c>
      <c r="P442" s="5">
        <v>0</v>
      </c>
      <c r="Q442" s="5">
        <v>0</v>
      </c>
      <c r="R442" s="19" t="s">
        <v>121</v>
      </c>
      <c r="S442" s="19" t="s">
        <v>121</v>
      </c>
      <c r="T442" s="5">
        <f t="shared" si="49"/>
        <v>2020</v>
      </c>
      <c r="U442" s="5">
        <f t="shared" si="50"/>
        <v>1</v>
      </c>
      <c r="V442" s="5">
        <v>0</v>
      </c>
      <c r="W442" s="5">
        <v>10</v>
      </c>
    </row>
    <row r="443" spans="1:23">
      <c r="A443" s="5">
        <f t="shared" si="48"/>
        <v>440</v>
      </c>
      <c r="B443" s="93">
        <f t="shared" si="51"/>
        <v>2020</v>
      </c>
      <c r="C443" s="20" t="str">
        <f>INDEX(Unitinfo!C:C,MATCH(UnitGradeInfo!B443,Unitinfo!A:A,0))</f>
        <v>(근거리)Slime_Yellow</v>
      </c>
      <c r="D443" s="5">
        <f>COUNTIF($B$4:B443,B443)</f>
        <v>15</v>
      </c>
      <c r="E443" s="5">
        <f>ROUNDDOWN(INDEX(ref_Unit_Balance!$G$31:$G$106,MATCH(UnitGradeInfo!B443,ref_Unit_Balance!$B$31:$B$1048576,0))
+INDEX(ref_Unit_Balance!$G$20:$G$23,MATCH(IFERROR(INDEX(ref_Unit_Balance!$D$31:$D$1048576,MATCH(B443,ref_Unit_Balance!$B$31:$B$1048576,0)),0),ref_Unit_Balance!$B$20:$B$23,0))*D443*ref_Unit_Balance!$C$25,0)</f>
        <v>900</v>
      </c>
      <c r="F443" s="5">
        <f>INDEX(ref_Unit_Balance!$V$31:$V$106,MATCH(UnitGradeInfo!B443,ref_Unit_Balance!$B$31:$B$1048576,0))
+
INDEX(ref_Unit_Balance!$AB$31:$AB$106,MATCH(UnitGradeInfo!B443,ref_Unit_Balance!$B$31:$B$1048576,0))*(D443-1)</f>
        <v>3700</v>
      </c>
      <c r="G443" s="5">
        <f>INDEX(ref_Unit_Balance!$R$31:$R$106,MATCH(UnitGradeInfo!B443,ref_Unit_Balance!$B$31:$B$1048576,0))
+
INDEX(ref_Unit_Balance!$AA$31:$AA$106,MATCH(UnitGradeInfo!B443,ref_Unit_Balance!$B$31:$B$1048576,0))*(D443-1)</f>
        <v>282</v>
      </c>
      <c r="H443" s="39">
        <f>IF(INDEX(Unitinfo!D:D,MATCH(UnitGradeInfo!B443,Unitinfo!A:A,0))=1,50,5)</f>
        <v>5</v>
      </c>
      <c r="I443" s="5">
        <f>IF(INDEX(ref_Unit_Balance!$T$31:$T$106,MATCH(UnitGradeInfo!B443,ref_Unit_Balance!$B$31:$B$1048576,0))=0,1,INDEX(ref_Unit_Balance!$T$31:$T$106,MATCH(UnitGradeInfo!B443,ref_Unit_Balance!$B$31:$B$1048576,0)))</f>
        <v>5</v>
      </c>
      <c r="J443" s="5">
        <f>INDEX(ref_Unit_Balance!$S$31:$S$106,MATCH(UnitGradeInfo!B443,ref_Unit_Balance!$B$31:$B$1048576,0))</f>
        <v>900</v>
      </c>
      <c r="K443" s="5">
        <v>0</v>
      </c>
      <c r="L443" s="5">
        <f>INDEX(ref_Unit_Balance!$I$31:$I$106,MATCH(UnitGradeInfo!B443,ref_Unit_Balance!$B$31:$B$1048576,0))</f>
        <v>5</v>
      </c>
      <c r="M443" s="5">
        <f t="shared" si="46"/>
        <v>30</v>
      </c>
      <c r="N443" s="5">
        <f t="shared" si="47"/>
        <v>300</v>
      </c>
      <c r="O443" s="5">
        <f>(INDEX(Unitinfo!I:I,MATCH(B443,Unitinfo!A:A,0))+1)*2</f>
        <v>2</v>
      </c>
      <c r="P443" s="5">
        <v>0</v>
      </c>
      <c r="Q443" s="5">
        <v>0</v>
      </c>
      <c r="R443" s="19" t="s">
        <v>121</v>
      </c>
      <c r="S443" s="19" t="s">
        <v>121</v>
      </c>
      <c r="T443" s="5">
        <f t="shared" si="49"/>
        <v>2020</v>
      </c>
      <c r="U443" s="5">
        <f t="shared" si="50"/>
        <v>1</v>
      </c>
      <c r="V443" s="5">
        <v>0</v>
      </c>
      <c r="W443" s="5">
        <v>10</v>
      </c>
    </row>
    <row r="444" spans="1:23">
      <c r="A444" s="5">
        <f t="shared" si="48"/>
        <v>441</v>
      </c>
      <c r="B444" s="93">
        <f t="shared" si="51"/>
        <v>2020</v>
      </c>
      <c r="C444" s="20" t="str">
        <f>INDEX(Unitinfo!C:C,MATCH(UnitGradeInfo!B444,Unitinfo!A:A,0))</f>
        <v>(근거리)Slime_Yellow</v>
      </c>
      <c r="D444" s="5">
        <f>COUNTIF($B$4:B444,B444)</f>
        <v>16</v>
      </c>
      <c r="E444" s="5">
        <f>ROUNDDOWN(INDEX(ref_Unit_Balance!$G$31:$G$106,MATCH(UnitGradeInfo!B444,ref_Unit_Balance!$B$31:$B$1048576,0))
+INDEX(ref_Unit_Balance!$G$20:$G$23,MATCH(IFERROR(INDEX(ref_Unit_Balance!$D$31:$D$1048576,MATCH(B444,ref_Unit_Balance!$B$31:$B$1048576,0)),0),ref_Unit_Balance!$B$20:$B$23,0))*D444*ref_Unit_Balance!$C$25,0)</f>
        <v>950</v>
      </c>
      <c r="F444" s="5">
        <f>INDEX(ref_Unit_Balance!$V$31:$V$106,MATCH(UnitGradeInfo!B444,ref_Unit_Balance!$B$31:$B$1048576,0))
+
INDEX(ref_Unit_Balance!$AB$31:$AB$106,MATCH(UnitGradeInfo!B444,ref_Unit_Balance!$B$31:$B$1048576,0))*(D444-1)</f>
        <v>3900</v>
      </c>
      <c r="G444" s="5">
        <f>INDEX(ref_Unit_Balance!$R$31:$R$106,MATCH(UnitGradeInfo!B444,ref_Unit_Balance!$B$31:$B$1048576,0))
+
INDEX(ref_Unit_Balance!$AA$31:$AA$106,MATCH(UnitGradeInfo!B444,ref_Unit_Balance!$B$31:$B$1048576,0))*(D444-1)</f>
        <v>288</v>
      </c>
      <c r="H444" s="39">
        <f>IF(INDEX(Unitinfo!D:D,MATCH(UnitGradeInfo!B444,Unitinfo!A:A,0))=1,50,5)</f>
        <v>5</v>
      </c>
      <c r="I444" s="5">
        <f>IF(INDEX(ref_Unit_Balance!$T$31:$T$106,MATCH(UnitGradeInfo!B444,ref_Unit_Balance!$B$31:$B$1048576,0))=0,1,INDEX(ref_Unit_Balance!$T$31:$T$106,MATCH(UnitGradeInfo!B444,ref_Unit_Balance!$B$31:$B$1048576,0)))</f>
        <v>5</v>
      </c>
      <c r="J444" s="5">
        <f>INDEX(ref_Unit_Balance!$S$31:$S$106,MATCH(UnitGradeInfo!B444,ref_Unit_Balance!$B$31:$B$1048576,0))</f>
        <v>900</v>
      </c>
      <c r="K444" s="5">
        <v>0</v>
      </c>
      <c r="L444" s="5">
        <f>INDEX(ref_Unit_Balance!$I$31:$I$106,MATCH(UnitGradeInfo!B444,ref_Unit_Balance!$B$31:$B$1048576,0))</f>
        <v>5</v>
      </c>
      <c r="M444" s="5">
        <f t="shared" si="46"/>
        <v>32</v>
      </c>
      <c r="N444" s="5">
        <f t="shared" si="47"/>
        <v>320</v>
      </c>
      <c r="O444" s="5">
        <f>(INDEX(Unitinfo!I:I,MATCH(B444,Unitinfo!A:A,0))+1)*2</f>
        <v>2</v>
      </c>
      <c r="P444" s="5">
        <v>0</v>
      </c>
      <c r="Q444" s="5">
        <v>0</v>
      </c>
      <c r="R444" s="19" t="s">
        <v>121</v>
      </c>
      <c r="S444" s="19" t="s">
        <v>121</v>
      </c>
      <c r="T444" s="5">
        <f t="shared" si="49"/>
        <v>2020</v>
      </c>
      <c r="U444" s="5">
        <f t="shared" si="50"/>
        <v>1</v>
      </c>
      <c r="V444" s="5">
        <v>0</v>
      </c>
      <c r="W444" s="5">
        <v>10</v>
      </c>
    </row>
    <row r="445" spans="1:23">
      <c r="A445" s="5">
        <f t="shared" si="48"/>
        <v>442</v>
      </c>
      <c r="B445" s="93">
        <f t="shared" si="51"/>
        <v>2020</v>
      </c>
      <c r="C445" s="20" t="str">
        <f>INDEX(Unitinfo!C:C,MATCH(UnitGradeInfo!B445,Unitinfo!A:A,0))</f>
        <v>(근거리)Slime_Yellow</v>
      </c>
      <c r="D445" s="5">
        <f>COUNTIF($B$4:B445,B445)</f>
        <v>17</v>
      </c>
      <c r="E445" s="5">
        <f>ROUNDDOWN(INDEX(ref_Unit_Balance!$G$31:$G$106,MATCH(UnitGradeInfo!B445,ref_Unit_Balance!$B$31:$B$1048576,0))
+INDEX(ref_Unit_Balance!$G$20:$G$23,MATCH(IFERROR(INDEX(ref_Unit_Balance!$D$31:$D$1048576,MATCH(B445,ref_Unit_Balance!$B$31:$B$1048576,0)),0),ref_Unit_Balance!$B$20:$B$23,0))*D445*ref_Unit_Balance!$C$25,0)</f>
        <v>1000</v>
      </c>
      <c r="F445" s="5">
        <f>INDEX(ref_Unit_Balance!$V$31:$V$106,MATCH(UnitGradeInfo!B445,ref_Unit_Balance!$B$31:$B$1048576,0))
+
INDEX(ref_Unit_Balance!$AB$31:$AB$106,MATCH(UnitGradeInfo!B445,ref_Unit_Balance!$B$31:$B$1048576,0))*(D445-1)</f>
        <v>4100</v>
      </c>
      <c r="G445" s="5">
        <f>INDEX(ref_Unit_Balance!$R$31:$R$106,MATCH(UnitGradeInfo!B445,ref_Unit_Balance!$B$31:$B$1048576,0))
+
INDEX(ref_Unit_Balance!$AA$31:$AA$106,MATCH(UnitGradeInfo!B445,ref_Unit_Balance!$B$31:$B$1048576,0))*(D445-1)</f>
        <v>294</v>
      </c>
      <c r="H445" s="39">
        <f>IF(INDEX(Unitinfo!D:D,MATCH(UnitGradeInfo!B445,Unitinfo!A:A,0))=1,50,5)</f>
        <v>5</v>
      </c>
      <c r="I445" s="5">
        <f>IF(INDEX(ref_Unit_Balance!$T$31:$T$106,MATCH(UnitGradeInfo!B445,ref_Unit_Balance!$B$31:$B$1048576,0))=0,1,INDEX(ref_Unit_Balance!$T$31:$T$106,MATCH(UnitGradeInfo!B445,ref_Unit_Balance!$B$31:$B$1048576,0)))</f>
        <v>5</v>
      </c>
      <c r="J445" s="5">
        <f>INDEX(ref_Unit_Balance!$S$31:$S$106,MATCH(UnitGradeInfo!B445,ref_Unit_Balance!$B$31:$B$1048576,0))</f>
        <v>900</v>
      </c>
      <c r="K445" s="5">
        <v>0</v>
      </c>
      <c r="L445" s="5">
        <f>INDEX(ref_Unit_Balance!$I$31:$I$106,MATCH(UnitGradeInfo!B445,ref_Unit_Balance!$B$31:$B$1048576,0))</f>
        <v>5</v>
      </c>
      <c r="M445" s="5">
        <f t="shared" si="46"/>
        <v>34</v>
      </c>
      <c r="N445" s="5">
        <f t="shared" si="47"/>
        <v>340</v>
      </c>
      <c r="O445" s="5">
        <f>(INDEX(Unitinfo!I:I,MATCH(B445,Unitinfo!A:A,0))+1)*2</f>
        <v>2</v>
      </c>
      <c r="P445" s="5">
        <v>0</v>
      </c>
      <c r="Q445" s="5">
        <v>0</v>
      </c>
      <c r="R445" s="19" t="s">
        <v>121</v>
      </c>
      <c r="S445" s="19" t="s">
        <v>121</v>
      </c>
      <c r="T445" s="5">
        <f t="shared" si="49"/>
        <v>2020</v>
      </c>
      <c r="U445" s="5">
        <f t="shared" si="50"/>
        <v>1</v>
      </c>
      <c r="V445" s="5">
        <v>0</v>
      </c>
      <c r="W445" s="5">
        <v>10</v>
      </c>
    </row>
    <row r="446" spans="1:23">
      <c r="A446" s="5">
        <f t="shared" si="48"/>
        <v>443</v>
      </c>
      <c r="B446" s="93">
        <f t="shared" si="51"/>
        <v>2020</v>
      </c>
      <c r="C446" s="20" t="str">
        <f>INDEX(Unitinfo!C:C,MATCH(UnitGradeInfo!B446,Unitinfo!A:A,0))</f>
        <v>(근거리)Slime_Yellow</v>
      </c>
      <c r="D446" s="5">
        <f>COUNTIF($B$4:B446,B446)</f>
        <v>18</v>
      </c>
      <c r="E446" s="5">
        <f>ROUNDDOWN(INDEX(ref_Unit_Balance!$G$31:$G$106,MATCH(UnitGradeInfo!B446,ref_Unit_Balance!$B$31:$B$1048576,0))
+INDEX(ref_Unit_Balance!$G$20:$G$23,MATCH(IFERROR(INDEX(ref_Unit_Balance!$D$31:$D$1048576,MATCH(B446,ref_Unit_Balance!$B$31:$B$1048576,0)),0),ref_Unit_Balance!$B$20:$B$23,0))*D446*ref_Unit_Balance!$C$25,0)</f>
        <v>1050</v>
      </c>
      <c r="F446" s="5">
        <f>INDEX(ref_Unit_Balance!$V$31:$V$106,MATCH(UnitGradeInfo!B446,ref_Unit_Balance!$B$31:$B$1048576,0))
+
INDEX(ref_Unit_Balance!$AB$31:$AB$106,MATCH(UnitGradeInfo!B446,ref_Unit_Balance!$B$31:$B$1048576,0))*(D446-1)</f>
        <v>4300</v>
      </c>
      <c r="G446" s="5">
        <f>INDEX(ref_Unit_Balance!$R$31:$R$106,MATCH(UnitGradeInfo!B446,ref_Unit_Balance!$B$31:$B$1048576,0))
+
INDEX(ref_Unit_Balance!$AA$31:$AA$106,MATCH(UnitGradeInfo!B446,ref_Unit_Balance!$B$31:$B$1048576,0))*(D446-1)</f>
        <v>300</v>
      </c>
      <c r="H446" s="39">
        <f>IF(INDEX(Unitinfo!D:D,MATCH(UnitGradeInfo!B446,Unitinfo!A:A,0))=1,50,5)</f>
        <v>5</v>
      </c>
      <c r="I446" s="5">
        <f>IF(INDEX(ref_Unit_Balance!$T$31:$T$106,MATCH(UnitGradeInfo!B446,ref_Unit_Balance!$B$31:$B$1048576,0))=0,1,INDEX(ref_Unit_Balance!$T$31:$T$106,MATCH(UnitGradeInfo!B446,ref_Unit_Balance!$B$31:$B$1048576,0)))</f>
        <v>5</v>
      </c>
      <c r="J446" s="5">
        <f>INDEX(ref_Unit_Balance!$S$31:$S$106,MATCH(UnitGradeInfo!B446,ref_Unit_Balance!$B$31:$B$1048576,0))</f>
        <v>900</v>
      </c>
      <c r="K446" s="5">
        <v>0</v>
      </c>
      <c r="L446" s="5">
        <f>INDEX(ref_Unit_Balance!$I$31:$I$106,MATCH(UnitGradeInfo!B446,ref_Unit_Balance!$B$31:$B$1048576,0))</f>
        <v>5</v>
      </c>
      <c r="M446" s="5">
        <f t="shared" si="46"/>
        <v>36</v>
      </c>
      <c r="N446" s="5">
        <f t="shared" si="47"/>
        <v>360</v>
      </c>
      <c r="O446" s="5">
        <f>(INDEX(Unitinfo!I:I,MATCH(B446,Unitinfo!A:A,0))+1)*2</f>
        <v>2</v>
      </c>
      <c r="P446" s="5">
        <v>0</v>
      </c>
      <c r="Q446" s="5">
        <v>0</v>
      </c>
      <c r="R446" s="19" t="s">
        <v>121</v>
      </c>
      <c r="S446" s="19" t="s">
        <v>121</v>
      </c>
      <c r="T446" s="5">
        <f t="shared" si="49"/>
        <v>2020</v>
      </c>
      <c r="U446" s="5">
        <f t="shared" si="50"/>
        <v>1</v>
      </c>
      <c r="V446" s="5">
        <v>0</v>
      </c>
      <c r="W446" s="5">
        <v>10</v>
      </c>
    </row>
    <row r="447" spans="1:23">
      <c r="A447" s="5">
        <f t="shared" si="48"/>
        <v>444</v>
      </c>
      <c r="B447" s="93">
        <f t="shared" si="51"/>
        <v>2020</v>
      </c>
      <c r="C447" s="20" t="str">
        <f>INDEX(Unitinfo!C:C,MATCH(UnitGradeInfo!B447,Unitinfo!A:A,0))</f>
        <v>(근거리)Slime_Yellow</v>
      </c>
      <c r="D447" s="5">
        <f>COUNTIF($B$4:B447,B447)</f>
        <v>19</v>
      </c>
      <c r="E447" s="5">
        <f>ROUNDDOWN(INDEX(ref_Unit_Balance!$G$31:$G$106,MATCH(UnitGradeInfo!B447,ref_Unit_Balance!$B$31:$B$1048576,0))
+INDEX(ref_Unit_Balance!$G$20:$G$23,MATCH(IFERROR(INDEX(ref_Unit_Balance!$D$31:$D$1048576,MATCH(B447,ref_Unit_Balance!$B$31:$B$1048576,0)),0),ref_Unit_Balance!$B$20:$B$23,0))*D447*ref_Unit_Balance!$C$25,0)</f>
        <v>1100</v>
      </c>
      <c r="F447" s="5">
        <f>INDEX(ref_Unit_Balance!$V$31:$V$106,MATCH(UnitGradeInfo!B447,ref_Unit_Balance!$B$31:$B$1048576,0))
+
INDEX(ref_Unit_Balance!$AB$31:$AB$106,MATCH(UnitGradeInfo!B447,ref_Unit_Balance!$B$31:$B$1048576,0))*(D447-1)</f>
        <v>4500</v>
      </c>
      <c r="G447" s="5">
        <f>INDEX(ref_Unit_Balance!$R$31:$R$106,MATCH(UnitGradeInfo!B447,ref_Unit_Balance!$B$31:$B$1048576,0))
+
INDEX(ref_Unit_Balance!$AA$31:$AA$106,MATCH(UnitGradeInfo!B447,ref_Unit_Balance!$B$31:$B$1048576,0))*(D447-1)</f>
        <v>306</v>
      </c>
      <c r="H447" s="39">
        <f>IF(INDEX(Unitinfo!D:D,MATCH(UnitGradeInfo!B447,Unitinfo!A:A,0))=1,50,5)</f>
        <v>5</v>
      </c>
      <c r="I447" s="5">
        <f>IF(INDEX(ref_Unit_Balance!$T$31:$T$106,MATCH(UnitGradeInfo!B447,ref_Unit_Balance!$B$31:$B$1048576,0))=0,1,INDEX(ref_Unit_Balance!$T$31:$T$106,MATCH(UnitGradeInfo!B447,ref_Unit_Balance!$B$31:$B$1048576,0)))</f>
        <v>5</v>
      </c>
      <c r="J447" s="5">
        <f>INDEX(ref_Unit_Balance!$S$31:$S$106,MATCH(UnitGradeInfo!B447,ref_Unit_Balance!$B$31:$B$1048576,0))</f>
        <v>900</v>
      </c>
      <c r="K447" s="5">
        <v>0</v>
      </c>
      <c r="L447" s="5">
        <f>INDEX(ref_Unit_Balance!$I$31:$I$106,MATCH(UnitGradeInfo!B447,ref_Unit_Balance!$B$31:$B$1048576,0))</f>
        <v>5</v>
      </c>
      <c r="M447" s="5">
        <f t="shared" si="46"/>
        <v>38</v>
      </c>
      <c r="N447" s="5">
        <f t="shared" si="47"/>
        <v>380</v>
      </c>
      <c r="O447" s="5">
        <f>(INDEX(Unitinfo!I:I,MATCH(B447,Unitinfo!A:A,0))+1)*2</f>
        <v>2</v>
      </c>
      <c r="P447" s="5">
        <v>0</v>
      </c>
      <c r="Q447" s="5">
        <v>0</v>
      </c>
      <c r="R447" s="19" t="s">
        <v>121</v>
      </c>
      <c r="S447" s="19" t="s">
        <v>121</v>
      </c>
      <c r="T447" s="5">
        <f t="shared" si="49"/>
        <v>2020</v>
      </c>
      <c r="U447" s="5">
        <f t="shared" si="50"/>
        <v>1</v>
      </c>
      <c r="V447" s="5">
        <v>0</v>
      </c>
      <c r="W447" s="5">
        <v>10</v>
      </c>
    </row>
    <row r="448" spans="1:23">
      <c r="A448" s="5">
        <f t="shared" si="48"/>
        <v>445</v>
      </c>
      <c r="B448" s="93">
        <f t="shared" si="51"/>
        <v>2020</v>
      </c>
      <c r="C448" s="20" t="str">
        <f>INDEX(Unitinfo!C:C,MATCH(UnitGradeInfo!B448,Unitinfo!A:A,0))</f>
        <v>(근거리)Slime_Yellow</v>
      </c>
      <c r="D448" s="5">
        <f>COUNTIF($B$4:B448,B448)</f>
        <v>20</v>
      </c>
      <c r="E448" s="5">
        <f>ROUNDDOWN(INDEX(ref_Unit_Balance!$G$31:$G$106,MATCH(UnitGradeInfo!B448,ref_Unit_Balance!$B$31:$B$1048576,0))
+INDEX(ref_Unit_Balance!$G$20:$G$23,MATCH(IFERROR(INDEX(ref_Unit_Balance!$D$31:$D$1048576,MATCH(B448,ref_Unit_Balance!$B$31:$B$1048576,0)),0),ref_Unit_Balance!$B$20:$B$23,0))*D448*ref_Unit_Balance!$C$25,0)</f>
        <v>1150</v>
      </c>
      <c r="F448" s="5">
        <f>INDEX(ref_Unit_Balance!$V$31:$V$106,MATCH(UnitGradeInfo!B448,ref_Unit_Balance!$B$31:$B$1048576,0))
+
INDEX(ref_Unit_Balance!$AB$31:$AB$106,MATCH(UnitGradeInfo!B448,ref_Unit_Balance!$B$31:$B$1048576,0))*(D448-1)</f>
        <v>4700</v>
      </c>
      <c r="G448" s="5">
        <f>INDEX(ref_Unit_Balance!$R$31:$R$106,MATCH(UnitGradeInfo!B448,ref_Unit_Balance!$B$31:$B$1048576,0))
+
INDEX(ref_Unit_Balance!$AA$31:$AA$106,MATCH(UnitGradeInfo!B448,ref_Unit_Balance!$B$31:$B$1048576,0))*(D448-1)</f>
        <v>312</v>
      </c>
      <c r="H448" s="39">
        <f>IF(INDEX(Unitinfo!D:D,MATCH(UnitGradeInfo!B448,Unitinfo!A:A,0))=1,50,5)</f>
        <v>5</v>
      </c>
      <c r="I448" s="5">
        <f>IF(INDEX(ref_Unit_Balance!$T$31:$T$106,MATCH(UnitGradeInfo!B448,ref_Unit_Balance!$B$31:$B$1048576,0))=0,1,INDEX(ref_Unit_Balance!$T$31:$T$106,MATCH(UnitGradeInfo!B448,ref_Unit_Balance!$B$31:$B$1048576,0)))</f>
        <v>5</v>
      </c>
      <c r="J448" s="5">
        <f>INDEX(ref_Unit_Balance!$S$31:$S$106,MATCH(UnitGradeInfo!B448,ref_Unit_Balance!$B$31:$B$1048576,0))</f>
        <v>900</v>
      </c>
      <c r="K448" s="5">
        <v>0</v>
      </c>
      <c r="L448" s="5">
        <f>INDEX(ref_Unit_Balance!$I$31:$I$106,MATCH(UnitGradeInfo!B448,ref_Unit_Balance!$B$31:$B$1048576,0))</f>
        <v>5</v>
      </c>
      <c r="M448" s="5">
        <f t="shared" si="46"/>
        <v>40</v>
      </c>
      <c r="N448" s="5">
        <f t="shared" si="47"/>
        <v>400</v>
      </c>
      <c r="O448" s="5">
        <f>(INDEX(Unitinfo!I:I,MATCH(B448,Unitinfo!A:A,0))+1)*2</f>
        <v>2</v>
      </c>
      <c r="P448" s="5">
        <v>0</v>
      </c>
      <c r="Q448" s="5">
        <v>0</v>
      </c>
      <c r="R448" s="19" t="s">
        <v>121</v>
      </c>
      <c r="S448" s="19" t="s">
        <v>121</v>
      </c>
      <c r="T448" s="5">
        <f t="shared" si="49"/>
        <v>2020</v>
      </c>
      <c r="U448" s="5">
        <f t="shared" si="50"/>
        <v>1</v>
      </c>
      <c r="V448" s="5">
        <v>0</v>
      </c>
      <c r="W448" s="5">
        <v>10</v>
      </c>
    </row>
    <row r="449" spans="1:23">
      <c r="A449" s="5">
        <f t="shared" si="48"/>
        <v>446</v>
      </c>
      <c r="B449" s="93">
        <f t="shared" si="51"/>
        <v>2021</v>
      </c>
      <c r="C449" s="20" t="str">
        <f>INDEX(Unitinfo!C:C,MATCH(UnitGradeInfo!B449,Unitinfo!A:A,0))</f>
        <v>(원거리)Slime_Archer_Red</v>
      </c>
      <c r="D449" s="5">
        <f>COUNTIF($B$4:B449,B449)</f>
        <v>1</v>
      </c>
      <c r="E449" s="5">
        <f>ROUNDDOWN(INDEX(ref_Unit_Balance!$G$31:$G$106,MATCH(UnitGradeInfo!B449,ref_Unit_Balance!$B$31:$B$1048576,0))
+INDEX(ref_Unit_Balance!$G$20:$G$23,MATCH(IFERROR(INDEX(ref_Unit_Balance!$D$31:$D$1048576,MATCH(B449,ref_Unit_Balance!$B$31:$B$1048576,0)),0),ref_Unit_Balance!$B$20:$B$23,0))*D449*ref_Unit_Balance!$C$25,0)</f>
        <v>202</v>
      </c>
      <c r="F449" s="5">
        <f>INDEX(ref_Unit_Balance!$V$31:$V$106,MATCH(UnitGradeInfo!B449,ref_Unit_Balance!$B$31:$B$1048576,0))
+
INDEX(ref_Unit_Balance!$AB$31:$AB$106,MATCH(UnitGradeInfo!B449,ref_Unit_Balance!$B$31:$B$1048576,0))*(D449-1)</f>
        <v>900</v>
      </c>
      <c r="G449" s="5">
        <f>INDEX(ref_Unit_Balance!$R$31:$R$106,MATCH(UnitGradeInfo!B449,ref_Unit_Balance!$B$31:$B$1048576,0))
+
INDEX(ref_Unit_Balance!$AA$31:$AA$106,MATCH(UnitGradeInfo!B449,ref_Unit_Balance!$B$31:$B$1048576,0))*(D449-1)</f>
        <v>90</v>
      </c>
      <c r="H449" s="39">
        <f>IF(INDEX(Unitinfo!D:D,MATCH(UnitGradeInfo!B449,Unitinfo!A:A,0))=1,50,5)</f>
        <v>50</v>
      </c>
      <c r="I449" s="5">
        <f>IF(INDEX(ref_Unit_Balance!$T$31:$T$106,MATCH(UnitGradeInfo!B449,ref_Unit_Balance!$B$31:$B$1048576,0))=0,1,INDEX(ref_Unit_Balance!$T$31:$T$106,MATCH(UnitGradeInfo!B449,ref_Unit_Balance!$B$31:$B$1048576,0)))</f>
        <v>5</v>
      </c>
      <c r="J449" s="5">
        <f>INDEX(ref_Unit_Balance!$S$31:$S$106,MATCH(UnitGradeInfo!B449,ref_Unit_Balance!$B$31:$B$1048576,0))</f>
        <v>600</v>
      </c>
      <c r="K449" s="5">
        <v>0</v>
      </c>
      <c r="L449" s="5">
        <f>INDEX(ref_Unit_Balance!$I$31:$I$106,MATCH(UnitGradeInfo!B449,ref_Unit_Balance!$B$31:$B$1048576,0))</f>
        <v>4</v>
      </c>
      <c r="M449" s="5">
        <f t="shared" si="46"/>
        <v>2</v>
      </c>
      <c r="N449" s="5">
        <f t="shared" si="47"/>
        <v>20</v>
      </c>
      <c r="O449" s="5">
        <f>(INDEX(Unitinfo!I:I,MATCH(B449,Unitinfo!A:A,0))+1)*2</f>
        <v>2</v>
      </c>
      <c r="P449" s="5">
        <v>0</v>
      </c>
      <c r="Q449" s="5">
        <v>0</v>
      </c>
      <c r="R449" s="19" t="s">
        <v>121</v>
      </c>
      <c r="S449" s="19" t="s">
        <v>121</v>
      </c>
      <c r="T449" s="5">
        <f t="shared" si="49"/>
        <v>2021</v>
      </c>
      <c r="U449" s="5">
        <f t="shared" si="50"/>
        <v>1</v>
      </c>
      <c r="V449" s="5">
        <v>0</v>
      </c>
      <c r="W449" s="5">
        <v>10</v>
      </c>
    </row>
    <row r="450" spans="1:23">
      <c r="A450" s="5">
        <f t="shared" si="48"/>
        <v>447</v>
      </c>
      <c r="B450" s="93">
        <f t="shared" si="51"/>
        <v>2021</v>
      </c>
      <c r="C450" s="20" t="str">
        <f>INDEX(Unitinfo!C:C,MATCH(UnitGradeInfo!B450,Unitinfo!A:A,0))</f>
        <v>(원거리)Slime_Archer_Red</v>
      </c>
      <c r="D450" s="5">
        <f>COUNTIF($B$4:B450,B450)</f>
        <v>2</v>
      </c>
      <c r="E450" s="5">
        <f>ROUNDDOWN(INDEX(ref_Unit_Balance!$G$31:$G$106,MATCH(UnitGradeInfo!B450,ref_Unit_Balance!$B$31:$B$1048576,0))
+INDEX(ref_Unit_Balance!$G$20:$G$23,MATCH(IFERROR(INDEX(ref_Unit_Balance!$D$31:$D$1048576,MATCH(B450,ref_Unit_Balance!$B$31:$B$1048576,0)),0),ref_Unit_Balance!$B$20:$B$23,0))*D450*ref_Unit_Balance!$C$25,0)</f>
        <v>252</v>
      </c>
      <c r="F450" s="5">
        <f>INDEX(ref_Unit_Balance!$V$31:$V$106,MATCH(UnitGradeInfo!B450,ref_Unit_Balance!$B$31:$B$1048576,0))
+
INDEX(ref_Unit_Balance!$AB$31:$AB$106,MATCH(UnitGradeInfo!B450,ref_Unit_Balance!$B$31:$B$1048576,0))*(D450-1)</f>
        <v>1050</v>
      </c>
      <c r="G450" s="5">
        <f>INDEX(ref_Unit_Balance!$R$31:$R$106,MATCH(UnitGradeInfo!B450,ref_Unit_Balance!$B$31:$B$1048576,0))
+
INDEX(ref_Unit_Balance!$AA$31:$AA$106,MATCH(UnitGradeInfo!B450,ref_Unit_Balance!$B$31:$B$1048576,0))*(D450-1)</f>
        <v>94</v>
      </c>
      <c r="H450" s="39">
        <f>IF(INDEX(Unitinfo!D:D,MATCH(UnitGradeInfo!B450,Unitinfo!A:A,0))=1,50,5)</f>
        <v>50</v>
      </c>
      <c r="I450" s="5">
        <f>IF(INDEX(ref_Unit_Balance!$T$31:$T$106,MATCH(UnitGradeInfo!B450,ref_Unit_Balance!$B$31:$B$1048576,0))=0,1,INDEX(ref_Unit_Balance!$T$31:$T$106,MATCH(UnitGradeInfo!B450,ref_Unit_Balance!$B$31:$B$1048576,0)))</f>
        <v>5</v>
      </c>
      <c r="J450" s="5">
        <f>INDEX(ref_Unit_Balance!$S$31:$S$106,MATCH(UnitGradeInfo!B450,ref_Unit_Balance!$B$31:$B$1048576,0))</f>
        <v>600</v>
      </c>
      <c r="K450" s="5">
        <v>0</v>
      </c>
      <c r="L450" s="5">
        <f>INDEX(ref_Unit_Balance!$I$31:$I$106,MATCH(UnitGradeInfo!B450,ref_Unit_Balance!$B$31:$B$1048576,0))</f>
        <v>4</v>
      </c>
      <c r="M450" s="5">
        <f t="shared" si="46"/>
        <v>4</v>
      </c>
      <c r="N450" s="5">
        <f t="shared" si="47"/>
        <v>40</v>
      </c>
      <c r="O450" s="5">
        <f>(INDEX(Unitinfo!I:I,MATCH(B450,Unitinfo!A:A,0))+1)*2</f>
        <v>2</v>
      </c>
      <c r="P450" s="5">
        <v>0</v>
      </c>
      <c r="Q450" s="5">
        <v>0</v>
      </c>
      <c r="R450" s="19" t="s">
        <v>121</v>
      </c>
      <c r="S450" s="19" t="s">
        <v>121</v>
      </c>
      <c r="T450" s="5">
        <f t="shared" si="49"/>
        <v>2021</v>
      </c>
      <c r="U450" s="5">
        <f t="shared" si="50"/>
        <v>1</v>
      </c>
      <c r="V450" s="5">
        <v>0</v>
      </c>
      <c r="W450" s="5">
        <v>10</v>
      </c>
    </row>
    <row r="451" spans="1:23">
      <c r="A451" s="5">
        <f t="shared" si="48"/>
        <v>448</v>
      </c>
      <c r="B451" s="93">
        <f t="shared" si="51"/>
        <v>2021</v>
      </c>
      <c r="C451" s="20" t="str">
        <f>INDEX(Unitinfo!C:C,MATCH(UnitGradeInfo!B451,Unitinfo!A:A,0))</f>
        <v>(원거리)Slime_Archer_Red</v>
      </c>
      <c r="D451" s="5">
        <f>COUNTIF($B$4:B451,B451)</f>
        <v>3</v>
      </c>
      <c r="E451" s="5">
        <f>ROUNDDOWN(INDEX(ref_Unit_Balance!$G$31:$G$106,MATCH(UnitGradeInfo!B451,ref_Unit_Balance!$B$31:$B$1048576,0))
+INDEX(ref_Unit_Balance!$G$20:$G$23,MATCH(IFERROR(INDEX(ref_Unit_Balance!$D$31:$D$1048576,MATCH(B451,ref_Unit_Balance!$B$31:$B$1048576,0)),0),ref_Unit_Balance!$B$20:$B$23,0))*D451*ref_Unit_Balance!$C$25,0)</f>
        <v>302</v>
      </c>
      <c r="F451" s="5">
        <f>INDEX(ref_Unit_Balance!$V$31:$V$106,MATCH(UnitGradeInfo!B451,ref_Unit_Balance!$B$31:$B$1048576,0))
+
INDEX(ref_Unit_Balance!$AB$31:$AB$106,MATCH(UnitGradeInfo!B451,ref_Unit_Balance!$B$31:$B$1048576,0))*(D451-1)</f>
        <v>1200</v>
      </c>
      <c r="G451" s="5">
        <f>INDEX(ref_Unit_Balance!$R$31:$R$106,MATCH(UnitGradeInfo!B451,ref_Unit_Balance!$B$31:$B$1048576,0))
+
INDEX(ref_Unit_Balance!$AA$31:$AA$106,MATCH(UnitGradeInfo!B451,ref_Unit_Balance!$B$31:$B$1048576,0))*(D451-1)</f>
        <v>98</v>
      </c>
      <c r="H451" s="39">
        <f>IF(INDEX(Unitinfo!D:D,MATCH(UnitGradeInfo!B451,Unitinfo!A:A,0))=1,50,5)</f>
        <v>50</v>
      </c>
      <c r="I451" s="5">
        <f>IF(INDEX(ref_Unit_Balance!$T$31:$T$106,MATCH(UnitGradeInfo!B451,ref_Unit_Balance!$B$31:$B$1048576,0))=0,1,INDEX(ref_Unit_Balance!$T$31:$T$106,MATCH(UnitGradeInfo!B451,ref_Unit_Balance!$B$31:$B$1048576,0)))</f>
        <v>5</v>
      </c>
      <c r="J451" s="5">
        <f>INDEX(ref_Unit_Balance!$S$31:$S$106,MATCH(UnitGradeInfo!B451,ref_Unit_Balance!$B$31:$B$1048576,0))</f>
        <v>600</v>
      </c>
      <c r="K451" s="5">
        <v>0</v>
      </c>
      <c r="L451" s="5">
        <f>INDEX(ref_Unit_Balance!$I$31:$I$106,MATCH(UnitGradeInfo!B451,ref_Unit_Balance!$B$31:$B$1048576,0))</f>
        <v>4</v>
      </c>
      <c r="M451" s="5">
        <f t="shared" si="46"/>
        <v>6</v>
      </c>
      <c r="N451" s="5">
        <f t="shared" si="47"/>
        <v>60</v>
      </c>
      <c r="O451" s="5">
        <f>(INDEX(Unitinfo!I:I,MATCH(B451,Unitinfo!A:A,0))+1)*2</f>
        <v>2</v>
      </c>
      <c r="P451" s="5">
        <v>0</v>
      </c>
      <c r="Q451" s="5">
        <v>0</v>
      </c>
      <c r="R451" s="19" t="s">
        <v>121</v>
      </c>
      <c r="S451" s="19" t="s">
        <v>121</v>
      </c>
      <c r="T451" s="5">
        <f t="shared" si="49"/>
        <v>2021</v>
      </c>
      <c r="U451" s="5">
        <f t="shared" si="50"/>
        <v>1</v>
      </c>
      <c r="V451" s="5">
        <v>0</v>
      </c>
      <c r="W451" s="5">
        <v>10</v>
      </c>
    </row>
    <row r="452" spans="1:23">
      <c r="A452" s="5">
        <f t="shared" si="48"/>
        <v>449</v>
      </c>
      <c r="B452" s="93">
        <f t="shared" si="51"/>
        <v>2021</v>
      </c>
      <c r="C452" s="20" t="str">
        <f>INDEX(Unitinfo!C:C,MATCH(UnitGradeInfo!B452,Unitinfo!A:A,0))</f>
        <v>(원거리)Slime_Archer_Red</v>
      </c>
      <c r="D452" s="5">
        <f>COUNTIF($B$4:B452,B452)</f>
        <v>4</v>
      </c>
      <c r="E452" s="5">
        <f>ROUNDDOWN(INDEX(ref_Unit_Balance!$G$31:$G$106,MATCH(UnitGradeInfo!B452,ref_Unit_Balance!$B$31:$B$1048576,0))
+INDEX(ref_Unit_Balance!$G$20:$G$23,MATCH(IFERROR(INDEX(ref_Unit_Balance!$D$31:$D$1048576,MATCH(B452,ref_Unit_Balance!$B$31:$B$1048576,0)),0),ref_Unit_Balance!$B$20:$B$23,0))*D452*ref_Unit_Balance!$C$25,0)</f>
        <v>352</v>
      </c>
      <c r="F452" s="5">
        <f>INDEX(ref_Unit_Balance!$V$31:$V$106,MATCH(UnitGradeInfo!B452,ref_Unit_Balance!$B$31:$B$1048576,0))
+
INDEX(ref_Unit_Balance!$AB$31:$AB$106,MATCH(UnitGradeInfo!B452,ref_Unit_Balance!$B$31:$B$1048576,0))*(D452-1)</f>
        <v>1350</v>
      </c>
      <c r="G452" s="5">
        <f>INDEX(ref_Unit_Balance!$R$31:$R$106,MATCH(UnitGradeInfo!B452,ref_Unit_Balance!$B$31:$B$1048576,0))
+
INDEX(ref_Unit_Balance!$AA$31:$AA$106,MATCH(UnitGradeInfo!B452,ref_Unit_Balance!$B$31:$B$1048576,0))*(D452-1)</f>
        <v>102</v>
      </c>
      <c r="H452" s="39">
        <f>IF(INDEX(Unitinfo!D:D,MATCH(UnitGradeInfo!B452,Unitinfo!A:A,0))=1,50,5)</f>
        <v>50</v>
      </c>
      <c r="I452" s="5">
        <f>IF(INDEX(ref_Unit_Balance!$T$31:$T$106,MATCH(UnitGradeInfo!B452,ref_Unit_Balance!$B$31:$B$1048576,0))=0,1,INDEX(ref_Unit_Balance!$T$31:$T$106,MATCH(UnitGradeInfo!B452,ref_Unit_Balance!$B$31:$B$1048576,0)))</f>
        <v>5</v>
      </c>
      <c r="J452" s="5">
        <f>INDEX(ref_Unit_Balance!$S$31:$S$106,MATCH(UnitGradeInfo!B452,ref_Unit_Balance!$B$31:$B$1048576,0))</f>
        <v>600</v>
      </c>
      <c r="K452" s="5">
        <v>0</v>
      </c>
      <c r="L452" s="5">
        <f>INDEX(ref_Unit_Balance!$I$31:$I$106,MATCH(UnitGradeInfo!B452,ref_Unit_Balance!$B$31:$B$1048576,0))</f>
        <v>4</v>
      </c>
      <c r="M452" s="5">
        <f t="shared" si="46"/>
        <v>8</v>
      </c>
      <c r="N452" s="5">
        <f t="shared" si="47"/>
        <v>80</v>
      </c>
      <c r="O452" s="5">
        <f>(INDEX(Unitinfo!I:I,MATCH(B452,Unitinfo!A:A,0))+1)*2</f>
        <v>2</v>
      </c>
      <c r="P452" s="5">
        <v>0</v>
      </c>
      <c r="Q452" s="5">
        <v>0</v>
      </c>
      <c r="R452" s="19" t="s">
        <v>121</v>
      </c>
      <c r="S452" s="19" t="s">
        <v>121</v>
      </c>
      <c r="T452" s="5">
        <f t="shared" si="49"/>
        <v>2021</v>
      </c>
      <c r="U452" s="5">
        <f t="shared" si="50"/>
        <v>1</v>
      </c>
      <c r="V452" s="5">
        <v>0</v>
      </c>
      <c r="W452" s="5">
        <v>10</v>
      </c>
    </row>
    <row r="453" spans="1:23">
      <c r="A453" s="5">
        <f t="shared" si="48"/>
        <v>450</v>
      </c>
      <c r="B453" s="93">
        <f t="shared" si="51"/>
        <v>2021</v>
      </c>
      <c r="C453" s="20" t="str">
        <f>INDEX(Unitinfo!C:C,MATCH(UnitGradeInfo!B453,Unitinfo!A:A,0))</f>
        <v>(원거리)Slime_Archer_Red</v>
      </c>
      <c r="D453" s="5">
        <f>COUNTIF($B$4:B453,B453)</f>
        <v>5</v>
      </c>
      <c r="E453" s="5">
        <f>ROUNDDOWN(INDEX(ref_Unit_Balance!$G$31:$G$106,MATCH(UnitGradeInfo!B453,ref_Unit_Balance!$B$31:$B$1048576,0))
+INDEX(ref_Unit_Balance!$G$20:$G$23,MATCH(IFERROR(INDEX(ref_Unit_Balance!$D$31:$D$1048576,MATCH(B453,ref_Unit_Balance!$B$31:$B$1048576,0)),0),ref_Unit_Balance!$B$20:$B$23,0))*D453*ref_Unit_Balance!$C$25,0)</f>
        <v>402</v>
      </c>
      <c r="F453" s="5">
        <f>INDEX(ref_Unit_Balance!$V$31:$V$106,MATCH(UnitGradeInfo!B453,ref_Unit_Balance!$B$31:$B$1048576,0))
+
INDEX(ref_Unit_Balance!$AB$31:$AB$106,MATCH(UnitGradeInfo!B453,ref_Unit_Balance!$B$31:$B$1048576,0))*(D453-1)</f>
        <v>1500</v>
      </c>
      <c r="G453" s="5">
        <f>INDEX(ref_Unit_Balance!$R$31:$R$106,MATCH(UnitGradeInfo!B453,ref_Unit_Balance!$B$31:$B$1048576,0))
+
INDEX(ref_Unit_Balance!$AA$31:$AA$106,MATCH(UnitGradeInfo!B453,ref_Unit_Balance!$B$31:$B$1048576,0))*(D453-1)</f>
        <v>106</v>
      </c>
      <c r="H453" s="39">
        <f>IF(INDEX(Unitinfo!D:D,MATCH(UnitGradeInfo!B453,Unitinfo!A:A,0))=1,50,5)</f>
        <v>50</v>
      </c>
      <c r="I453" s="5">
        <f>IF(INDEX(ref_Unit_Balance!$T$31:$T$106,MATCH(UnitGradeInfo!B453,ref_Unit_Balance!$B$31:$B$1048576,0))=0,1,INDEX(ref_Unit_Balance!$T$31:$T$106,MATCH(UnitGradeInfo!B453,ref_Unit_Balance!$B$31:$B$1048576,0)))</f>
        <v>5</v>
      </c>
      <c r="J453" s="5">
        <f>INDEX(ref_Unit_Balance!$S$31:$S$106,MATCH(UnitGradeInfo!B453,ref_Unit_Balance!$B$31:$B$1048576,0))</f>
        <v>600</v>
      </c>
      <c r="K453" s="5">
        <v>0</v>
      </c>
      <c r="L453" s="5">
        <f>INDEX(ref_Unit_Balance!$I$31:$I$106,MATCH(UnitGradeInfo!B453,ref_Unit_Balance!$B$31:$B$1048576,0))</f>
        <v>4</v>
      </c>
      <c r="M453" s="5">
        <f t="shared" ref="M453:M516" si="52">D453*2</f>
        <v>10</v>
      </c>
      <c r="N453" s="5">
        <f t="shared" ref="N453:N516" si="53">D453*20</f>
        <v>100</v>
      </c>
      <c r="O453" s="5">
        <f>(INDEX(Unitinfo!I:I,MATCH(B453,Unitinfo!A:A,0))+1)*2</f>
        <v>2</v>
      </c>
      <c r="P453" s="5">
        <v>0</v>
      </c>
      <c r="Q453" s="5">
        <v>0</v>
      </c>
      <c r="R453" s="19" t="s">
        <v>121</v>
      </c>
      <c r="S453" s="19" t="s">
        <v>121</v>
      </c>
      <c r="T453" s="5">
        <f t="shared" si="49"/>
        <v>2021</v>
      </c>
      <c r="U453" s="5">
        <f t="shared" si="50"/>
        <v>1</v>
      </c>
      <c r="V453" s="5">
        <v>0</v>
      </c>
      <c r="W453" s="5">
        <v>10</v>
      </c>
    </row>
    <row r="454" spans="1:23">
      <c r="A454" s="5">
        <f t="shared" si="48"/>
        <v>451</v>
      </c>
      <c r="B454" s="93">
        <f t="shared" si="51"/>
        <v>2021</v>
      </c>
      <c r="C454" s="20" t="str">
        <f>INDEX(Unitinfo!C:C,MATCH(UnitGradeInfo!B454,Unitinfo!A:A,0))</f>
        <v>(원거리)Slime_Archer_Red</v>
      </c>
      <c r="D454" s="5">
        <f>COUNTIF($B$4:B454,B454)</f>
        <v>6</v>
      </c>
      <c r="E454" s="5">
        <f>ROUNDDOWN(INDEX(ref_Unit_Balance!$G$31:$G$106,MATCH(UnitGradeInfo!B454,ref_Unit_Balance!$B$31:$B$1048576,0))
+INDEX(ref_Unit_Balance!$G$20:$G$23,MATCH(IFERROR(INDEX(ref_Unit_Balance!$D$31:$D$1048576,MATCH(B454,ref_Unit_Balance!$B$31:$B$1048576,0)),0),ref_Unit_Balance!$B$20:$B$23,0))*D454*ref_Unit_Balance!$C$25,0)</f>
        <v>452</v>
      </c>
      <c r="F454" s="5">
        <f>INDEX(ref_Unit_Balance!$V$31:$V$106,MATCH(UnitGradeInfo!B454,ref_Unit_Balance!$B$31:$B$1048576,0))
+
INDEX(ref_Unit_Balance!$AB$31:$AB$106,MATCH(UnitGradeInfo!B454,ref_Unit_Balance!$B$31:$B$1048576,0))*(D454-1)</f>
        <v>1650</v>
      </c>
      <c r="G454" s="5">
        <f>INDEX(ref_Unit_Balance!$R$31:$R$106,MATCH(UnitGradeInfo!B454,ref_Unit_Balance!$B$31:$B$1048576,0))
+
INDEX(ref_Unit_Balance!$AA$31:$AA$106,MATCH(UnitGradeInfo!B454,ref_Unit_Balance!$B$31:$B$1048576,0))*(D454-1)</f>
        <v>110</v>
      </c>
      <c r="H454" s="39">
        <f>IF(INDEX(Unitinfo!D:D,MATCH(UnitGradeInfo!B454,Unitinfo!A:A,0))=1,50,5)</f>
        <v>50</v>
      </c>
      <c r="I454" s="5">
        <f>IF(INDEX(ref_Unit_Balance!$T$31:$T$106,MATCH(UnitGradeInfo!B454,ref_Unit_Balance!$B$31:$B$1048576,0))=0,1,INDEX(ref_Unit_Balance!$T$31:$T$106,MATCH(UnitGradeInfo!B454,ref_Unit_Balance!$B$31:$B$1048576,0)))</f>
        <v>5</v>
      </c>
      <c r="J454" s="5">
        <f>INDEX(ref_Unit_Balance!$S$31:$S$106,MATCH(UnitGradeInfo!B454,ref_Unit_Balance!$B$31:$B$1048576,0))</f>
        <v>600</v>
      </c>
      <c r="K454" s="5">
        <v>0</v>
      </c>
      <c r="L454" s="5">
        <f>INDEX(ref_Unit_Balance!$I$31:$I$106,MATCH(UnitGradeInfo!B454,ref_Unit_Balance!$B$31:$B$1048576,0))</f>
        <v>4</v>
      </c>
      <c r="M454" s="5">
        <f t="shared" si="52"/>
        <v>12</v>
      </c>
      <c r="N454" s="5">
        <f t="shared" si="53"/>
        <v>120</v>
      </c>
      <c r="O454" s="5">
        <f>(INDEX(Unitinfo!I:I,MATCH(B454,Unitinfo!A:A,0))+1)*2</f>
        <v>2</v>
      </c>
      <c r="P454" s="5">
        <v>0</v>
      </c>
      <c r="Q454" s="5">
        <v>0</v>
      </c>
      <c r="R454" s="19" t="s">
        <v>121</v>
      </c>
      <c r="S454" s="19" t="s">
        <v>121</v>
      </c>
      <c r="T454" s="5">
        <f t="shared" si="49"/>
        <v>2021</v>
      </c>
      <c r="U454" s="5">
        <f t="shared" si="50"/>
        <v>1</v>
      </c>
      <c r="V454" s="5">
        <v>0</v>
      </c>
      <c r="W454" s="5">
        <v>10</v>
      </c>
    </row>
    <row r="455" spans="1:23">
      <c r="A455" s="5">
        <f t="shared" si="48"/>
        <v>452</v>
      </c>
      <c r="B455" s="93">
        <f t="shared" si="51"/>
        <v>2021</v>
      </c>
      <c r="C455" s="20" t="str">
        <f>INDEX(Unitinfo!C:C,MATCH(UnitGradeInfo!B455,Unitinfo!A:A,0))</f>
        <v>(원거리)Slime_Archer_Red</v>
      </c>
      <c r="D455" s="5">
        <f>COUNTIF($B$4:B455,B455)</f>
        <v>7</v>
      </c>
      <c r="E455" s="5">
        <f>ROUNDDOWN(INDEX(ref_Unit_Balance!$G$31:$G$106,MATCH(UnitGradeInfo!B455,ref_Unit_Balance!$B$31:$B$1048576,0))
+INDEX(ref_Unit_Balance!$G$20:$G$23,MATCH(IFERROR(INDEX(ref_Unit_Balance!$D$31:$D$1048576,MATCH(B455,ref_Unit_Balance!$B$31:$B$1048576,0)),0),ref_Unit_Balance!$B$20:$B$23,0))*D455*ref_Unit_Balance!$C$25,0)</f>
        <v>502</v>
      </c>
      <c r="F455" s="5">
        <f>INDEX(ref_Unit_Balance!$V$31:$V$106,MATCH(UnitGradeInfo!B455,ref_Unit_Balance!$B$31:$B$1048576,0))
+
INDEX(ref_Unit_Balance!$AB$31:$AB$106,MATCH(UnitGradeInfo!B455,ref_Unit_Balance!$B$31:$B$1048576,0))*(D455-1)</f>
        <v>1800</v>
      </c>
      <c r="G455" s="5">
        <f>INDEX(ref_Unit_Balance!$R$31:$R$106,MATCH(UnitGradeInfo!B455,ref_Unit_Balance!$B$31:$B$1048576,0))
+
INDEX(ref_Unit_Balance!$AA$31:$AA$106,MATCH(UnitGradeInfo!B455,ref_Unit_Balance!$B$31:$B$1048576,0))*(D455-1)</f>
        <v>114</v>
      </c>
      <c r="H455" s="39">
        <f>IF(INDEX(Unitinfo!D:D,MATCH(UnitGradeInfo!B455,Unitinfo!A:A,0))=1,50,5)</f>
        <v>50</v>
      </c>
      <c r="I455" s="5">
        <f>IF(INDEX(ref_Unit_Balance!$T$31:$T$106,MATCH(UnitGradeInfo!B455,ref_Unit_Balance!$B$31:$B$1048576,0))=0,1,INDEX(ref_Unit_Balance!$T$31:$T$106,MATCH(UnitGradeInfo!B455,ref_Unit_Balance!$B$31:$B$1048576,0)))</f>
        <v>5</v>
      </c>
      <c r="J455" s="5">
        <f>INDEX(ref_Unit_Balance!$S$31:$S$106,MATCH(UnitGradeInfo!B455,ref_Unit_Balance!$B$31:$B$1048576,0))</f>
        <v>600</v>
      </c>
      <c r="K455" s="5">
        <v>0</v>
      </c>
      <c r="L455" s="5">
        <f>INDEX(ref_Unit_Balance!$I$31:$I$106,MATCH(UnitGradeInfo!B455,ref_Unit_Balance!$B$31:$B$1048576,0))</f>
        <v>4</v>
      </c>
      <c r="M455" s="5">
        <f t="shared" si="52"/>
        <v>14</v>
      </c>
      <c r="N455" s="5">
        <f t="shared" si="53"/>
        <v>140</v>
      </c>
      <c r="O455" s="5">
        <f>(INDEX(Unitinfo!I:I,MATCH(B455,Unitinfo!A:A,0))+1)*2</f>
        <v>2</v>
      </c>
      <c r="P455" s="5">
        <v>0</v>
      </c>
      <c r="Q455" s="5">
        <v>0</v>
      </c>
      <c r="R455" s="19" t="s">
        <v>121</v>
      </c>
      <c r="S455" s="19" t="s">
        <v>121</v>
      </c>
      <c r="T455" s="5">
        <f t="shared" si="49"/>
        <v>2021</v>
      </c>
      <c r="U455" s="5">
        <f t="shared" si="50"/>
        <v>1</v>
      </c>
      <c r="V455" s="5">
        <v>0</v>
      </c>
      <c r="W455" s="5">
        <v>10</v>
      </c>
    </row>
    <row r="456" spans="1:23">
      <c r="A456" s="5">
        <f t="shared" si="48"/>
        <v>453</v>
      </c>
      <c r="B456" s="93">
        <f t="shared" si="51"/>
        <v>2021</v>
      </c>
      <c r="C456" s="20" t="str">
        <f>INDEX(Unitinfo!C:C,MATCH(UnitGradeInfo!B456,Unitinfo!A:A,0))</f>
        <v>(원거리)Slime_Archer_Red</v>
      </c>
      <c r="D456" s="5">
        <f>COUNTIF($B$4:B456,B456)</f>
        <v>8</v>
      </c>
      <c r="E456" s="5">
        <f>ROUNDDOWN(INDEX(ref_Unit_Balance!$G$31:$G$106,MATCH(UnitGradeInfo!B456,ref_Unit_Balance!$B$31:$B$1048576,0))
+INDEX(ref_Unit_Balance!$G$20:$G$23,MATCH(IFERROR(INDEX(ref_Unit_Balance!$D$31:$D$1048576,MATCH(B456,ref_Unit_Balance!$B$31:$B$1048576,0)),0),ref_Unit_Balance!$B$20:$B$23,0))*D456*ref_Unit_Balance!$C$25,0)</f>
        <v>552</v>
      </c>
      <c r="F456" s="5">
        <f>INDEX(ref_Unit_Balance!$V$31:$V$106,MATCH(UnitGradeInfo!B456,ref_Unit_Balance!$B$31:$B$1048576,0))
+
INDEX(ref_Unit_Balance!$AB$31:$AB$106,MATCH(UnitGradeInfo!B456,ref_Unit_Balance!$B$31:$B$1048576,0))*(D456-1)</f>
        <v>1950</v>
      </c>
      <c r="G456" s="5">
        <f>INDEX(ref_Unit_Balance!$R$31:$R$106,MATCH(UnitGradeInfo!B456,ref_Unit_Balance!$B$31:$B$1048576,0))
+
INDEX(ref_Unit_Balance!$AA$31:$AA$106,MATCH(UnitGradeInfo!B456,ref_Unit_Balance!$B$31:$B$1048576,0))*(D456-1)</f>
        <v>118</v>
      </c>
      <c r="H456" s="39">
        <f>IF(INDEX(Unitinfo!D:D,MATCH(UnitGradeInfo!B456,Unitinfo!A:A,0))=1,50,5)</f>
        <v>50</v>
      </c>
      <c r="I456" s="5">
        <f>IF(INDEX(ref_Unit_Balance!$T$31:$T$106,MATCH(UnitGradeInfo!B456,ref_Unit_Balance!$B$31:$B$1048576,0))=0,1,INDEX(ref_Unit_Balance!$T$31:$T$106,MATCH(UnitGradeInfo!B456,ref_Unit_Balance!$B$31:$B$1048576,0)))</f>
        <v>5</v>
      </c>
      <c r="J456" s="5">
        <f>INDEX(ref_Unit_Balance!$S$31:$S$106,MATCH(UnitGradeInfo!B456,ref_Unit_Balance!$B$31:$B$1048576,0))</f>
        <v>600</v>
      </c>
      <c r="K456" s="5">
        <v>0</v>
      </c>
      <c r="L456" s="5">
        <f>INDEX(ref_Unit_Balance!$I$31:$I$106,MATCH(UnitGradeInfo!B456,ref_Unit_Balance!$B$31:$B$1048576,0))</f>
        <v>4</v>
      </c>
      <c r="M456" s="5">
        <f t="shared" si="52"/>
        <v>16</v>
      </c>
      <c r="N456" s="5">
        <f t="shared" si="53"/>
        <v>160</v>
      </c>
      <c r="O456" s="5">
        <f>(INDEX(Unitinfo!I:I,MATCH(B456,Unitinfo!A:A,0))+1)*2</f>
        <v>2</v>
      </c>
      <c r="P456" s="5">
        <v>0</v>
      </c>
      <c r="Q456" s="5">
        <v>0</v>
      </c>
      <c r="R456" s="19" t="s">
        <v>121</v>
      </c>
      <c r="S456" s="19" t="s">
        <v>121</v>
      </c>
      <c r="T456" s="5">
        <f t="shared" si="49"/>
        <v>2021</v>
      </c>
      <c r="U456" s="5">
        <f t="shared" si="50"/>
        <v>1</v>
      </c>
      <c r="V456" s="5">
        <v>0</v>
      </c>
      <c r="W456" s="5">
        <v>10</v>
      </c>
    </row>
    <row r="457" spans="1:23">
      <c r="A457" s="5">
        <f t="shared" si="48"/>
        <v>454</v>
      </c>
      <c r="B457" s="93">
        <f t="shared" si="51"/>
        <v>2021</v>
      </c>
      <c r="C457" s="20" t="str">
        <f>INDEX(Unitinfo!C:C,MATCH(UnitGradeInfo!B457,Unitinfo!A:A,0))</f>
        <v>(원거리)Slime_Archer_Red</v>
      </c>
      <c r="D457" s="5">
        <f>COUNTIF($B$4:B457,B457)</f>
        <v>9</v>
      </c>
      <c r="E457" s="5">
        <f>ROUNDDOWN(INDEX(ref_Unit_Balance!$G$31:$G$106,MATCH(UnitGradeInfo!B457,ref_Unit_Balance!$B$31:$B$1048576,0))
+INDEX(ref_Unit_Balance!$G$20:$G$23,MATCH(IFERROR(INDEX(ref_Unit_Balance!$D$31:$D$1048576,MATCH(B457,ref_Unit_Balance!$B$31:$B$1048576,0)),0),ref_Unit_Balance!$B$20:$B$23,0))*D457*ref_Unit_Balance!$C$25,0)</f>
        <v>602</v>
      </c>
      <c r="F457" s="5">
        <f>INDEX(ref_Unit_Balance!$V$31:$V$106,MATCH(UnitGradeInfo!B457,ref_Unit_Balance!$B$31:$B$1048576,0))
+
INDEX(ref_Unit_Balance!$AB$31:$AB$106,MATCH(UnitGradeInfo!B457,ref_Unit_Balance!$B$31:$B$1048576,0))*(D457-1)</f>
        <v>2100</v>
      </c>
      <c r="G457" s="5">
        <f>INDEX(ref_Unit_Balance!$R$31:$R$106,MATCH(UnitGradeInfo!B457,ref_Unit_Balance!$B$31:$B$1048576,0))
+
INDEX(ref_Unit_Balance!$AA$31:$AA$106,MATCH(UnitGradeInfo!B457,ref_Unit_Balance!$B$31:$B$1048576,0))*(D457-1)</f>
        <v>122</v>
      </c>
      <c r="H457" s="39">
        <f>IF(INDEX(Unitinfo!D:D,MATCH(UnitGradeInfo!B457,Unitinfo!A:A,0))=1,50,5)</f>
        <v>50</v>
      </c>
      <c r="I457" s="5">
        <f>IF(INDEX(ref_Unit_Balance!$T$31:$T$106,MATCH(UnitGradeInfo!B457,ref_Unit_Balance!$B$31:$B$1048576,0))=0,1,INDEX(ref_Unit_Balance!$T$31:$T$106,MATCH(UnitGradeInfo!B457,ref_Unit_Balance!$B$31:$B$1048576,0)))</f>
        <v>5</v>
      </c>
      <c r="J457" s="5">
        <f>INDEX(ref_Unit_Balance!$S$31:$S$106,MATCH(UnitGradeInfo!B457,ref_Unit_Balance!$B$31:$B$1048576,0))</f>
        <v>600</v>
      </c>
      <c r="K457" s="5">
        <v>0</v>
      </c>
      <c r="L457" s="5">
        <f>INDEX(ref_Unit_Balance!$I$31:$I$106,MATCH(UnitGradeInfo!B457,ref_Unit_Balance!$B$31:$B$1048576,0))</f>
        <v>4</v>
      </c>
      <c r="M457" s="5">
        <f t="shared" si="52"/>
        <v>18</v>
      </c>
      <c r="N457" s="5">
        <f t="shared" si="53"/>
        <v>180</v>
      </c>
      <c r="O457" s="5">
        <f>(INDEX(Unitinfo!I:I,MATCH(B457,Unitinfo!A:A,0))+1)*2</f>
        <v>2</v>
      </c>
      <c r="P457" s="5">
        <v>0</v>
      </c>
      <c r="Q457" s="5">
        <v>0</v>
      </c>
      <c r="R457" s="19" t="s">
        <v>121</v>
      </c>
      <c r="S457" s="19" t="s">
        <v>121</v>
      </c>
      <c r="T457" s="5">
        <f t="shared" si="49"/>
        <v>2021</v>
      </c>
      <c r="U457" s="5">
        <f t="shared" si="50"/>
        <v>1</v>
      </c>
      <c r="V457" s="5">
        <v>0</v>
      </c>
      <c r="W457" s="5">
        <v>10</v>
      </c>
    </row>
    <row r="458" spans="1:23">
      <c r="A458" s="5">
        <f t="shared" si="48"/>
        <v>455</v>
      </c>
      <c r="B458" s="93">
        <f t="shared" si="51"/>
        <v>2021</v>
      </c>
      <c r="C458" s="20" t="str">
        <f>INDEX(Unitinfo!C:C,MATCH(UnitGradeInfo!B458,Unitinfo!A:A,0))</f>
        <v>(원거리)Slime_Archer_Red</v>
      </c>
      <c r="D458" s="5">
        <f>COUNTIF($B$4:B458,B458)</f>
        <v>10</v>
      </c>
      <c r="E458" s="5">
        <f>ROUNDDOWN(INDEX(ref_Unit_Balance!$G$31:$G$106,MATCH(UnitGradeInfo!B458,ref_Unit_Balance!$B$31:$B$1048576,0))
+INDEX(ref_Unit_Balance!$G$20:$G$23,MATCH(IFERROR(INDEX(ref_Unit_Balance!$D$31:$D$1048576,MATCH(B458,ref_Unit_Balance!$B$31:$B$1048576,0)),0),ref_Unit_Balance!$B$20:$B$23,0))*D458*ref_Unit_Balance!$C$25,0)</f>
        <v>652</v>
      </c>
      <c r="F458" s="5">
        <f>INDEX(ref_Unit_Balance!$V$31:$V$106,MATCH(UnitGradeInfo!B458,ref_Unit_Balance!$B$31:$B$1048576,0))
+
INDEX(ref_Unit_Balance!$AB$31:$AB$106,MATCH(UnitGradeInfo!B458,ref_Unit_Balance!$B$31:$B$1048576,0))*(D458-1)</f>
        <v>2250</v>
      </c>
      <c r="G458" s="5">
        <f>INDEX(ref_Unit_Balance!$R$31:$R$106,MATCH(UnitGradeInfo!B458,ref_Unit_Balance!$B$31:$B$1048576,0))
+
INDEX(ref_Unit_Balance!$AA$31:$AA$106,MATCH(UnitGradeInfo!B458,ref_Unit_Balance!$B$31:$B$1048576,0))*(D458-1)</f>
        <v>126</v>
      </c>
      <c r="H458" s="39">
        <f>IF(INDEX(Unitinfo!D:D,MATCH(UnitGradeInfo!B458,Unitinfo!A:A,0))=1,50,5)</f>
        <v>50</v>
      </c>
      <c r="I458" s="5">
        <f>IF(INDEX(ref_Unit_Balance!$T$31:$T$106,MATCH(UnitGradeInfo!B458,ref_Unit_Balance!$B$31:$B$1048576,0))=0,1,INDEX(ref_Unit_Balance!$T$31:$T$106,MATCH(UnitGradeInfo!B458,ref_Unit_Balance!$B$31:$B$1048576,0)))</f>
        <v>5</v>
      </c>
      <c r="J458" s="5">
        <f>INDEX(ref_Unit_Balance!$S$31:$S$106,MATCH(UnitGradeInfo!B458,ref_Unit_Balance!$B$31:$B$1048576,0))</f>
        <v>600</v>
      </c>
      <c r="K458" s="5">
        <v>0</v>
      </c>
      <c r="L458" s="5">
        <f>INDEX(ref_Unit_Balance!$I$31:$I$106,MATCH(UnitGradeInfo!B458,ref_Unit_Balance!$B$31:$B$1048576,0))</f>
        <v>4</v>
      </c>
      <c r="M458" s="5">
        <f t="shared" si="52"/>
        <v>20</v>
      </c>
      <c r="N458" s="5">
        <f t="shared" si="53"/>
        <v>200</v>
      </c>
      <c r="O458" s="5">
        <f>(INDEX(Unitinfo!I:I,MATCH(B458,Unitinfo!A:A,0))+1)*2</f>
        <v>2</v>
      </c>
      <c r="P458" s="5">
        <v>0</v>
      </c>
      <c r="Q458" s="5">
        <v>0</v>
      </c>
      <c r="R458" s="19" t="s">
        <v>121</v>
      </c>
      <c r="S458" s="19" t="s">
        <v>121</v>
      </c>
      <c r="T458" s="5">
        <f t="shared" si="49"/>
        <v>2021</v>
      </c>
      <c r="U458" s="5">
        <f t="shared" si="50"/>
        <v>1</v>
      </c>
      <c r="V458" s="5">
        <v>0</v>
      </c>
      <c r="W458" s="5">
        <v>10</v>
      </c>
    </row>
    <row r="459" spans="1:23">
      <c r="A459" s="5">
        <f t="shared" si="48"/>
        <v>456</v>
      </c>
      <c r="B459" s="93">
        <f t="shared" si="51"/>
        <v>2021</v>
      </c>
      <c r="C459" s="20" t="str">
        <f>INDEX(Unitinfo!C:C,MATCH(UnitGradeInfo!B459,Unitinfo!A:A,0))</f>
        <v>(원거리)Slime_Archer_Red</v>
      </c>
      <c r="D459" s="5">
        <f>COUNTIF($B$4:B459,B459)</f>
        <v>11</v>
      </c>
      <c r="E459" s="5">
        <f>ROUNDDOWN(INDEX(ref_Unit_Balance!$G$31:$G$106,MATCH(UnitGradeInfo!B459,ref_Unit_Balance!$B$31:$B$1048576,0))
+INDEX(ref_Unit_Balance!$G$20:$G$23,MATCH(IFERROR(INDEX(ref_Unit_Balance!$D$31:$D$1048576,MATCH(B459,ref_Unit_Balance!$B$31:$B$1048576,0)),0),ref_Unit_Balance!$B$20:$B$23,0))*D459*ref_Unit_Balance!$C$25,0)</f>
        <v>702</v>
      </c>
      <c r="F459" s="5">
        <f>INDEX(ref_Unit_Balance!$V$31:$V$106,MATCH(UnitGradeInfo!B459,ref_Unit_Balance!$B$31:$B$1048576,0))
+
INDEX(ref_Unit_Balance!$AB$31:$AB$106,MATCH(UnitGradeInfo!B459,ref_Unit_Balance!$B$31:$B$1048576,0))*(D459-1)</f>
        <v>2400</v>
      </c>
      <c r="G459" s="5">
        <f>INDEX(ref_Unit_Balance!$R$31:$R$106,MATCH(UnitGradeInfo!B459,ref_Unit_Balance!$B$31:$B$1048576,0))
+
INDEX(ref_Unit_Balance!$AA$31:$AA$106,MATCH(UnitGradeInfo!B459,ref_Unit_Balance!$B$31:$B$1048576,0))*(D459-1)</f>
        <v>130</v>
      </c>
      <c r="H459" s="39">
        <f>IF(INDEX(Unitinfo!D:D,MATCH(UnitGradeInfo!B459,Unitinfo!A:A,0))=1,50,5)</f>
        <v>50</v>
      </c>
      <c r="I459" s="5">
        <f>IF(INDEX(ref_Unit_Balance!$T$31:$T$106,MATCH(UnitGradeInfo!B459,ref_Unit_Balance!$B$31:$B$1048576,0))=0,1,INDEX(ref_Unit_Balance!$T$31:$T$106,MATCH(UnitGradeInfo!B459,ref_Unit_Balance!$B$31:$B$1048576,0)))</f>
        <v>5</v>
      </c>
      <c r="J459" s="5">
        <f>INDEX(ref_Unit_Balance!$S$31:$S$106,MATCH(UnitGradeInfo!B459,ref_Unit_Balance!$B$31:$B$1048576,0))</f>
        <v>600</v>
      </c>
      <c r="K459" s="5">
        <v>0</v>
      </c>
      <c r="L459" s="5">
        <f>INDEX(ref_Unit_Balance!$I$31:$I$106,MATCH(UnitGradeInfo!B459,ref_Unit_Balance!$B$31:$B$1048576,0))</f>
        <v>4</v>
      </c>
      <c r="M459" s="5">
        <f t="shared" si="52"/>
        <v>22</v>
      </c>
      <c r="N459" s="5">
        <f t="shared" si="53"/>
        <v>220</v>
      </c>
      <c r="O459" s="5">
        <f>(INDEX(Unitinfo!I:I,MATCH(B459,Unitinfo!A:A,0))+1)*2</f>
        <v>2</v>
      </c>
      <c r="P459" s="5">
        <v>0</v>
      </c>
      <c r="Q459" s="5">
        <v>0</v>
      </c>
      <c r="R459" s="19" t="s">
        <v>121</v>
      </c>
      <c r="S459" s="19" t="s">
        <v>121</v>
      </c>
      <c r="T459" s="5">
        <f t="shared" si="49"/>
        <v>2021</v>
      </c>
      <c r="U459" s="5">
        <f t="shared" si="50"/>
        <v>1</v>
      </c>
      <c r="V459" s="5">
        <v>0</v>
      </c>
      <c r="W459" s="5">
        <v>10</v>
      </c>
    </row>
    <row r="460" spans="1:23">
      <c r="A460" s="5">
        <f t="shared" si="48"/>
        <v>457</v>
      </c>
      <c r="B460" s="93">
        <f t="shared" si="51"/>
        <v>2021</v>
      </c>
      <c r="C460" s="20" t="str">
        <f>INDEX(Unitinfo!C:C,MATCH(UnitGradeInfo!B460,Unitinfo!A:A,0))</f>
        <v>(원거리)Slime_Archer_Red</v>
      </c>
      <c r="D460" s="5">
        <f>COUNTIF($B$4:B460,B460)</f>
        <v>12</v>
      </c>
      <c r="E460" s="5">
        <f>ROUNDDOWN(INDEX(ref_Unit_Balance!$G$31:$G$106,MATCH(UnitGradeInfo!B460,ref_Unit_Balance!$B$31:$B$1048576,0))
+INDEX(ref_Unit_Balance!$G$20:$G$23,MATCH(IFERROR(INDEX(ref_Unit_Balance!$D$31:$D$1048576,MATCH(B460,ref_Unit_Balance!$B$31:$B$1048576,0)),0),ref_Unit_Balance!$B$20:$B$23,0))*D460*ref_Unit_Balance!$C$25,0)</f>
        <v>752</v>
      </c>
      <c r="F460" s="5">
        <f>INDEX(ref_Unit_Balance!$V$31:$V$106,MATCH(UnitGradeInfo!B460,ref_Unit_Balance!$B$31:$B$1048576,0))
+
INDEX(ref_Unit_Balance!$AB$31:$AB$106,MATCH(UnitGradeInfo!B460,ref_Unit_Balance!$B$31:$B$1048576,0))*(D460-1)</f>
        <v>2550</v>
      </c>
      <c r="G460" s="5">
        <f>INDEX(ref_Unit_Balance!$R$31:$R$106,MATCH(UnitGradeInfo!B460,ref_Unit_Balance!$B$31:$B$1048576,0))
+
INDEX(ref_Unit_Balance!$AA$31:$AA$106,MATCH(UnitGradeInfo!B460,ref_Unit_Balance!$B$31:$B$1048576,0))*(D460-1)</f>
        <v>134</v>
      </c>
      <c r="H460" s="39">
        <f>IF(INDEX(Unitinfo!D:D,MATCH(UnitGradeInfo!B460,Unitinfo!A:A,0))=1,50,5)</f>
        <v>50</v>
      </c>
      <c r="I460" s="5">
        <f>IF(INDEX(ref_Unit_Balance!$T$31:$T$106,MATCH(UnitGradeInfo!B460,ref_Unit_Balance!$B$31:$B$1048576,0))=0,1,INDEX(ref_Unit_Balance!$T$31:$T$106,MATCH(UnitGradeInfo!B460,ref_Unit_Balance!$B$31:$B$1048576,0)))</f>
        <v>5</v>
      </c>
      <c r="J460" s="5">
        <f>INDEX(ref_Unit_Balance!$S$31:$S$106,MATCH(UnitGradeInfo!B460,ref_Unit_Balance!$B$31:$B$1048576,0))</f>
        <v>600</v>
      </c>
      <c r="K460" s="5">
        <v>0</v>
      </c>
      <c r="L460" s="5">
        <f>INDEX(ref_Unit_Balance!$I$31:$I$106,MATCH(UnitGradeInfo!B460,ref_Unit_Balance!$B$31:$B$1048576,0))</f>
        <v>4</v>
      </c>
      <c r="M460" s="5">
        <f t="shared" si="52"/>
        <v>24</v>
      </c>
      <c r="N460" s="5">
        <f t="shared" si="53"/>
        <v>240</v>
      </c>
      <c r="O460" s="5">
        <f>(INDEX(Unitinfo!I:I,MATCH(B460,Unitinfo!A:A,0))+1)*2</f>
        <v>2</v>
      </c>
      <c r="P460" s="5">
        <v>0</v>
      </c>
      <c r="Q460" s="5">
        <v>0</v>
      </c>
      <c r="R460" s="19" t="s">
        <v>121</v>
      </c>
      <c r="S460" s="19" t="s">
        <v>121</v>
      </c>
      <c r="T460" s="5">
        <f t="shared" si="49"/>
        <v>2021</v>
      </c>
      <c r="U460" s="5">
        <f t="shared" si="50"/>
        <v>1</v>
      </c>
      <c r="V460" s="5">
        <v>0</v>
      </c>
      <c r="W460" s="5">
        <v>10</v>
      </c>
    </row>
    <row r="461" spans="1:23">
      <c r="A461" s="5">
        <f t="shared" si="48"/>
        <v>458</v>
      </c>
      <c r="B461" s="93">
        <f t="shared" si="51"/>
        <v>2021</v>
      </c>
      <c r="C461" s="20" t="str">
        <f>INDEX(Unitinfo!C:C,MATCH(UnitGradeInfo!B461,Unitinfo!A:A,0))</f>
        <v>(원거리)Slime_Archer_Red</v>
      </c>
      <c r="D461" s="5">
        <f>COUNTIF($B$4:B461,B461)</f>
        <v>13</v>
      </c>
      <c r="E461" s="5">
        <f>ROUNDDOWN(INDEX(ref_Unit_Balance!$G$31:$G$106,MATCH(UnitGradeInfo!B461,ref_Unit_Balance!$B$31:$B$1048576,0))
+INDEX(ref_Unit_Balance!$G$20:$G$23,MATCH(IFERROR(INDEX(ref_Unit_Balance!$D$31:$D$1048576,MATCH(B461,ref_Unit_Balance!$B$31:$B$1048576,0)),0),ref_Unit_Balance!$B$20:$B$23,0))*D461*ref_Unit_Balance!$C$25,0)</f>
        <v>802</v>
      </c>
      <c r="F461" s="5">
        <f>INDEX(ref_Unit_Balance!$V$31:$V$106,MATCH(UnitGradeInfo!B461,ref_Unit_Balance!$B$31:$B$1048576,0))
+
INDEX(ref_Unit_Balance!$AB$31:$AB$106,MATCH(UnitGradeInfo!B461,ref_Unit_Balance!$B$31:$B$1048576,0))*(D461-1)</f>
        <v>2700</v>
      </c>
      <c r="G461" s="5">
        <f>INDEX(ref_Unit_Balance!$R$31:$R$106,MATCH(UnitGradeInfo!B461,ref_Unit_Balance!$B$31:$B$1048576,0))
+
INDEX(ref_Unit_Balance!$AA$31:$AA$106,MATCH(UnitGradeInfo!B461,ref_Unit_Balance!$B$31:$B$1048576,0))*(D461-1)</f>
        <v>138</v>
      </c>
      <c r="H461" s="39">
        <f>IF(INDEX(Unitinfo!D:D,MATCH(UnitGradeInfo!B461,Unitinfo!A:A,0))=1,50,5)</f>
        <v>50</v>
      </c>
      <c r="I461" s="5">
        <f>IF(INDEX(ref_Unit_Balance!$T$31:$T$106,MATCH(UnitGradeInfo!B461,ref_Unit_Balance!$B$31:$B$1048576,0))=0,1,INDEX(ref_Unit_Balance!$T$31:$T$106,MATCH(UnitGradeInfo!B461,ref_Unit_Balance!$B$31:$B$1048576,0)))</f>
        <v>5</v>
      </c>
      <c r="J461" s="5">
        <f>INDEX(ref_Unit_Balance!$S$31:$S$106,MATCH(UnitGradeInfo!B461,ref_Unit_Balance!$B$31:$B$1048576,0))</f>
        <v>600</v>
      </c>
      <c r="K461" s="5">
        <v>0</v>
      </c>
      <c r="L461" s="5">
        <f>INDEX(ref_Unit_Balance!$I$31:$I$106,MATCH(UnitGradeInfo!B461,ref_Unit_Balance!$B$31:$B$1048576,0))</f>
        <v>4</v>
      </c>
      <c r="M461" s="5">
        <f t="shared" si="52"/>
        <v>26</v>
      </c>
      <c r="N461" s="5">
        <f t="shared" si="53"/>
        <v>260</v>
      </c>
      <c r="O461" s="5">
        <f>(INDEX(Unitinfo!I:I,MATCH(B461,Unitinfo!A:A,0))+1)*2</f>
        <v>2</v>
      </c>
      <c r="P461" s="5">
        <v>0</v>
      </c>
      <c r="Q461" s="5">
        <v>0</v>
      </c>
      <c r="R461" s="19" t="s">
        <v>121</v>
      </c>
      <c r="S461" s="19" t="s">
        <v>121</v>
      </c>
      <c r="T461" s="5">
        <f t="shared" si="49"/>
        <v>2021</v>
      </c>
      <c r="U461" s="5">
        <f t="shared" si="50"/>
        <v>1</v>
      </c>
      <c r="V461" s="5">
        <v>0</v>
      </c>
      <c r="W461" s="5">
        <v>10</v>
      </c>
    </row>
    <row r="462" spans="1:23">
      <c r="A462" s="5">
        <f t="shared" si="48"/>
        <v>459</v>
      </c>
      <c r="B462" s="93">
        <f t="shared" si="51"/>
        <v>2021</v>
      </c>
      <c r="C462" s="20" t="str">
        <f>INDEX(Unitinfo!C:C,MATCH(UnitGradeInfo!B462,Unitinfo!A:A,0))</f>
        <v>(원거리)Slime_Archer_Red</v>
      </c>
      <c r="D462" s="5">
        <f>COUNTIF($B$4:B462,B462)</f>
        <v>14</v>
      </c>
      <c r="E462" s="5">
        <f>ROUNDDOWN(INDEX(ref_Unit_Balance!$G$31:$G$106,MATCH(UnitGradeInfo!B462,ref_Unit_Balance!$B$31:$B$1048576,0))
+INDEX(ref_Unit_Balance!$G$20:$G$23,MATCH(IFERROR(INDEX(ref_Unit_Balance!$D$31:$D$1048576,MATCH(B462,ref_Unit_Balance!$B$31:$B$1048576,0)),0),ref_Unit_Balance!$B$20:$B$23,0))*D462*ref_Unit_Balance!$C$25,0)</f>
        <v>852</v>
      </c>
      <c r="F462" s="5">
        <f>INDEX(ref_Unit_Balance!$V$31:$V$106,MATCH(UnitGradeInfo!B462,ref_Unit_Balance!$B$31:$B$1048576,0))
+
INDEX(ref_Unit_Balance!$AB$31:$AB$106,MATCH(UnitGradeInfo!B462,ref_Unit_Balance!$B$31:$B$1048576,0))*(D462-1)</f>
        <v>2850</v>
      </c>
      <c r="G462" s="5">
        <f>INDEX(ref_Unit_Balance!$R$31:$R$106,MATCH(UnitGradeInfo!B462,ref_Unit_Balance!$B$31:$B$1048576,0))
+
INDEX(ref_Unit_Balance!$AA$31:$AA$106,MATCH(UnitGradeInfo!B462,ref_Unit_Balance!$B$31:$B$1048576,0))*(D462-1)</f>
        <v>142</v>
      </c>
      <c r="H462" s="39">
        <f>IF(INDEX(Unitinfo!D:D,MATCH(UnitGradeInfo!B462,Unitinfo!A:A,0))=1,50,5)</f>
        <v>50</v>
      </c>
      <c r="I462" s="5">
        <f>IF(INDEX(ref_Unit_Balance!$T$31:$T$106,MATCH(UnitGradeInfo!B462,ref_Unit_Balance!$B$31:$B$1048576,0))=0,1,INDEX(ref_Unit_Balance!$T$31:$T$106,MATCH(UnitGradeInfo!B462,ref_Unit_Balance!$B$31:$B$1048576,0)))</f>
        <v>5</v>
      </c>
      <c r="J462" s="5">
        <f>INDEX(ref_Unit_Balance!$S$31:$S$106,MATCH(UnitGradeInfo!B462,ref_Unit_Balance!$B$31:$B$1048576,0))</f>
        <v>600</v>
      </c>
      <c r="K462" s="5">
        <v>0</v>
      </c>
      <c r="L462" s="5">
        <f>INDEX(ref_Unit_Balance!$I$31:$I$106,MATCH(UnitGradeInfo!B462,ref_Unit_Balance!$B$31:$B$1048576,0))</f>
        <v>4</v>
      </c>
      <c r="M462" s="5">
        <f t="shared" si="52"/>
        <v>28</v>
      </c>
      <c r="N462" s="5">
        <f t="shared" si="53"/>
        <v>280</v>
      </c>
      <c r="O462" s="5">
        <f>(INDEX(Unitinfo!I:I,MATCH(B462,Unitinfo!A:A,0))+1)*2</f>
        <v>2</v>
      </c>
      <c r="P462" s="5">
        <v>0</v>
      </c>
      <c r="Q462" s="5">
        <v>0</v>
      </c>
      <c r="R462" s="19" t="s">
        <v>121</v>
      </c>
      <c r="S462" s="19" t="s">
        <v>121</v>
      </c>
      <c r="T462" s="5">
        <f t="shared" si="49"/>
        <v>2021</v>
      </c>
      <c r="U462" s="5">
        <f t="shared" si="50"/>
        <v>1</v>
      </c>
      <c r="V462" s="5">
        <v>0</v>
      </c>
      <c r="W462" s="5">
        <v>10</v>
      </c>
    </row>
    <row r="463" spans="1:23">
      <c r="A463" s="5">
        <f t="shared" si="48"/>
        <v>460</v>
      </c>
      <c r="B463" s="93">
        <f t="shared" si="51"/>
        <v>2021</v>
      </c>
      <c r="C463" s="20" t="str">
        <f>INDEX(Unitinfo!C:C,MATCH(UnitGradeInfo!B463,Unitinfo!A:A,0))</f>
        <v>(원거리)Slime_Archer_Red</v>
      </c>
      <c r="D463" s="5">
        <f>COUNTIF($B$4:B463,B463)</f>
        <v>15</v>
      </c>
      <c r="E463" s="5">
        <f>ROUNDDOWN(INDEX(ref_Unit_Balance!$G$31:$G$106,MATCH(UnitGradeInfo!B463,ref_Unit_Balance!$B$31:$B$1048576,0))
+INDEX(ref_Unit_Balance!$G$20:$G$23,MATCH(IFERROR(INDEX(ref_Unit_Balance!$D$31:$D$1048576,MATCH(B463,ref_Unit_Balance!$B$31:$B$1048576,0)),0),ref_Unit_Balance!$B$20:$B$23,0))*D463*ref_Unit_Balance!$C$25,0)</f>
        <v>902</v>
      </c>
      <c r="F463" s="5">
        <f>INDEX(ref_Unit_Balance!$V$31:$V$106,MATCH(UnitGradeInfo!B463,ref_Unit_Balance!$B$31:$B$1048576,0))
+
INDEX(ref_Unit_Balance!$AB$31:$AB$106,MATCH(UnitGradeInfo!B463,ref_Unit_Balance!$B$31:$B$1048576,0))*(D463-1)</f>
        <v>3000</v>
      </c>
      <c r="G463" s="5">
        <f>INDEX(ref_Unit_Balance!$R$31:$R$106,MATCH(UnitGradeInfo!B463,ref_Unit_Balance!$B$31:$B$1048576,0))
+
INDEX(ref_Unit_Balance!$AA$31:$AA$106,MATCH(UnitGradeInfo!B463,ref_Unit_Balance!$B$31:$B$1048576,0))*(D463-1)</f>
        <v>146</v>
      </c>
      <c r="H463" s="39">
        <f>IF(INDEX(Unitinfo!D:D,MATCH(UnitGradeInfo!B463,Unitinfo!A:A,0))=1,50,5)</f>
        <v>50</v>
      </c>
      <c r="I463" s="5">
        <f>IF(INDEX(ref_Unit_Balance!$T$31:$T$106,MATCH(UnitGradeInfo!B463,ref_Unit_Balance!$B$31:$B$1048576,0))=0,1,INDEX(ref_Unit_Balance!$T$31:$T$106,MATCH(UnitGradeInfo!B463,ref_Unit_Balance!$B$31:$B$1048576,0)))</f>
        <v>5</v>
      </c>
      <c r="J463" s="5">
        <f>INDEX(ref_Unit_Balance!$S$31:$S$106,MATCH(UnitGradeInfo!B463,ref_Unit_Balance!$B$31:$B$1048576,0))</f>
        <v>600</v>
      </c>
      <c r="K463" s="5">
        <v>0</v>
      </c>
      <c r="L463" s="5">
        <f>INDEX(ref_Unit_Balance!$I$31:$I$106,MATCH(UnitGradeInfo!B463,ref_Unit_Balance!$B$31:$B$1048576,0))</f>
        <v>4</v>
      </c>
      <c r="M463" s="5">
        <f t="shared" si="52"/>
        <v>30</v>
      </c>
      <c r="N463" s="5">
        <f t="shared" si="53"/>
        <v>300</v>
      </c>
      <c r="O463" s="5">
        <f>(INDEX(Unitinfo!I:I,MATCH(B463,Unitinfo!A:A,0))+1)*2</f>
        <v>2</v>
      </c>
      <c r="P463" s="5">
        <v>0</v>
      </c>
      <c r="Q463" s="5">
        <v>0</v>
      </c>
      <c r="R463" s="19" t="s">
        <v>121</v>
      </c>
      <c r="S463" s="19" t="s">
        <v>121</v>
      </c>
      <c r="T463" s="5">
        <f t="shared" si="49"/>
        <v>2021</v>
      </c>
      <c r="U463" s="5">
        <f t="shared" si="50"/>
        <v>1</v>
      </c>
      <c r="V463" s="5">
        <v>0</v>
      </c>
      <c r="W463" s="5">
        <v>10</v>
      </c>
    </row>
    <row r="464" spans="1:23">
      <c r="A464" s="5">
        <f t="shared" si="48"/>
        <v>461</v>
      </c>
      <c r="B464" s="93">
        <f t="shared" si="51"/>
        <v>2021</v>
      </c>
      <c r="C464" s="20" t="str">
        <f>INDEX(Unitinfo!C:C,MATCH(UnitGradeInfo!B464,Unitinfo!A:A,0))</f>
        <v>(원거리)Slime_Archer_Red</v>
      </c>
      <c r="D464" s="5">
        <f>COUNTIF($B$4:B464,B464)</f>
        <v>16</v>
      </c>
      <c r="E464" s="5">
        <f>ROUNDDOWN(INDEX(ref_Unit_Balance!$G$31:$G$106,MATCH(UnitGradeInfo!B464,ref_Unit_Balance!$B$31:$B$1048576,0))
+INDEX(ref_Unit_Balance!$G$20:$G$23,MATCH(IFERROR(INDEX(ref_Unit_Balance!$D$31:$D$1048576,MATCH(B464,ref_Unit_Balance!$B$31:$B$1048576,0)),0),ref_Unit_Balance!$B$20:$B$23,0))*D464*ref_Unit_Balance!$C$25,0)</f>
        <v>952</v>
      </c>
      <c r="F464" s="5">
        <f>INDEX(ref_Unit_Balance!$V$31:$V$106,MATCH(UnitGradeInfo!B464,ref_Unit_Balance!$B$31:$B$1048576,0))
+
INDEX(ref_Unit_Balance!$AB$31:$AB$106,MATCH(UnitGradeInfo!B464,ref_Unit_Balance!$B$31:$B$1048576,0))*(D464-1)</f>
        <v>3150</v>
      </c>
      <c r="G464" s="5">
        <f>INDEX(ref_Unit_Balance!$R$31:$R$106,MATCH(UnitGradeInfo!B464,ref_Unit_Balance!$B$31:$B$1048576,0))
+
INDEX(ref_Unit_Balance!$AA$31:$AA$106,MATCH(UnitGradeInfo!B464,ref_Unit_Balance!$B$31:$B$1048576,0))*(D464-1)</f>
        <v>150</v>
      </c>
      <c r="H464" s="39">
        <f>IF(INDEX(Unitinfo!D:D,MATCH(UnitGradeInfo!B464,Unitinfo!A:A,0))=1,50,5)</f>
        <v>50</v>
      </c>
      <c r="I464" s="5">
        <f>IF(INDEX(ref_Unit_Balance!$T$31:$T$106,MATCH(UnitGradeInfo!B464,ref_Unit_Balance!$B$31:$B$1048576,0))=0,1,INDEX(ref_Unit_Balance!$T$31:$T$106,MATCH(UnitGradeInfo!B464,ref_Unit_Balance!$B$31:$B$1048576,0)))</f>
        <v>5</v>
      </c>
      <c r="J464" s="5">
        <f>INDEX(ref_Unit_Balance!$S$31:$S$106,MATCH(UnitGradeInfo!B464,ref_Unit_Balance!$B$31:$B$1048576,0))</f>
        <v>600</v>
      </c>
      <c r="K464" s="5">
        <v>0</v>
      </c>
      <c r="L464" s="5">
        <f>INDEX(ref_Unit_Balance!$I$31:$I$106,MATCH(UnitGradeInfo!B464,ref_Unit_Balance!$B$31:$B$1048576,0))</f>
        <v>4</v>
      </c>
      <c r="M464" s="5">
        <f t="shared" si="52"/>
        <v>32</v>
      </c>
      <c r="N464" s="5">
        <f t="shared" si="53"/>
        <v>320</v>
      </c>
      <c r="O464" s="5">
        <f>(INDEX(Unitinfo!I:I,MATCH(B464,Unitinfo!A:A,0))+1)*2</f>
        <v>2</v>
      </c>
      <c r="P464" s="5">
        <v>0</v>
      </c>
      <c r="Q464" s="5">
        <v>0</v>
      </c>
      <c r="R464" s="19" t="s">
        <v>121</v>
      </c>
      <c r="S464" s="19" t="s">
        <v>121</v>
      </c>
      <c r="T464" s="5">
        <f t="shared" si="49"/>
        <v>2021</v>
      </c>
      <c r="U464" s="5">
        <f t="shared" si="50"/>
        <v>1</v>
      </c>
      <c r="V464" s="5">
        <v>0</v>
      </c>
      <c r="W464" s="5">
        <v>10</v>
      </c>
    </row>
    <row r="465" spans="1:23">
      <c r="A465" s="5">
        <f t="shared" si="48"/>
        <v>462</v>
      </c>
      <c r="B465" s="93">
        <f t="shared" si="51"/>
        <v>2021</v>
      </c>
      <c r="C465" s="20" t="str">
        <f>INDEX(Unitinfo!C:C,MATCH(UnitGradeInfo!B465,Unitinfo!A:A,0))</f>
        <v>(원거리)Slime_Archer_Red</v>
      </c>
      <c r="D465" s="5">
        <f>COUNTIF($B$4:B465,B465)</f>
        <v>17</v>
      </c>
      <c r="E465" s="5">
        <f>ROUNDDOWN(INDEX(ref_Unit_Balance!$G$31:$G$106,MATCH(UnitGradeInfo!B465,ref_Unit_Balance!$B$31:$B$1048576,0))
+INDEX(ref_Unit_Balance!$G$20:$G$23,MATCH(IFERROR(INDEX(ref_Unit_Balance!$D$31:$D$1048576,MATCH(B465,ref_Unit_Balance!$B$31:$B$1048576,0)),0),ref_Unit_Balance!$B$20:$B$23,0))*D465*ref_Unit_Balance!$C$25,0)</f>
        <v>1002</v>
      </c>
      <c r="F465" s="5">
        <f>INDEX(ref_Unit_Balance!$V$31:$V$106,MATCH(UnitGradeInfo!B465,ref_Unit_Balance!$B$31:$B$1048576,0))
+
INDEX(ref_Unit_Balance!$AB$31:$AB$106,MATCH(UnitGradeInfo!B465,ref_Unit_Balance!$B$31:$B$1048576,0))*(D465-1)</f>
        <v>3300</v>
      </c>
      <c r="G465" s="5">
        <f>INDEX(ref_Unit_Balance!$R$31:$R$106,MATCH(UnitGradeInfo!B465,ref_Unit_Balance!$B$31:$B$1048576,0))
+
INDEX(ref_Unit_Balance!$AA$31:$AA$106,MATCH(UnitGradeInfo!B465,ref_Unit_Balance!$B$31:$B$1048576,0))*(D465-1)</f>
        <v>154</v>
      </c>
      <c r="H465" s="39">
        <f>IF(INDEX(Unitinfo!D:D,MATCH(UnitGradeInfo!B465,Unitinfo!A:A,0))=1,50,5)</f>
        <v>50</v>
      </c>
      <c r="I465" s="5">
        <f>IF(INDEX(ref_Unit_Balance!$T$31:$T$106,MATCH(UnitGradeInfo!B465,ref_Unit_Balance!$B$31:$B$1048576,0))=0,1,INDEX(ref_Unit_Balance!$T$31:$T$106,MATCH(UnitGradeInfo!B465,ref_Unit_Balance!$B$31:$B$1048576,0)))</f>
        <v>5</v>
      </c>
      <c r="J465" s="5">
        <f>INDEX(ref_Unit_Balance!$S$31:$S$106,MATCH(UnitGradeInfo!B465,ref_Unit_Balance!$B$31:$B$1048576,0))</f>
        <v>600</v>
      </c>
      <c r="K465" s="5">
        <v>0</v>
      </c>
      <c r="L465" s="5">
        <f>INDEX(ref_Unit_Balance!$I$31:$I$106,MATCH(UnitGradeInfo!B465,ref_Unit_Balance!$B$31:$B$1048576,0))</f>
        <v>4</v>
      </c>
      <c r="M465" s="5">
        <f t="shared" si="52"/>
        <v>34</v>
      </c>
      <c r="N465" s="5">
        <f t="shared" si="53"/>
        <v>340</v>
      </c>
      <c r="O465" s="5">
        <f>(INDEX(Unitinfo!I:I,MATCH(B465,Unitinfo!A:A,0))+1)*2</f>
        <v>2</v>
      </c>
      <c r="P465" s="5">
        <v>0</v>
      </c>
      <c r="Q465" s="5">
        <v>0</v>
      </c>
      <c r="R465" s="19" t="s">
        <v>121</v>
      </c>
      <c r="S465" s="19" t="s">
        <v>121</v>
      </c>
      <c r="T465" s="5">
        <f t="shared" si="49"/>
        <v>2021</v>
      </c>
      <c r="U465" s="5">
        <f t="shared" si="50"/>
        <v>1</v>
      </c>
      <c r="V465" s="5">
        <v>0</v>
      </c>
      <c r="W465" s="5">
        <v>10</v>
      </c>
    </row>
    <row r="466" spans="1:23">
      <c r="A466" s="5">
        <f t="shared" si="48"/>
        <v>463</v>
      </c>
      <c r="B466" s="93">
        <f t="shared" si="51"/>
        <v>2021</v>
      </c>
      <c r="C466" s="20" t="str">
        <f>INDEX(Unitinfo!C:C,MATCH(UnitGradeInfo!B466,Unitinfo!A:A,0))</f>
        <v>(원거리)Slime_Archer_Red</v>
      </c>
      <c r="D466" s="5">
        <f>COUNTIF($B$4:B466,B466)</f>
        <v>18</v>
      </c>
      <c r="E466" s="5">
        <f>ROUNDDOWN(INDEX(ref_Unit_Balance!$G$31:$G$106,MATCH(UnitGradeInfo!B466,ref_Unit_Balance!$B$31:$B$1048576,0))
+INDEX(ref_Unit_Balance!$G$20:$G$23,MATCH(IFERROR(INDEX(ref_Unit_Balance!$D$31:$D$1048576,MATCH(B466,ref_Unit_Balance!$B$31:$B$1048576,0)),0),ref_Unit_Balance!$B$20:$B$23,0))*D466*ref_Unit_Balance!$C$25,0)</f>
        <v>1052</v>
      </c>
      <c r="F466" s="5">
        <f>INDEX(ref_Unit_Balance!$V$31:$V$106,MATCH(UnitGradeInfo!B466,ref_Unit_Balance!$B$31:$B$1048576,0))
+
INDEX(ref_Unit_Balance!$AB$31:$AB$106,MATCH(UnitGradeInfo!B466,ref_Unit_Balance!$B$31:$B$1048576,0))*(D466-1)</f>
        <v>3450</v>
      </c>
      <c r="G466" s="5">
        <f>INDEX(ref_Unit_Balance!$R$31:$R$106,MATCH(UnitGradeInfo!B466,ref_Unit_Balance!$B$31:$B$1048576,0))
+
INDEX(ref_Unit_Balance!$AA$31:$AA$106,MATCH(UnitGradeInfo!B466,ref_Unit_Balance!$B$31:$B$1048576,0))*(D466-1)</f>
        <v>158</v>
      </c>
      <c r="H466" s="39">
        <f>IF(INDEX(Unitinfo!D:D,MATCH(UnitGradeInfo!B466,Unitinfo!A:A,0))=1,50,5)</f>
        <v>50</v>
      </c>
      <c r="I466" s="5">
        <f>IF(INDEX(ref_Unit_Balance!$T$31:$T$106,MATCH(UnitGradeInfo!B466,ref_Unit_Balance!$B$31:$B$1048576,0))=0,1,INDEX(ref_Unit_Balance!$T$31:$T$106,MATCH(UnitGradeInfo!B466,ref_Unit_Balance!$B$31:$B$1048576,0)))</f>
        <v>5</v>
      </c>
      <c r="J466" s="5">
        <f>INDEX(ref_Unit_Balance!$S$31:$S$106,MATCH(UnitGradeInfo!B466,ref_Unit_Balance!$B$31:$B$1048576,0))</f>
        <v>600</v>
      </c>
      <c r="K466" s="5">
        <v>0</v>
      </c>
      <c r="L466" s="5">
        <f>INDEX(ref_Unit_Balance!$I$31:$I$106,MATCH(UnitGradeInfo!B466,ref_Unit_Balance!$B$31:$B$1048576,0))</f>
        <v>4</v>
      </c>
      <c r="M466" s="5">
        <f t="shared" si="52"/>
        <v>36</v>
      </c>
      <c r="N466" s="5">
        <f t="shared" si="53"/>
        <v>360</v>
      </c>
      <c r="O466" s="5">
        <f>(INDEX(Unitinfo!I:I,MATCH(B466,Unitinfo!A:A,0))+1)*2</f>
        <v>2</v>
      </c>
      <c r="P466" s="5">
        <v>0</v>
      </c>
      <c r="Q466" s="5">
        <v>0</v>
      </c>
      <c r="R466" s="19" t="s">
        <v>121</v>
      </c>
      <c r="S466" s="19" t="s">
        <v>121</v>
      </c>
      <c r="T466" s="5">
        <f t="shared" si="49"/>
        <v>2021</v>
      </c>
      <c r="U466" s="5">
        <f t="shared" si="50"/>
        <v>1</v>
      </c>
      <c r="V466" s="5">
        <v>0</v>
      </c>
      <c r="W466" s="5">
        <v>10</v>
      </c>
    </row>
    <row r="467" spans="1:23">
      <c r="A467" s="5">
        <f t="shared" si="48"/>
        <v>464</v>
      </c>
      <c r="B467" s="93">
        <f t="shared" si="51"/>
        <v>2021</v>
      </c>
      <c r="C467" s="20" t="str">
        <f>INDEX(Unitinfo!C:C,MATCH(UnitGradeInfo!B467,Unitinfo!A:A,0))</f>
        <v>(원거리)Slime_Archer_Red</v>
      </c>
      <c r="D467" s="5">
        <f>COUNTIF($B$4:B467,B467)</f>
        <v>19</v>
      </c>
      <c r="E467" s="5">
        <f>ROUNDDOWN(INDEX(ref_Unit_Balance!$G$31:$G$106,MATCH(UnitGradeInfo!B467,ref_Unit_Balance!$B$31:$B$1048576,0))
+INDEX(ref_Unit_Balance!$G$20:$G$23,MATCH(IFERROR(INDEX(ref_Unit_Balance!$D$31:$D$1048576,MATCH(B467,ref_Unit_Balance!$B$31:$B$1048576,0)),0),ref_Unit_Balance!$B$20:$B$23,0))*D467*ref_Unit_Balance!$C$25,0)</f>
        <v>1102</v>
      </c>
      <c r="F467" s="5">
        <f>INDEX(ref_Unit_Balance!$V$31:$V$106,MATCH(UnitGradeInfo!B467,ref_Unit_Balance!$B$31:$B$1048576,0))
+
INDEX(ref_Unit_Balance!$AB$31:$AB$106,MATCH(UnitGradeInfo!B467,ref_Unit_Balance!$B$31:$B$1048576,0))*(D467-1)</f>
        <v>3600</v>
      </c>
      <c r="G467" s="5">
        <f>INDEX(ref_Unit_Balance!$R$31:$R$106,MATCH(UnitGradeInfo!B467,ref_Unit_Balance!$B$31:$B$1048576,0))
+
INDEX(ref_Unit_Balance!$AA$31:$AA$106,MATCH(UnitGradeInfo!B467,ref_Unit_Balance!$B$31:$B$1048576,0))*(D467-1)</f>
        <v>162</v>
      </c>
      <c r="H467" s="39">
        <f>IF(INDEX(Unitinfo!D:D,MATCH(UnitGradeInfo!B467,Unitinfo!A:A,0))=1,50,5)</f>
        <v>50</v>
      </c>
      <c r="I467" s="5">
        <f>IF(INDEX(ref_Unit_Balance!$T$31:$T$106,MATCH(UnitGradeInfo!B467,ref_Unit_Balance!$B$31:$B$1048576,0))=0,1,INDEX(ref_Unit_Balance!$T$31:$T$106,MATCH(UnitGradeInfo!B467,ref_Unit_Balance!$B$31:$B$1048576,0)))</f>
        <v>5</v>
      </c>
      <c r="J467" s="5">
        <f>INDEX(ref_Unit_Balance!$S$31:$S$106,MATCH(UnitGradeInfo!B467,ref_Unit_Balance!$B$31:$B$1048576,0))</f>
        <v>600</v>
      </c>
      <c r="K467" s="5">
        <v>0</v>
      </c>
      <c r="L467" s="5">
        <f>INDEX(ref_Unit_Balance!$I$31:$I$106,MATCH(UnitGradeInfo!B467,ref_Unit_Balance!$B$31:$B$1048576,0))</f>
        <v>4</v>
      </c>
      <c r="M467" s="5">
        <f t="shared" si="52"/>
        <v>38</v>
      </c>
      <c r="N467" s="5">
        <f t="shared" si="53"/>
        <v>380</v>
      </c>
      <c r="O467" s="5">
        <f>(INDEX(Unitinfo!I:I,MATCH(B467,Unitinfo!A:A,0))+1)*2</f>
        <v>2</v>
      </c>
      <c r="P467" s="5">
        <v>0</v>
      </c>
      <c r="Q467" s="5">
        <v>0</v>
      </c>
      <c r="R467" s="19" t="s">
        <v>121</v>
      </c>
      <c r="S467" s="19" t="s">
        <v>121</v>
      </c>
      <c r="T467" s="5">
        <f t="shared" si="49"/>
        <v>2021</v>
      </c>
      <c r="U467" s="5">
        <f t="shared" si="50"/>
        <v>1</v>
      </c>
      <c r="V467" s="5">
        <v>0</v>
      </c>
      <c r="W467" s="5">
        <v>10</v>
      </c>
    </row>
    <row r="468" spans="1:23">
      <c r="A468" s="5">
        <f t="shared" si="48"/>
        <v>465</v>
      </c>
      <c r="B468" s="93">
        <f t="shared" si="51"/>
        <v>2021</v>
      </c>
      <c r="C468" s="20" t="str">
        <f>INDEX(Unitinfo!C:C,MATCH(UnitGradeInfo!B468,Unitinfo!A:A,0))</f>
        <v>(원거리)Slime_Archer_Red</v>
      </c>
      <c r="D468" s="5">
        <f>COUNTIF($B$4:B468,B468)</f>
        <v>20</v>
      </c>
      <c r="E468" s="5">
        <f>ROUNDDOWN(INDEX(ref_Unit_Balance!$G$31:$G$106,MATCH(UnitGradeInfo!B468,ref_Unit_Balance!$B$31:$B$1048576,0))
+INDEX(ref_Unit_Balance!$G$20:$G$23,MATCH(IFERROR(INDEX(ref_Unit_Balance!$D$31:$D$1048576,MATCH(B468,ref_Unit_Balance!$B$31:$B$1048576,0)),0),ref_Unit_Balance!$B$20:$B$23,0))*D468*ref_Unit_Balance!$C$25,0)</f>
        <v>1152</v>
      </c>
      <c r="F468" s="5">
        <f>INDEX(ref_Unit_Balance!$V$31:$V$106,MATCH(UnitGradeInfo!B468,ref_Unit_Balance!$B$31:$B$1048576,0))
+
INDEX(ref_Unit_Balance!$AB$31:$AB$106,MATCH(UnitGradeInfo!B468,ref_Unit_Balance!$B$31:$B$1048576,0))*(D468-1)</f>
        <v>3750</v>
      </c>
      <c r="G468" s="5">
        <f>INDEX(ref_Unit_Balance!$R$31:$R$106,MATCH(UnitGradeInfo!B468,ref_Unit_Balance!$B$31:$B$1048576,0))
+
INDEX(ref_Unit_Balance!$AA$31:$AA$106,MATCH(UnitGradeInfo!B468,ref_Unit_Balance!$B$31:$B$1048576,0))*(D468-1)</f>
        <v>166</v>
      </c>
      <c r="H468" s="39">
        <f>IF(INDEX(Unitinfo!D:D,MATCH(UnitGradeInfo!B468,Unitinfo!A:A,0))=1,50,5)</f>
        <v>50</v>
      </c>
      <c r="I468" s="5">
        <f>IF(INDEX(ref_Unit_Balance!$T$31:$T$106,MATCH(UnitGradeInfo!B468,ref_Unit_Balance!$B$31:$B$1048576,0))=0,1,INDEX(ref_Unit_Balance!$T$31:$T$106,MATCH(UnitGradeInfo!B468,ref_Unit_Balance!$B$31:$B$1048576,0)))</f>
        <v>5</v>
      </c>
      <c r="J468" s="5">
        <f>INDEX(ref_Unit_Balance!$S$31:$S$106,MATCH(UnitGradeInfo!B468,ref_Unit_Balance!$B$31:$B$1048576,0))</f>
        <v>600</v>
      </c>
      <c r="K468" s="5">
        <v>0</v>
      </c>
      <c r="L468" s="5">
        <f>INDEX(ref_Unit_Balance!$I$31:$I$106,MATCH(UnitGradeInfo!B468,ref_Unit_Balance!$B$31:$B$1048576,0))</f>
        <v>4</v>
      </c>
      <c r="M468" s="5">
        <f t="shared" si="52"/>
        <v>40</v>
      </c>
      <c r="N468" s="5">
        <f t="shared" si="53"/>
        <v>400</v>
      </c>
      <c r="O468" s="5">
        <f>(INDEX(Unitinfo!I:I,MATCH(B468,Unitinfo!A:A,0))+1)*2</f>
        <v>2</v>
      </c>
      <c r="P468" s="5">
        <v>0</v>
      </c>
      <c r="Q468" s="5">
        <v>0</v>
      </c>
      <c r="R468" s="19" t="s">
        <v>121</v>
      </c>
      <c r="S468" s="19" t="s">
        <v>121</v>
      </c>
      <c r="T468" s="5">
        <f t="shared" si="49"/>
        <v>2021</v>
      </c>
      <c r="U468" s="5">
        <f t="shared" si="50"/>
        <v>1</v>
      </c>
      <c r="V468" s="5">
        <v>0</v>
      </c>
      <c r="W468" s="5">
        <v>10</v>
      </c>
    </row>
    <row r="469" spans="1:23">
      <c r="A469" s="5">
        <f t="shared" si="48"/>
        <v>466</v>
      </c>
      <c r="B469" s="93">
        <f t="shared" si="51"/>
        <v>2022</v>
      </c>
      <c r="C469" s="20" t="str">
        <f>INDEX(Unitinfo!C:C,MATCH(UnitGradeInfo!B469,Unitinfo!A:A,0))</f>
        <v>(원거리)Slime_Archer_Yellow</v>
      </c>
      <c r="D469" s="5">
        <f>COUNTIF($B$4:B469,B469)</f>
        <v>1</v>
      </c>
      <c r="E469" s="5">
        <f>ROUNDDOWN(INDEX(ref_Unit_Balance!$G$31:$G$106,MATCH(UnitGradeInfo!B469,ref_Unit_Balance!$B$31:$B$1048576,0))
+INDEX(ref_Unit_Balance!$G$20:$G$23,MATCH(IFERROR(INDEX(ref_Unit_Balance!$D$31:$D$1048576,MATCH(B469,ref_Unit_Balance!$B$31:$B$1048576,0)),0),ref_Unit_Balance!$B$20:$B$23,0))*D469*ref_Unit_Balance!$C$25,0)</f>
        <v>202</v>
      </c>
      <c r="F469" s="5">
        <f>INDEX(ref_Unit_Balance!$V$31:$V$106,MATCH(UnitGradeInfo!B469,ref_Unit_Balance!$B$31:$B$1048576,0))
+
INDEX(ref_Unit_Balance!$AB$31:$AB$106,MATCH(UnitGradeInfo!B469,ref_Unit_Balance!$B$31:$B$1048576,0))*(D469-1)</f>
        <v>900</v>
      </c>
      <c r="G469" s="5">
        <f>INDEX(ref_Unit_Balance!$R$31:$R$106,MATCH(UnitGradeInfo!B469,ref_Unit_Balance!$B$31:$B$1048576,0))
+
INDEX(ref_Unit_Balance!$AA$31:$AA$106,MATCH(UnitGradeInfo!B469,ref_Unit_Balance!$B$31:$B$1048576,0))*(D469-1)</f>
        <v>105</v>
      </c>
      <c r="H469" s="39">
        <f>IF(INDEX(Unitinfo!D:D,MATCH(UnitGradeInfo!B469,Unitinfo!A:A,0))=1,50,5)</f>
        <v>50</v>
      </c>
      <c r="I469" s="5">
        <f>IF(INDEX(ref_Unit_Balance!$T$31:$T$106,MATCH(UnitGradeInfo!B469,ref_Unit_Balance!$B$31:$B$1048576,0))=0,1,INDEX(ref_Unit_Balance!$T$31:$T$106,MATCH(UnitGradeInfo!B469,ref_Unit_Balance!$B$31:$B$1048576,0)))</f>
        <v>5</v>
      </c>
      <c r="J469" s="5">
        <f>INDEX(ref_Unit_Balance!$S$31:$S$106,MATCH(UnitGradeInfo!B469,ref_Unit_Balance!$B$31:$B$1048576,0))</f>
        <v>700</v>
      </c>
      <c r="K469" s="5">
        <v>0</v>
      </c>
      <c r="L469" s="5">
        <f>INDEX(ref_Unit_Balance!$I$31:$I$106,MATCH(UnitGradeInfo!B469,ref_Unit_Balance!$B$31:$B$1048576,0))</f>
        <v>4</v>
      </c>
      <c r="M469" s="5">
        <f t="shared" si="52"/>
        <v>2</v>
      </c>
      <c r="N469" s="5">
        <f t="shared" si="53"/>
        <v>20</v>
      </c>
      <c r="O469" s="5">
        <f>(INDEX(Unitinfo!I:I,MATCH(B469,Unitinfo!A:A,0))+1)*2</f>
        <v>2</v>
      </c>
      <c r="P469" s="5">
        <v>0</v>
      </c>
      <c r="Q469" s="5">
        <v>0</v>
      </c>
      <c r="R469" s="19" t="s">
        <v>121</v>
      </c>
      <c r="S469" s="19" t="s">
        <v>121</v>
      </c>
      <c r="T469" s="5">
        <f t="shared" si="49"/>
        <v>2022</v>
      </c>
      <c r="U469" s="5">
        <f t="shared" si="50"/>
        <v>1</v>
      </c>
      <c r="V469" s="5">
        <v>0</v>
      </c>
      <c r="W469" s="5">
        <v>10</v>
      </c>
    </row>
    <row r="470" spans="1:23">
      <c r="A470" s="5">
        <f t="shared" si="48"/>
        <v>467</v>
      </c>
      <c r="B470" s="93">
        <f t="shared" si="51"/>
        <v>2022</v>
      </c>
      <c r="C470" s="20" t="str">
        <f>INDEX(Unitinfo!C:C,MATCH(UnitGradeInfo!B470,Unitinfo!A:A,0))</f>
        <v>(원거리)Slime_Archer_Yellow</v>
      </c>
      <c r="D470" s="5">
        <f>COUNTIF($B$4:B470,B470)</f>
        <v>2</v>
      </c>
      <c r="E470" s="5">
        <f>ROUNDDOWN(INDEX(ref_Unit_Balance!$G$31:$G$106,MATCH(UnitGradeInfo!B470,ref_Unit_Balance!$B$31:$B$1048576,0))
+INDEX(ref_Unit_Balance!$G$20:$G$23,MATCH(IFERROR(INDEX(ref_Unit_Balance!$D$31:$D$1048576,MATCH(B470,ref_Unit_Balance!$B$31:$B$1048576,0)),0),ref_Unit_Balance!$B$20:$B$23,0))*D470*ref_Unit_Balance!$C$25,0)</f>
        <v>252</v>
      </c>
      <c r="F470" s="5">
        <f>INDEX(ref_Unit_Balance!$V$31:$V$106,MATCH(UnitGradeInfo!B470,ref_Unit_Balance!$B$31:$B$1048576,0))
+
INDEX(ref_Unit_Balance!$AB$31:$AB$106,MATCH(UnitGradeInfo!B470,ref_Unit_Balance!$B$31:$B$1048576,0))*(D470-1)</f>
        <v>1050</v>
      </c>
      <c r="G470" s="5">
        <f>INDEX(ref_Unit_Balance!$R$31:$R$106,MATCH(UnitGradeInfo!B470,ref_Unit_Balance!$B$31:$B$1048576,0))
+
INDEX(ref_Unit_Balance!$AA$31:$AA$106,MATCH(UnitGradeInfo!B470,ref_Unit_Balance!$B$31:$B$1048576,0))*(D470-1)</f>
        <v>110</v>
      </c>
      <c r="H470" s="39">
        <f>IF(INDEX(Unitinfo!D:D,MATCH(UnitGradeInfo!B470,Unitinfo!A:A,0))=1,50,5)</f>
        <v>50</v>
      </c>
      <c r="I470" s="5">
        <f>IF(INDEX(ref_Unit_Balance!$T$31:$T$106,MATCH(UnitGradeInfo!B470,ref_Unit_Balance!$B$31:$B$1048576,0))=0,1,INDEX(ref_Unit_Balance!$T$31:$T$106,MATCH(UnitGradeInfo!B470,ref_Unit_Balance!$B$31:$B$1048576,0)))</f>
        <v>5</v>
      </c>
      <c r="J470" s="5">
        <f>INDEX(ref_Unit_Balance!$S$31:$S$106,MATCH(UnitGradeInfo!B470,ref_Unit_Balance!$B$31:$B$1048576,0))</f>
        <v>700</v>
      </c>
      <c r="K470" s="5">
        <v>0</v>
      </c>
      <c r="L470" s="5">
        <f>INDEX(ref_Unit_Balance!$I$31:$I$106,MATCH(UnitGradeInfo!B470,ref_Unit_Balance!$B$31:$B$1048576,0))</f>
        <v>4</v>
      </c>
      <c r="M470" s="5">
        <f t="shared" si="52"/>
        <v>4</v>
      </c>
      <c r="N470" s="5">
        <f t="shared" si="53"/>
        <v>40</v>
      </c>
      <c r="O470" s="5">
        <f>(INDEX(Unitinfo!I:I,MATCH(B470,Unitinfo!A:A,0))+1)*2</f>
        <v>2</v>
      </c>
      <c r="P470" s="5">
        <v>0</v>
      </c>
      <c r="Q470" s="5">
        <v>0</v>
      </c>
      <c r="R470" s="19" t="s">
        <v>121</v>
      </c>
      <c r="S470" s="19" t="s">
        <v>121</v>
      </c>
      <c r="T470" s="5">
        <f t="shared" si="49"/>
        <v>2022</v>
      </c>
      <c r="U470" s="5">
        <f t="shared" si="50"/>
        <v>1</v>
      </c>
      <c r="V470" s="5">
        <v>0</v>
      </c>
      <c r="W470" s="5">
        <v>10</v>
      </c>
    </row>
    <row r="471" spans="1:23">
      <c r="A471" s="5">
        <f t="shared" si="48"/>
        <v>468</v>
      </c>
      <c r="B471" s="93">
        <f t="shared" si="51"/>
        <v>2022</v>
      </c>
      <c r="C471" s="20" t="str">
        <f>INDEX(Unitinfo!C:C,MATCH(UnitGradeInfo!B471,Unitinfo!A:A,0))</f>
        <v>(원거리)Slime_Archer_Yellow</v>
      </c>
      <c r="D471" s="5">
        <f>COUNTIF($B$4:B471,B471)</f>
        <v>3</v>
      </c>
      <c r="E471" s="5">
        <f>ROUNDDOWN(INDEX(ref_Unit_Balance!$G$31:$G$106,MATCH(UnitGradeInfo!B471,ref_Unit_Balance!$B$31:$B$1048576,0))
+INDEX(ref_Unit_Balance!$G$20:$G$23,MATCH(IFERROR(INDEX(ref_Unit_Balance!$D$31:$D$1048576,MATCH(B471,ref_Unit_Balance!$B$31:$B$1048576,0)),0),ref_Unit_Balance!$B$20:$B$23,0))*D471*ref_Unit_Balance!$C$25,0)</f>
        <v>302</v>
      </c>
      <c r="F471" s="5">
        <f>INDEX(ref_Unit_Balance!$V$31:$V$106,MATCH(UnitGradeInfo!B471,ref_Unit_Balance!$B$31:$B$1048576,0))
+
INDEX(ref_Unit_Balance!$AB$31:$AB$106,MATCH(UnitGradeInfo!B471,ref_Unit_Balance!$B$31:$B$1048576,0))*(D471-1)</f>
        <v>1200</v>
      </c>
      <c r="G471" s="5">
        <f>INDEX(ref_Unit_Balance!$R$31:$R$106,MATCH(UnitGradeInfo!B471,ref_Unit_Balance!$B$31:$B$1048576,0))
+
INDEX(ref_Unit_Balance!$AA$31:$AA$106,MATCH(UnitGradeInfo!B471,ref_Unit_Balance!$B$31:$B$1048576,0))*(D471-1)</f>
        <v>115</v>
      </c>
      <c r="H471" s="39">
        <f>IF(INDEX(Unitinfo!D:D,MATCH(UnitGradeInfo!B471,Unitinfo!A:A,0))=1,50,5)</f>
        <v>50</v>
      </c>
      <c r="I471" s="5">
        <f>IF(INDEX(ref_Unit_Balance!$T$31:$T$106,MATCH(UnitGradeInfo!B471,ref_Unit_Balance!$B$31:$B$1048576,0))=0,1,INDEX(ref_Unit_Balance!$T$31:$T$106,MATCH(UnitGradeInfo!B471,ref_Unit_Balance!$B$31:$B$1048576,0)))</f>
        <v>5</v>
      </c>
      <c r="J471" s="5">
        <f>INDEX(ref_Unit_Balance!$S$31:$S$106,MATCH(UnitGradeInfo!B471,ref_Unit_Balance!$B$31:$B$1048576,0))</f>
        <v>700</v>
      </c>
      <c r="K471" s="5">
        <v>0</v>
      </c>
      <c r="L471" s="5">
        <f>INDEX(ref_Unit_Balance!$I$31:$I$106,MATCH(UnitGradeInfo!B471,ref_Unit_Balance!$B$31:$B$1048576,0))</f>
        <v>4</v>
      </c>
      <c r="M471" s="5">
        <f t="shared" si="52"/>
        <v>6</v>
      </c>
      <c r="N471" s="5">
        <f t="shared" si="53"/>
        <v>60</v>
      </c>
      <c r="O471" s="5">
        <f>(INDEX(Unitinfo!I:I,MATCH(B471,Unitinfo!A:A,0))+1)*2</f>
        <v>2</v>
      </c>
      <c r="P471" s="5">
        <v>0</v>
      </c>
      <c r="Q471" s="5">
        <v>0</v>
      </c>
      <c r="R471" s="19" t="s">
        <v>121</v>
      </c>
      <c r="S471" s="19" t="s">
        <v>121</v>
      </c>
      <c r="T471" s="5">
        <f t="shared" si="49"/>
        <v>2022</v>
      </c>
      <c r="U471" s="5">
        <f t="shared" si="50"/>
        <v>1</v>
      </c>
      <c r="V471" s="5">
        <v>0</v>
      </c>
      <c r="W471" s="5">
        <v>10</v>
      </c>
    </row>
    <row r="472" spans="1:23">
      <c r="A472" s="5">
        <f t="shared" si="48"/>
        <v>469</v>
      </c>
      <c r="B472" s="93">
        <f t="shared" si="51"/>
        <v>2022</v>
      </c>
      <c r="C472" s="20" t="str">
        <f>INDEX(Unitinfo!C:C,MATCH(UnitGradeInfo!B472,Unitinfo!A:A,0))</f>
        <v>(원거리)Slime_Archer_Yellow</v>
      </c>
      <c r="D472" s="5">
        <f>COUNTIF($B$4:B472,B472)</f>
        <v>4</v>
      </c>
      <c r="E472" s="5">
        <f>ROUNDDOWN(INDEX(ref_Unit_Balance!$G$31:$G$106,MATCH(UnitGradeInfo!B472,ref_Unit_Balance!$B$31:$B$1048576,0))
+INDEX(ref_Unit_Balance!$G$20:$G$23,MATCH(IFERROR(INDEX(ref_Unit_Balance!$D$31:$D$1048576,MATCH(B472,ref_Unit_Balance!$B$31:$B$1048576,0)),0),ref_Unit_Balance!$B$20:$B$23,0))*D472*ref_Unit_Balance!$C$25,0)</f>
        <v>352</v>
      </c>
      <c r="F472" s="5">
        <f>INDEX(ref_Unit_Balance!$V$31:$V$106,MATCH(UnitGradeInfo!B472,ref_Unit_Balance!$B$31:$B$1048576,0))
+
INDEX(ref_Unit_Balance!$AB$31:$AB$106,MATCH(UnitGradeInfo!B472,ref_Unit_Balance!$B$31:$B$1048576,0))*(D472-1)</f>
        <v>1350</v>
      </c>
      <c r="G472" s="5">
        <f>INDEX(ref_Unit_Balance!$R$31:$R$106,MATCH(UnitGradeInfo!B472,ref_Unit_Balance!$B$31:$B$1048576,0))
+
INDEX(ref_Unit_Balance!$AA$31:$AA$106,MATCH(UnitGradeInfo!B472,ref_Unit_Balance!$B$31:$B$1048576,0))*(D472-1)</f>
        <v>120</v>
      </c>
      <c r="H472" s="39">
        <f>IF(INDEX(Unitinfo!D:D,MATCH(UnitGradeInfo!B472,Unitinfo!A:A,0))=1,50,5)</f>
        <v>50</v>
      </c>
      <c r="I472" s="5">
        <f>IF(INDEX(ref_Unit_Balance!$T$31:$T$106,MATCH(UnitGradeInfo!B472,ref_Unit_Balance!$B$31:$B$1048576,0))=0,1,INDEX(ref_Unit_Balance!$T$31:$T$106,MATCH(UnitGradeInfo!B472,ref_Unit_Balance!$B$31:$B$1048576,0)))</f>
        <v>5</v>
      </c>
      <c r="J472" s="5">
        <f>INDEX(ref_Unit_Balance!$S$31:$S$106,MATCH(UnitGradeInfo!B472,ref_Unit_Balance!$B$31:$B$1048576,0))</f>
        <v>700</v>
      </c>
      <c r="K472" s="5">
        <v>0</v>
      </c>
      <c r="L472" s="5">
        <f>INDEX(ref_Unit_Balance!$I$31:$I$106,MATCH(UnitGradeInfo!B472,ref_Unit_Balance!$B$31:$B$1048576,0))</f>
        <v>4</v>
      </c>
      <c r="M472" s="5">
        <f t="shared" si="52"/>
        <v>8</v>
      </c>
      <c r="N472" s="5">
        <f t="shared" si="53"/>
        <v>80</v>
      </c>
      <c r="O472" s="5">
        <f>(INDEX(Unitinfo!I:I,MATCH(B472,Unitinfo!A:A,0))+1)*2</f>
        <v>2</v>
      </c>
      <c r="P472" s="5">
        <v>0</v>
      </c>
      <c r="Q472" s="5">
        <v>0</v>
      </c>
      <c r="R472" s="19" t="s">
        <v>121</v>
      </c>
      <c r="S472" s="19" t="s">
        <v>121</v>
      </c>
      <c r="T472" s="5">
        <f t="shared" si="49"/>
        <v>2022</v>
      </c>
      <c r="U472" s="5">
        <f t="shared" si="50"/>
        <v>1</v>
      </c>
      <c r="V472" s="5">
        <v>0</v>
      </c>
      <c r="W472" s="5">
        <v>10</v>
      </c>
    </row>
    <row r="473" spans="1:23">
      <c r="A473" s="5">
        <f t="shared" si="48"/>
        <v>470</v>
      </c>
      <c r="B473" s="93">
        <f t="shared" si="51"/>
        <v>2022</v>
      </c>
      <c r="C473" s="20" t="str">
        <f>INDEX(Unitinfo!C:C,MATCH(UnitGradeInfo!B473,Unitinfo!A:A,0))</f>
        <v>(원거리)Slime_Archer_Yellow</v>
      </c>
      <c r="D473" s="5">
        <f>COUNTIF($B$4:B473,B473)</f>
        <v>5</v>
      </c>
      <c r="E473" s="5">
        <f>ROUNDDOWN(INDEX(ref_Unit_Balance!$G$31:$G$106,MATCH(UnitGradeInfo!B473,ref_Unit_Balance!$B$31:$B$1048576,0))
+INDEX(ref_Unit_Balance!$G$20:$G$23,MATCH(IFERROR(INDEX(ref_Unit_Balance!$D$31:$D$1048576,MATCH(B473,ref_Unit_Balance!$B$31:$B$1048576,0)),0),ref_Unit_Balance!$B$20:$B$23,0))*D473*ref_Unit_Balance!$C$25,0)</f>
        <v>402</v>
      </c>
      <c r="F473" s="5">
        <f>INDEX(ref_Unit_Balance!$V$31:$V$106,MATCH(UnitGradeInfo!B473,ref_Unit_Balance!$B$31:$B$1048576,0))
+
INDEX(ref_Unit_Balance!$AB$31:$AB$106,MATCH(UnitGradeInfo!B473,ref_Unit_Balance!$B$31:$B$1048576,0))*(D473-1)</f>
        <v>1500</v>
      </c>
      <c r="G473" s="5">
        <f>INDEX(ref_Unit_Balance!$R$31:$R$106,MATCH(UnitGradeInfo!B473,ref_Unit_Balance!$B$31:$B$1048576,0))
+
INDEX(ref_Unit_Balance!$AA$31:$AA$106,MATCH(UnitGradeInfo!B473,ref_Unit_Balance!$B$31:$B$1048576,0))*(D473-1)</f>
        <v>125</v>
      </c>
      <c r="H473" s="39">
        <f>IF(INDEX(Unitinfo!D:D,MATCH(UnitGradeInfo!B473,Unitinfo!A:A,0))=1,50,5)</f>
        <v>50</v>
      </c>
      <c r="I473" s="5">
        <f>IF(INDEX(ref_Unit_Balance!$T$31:$T$106,MATCH(UnitGradeInfo!B473,ref_Unit_Balance!$B$31:$B$1048576,0))=0,1,INDEX(ref_Unit_Balance!$T$31:$T$106,MATCH(UnitGradeInfo!B473,ref_Unit_Balance!$B$31:$B$1048576,0)))</f>
        <v>5</v>
      </c>
      <c r="J473" s="5">
        <f>INDEX(ref_Unit_Balance!$S$31:$S$106,MATCH(UnitGradeInfo!B473,ref_Unit_Balance!$B$31:$B$1048576,0))</f>
        <v>700</v>
      </c>
      <c r="K473" s="5">
        <v>0</v>
      </c>
      <c r="L473" s="5">
        <f>INDEX(ref_Unit_Balance!$I$31:$I$106,MATCH(UnitGradeInfo!B473,ref_Unit_Balance!$B$31:$B$1048576,0))</f>
        <v>4</v>
      </c>
      <c r="M473" s="5">
        <f t="shared" si="52"/>
        <v>10</v>
      </c>
      <c r="N473" s="5">
        <f t="shared" si="53"/>
        <v>100</v>
      </c>
      <c r="O473" s="5">
        <f>(INDEX(Unitinfo!I:I,MATCH(B473,Unitinfo!A:A,0))+1)*2</f>
        <v>2</v>
      </c>
      <c r="P473" s="5">
        <v>0</v>
      </c>
      <c r="Q473" s="5">
        <v>0</v>
      </c>
      <c r="R473" s="19" t="s">
        <v>121</v>
      </c>
      <c r="S473" s="19" t="s">
        <v>121</v>
      </c>
      <c r="T473" s="5">
        <f t="shared" si="49"/>
        <v>2022</v>
      </c>
      <c r="U473" s="5">
        <f t="shared" si="50"/>
        <v>1</v>
      </c>
      <c r="V473" s="5">
        <v>0</v>
      </c>
      <c r="W473" s="5">
        <v>10</v>
      </c>
    </row>
    <row r="474" spans="1:23">
      <c r="A474" s="5">
        <f t="shared" si="48"/>
        <v>471</v>
      </c>
      <c r="B474" s="93">
        <f t="shared" si="51"/>
        <v>2022</v>
      </c>
      <c r="C474" s="20" t="str">
        <f>INDEX(Unitinfo!C:C,MATCH(UnitGradeInfo!B474,Unitinfo!A:A,0))</f>
        <v>(원거리)Slime_Archer_Yellow</v>
      </c>
      <c r="D474" s="5">
        <f>COUNTIF($B$4:B474,B474)</f>
        <v>6</v>
      </c>
      <c r="E474" s="5">
        <f>ROUNDDOWN(INDEX(ref_Unit_Balance!$G$31:$G$106,MATCH(UnitGradeInfo!B474,ref_Unit_Balance!$B$31:$B$1048576,0))
+INDEX(ref_Unit_Balance!$G$20:$G$23,MATCH(IFERROR(INDEX(ref_Unit_Balance!$D$31:$D$1048576,MATCH(B474,ref_Unit_Balance!$B$31:$B$1048576,0)),0),ref_Unit_Balance!$B$20:$B$23,0))*D474*ref_Unit_Balance!$C$25,0)</f>
        <v>452</v>
      </c>
      <c r="F474" s="5">
        <f>INDEX(ref_Unit_Balance!$V$31:$V$106,MATCH(UnitGradeInfo!B474,ref_Unit_Balance!$B$31:$B$1048576,0))
+
INDEX(ref_Unit_Balance!$AB$31:$AB$106,MATCH(UnitGradeInfo!B474,ref_Unit_Balance!$B$31:$B$1048576,0))*(D474-1)</f>
        <v>1650</v>
      </c>
      <c r="G474" s="5">
        <f>INDEX(ref_Unit_Balance!$R$31:$R$106,MATCH(UnitGradeInfo!B474,ref_Unit_Balance!$B$31:$B$1048576,0))
+
INDEX(ref_Unit_Balance!$AA$31:$AA$106,MATCH(UnitGradeInfo!B474,ref_Unit_Balance!$B$31:$B$1048576,0))*(D474-1)</f>
        <v>130</v>
      </c>
      <c r="H474" s="39">
        <f>IF(INDEX(Unitinfo!D:D,MATCH(UnitGradeInfo!B474,Unitinfo!A:A,0))=1,50,5)</f>
        <v>50</v>
      </c>
      <c r="I474" s="5">
        <f>IF(INDEX(ref_Unit_Balance!$T$31:$T$106,MATCH(UnitGradeInfo!B474,ref_Unit_Balance!$B$31:$B$1048576,0))=0,1,INDEX(ref_Unit_Balance!$T$31:$T$106,MATCH(UnitGradeInfo!B474,ref_Unit_Balance!$B$31:$B$1048576,0)))</f>
        <v>5</v>
      </c>
      <c r="J474" s="5">
        <f>INDEX(ref_Unit_Balance!$S$31:$S$106,MATCH(UnitGradeInfo!B474,ref_Unit_Balance!$B$31:$B$1048576,0))</f>
        <v>700</v>
      </c>
      <c r="K474" s="5">
        <v>0</v>
      </c>
      <c r="L474" s="5">
        <f>INDEX(ref_Unit_Balance!$I$31:$I$106,MATCH(UnitGradeInfo!B474,ref_Unit_Balance!$B$31:$B$1048576,0))</f>
        <v>4</v>
      </c>
      <c r="M474" s="5">
        <f t="shared" si="52"/>
        <v>12</v>
      </c>
      <c r="N474" s="5">
        <f t="shared" si="53"/>
        <v>120</v>
      </c>
      <c r="O474" s="5">
        <f>(INDEX(Unitinfo!I:I,MATCH(B474,Unitinfo!A:A,0))+1)*2</f>
        <v>2</v>
      </c>
      <c r="P474" s="5">
        <v>0</v>
      </c>
      <c r="Q474" s="5">
        <v>0</v>
      </c>
      <c r="R474" s="19" t="s">
        <v>121</v>
      </c>
      <c r="S474" s="19" t="s">
        <v>121</v>
      </c>
      <c r="T474" s="5">
        <f t="shared" si="49"/>
        <v>2022</v>
      </c>
      <c r="U474" s="5">
        <f t="shared" si="50"/>
        <v>1</v>
      </c>
      <c r="V474" s="5">
        <v>0</v>
      </c>
      <c r="W474" s="5">
        <v>10</v>
      </c>
    </row>
    <row r="475" spans="1:23">
      <c r="A475" s="5">
        <f t="shared" si="48"/>
        <v>472</v>
      </c>
      <c r="B475" s="93">
        <f t="shared" si="51"/>
        <v>2022</v>
      </c>
      <c r="C475" s="20" t="str">
        <f>INDEX(Unitinfo!C:C,MATCH(UnitGradeInfo!B475,Unitinfo!A:A,0))</f>
        <v>(원거리)Slime_Archer_Yellow</v>
      </c>
      <c r="D475" s="5">
        <f>COUNTIF($B$4:B475,B475)</f>
        <v>7</v>
      </c>
      <c r="E475" s="5">
        <f>ROUNDDOWN(INDEX(ref_Unit_Balance!$G$31:$G$106,MATCH(UnitGradeInfo!B475,ref_Unit_Balance!$B$31:$B$1048576,0))
+INDEX(ref_Unit_Balance!$G$20:$G$23,MATCH(IFERROR(INDEX(ref_Unit_Balance!$D$31:$D$1048576,MATCH(B475,ref_Unit_Balance!$B$31:$B$1048576,0)),0),ref_Unit_Balance!$B$20:$B$23,0))*D475*ref_Unit_Balance!$C$25,0)</f>
        <v>502</v>
      </c>
      <c r="F475" s="5">
        <f>INDEX(ref_Unit_Balance!$V$31:$V$106,MATCH(UnitGradeInfo!B475,ref_Unit_Balance!$B$31:$B$1048576,0))
+
INDEX(ref_Unit_Balance!$AB$31:$AB$106,MATCH(UnitGradeInfo!B475,ref_Unit_Balance!$B$31:$B$1048576,0))*(D475-1)</f>
        <v>1800</v>
      </c>
      <c r="G475" s="5">
        <f>INDEX(ref_Unit_Balance!$R$31:$R$106,MATCH(UnitGradeInfo!B475,ref_Unit_Balance!$B$31:$B$1048576,0))
+
INDEX(ref_Unit_Balance!$AA$31:$AA$106,MATCH(UnitGradeInfo!B475,ref_Unit_Balance!$B$31:$B$1048576,0))*(D475-1)</f>
        <v>135</v>
      </c>
      <c r="H475" s="39">
        <f>IF(INDEX(Unitinfo!D:D,MATCH(UnitGradeInfo!B475,Unitinfo!A:A,0))=1,50,5)</f>
        <v>50</v>
      </c>
      <c r="I475" s="5">
        <f>IF(INDEX(ref_Unit_Balance!$T$31:$T$106,MATCH(UnitGradeInfo!B475,ref_Unit_Balance!$B$31:$B$1048576,0))=0,1,INDEX(ref_Unit_Balance!$T$31:$T$106,MATCH(UnitGradeInfo!B475,ref_Unit_Balance!$B$31:$B$1048576,0)))</f>
        <v>5</v>
      </c>
      <c r="J475" s="5">
        <f>INDEX(ref_Unit_Balance!$S$31:$S$106,MATCH(UnitGradeInfo!B475,ref_Unit_Balance!$B$31:$B$1048576,0))</f>
        <v>700</v>
      </c>
      <c r="K475" s="5">
        <v>0</v>
      </c>
      <c r="L475" s="5">
        <f>INDEX(ref_Unit_Balance!$I$31:$I$106,MATCH(UnitGradeInfo!B475,ref_Unit_Balance!$B$31:$B$1048576,0))</f>
        <v>4</v>
      </c>
      <c r="M475" s="5">
        <f t="shared" si="52"/>
        <v>14</v>
      </c>
      <c r="N475" s="5">
        <f t="shared" si="53"/>
        <v>140</v>
      </c>
      <c r="O475" s="5">
        <f>(INDEX(Unitinfo!I:I,MATCH(B475,Unitinfo!A:A,0))+1)*2</f>
        <v>2</v>
      </c>
      <c r="P475" s="5">
        <v>0</v>
      </c>
      <c r="Q475" s="5">
        <v>0</v>
      </c>
      <c r="R475" s="19" t="s">
        <v>121</v>
      </c>
      <c r="S475" s="19" t="s">
        <v>121</v>
      </c>
      <c r="T475" s="5">
        <f t="shared" si="49"/>
        <v>2022</v>
      </c>
      <c r="U475" s="5">
        <f t="shared" si="50"/>
        <v>1</v>
      </c>
      <c r="V475" s="5">
        <v>0</v>
      </c>
      <c r="W475" s="5">
        <v>10</v>
      </c>
    </row>
    <row r="476" spans="1:23">
      <c r="A476" s="5">
        <f t="shared" si="48"/>
        <v>473</v>
      </c>
      <c r="B476" s="93">
        <f t="shared" si="51"/>
        <v>2022</v>
      </c>
      <c r="C476" s="20" t="str">
        <f>INDEX(Unitinfo!C:C,MATCH(UnitGradeInfo!B476,Unitinfo!A:A,0))</f>
        <v>(원거리)Slime_Archer_Yellow</v>
      </c>
      <c r="D476" s="5">
        <f>COUNTIF($B$4:B476,B476)</f>
        <v>8</v>
      </c>
      <c r="E476" s="5">
        <f>ROUNDDOWN(INDEX(ref_Unit_Balance!$G$31:$G$106,MATCH(UnitGradeInfo!B476,ref_Unit_Balance!$B$31:$B$1048576,0))
+INDEX(ref_Unit_Balance!$G$20:$G$23,MATCH(IFERROR(INDEX(ref_Unit_Balance!$D$31:$D$1048576,MATCH(B476,ref_Unit_Balance!$B$31:$B$1048576,0)),0),ref_Unit_Balance!$B$20:$B$23,0))*D476*ref_Unit_Balance!$C$25,0)</f>
        <v>552</v>
      </c>
      <c r="F476" s="5">
        <f>INDEX(ref_Unit_Balance!$V$31:$V$106,MATCH(UnitGradeInfo!B476,ref_Unit_Balance!$B$31:$B$1048576,0))
+
INDEX(ref_Unit_Balance!$AB$31:$AB$106,MATCH(UnitGradeInfo!B476,ref_Unit_Balance!$B$31:$B$1048576,0))*(D476-1)</f>
        <v>1950</v>
      </c>
      <c r="G476" s="5">
        <f>INDEX(ref_Unit_Balance!$R$31:$R$106,MATCH(UnitGradeInfo!B476,ref_Unit_Balance!$B$31:$B$1048576,0))
+
INDEX(ref_Unit_Balance!$AA$31:$AA$106,MATCH(UnitGradeInfo!B476,ref_Unit_Balance!$B$31:$B$1048576,0))*(D476-1)</f>
        <v>140</v>
      </c>
      <c r="H476" s="39">
        <f>IF(INDEX(Unitinfo!D:D,MATCH(UnitGradeInfo!B476,Unitinfo!A:A,0))=1,50,5)</f>
        <v>50</v>
      </c>
      <c r="I476" s="5">
        <f>IF(INDEX(ref_Unit_Balance!$T$31:$T$106,MATCH(UnitGradeInfo!B476,ref_Unit_Balance!$B$31:$B$1048576,0))=0,1,INDEX(ref_Unit_Balance!$T$31:$T$106,MATCH(UnitGradeInfo!B476,ref_Unit_Balance!$B$31:$B$1048576,0)))</f>
        <v>5</v>
      </c>
      <c r="J476" s="5">
        <f>INDEX(ref_Unit_Balance!$S$31:$S$106,MATCH(UnitGradeInfo!B476,ref_Unit_Balance!$B$31:$B$1048576,0))</f>
        <v>700</v>
      </c>
      <c r="K476" s="5">
        <v>0</v>
      </c>
      <c r="L476" s="5">
        <f>INDEX(ref_Unit_Balance!$I$31:$I$106,MATCH(UnitGradeInfo!B476,ref_Unit_Balance!$B$31:$B$1048576,0))</f>
        <v>4</v>
      </c>
      <c r="M476" s="5">
        <f t="shared" si="52"/>
        <v>16</v>
      </c>
      <c r="N476" s="5">
        <f t="shared" si="53"/>
        <v>160</v>
      </c>
      <c r="O476" s="5">
        <f>(INDEX(Unitinfo!I:I,MATCH(B476,Unitinfo!A:A,0))+1)*2</f>
        <v>2</v>
      </c>
      <c r="P476" s="5">
        <v>0</v>
      </c>
      <c r="Q476" s="5">
        <v>0</v>
      </c>
      <c r="R476" s="19" t="s">
        <v>121</v>
      </c>
      <c r="S476" s="19" t="s">
        <v>121</v>
      </c>
      <c r="T476" s="5">
        <f t="shared" si="49"/>
        <v>2022</v>
      </c>
      <c r="U476" s="5">
        <f t="shared" si="50"/>
        <v>1</v>
      </c>
      <c r="V476" s="5">
        <v>0</v>
      </c>
      <c r="W476" s="5">
        <v>10</v>
      </c>
    </row>
    <row r="477" spans="1:23">
      <c r="A477" s="5">
        <f t="shared" si="48"/>
        <v>474</v>
      </c>
      <c r="B477" s="93">
        <f t="shared" si="51"/>
        <v>2022</v>
      </c>
      <c r="C477" s="20" t="str">
        <f>INDEX(Unitinfo!C:C,MATCH(UnitGradeInfo!B477,Unitinfo!A:A,0))</f>
        <v>(원거리)Slime_Archer_Yellow</v>
      </c>
      <c r="D477" s="5">
        <f>COUNTIF($B$4:B477,B477)</f>
        <v>9</v>
      </c>
      <c r="E477" s="5">
        <f>ROUNDDOWN(INDEX(ref_Unit_Balance!$G$31:$G$106,MATCH(UnitGradeInfo!B477,ref_Unit_Balance!$B$31:$B$1048576,0))
+INDEX(ref_Unit_Balance!$G$20:$G$23,MATCH(IFERROR(INDEX(ref_Unit_Balance!$D$31:$D$1048576,MATCH(B477,ref_Unit_Balance!$B$31:$B$1048576,0)),0),ref_Unit_Balance!$B$20:$B$23,0))*D477*ref_Unit_Balance!$C$25,0)</f>
        <v>602</v>
      </c>
      <c r="F477" s="5">
        <f>INDEX(ref_Unit_Balance!$V$31:$V$106,MATCH(UnitGradeInfo!B477,ref_Unit_Balance!$B$31:$B$1048576,0))
+
INDEX(ref_Unit_Balance!$AB$31:$AB$106,MATCH(UnitGradeInfo!B477,ref_Unit_Balance!$B$31:$B$1048576,0))*(D477-1)</f>
        <v>2100</v>
      </c>
      <c r="G477" s="5">
        <f>INDEX(ref_Unit_Balance!$R$31:$R$106,MATCH(UnitGradeInfo!B477,ref_Unit_Balance!$B$31:$B$1048576,0))
+
INDEX(ref_Unit_Balance!$AA$31:$AA$106,MATCH(UnitGradeInfo!B477,ref_Unit_Balance!$B$31:$B$1048576,0))*(D477-1)</f>
        <v>145</v>
      </c>
      <c r="H477" s="39">
        <f>IF(INDEX(Unitinfo!D:D,MATCH(UnitGradeInfo!B477,Unitinfo!A:A,0))=1,50,5)</f>
        <v>50</v>
      </c>
      <c r="I477" s="5">
        <f>IF(INDEX(ref_Unit_Balance!$T$31:$T$106,MATCH(UnitGradeInfo!B477,ref_Unit_Balance!$B$31:$B$1048576,0))=0,1,INDEX(ref_Unit_Balance!$T$31:$T$106,MATCH(UnitGradeInfo!B477,ref_Unit_Balance!$B$31:$B$1048576,0)))</f>
        <v>5</v>
      </c>
      <c r="J477" s="5">
        <f>INDEX(ref_Unit_Balance!$S$31:$S$106,MATCH(UnitGradeInfo!B477,ref_Unit_Balance!$B$31:$B$1048576,0))</f>
        <v>700</v>
      </c>
      <c r="K477" s="5">
        <v>0</v>
      </c>
      <c r="L477" s="5">
        <f>INDEX(ref_Unit_Balance!$I$31:$I$106,MATCH(UnitGradeInfo!B477,ref_Unit_Balance!$B$31:$B$1048576,0))</f>
        <v>4</v>
      </c>
      <c r="M477" s="5">
        <f t="shared" si="52"/>
        <v>18</v>
      </c>
      <c r="N477" s="5">
        <f t="shared" si="53"/>
        <v>180</v>
      </c>
      <c r="O477" s="5">
        <f>(INDEX(Unitinfo!I:I,MATCH(B477,Unitinfo!A:A,0))+1)*2</f>
        <v>2</v>
      </c>
      <c r="P477" s="5">
        <v>0</v>
      </c>
      <c r="Q477" s="5">
        <v>0</v>
      </c>
      <c r="R477" s="19" t="s">
        <v>121</v>
      </c>
      <c r="S477" s="19" t="s">
        <v>121</v>
      </c>
      <c r="T477" s="5">
        <f t="shared" si="49"/>
        <v>2022</v>
      </c>
      <c r="U477" s="5">
        <f t="shared" si="50"/>
        <v>1</v>
      </c>
      <c r="V477" s="5">
        <v>0</v>
      </c>
      <c r="W477" s="5">
        <v>10</v>
      </c>
    </row>
    <row r="478" spans="1:23">
      <c r="A478" s="5">
        <f t="shared" si="48"/>
        <v>475</v>
      </c>
      <c r="B478" s="93">
        <f t="shared" si="51"/>
        <v>2022</v>
      </c>
      <c r="C478" s="20" t="str">
        <f>INDEX(Unitinfo!C:C,MATCH(UnitGradeInfo!B478,Unitinfo!A:A,0))</f>
        <v>(원거리)Slime_Archer_Yellow</v>
      </c>
      <c r="D478" s="5">
        <f>COUNTIF($B$4:B478,B478)</f>
        <v>10</v>
      </c>
      <c r="E478" s="5">
        <f>ROUNDDOWN(INDEX(ref_Unit_Balance!$G$31:$G$106,MATCH(UnitGradeInfo!B478,ref_Unit_Balance!$B$31:$B$1048576,0))
+INDEX(ref_Unit_Balance!$G$20:$G$23,MATCH(IFERROR(INDEX(ref_Unit_Balance!$D$31:$D$1048576,MATCH(B478,ref_Unit_Balance!$B$31:$B$1048576,0)),0),ref_Unit_Balance!$B$20:$B$23,0))*D478*ref_Unit_Balance!$C$25,0)</f>
        <v>652</v>
      </c>
      <c r="F478" s="5">
        <f>INDEX(ref_Unit_Balance!$V$31:$V$106,MATCH(UnitGradeInfo!B478,ref_Unit_Balance!$B$31:$B$1048576,0))
+
INDEX(ref_Unit_Balance!$AB$31:$AB$106,MATCH(UnitGradeInfo!B478,ref_Unit_Balance!$B$31:$B$1048576,0))*(D478-1)</f>
        <v>2250</v>
      </c>
      <c r="G478" s="5">
        <f>INDEX(ref_Unit_Balance!$R$31:$R$106,MATCH(UnitGradeInfo!B478,ref_Unit_Balance!$B$31:$B$1048576,0))
+
INDEX(ref_Unit_Balance!$AA$31:$AA$106,MATCH(UnitGradeInfo!B478,ref_Unit_Balance!$B$31:$B$1048576,0))*(D478-1)</f>
        <v>150</v>
      </c>
      <c r="H478" s="39">
        <f>IF(INDEX(Unitinfo!D:D,MATCH(UnitGradeInfo!B478,Unitinfo!A:A,0))=1,50,5)</f>
        <v>50</v>
      </c>
      <c r="I478" s="5">
        <f>IF(INDEX(ref_Unit_Balance!$T$31:$T$106,MATCH(UnitGradeInfo!B478,ref_Unit_Balance!$B$31:$B$1048576,0))=0,1,INDEX(ref_Unit_Balance!$T$31:$T$106,MATCH(UnitGradeInfo!B478,ref_Unit_Balance!$B$31:$B$1048576,0)))</f>
        <v>5</v>
      </c>
      <c r="J478" s="5">
        <f>INDEX(ref_Unit_Balance!$S$31:$S$106,MATCH(UnitGradeInfo!B478,ref_Unit_Balance!$B$31:$B$1048576,0))</f>
        <v>700</v>
      </c>
      <c r="K478" s="5">
        <v>0</v>
      </c>
      <c r="L478" s="5">
        <f>INDEX(ref_Unit_Balance!$I$31:$I$106,MATCH(UnitGradeInfo!B478,ref_Unit_Balance!$B$31:$B$1048576,0))</f>
        <v>4</v>
      </c>
      <c r="M478" s="5">
        <f t="shared" si="52"/>
        <v>20</v>
      </c>
      <c r="N478" s="5">
        <f t="shared" si="53"/>
        <v>200</v>
      </c>
      <c r="O478" s="5">
        <f>(INDEX(Unitinfo!I:I,MATCH(B478,Unitinfo!A:A,0))+1)*2</f>
        <v>2</v>
      </c>
      <c r="P478" s="5">
        <v>0</v>
      </c>
      <c r="Q478" s="5">
        <v>0</v>
      </c>
      <c r="R478" s="19" t="s">
        <v>121</v>
      </c>
      <c r="S478" s="19" t="s">
        <v>121</v>
      </c>
      <c r="T478" s="5">
        <f t="shared" si="49"/>
        <v>2022</v>
      </c>
      <c r="U478" s="5">
        <f t="shared" si="50"/>
        <v>1</v>
      </c>
      <c r="V478" s="5">
        <v>0</v>
      </c>
      <c r="W478" s="5">
        <v>10</v>
      </c>
    </row>
    <row r="479" spans="1:23">
      <c r="A479" s="5">
        <f t="shared" si="48"/>
        <v>476</v>
      </c>
      <c r="B479" s="93">
        <f t="shared" si="51"/>
        <v>2022</v>
      </c>
      <c r="C479" s="20" t="str">
        <f>INDEX(Unitinfo!C:C,MATCH(UnitGradeInfo!B479,Unitinfo!A:A,0))</f>
        <v>(원거리)Slime_Archer_Yellow</v>
      </c>
      <c r="D479" s="5">
        <f>COUNTIF($B$4:B479,B479)</f>
        <v>11</v>
      </c>
      <c r="E479" s="5">
        <f>ROUNDDOWN(INDEX(ref_Unit_Balance!$G$31:$G$106,MATCH(UnitGradeInfo!B479,ref_Unit_Balance!$B$31:$B$1048576,0))
+INDEX(ref_Unit_Balance!$G$20:$G$23,MATCH(IFERROR(INDEX(ref_Unit_Balance!$D$31:$D$1048576,MATCH(B479,ref_Unit_Balance!$B$31:$B$1048576,0)),0),ref_Unit_Balance!$B$20:$B$23,0))*D479*ref_Unit_Balance!$C$25,0)</f>
        <v>702</v>
      </c>
      <c r="F479" s="5">
        <f>INDEX(ref_Unit_Balance!$V$31:$V$106,MATCH(UnitGradeInfo!B479,ref_Unit_Balance!$B$31:$B$1048576,0))
+
INDEX(ref_Unit_Balance!$AB$31:$AB$106,MATCH(UnitGradeInfo!B479,ref_Unit_Balance!$B$31:$B$1048576,0))*(D479-1)</f>
        <v>2400</v>
      </c>
      <c r="G479" s="5">
        <f>INDEX(ref_Unit_Balance!$R$31:$R$106,MATCH(UnitGradeInfo!B479,ref_Unit_Balance!$B$31:$B$1048576,0))
+
INDEX(ref_Unit_Balance!$AA$31:$AA$106,MATCH(UnitGradeInfo!B479,ref_Unit_Balance!$B$31:$B$1048576,0))*(D479-1)</f>
        <v>155</v>
      </c>
      <c r="H479" s="39">
        <f>IF(INDEX(Unitinfo!D:D,MATCH(UnitGradeInfo!B479,Unitinfo!A:A,0))=1,50,5)</f>
        <v>50</v>
      </c>
      <c r="I479" s="5">
        <f>IF(INDEX(ref_Unit_Balance!$T$31:$T$106,MATCH(UnitGradeInfo!B479,ref_Unit_Balance!$B$31:$B$1048576,0))=0,1,INDEX(ref_Unit_Balance!$T$31:$T$106,MATCH(UnitGradeInfo!B479,ref_Unit_Balance!$B$31:$B$1048576,0)))</f>
        <v>5</v>
      </c>
      <c r="J479" s="5">
        <f>INDEX(ref_Unit_Balance!$S$31:$S$106,MATCH(UnitGradeInfo!B479,ref_Unit_Balance!$B$31:$B$1048576,0))</f>
        <v>700</v>
      </c>
      <c r="K479" s="5">
        <v>0</v>
      </c>
      <c r="L479" s="5">
        <f>INDEX(ref_Unit_Balance!$I$31:$I$106,MATCH(UnitGradeInfo!B479,ref_Unit_Balance!$B$31:$B$1048576,0))</f>
        <v>4</v>
      </c>
      <c r="M479" s="5">
        <f t="shared" si="52"/>
        <v>22</v>
      </c>
      <c r="N479" s="5">
        <f t="shared" si="53"/>
        <v>220</v>
      </c>
      <c r="O479" s="5">
        <f>(INDEX(Unitinfo!I:I,MATCH(B479,Unitinfo!A:A,0))+1)*2</f>
        <v>2</v>
      </c>
      <c r="P479" s="5">
        <v>0</v>
      </c>
      <c r="Q479" s="5">
        <v>0</v>
      </c>
      <c r="R479" s="19" t="s">
        <v>121</v>
      </c>
      <c r="S479" s="19" t="s">
        <v>121</v>
      </c>
      <c r="T479" s="5">
        <f t="shared" si="49"/>
        <v>2022</v>
      </c>
      <c r="U479" s="5">
        <f t="shared" si="50"/>
        <v>1</v>
      </c>
      <c r="V479" s="5">
        <v>0</v>
      </c>
      <c r="W479" s="5">
        <v>10</v>
      </c>
    </row>
    <row r="480" spans="1:23">
      <c r="A480" s="5">
        <f t="shared" si="48"/>
        <v>477</v>
      </c>
      <c r="B480" s="93">
        <f t="shared" si="51"/>
        <v>2022</v>
      </c>
      <c r="C480" s="20" t="str">
        <f>INDEX(Unitinfo!C:C,MATCH(UnitGradeInfo!B480,Unitinfo!A:A,0))</f>
        <v>(원거리)Slime_Archer_Yellow</v>
      </c>
      <c r="D480" s="5">
        <f>COUNTIF($B$4:B480,B480)</f>
        <v>12</v>
      </c>
      <c r="E480" s="5">
        <f>ROUNDDOWN(INDEX(ref_Unit_Balance!$G$31:$G$106,MATCH(UnitGradeInfo!B480,ref_Unit_Balance!$B$31:$B$1048576,0))
+INDEX(ref_Unit_Balance!$G$20:$G$23,MATCH(IFERROR(INDEX(ref_Unit_Balance!$D$31:$D$1048576,MATCH(B480,ref_Unit_Balance!$B$31:$B$1048576,0)),0),ref_Unit_Balance!$B$20:$B$23,0))*D480*ref_Unit_Balance!$C$25,0)</f>
        <v>752</v>
      </c>
      <c r="F480" s="5">
        <f>INDEX(ref_Unit_Balance!$V$31:$V$106,MATCH(UnitGradeInfo!B480,ref_Unit_Balance!$B$31:$B$1048576,0))
+
INDEX(ref_Unit_Balance!$AB$31:$AB$106,MATCH(UnitGradeInfo!B480,ref_Unit_Balance!$B$31:$B$1048576,0))*(D480-1)</f>
        <v>2550</v>
      </c>
      <c r="G480" s="5">
        <f>INDEX(ref_Unit_Balance!$R$31:$R$106,MATCH(UnitGradeInfo!B480,ref_Unit_Balance!$B$31:$B$1048576,0))
+
INDEX(ref_Unit_Balance!$AA$31:$AA$106,MATCH(UnitGradeInfo!B480,ref_Unit_Balance!$B$31:$B$1048576,0))*(D480-1)</f>
        <v>160</v>
      </c>
      <c r="H480" s="39">
        <f>IF(INDEX(Unitinfo!D:D,MATCH(UnitGradeInfo!B480,Unitinfo!A:A,0))=1,50,5)</f>
        <v>50</v>
      </c>
      <c r="I480" s="5">
        <f>IF(INDEX(ref_Unit_Balance!$T$31:$T$106,MATCH(UnitGradeInfo!B480,ref_Unit_Balance!$B$31:$B$1048576,0))=0,1,INDEX(ref_Unit_Balance!$T$31:$T$106,MATCH(UnitGradeInfo!B480,ref_Unit_Balance!$B$31:$B$1048576,0)))</f>
        <v>5</v>
      </c>
      <c r="J480" s="5">
        <f>INDEX(ref_Unit_Balance!$S$31:$S$106,MATCH(UnitGradeInfo!B480,ref_Unit_Balance!$B$31:$B$1048576,0))</f>
        <v>700</v>
      </c>
      <c r="K480" s="5">
        <v>0</v>
      </c>
      <c r="L480" s="5">
        <f>INDEX(ref_Unit_Balance!$I$31:$I$106,MATCH(UnitGradeInfo!B480,ref_Unit_Balance!$B$31:$B$1048576,0))</f>
        <v>4</v>
      </c>
      <c r="M480" s="5">
        <f t="shared" si="52"/>
        <v>24</v>
      </c>
      <c r="N480" s="5">
        <f t="shared" si="53"/>
        <v>240</v>
      </c>
      <c r="O480" s="5">
        <f>(INDEX(Unitinfo!I:I,MATCH(B480,Unitinfo!A:A,0))+1)*2</f>
        <v>2</v>
      </c>
      <c r="P480" s="5">
        <v>0</v>
      </c>
      <c r="Q480" s="5">
        <v>0</v>
      </c>
      <c r="R480" s="19" t="s">
        <v>121</v>
      </c>
      <c r="S480" s="19" t="s">
        <v>121</v>
      </c>
      <c r="T480" s="5">
        <f t="shared" si="49"/>
        <v>2022</v>
      </c>
      <c r="U480" s="5">
        <f t="shared" si="50"/>
        <v>1</v>
      </c>
      <c r="V480" s="5">
        <v>0</v>
      </c>
      <c r="W480" s="5">
        <v>10</v>
      </c>
    </row>
    <row r="481" spans="1:23">
      <c r="A481" s="5">
        <f t="shared" si="48"/>
        <v>478</v>
      </c>
      <c r="B481" s="93">
        <f t="shared" si="51"/>
        <v>2022</v>
      </c>
      <c r="C481" s="20" t="str">
        <f>INDEX(Unitinfo!C:C,MATCH(UnitGradeInfo!B481,Unitinfo!A:A,0))</f>
        <v>(원거리)Slime_Archer_Yellow</v>
      </c>
      <c r="D481" s="5">
        <f>COUNTIF($B$4:B481,B481)</f>
        <v>13</v>
      </c>
      <c r="E481" s="5">
        <f>ROUNDDOWN(INDEX(ref_Unit_Balance!$G$31:$G$106,MATCH(UnitGradeInfo!B481,ref_Unit_Balance!$B$31:$B$1048576,0))
+INDEX(ref_Unit_Balance!$G$20:$G$23,MATCH(IFERROR(INDEX(ref_Unit_Balance!$D$31:$D$1048576,MATCH(B481,ref_Unit_Balance!$B$31:$B$1048576,0)),0),ref_Unit_Balance!$B$20:$B$23,0))*D481*ref_Unit_Balance!$C$25,0)</f>
        <v>802</v>
      </c>
      <c r="F481" s="5">
        <f>INDEX(ref_Unit_Balance!$V$31:$V$106,MATCH(UnitGradeInfo!B481,ref_Unit_Balance!$B$31:$B$1048576,0))
+
INDEX(ref_Unit_Balance!$AB$31:$AB$106,MATCH(UnitGradeInfo!B481,ref_Unit_Balance!$B$31:$B$1048576,0))*(D481-1)</f>
        <v>2700</v>
      </c>
      <c r="G481" s="5">
        <f>INDEX(ref_Unit_Balance!$R$31:$R$106,MATCH(UnitGradeInfo!B481,ref_Unit_Balance!$B$31:$B$1048576,0))
+
INDEX(ref_Unit_Balance!$AA$31:$AA$106,MATCH(UnitGradeInfo!B481,ref_Unit_Balance!$B$31:$B$1048576,0))*(D481-1)</f>
        <v>165</v>
      </c>
      <c r="H481" s="39">
        <f>IF(INDEX(Unitinfo!D:D,MATCH(UnitGradeInfo!B481,Unitinfo!A:A,0))=1,50,5)</f>
        <v>50</v>
      </c>
      <c r="I481" s="5">
        <f>IF(INDEX(ref_Unit_Balance!$T$31:$T$106,MATCH(UnitGradeInfo!B481,ref_Unit_Balance!$B$31:$B$1048576,0))=0,1,INDEX(ref_Unit_Balance!$T$31:$T$106,MATCH(UnitGradeInfo!B481,ref_Unit_Balance!$B$31:$B$1048576,0)))</f>
        <v>5</v>
      </c>
      <c r="J481" s="5">
        <f>INDEX(ref_Unit_Balance!$S$31:$S$106,MATCH(UnitGradeInfo!B481,ref_Unit_Balance!$B$31:$B$1048576,0))</f>
        <v>700</v>
      </c>
      <c r="K481" s="5">
        <v>0</v>
      </c>
      <c r="L481" s="5">
        <f>INDEX(ref_Unit_Balance!$I$31:$I$106,MATCH(UnitGradeInfo!B481,ref_Unit_Balance!$B$31:$B$1048576,0))</f>
        <v>4</v>
      </c>
      <c r="M481" s="5">
        <f t="shared" si="52"/>
        <v>26</v>
      </c>
      <c r="N481" s="5">
        <f t="shared" si="53"/>
        <v>260</v>
      </c>
      <c r="O481" s="5">
        <f>(INDEX(Unitinfo!I:I,MATCH(B481,Unitinfo!A:A,0))+1)*2</f>
        <v>2</v>
      </c>
      <c r="P481" s="5">
        <v>0</v>
      </c>
      <c r="Q481" s="5">
        <v>0</v>
      </c>
      <c r="R481" s="19" t="s">
        <v>121</v>
      </c>
      <c r="S481" s="19" t="s">
        <v>121</v>
      </c>
      <c r="T481" s="5">
        <f t="shared" si="49"/>
        <v>2022</v>
      </c>
      <c r="U481" s="5">
        <f t="shared" si="50"/>
        <v>1</v>
      </c>
      <c r="V481" s="5">
        <v>0</v>
      </c>
      <c r="W481" s="5">
        <v>10</v>
      </c>
    </row>
    <row r="482" spans="1:23">
      <c r="A482" s="5">
        <f t="shared" si="48"/>
        <v>479</v>
      </c>
      <c r="B482" s="93">
        <f t="shared" si="51"/>
        <v>2022</v>
      </c>
      <c r="C482" s="20" t="str">
        <f>INDEX(Unitinfo!C:C,MATCH(UnitGradeInfo!B482,Unitinfo!A:A,0))</f>
        <v>(원거리)Slime_Archer_Yellow</v>
      </c>
      <c r="D482" s="5">
        <f>COUNTIF($B$4:B482,B482)</f>
        <v>14</v>
      </c>
      <c r="E482" s="5">
        <f>ROUNDDOWN(INDEX(ref_Unit_Balance!$G$31:$G$106,MATCH(UnitGradeInfo!B482,ref_Unit_Balance!$B$31:$B$1048576,0))
+INDEX(ref_Unit_Balance!$G$20:$G$23,MATCH(IFERROR(INDEX(ref_Unit_Balance!$D$31:$D$1048576,MATCH(B482,ref_Unit_Balance!$B$31:$B$1048576,0)),0),ref_Unit_Balance!$B$20:$B$23,0))*D482*ref_Unit_Balance!$C$25,0)</f>
        <v>852</v>
      </c>
      <c r="F482" s="5">
        <f>INDEX(ref_Unit_Balance!$V$31:$V$106,MATCH(UnitGradeInfo!B482,ref_Unit_Balance!$B$31:$B$1048576,0))
+
INDEX(ref_Unit_Balance!$AB$31:$AB$106,MATCH(UnitGradeInfo!B482,ref_Unit_Balance!$B$31:$B$1048576,0))*(D482-1)</f>
        <v>2850</v>
      </c>
      <c r="G482" s="5">
        <f>INDEX(ref_Unit_Balance!$R$31:$R$106,MATCH(UnitGradeInfo!B482,ref_Unit_Balance!$B$31:$B$1048576,0))
+
INDEX(ref_Unit_Balance!$AA$31:$AA$106,MATCH(UnitGradeInfo!B482,ref_Unit_Balance!$B$31:$B$1048576,0))*(D482-1)</f>
        <v>170</v>
      </c>
      <c r="H482" s="39">
        <f>IF(INDEX(Unitinfo!D:D,MATCH(UnitGradeInfo!B482,Unitinfo!A:A,0))=1,50,5)</f>
        <v>50</v>
      </c>
      <c r="I482" s="5">
        <f>IF(INDEX(ref_Unit_Balance!$T$31:$T$106,MATCH(UnitGradeInfo!B482,ref_Unit_Balance!$B$31:$B$1048576,0))=0,1,INDEX(ref_Unit_Balance!$T$31:$T$106,MATCH(UnitGradeInfo!B482,ref_Unit_Balance!$B$31:$B$1048576,0)))</f>
        <v>5</v>
      </c>
      <c r="J482" s="5">
        <f>INDEX(ref_Unit_Balance!$S$31:$S$106,MATCH(UnitGradeInfo!B482,ref_Unit_Balance!$B$31:$B$1048576,0))</f>
        <v>700</v>
      </c>
      <c r="K482" s="5">
        <v>0</v>
      </c>
      <c r="L482" s="5">
        <f>INDEX(ref_Unit_Balance!$I$31:$I$106,MATCH(UnitGradeInfo!B482,ref_Unit_Balance!$B$31:$B$1048576,0))</f>
        <v>4</v>
      </c>
      <c r="M482" s="5">
        <f t="shared" si="52"/>
        <v>28</v>
      </c>
      <c r="N482" s="5">
        <f t="shared" si="53"/>
        <v>280</v>
      </c>
      <c r="O482" s="5">
        <f>(INDEX(Unitinfo!I:I,MATCH(B482,Unitinfo!A:A,0))+1)*2</f>
        <v>2</v>
      </c>
      <c r="P482" s="5">
        <v>0</v>
      </c>
      <c r="Q482" s="5">
        <v>0</v>
      </c>
      <c r="R482" s="19" t="s">
        <v>121</v>
      </c>
      <c r="S482" s="19" t="s">
        <v>121</v>
      </c>
      <c r="T482" s="5">
        <f t="shared" si="49"/>
        <v>2022</v>
      </c>
      <c r="U482" s="5">
        <f t="shared" si="50"/>
        <v>1</v>
      </c>
      <c r="V482" s="5">
        <v>0</v>
      </c>
      <c r="W482" s="5">
        <v>10</v>
      </c>
    </row>
    <row r="483" spans="1:23">
      <c r="A483" s="5">
        <f t="shared" si="48"/>
        <v>480</v>
      </c>
      <c r="B483" s="93">
        <f t="shared" si="51"/>
        <v>2022</v>
      </c>
      <c r="C483" s="20" t="str">
        <f>INDEX(Unitinfo!C:C,MATCH(UnitGradeInfo!B483,Unitinfo!A:A,0))</f>
        <v>(원거리)Slime_Archer_Yellow</v>
      </c>
      <c r="D483" s="5">
        <f>COUNTIF($B$4:B483,B483)</f>
        <v>15</v>
      </c>
      <c r="E483" s="5">
        <f>ROUNDDOWN(INDEX(ref_Unit_Balance!$G$31:$G$106,MATCH(UnitGradeInfo!B483,ref_Unit_Balance!$B$31:$B$1048576,0))
+INDEX(ref_Unit_Balance!$G$20:$G$23,MATCH(IFERROR(INDEX(ref_Unit_Balance!$D$31:$D$1048576,MATCH(B483,ref_Unit_Balance!$B$31:$B$1048576,0)),0),ref_Unit_Balance!$B$20:$B$23,0))*D483*ref_Unit_Balance!$C$25,0)</f>
        <v>902</v>
      </c>
      <c r="F483" s="5">
        <f>INDEX(ref_Unit_Balance!$V$31:$V$106,MATCH(UnitGradeInfo!B483,ref_Unit_Balance!$B$31:$B$1048576,0))
+
INDEX(ref_Unit_Balance!$AB$31:$AB$106,MATCH(UnitGradeInfo!B483,ref_Unit_Balance!$B$31:$B$1048576,0))*(D483-1)</f>
        <v>3000</v>
      </c>
      <c r="G483" s="5">
        <f>INDEX(ref_Unit_Balance!$R$31:$R$106,MATCH(UnitGradeInfo!B483,ref_Unit_Balance!$B$31:$B$1048576,0))
+
INDEX(ref_Unit_Balance!$AA$31:$AA$106,MATCH(UnitGradeInfo!B483,ref_Unit_Balance!$B$31:$B$1048576,0))*(D483-1)</f>
        <v>175</v>
      </c>
      <c r="H483" s="39">
        <f>IF(INDEX(Unitinfo!D:D,MATCH(UnitGradeInfo!B483,Unitinfo!A:A,0))=1,50,5)</f>
        <v>50</v>
      </c>
      <c r="I483" s="5">
        <f>IF(INDEX(ref_Unit_Balance!$T$31:$T$106,MATCH(UnitGradeInfo!B483,ref_Unit_Balance!$B$31:$B$1048576,0))=0,1,INDEX(ref_Unit_Balance!$T$31:$T$106,MATCH(UnitGradeInfo!B483,ref_Unit_Balance!$B$31:$B$1048576,0)))</f>
        <v>5</v>
      </c>
      <c r="J483" s="5">
        <f>INDEX(ref_Unit_Balance!$S$31:$S$106,MATCH(UnitGradeInfo!B483,ref_Unit_Balance!$B$31:$B$1048576,0))</f>
        <v>700</v>
      </c>
      <c r="K483" s="5">
        <v>0</v>
      </c>
      <c r="L483" s="5">
        <f>INDEX(ref_Unit_Balance!$I$31:$I$106,MATCH(UnitGradeInfo!B483,ref_Unit_Balance!$B$31:$B$1048576,0))</f>
        <v>4</v>
      </c>
      <c r="M483" s="5">
        <f t="shared" si="52"/>
        <v>30</v>
      </c>
      <c r="N483" s="5">
        <f t="shared" si="53"/>
        <v>300</v>
      </c>
      <c r="O483" s="5">
        <f>(INDEX(Unitinfo!I:I,MATCH(B483,Unitinfo!A:A,0))+1)*2</f>
        <v>2</v>
      </c>
      <c r="P483" s="5">
        <v>0</v>
      </c>
      <c r="Q483" s="5">
        <v>0</v>
      </c>
      <c r="R483" s="19" t="s">
        <v>121</v>
      </c>
      <c r="S483" s="19" t="s">
        <v>121</v>
      </c>
      <c r="T483" s="5">
        <f t="shared" si="49"/>
        <v>2022</v>
      </c>
      <c r="U483" s="5">
        <f t="shared" si="50"/>
        <v>1</v>
      </c>
      <c r="V483" s="5">
        <v>0</v>
      </c>
      <c r="W483" s="5">
        <v>10</v>
      </c>
    </row>
    <row r="484" spans="1:23">
      <c r="A484" s="5">
        <f t="shared" si="48"/>
        <v>481</v>
      </c>
      <c r="B484" s="93">
        <f t="shared" si="51"/>
        <v>2022</v>
      </c>
      <c r="C484" s="20" t="str">
        <f>INDEX(Unitinfo!C:C,MATCH(UnitGradeInfo!B484,Unitinfo!A:A,0))</f>
        <v>(원거리)Slime_Archer_Yellow</v>
      </c>
      <c r="D484" s="5">
        <f>COUNTIF($B$4:B484,B484)</f>
        <v>16</v>
      </c>
      <c r="E484" s="5">
        <f>ROUNDDOWN(INDEX(ref_Unit_Balance!$G$31:$G$106,MATCH(UnitGradeInfo!B484,ref_Unit_Balance!$B$31:$B$1048576,0))
+INDEX(ref_Unit_Balance!$G$20:$G$23,MATCH(IFERROR(INDEX(ref_Unit_Balance!$D$31:$D$1048576,MATCH(B484,ref_Unit_Balance!$B$31:$B$1048576,0)),0),ref_Unit_Balance!$B$20:$B$23,0))*D484*ref_Unit_Balance!$C$25,0)</f>
        <v>952</v>
      </c>
      <c r="F484" s="5">
        <f>INDEX(ref_Unit_Balance!$V$31:$V$106,MATCH(UnitGradeInfo!B484,ref_Unit_Balance!$B$31:$B$1048576,0))
+
INDEX(ref_Unit_Balance!$AB$31:$AB$106,MATCH(UnitGradeInfo!B484,ref_Unit_Balance!$B$31:$B$1048576,0))*(D484-1)</f>
        <v>3150</v>
      </c>
      <c r="G484" s="5">
        <f>INDEX(ref_Unit_Balance!$R$31:$R$106,MATCH(UnitGradeInfo!B484,ref_Unit_Balance!$B$31:$B$1048576,0))
+
INDEX(ref_Unit_Balance!$AA$31:$AA$106,MATCH(UnitGradeInfo!B484,ref_Unit_Balance!$B$31:$B$1048576,0))*(D484-1)</f>
        <v>180</v>
      </c>
      <c r="H484" s="39">
        <f>IF(INDEX(Unitinfo!D:D,MATCH(UnitGradeInfo!B484,Unitinfo!A:A,0))=1,50,5)</f>
        <v>50</v>
      </c>
      <c r="I484" s="5">
        <f>IF(INDEX(ref_Unit_Balance!$T$31:$T$106,MATCH(UnitGradeInfo!B484,ref_Unit_Balance!$B$31:$B$1048576,0))=0,1,INDEX(ref_Unit_Balance!$T$31:$T$106,MATCH(UnitGradeInfo!B484,ref_Unit_Balance!$B$31:$B$1048576,0)))</f>
        <v>5</v>
      </c>
      <c r="J484" s="5">
        <f>INDEX(ref_Unit_Balance!$S$31:$S$106,MATCH(UnitGradeInfo!B484,ref_Unit_Balance!$B$31:$B$1048576,0))</f>
        <v>700</v>
      </c>
      <c r="K484" s="5">
        <v>0</v>
      </c>
      <c r="L484" s="5">
        <f>INDEX(ref_Unit_Balance!$I$31:$I$106,MATCH(UnitGradeInfo!B484,ref_Unit_Balance!$B$31:$B$1048576,0))</f>
        <v>4</v>
      </c>
      <c r="M484" s="5">
        <f t="shared" si="52"/>
        <v>32</v>
      </c>
      <c r="N484" s="5">
        <f t="shared" si="53"/>
        <v>320</v>
      </c>
      <c r="O484" s="5">
        <f>(INDEX(Unitinfo!I:I,MATCH(B484,Unitinfo!A:A,0))+1)*2</f>
        <v>2</v>
      </c>
      <c r="P484" s="5">
        <v>0</v>
      </c>
      <c r="Q484" s="5">
        <v>0</v>
      </c>
      <c r="R484" s="19" t="s">
        <v>121</v>
      </c>
      <c r="S484" s="19" t="s">
        <v>121</v>
      </c>
      <c r="T484" s="5">
        <f t="shared" si="49"/>
        <v>2022</v>
      </c>
      <c r="U484" s="5">
        <f t="shared" si="50"/>
        <v>1</v>
      </c>
      <c r="V484" s="5">
        <v>0</v>
      </c>
      <c r="W484" s="5">
        <v>10</v>
      </c>
    </row>
    <row r="485" spans="1:23">
      <c r="A485" s="5">
        <f t="shared" si="48"/>
        <v>482</v>
      </c>
      <c r="B485" s="93">
        <f t="shared" si="51"/>
        <v>2022</v>
      </c>
      <c r="C485" s="20" t="str">
        <f>INDEX(Unitinfo!C:C,MATCH(UnitGradeInfo!B485,Unitinfo!A:A,0))</f>
        <v>(원거리)Slime_Archer_Yellow</v>
      </c>
      <c r="D485" s="5">
        <f>COUNTIF($B$4:B485,B485)</f>
        <v>17</v>
      </c>
      <c r="E485" s="5">
        <f>ROUNDDOWN(INDEX(ref_Unit_Balance!$G$31:$G$106,MATCH(UnitGradeInfo!B485,ref_Unit_Balance!$B$31:$B$1048576,0))
+INDEX(ref_Unit_Balance!$G$20:$G$23,MATCH(IFERROR(INDEX(ref_Unit_Balance!$D$31:$D$1048576,MATCH(B485,ref_Unit_Balance!$B$31:$B$1048576,0)),0),ref_Unit_Balance!$B$20:$B$23,0))*D485*ref_Unit_Balance!$C$25,0)</f>
        <v>1002</v>
      </c>
      <c r="F485" s="5">
        <f>INDEX(ref_Unit_Balance!$V$31:$V$106,MATCH(UnitGradeInfo!B485,ref_Unit_Balance!$B$31:$B$1048576,0))
+
INDEX(ref_Unit_Balance!$AB$31:$AB$106,MATCH(UnitGradeInfo!B485,ref_Unit_Balance!$B$31:$B$1048576,0))*(D485-1)</f>
        <v>3300</v>
      </c>
      <c r="G485" s="5">
        <f>INDEX(ref_Unit_Balance!$R$31:$R$106,MATCH(UnitGradeInfo!B485,ref_Unit_Balance!$B$31:$B$1048576,0))
+
INDEX(ref_Unit_Balance!$AA$31:$AA$106,MATCH(UnitGradeInfo!B485,ref_Unit_Balance!$B$31:$B$1048576,0))*(D485-1)</f>
        <v>185</v>
      </c>
      <c r="H485" s="39">
        <f>IF(INDEX(Unitinfo!D:D,MATCH(UnitGradeInfo!B485,Unitinfo!A:A,0))=1,50,5)</f>
        <v>50</v>
      </c>
      <c r="I485" s="5">
        <f>IF(INDEX(ref_Unit_Balance!$T$31:$T$106,MATCH(UnitGradeInfo!B485,ref_Unit_Balance!$B$31:$B$1048576,0))=0,1,INDEX(ref_Unit_Balance!$T$31:$T$106,MATCH(UnitGradeInfo!B485,ref_Unit_Balance!$B$31:$B$1048576,0)))</f>
        <v>5</v>
      </c>
      <c r="J485" s="5">
        <f>INDEX(ref_Unit_Balance!$S$31:$S$106,MATCH(UnitGradeInfo!B485,ref_Unit_Balance!$B$31:$B$1048576,0))</f>
        <v>700</v>
      </c>
      <c r="K485" s="5">
        <v>0</v>
      </c>
      <c r="L485" s="5">
        <f>INDEX(ref_Unit_Balance!$I$31:$I$106,MATCH(UnitGradeInfo!B485,ref_Unit_Balance!$B$31:$B$1048576,0))</f>
        <v>4</v>
      </c>
      <c r="M485" s="5">
        <f t="shared" si="52"/>
        <v>34</v>
      </c>
      <c r="N485" s="5">
        <f t="shared" si="53"/>
        <v>340</v>
      </c>
      <c r="O485" s="5">
        <f>(INDEX(Unitinfo!I:I,MATCH(B485,Unitinfo!A:A,0))+1)*2</f>
        <v>2</v>
      </c>
      <c r="P485" s="5">
        <v>0</v>
      </c>
      <c r="Q485" s="5">
        <v>0</v>
      </c>
      <c r="R485" s="19" t="s">
        <v>121</v>
      </c>
      <c r="S485" s="19" t="s">
        <v>121</v>
      </c>
      <c r="T485" s="5">
        <f t="shared" si="49"/>
        <v>2022</v>
      </c>
      <c r="U485" s="5">
        <f t="shared" si="50"/>
        <v>1</v>
      </c>
      <c r="V485" s="5">
        <v>0</v>
      </c>
      <c r="W485" s="5">
        <v>10</v>
      </c>
    </row>
    <row r="486" spans="1:23">
      <c r="A486" s="5">
        <f t="shared" si="48"/>
        <v>483</v>
      </c>
      <c r="B486" s="93">
        <f t="shared" si="51"/>
        <v>2022</v>
      </c>
      <c r="C486" s="20" t="str">
        <f>INDEX(Unitinfo!C:C,MATCH(UnitGradeInfo!B486,Unitinfo!A:A,0))</f>
        <v>(원거리)Slime_Archer_Yellow</v>
      </c>
      <c r="D486" s="5">
        <f>COUNTIF($B$4:B486,B486)</f>
        <v>18</v>
      </c>
      <c r="E486" s="5">
        <f>ROUNDDOWN(INDEX(ref_Unit_Balance!$G$31:$G$106,MATCH(UnitGradeInfo!B486,ref_Unit_Balance!$B$31:$B$1048576,0))
+INDEX(ref_Unit_Balance!$G$20:$G$23,MATCH(IFERROR(INDEX(ref_Unit_Balance!$D$31:$D$1048576,MATCH(B486,ref_Unit_Balance!$B$31:$B$1048576,0)),0),ref_Unit_Balance!$B$20:$B$23,0))*D486*ref_Unit_Balance!$C$25,0)</f>
        <v>1052</v>
      </c>
      <c r="F486" s="5">
        <f>INDEX(ref_Unit_Balance!$V$31:$V$106,MATCH(UnitGradeInfo!B486,ref_Unit_Balance!$B$31:$B$1048576,0))
+
INDEX(ref_Unit_Balance!$AB$31:$AB$106,MATCH(UnitGradeInfo!B486,ref_Unit_Balance!$B$31:$B$1048576,0))*(D486-1)</f>
        <v>3450</v>
      </c>
      <c r="G486" s="5">
        <f>INDEX(ref_Unit_Balance!$R$31:$R$106,MATCH(UnitGradeInfo!B486,ref_Unit_Balance!$B$31:$B$1048576,0))
+
INDEX(ref_Unit_Balance!$AA$31:$AA$106,MATCH(UnitGradeInfo!B486,ref_Unit_Balance!$B$31:$B$1048576,0))*(D486-1)</f>
        <v>190</v>
      </c>
      <c r="H486" s="39">
        <f>IF(INDEX(Unitinfo!D:D,MATCH(UnitGradeInfo!B486,Unitinfo!A:A,0))=1,50,5)</f>
        <v>50</v>
      </c>
      <c r="I486" s="5">
        <f>IF(INDEX(ref_Unit_Balance!$T$31:$T$106,MATCH(UnitGradeInfo!B486,ref_Unit_Balance!$B$31:$B$1048576,0))=0,1,INDEX(ref_Unit_Balance!$T$31:$T$106,MATCH(UnitGradeInfo!B486,ref_Unit_Balance!$B$31:$B$1048576,0)))</f>
        <v>5</v>
      </c>
      <c r="J486" s="5">
        <f>INDEX(ref_Unit_Balance!$S$31:$S$106,MATCH(UnitGradeInfo!B486,ref_Unit_Balance!$B$31:$B$1048576,0))</f>
        <v>700</v>
      </c>
      <c r="K486" s="5">
        <v>0</v>
      </c>
      <c r="L486" s="5">
        <f>INDEX(ref_Unit_Balance!$I$31:$I$106,MATCH(UnitGradeInfo!B486,ref_Unit_Balance!$B$31:$B$1048576,0))</f>
        <v>4</v>
      </c>
      <c r="M486" s="5">
        <f t="shared" si="52"/>
        <v>36</v>
      </c>
      <c r="N486" s="5">
        <f t="shared" si="53"/>
        <v>360</v>
      </c>
      <c r="O486" s="5">
        <f>(INDEX(Unitinfo!I:I,MATCH(B486,Unitinfo!A:A,0))+1)*2</f>
        <v>2</v>
      </c>
      <c r="P486" s="5">
        <v>0</v>
      </c>
      <c r="Q486" s="5">
        <v>0</v>
      </c>
      <c r="R486" s="19" t="s">
        <v>121</v>
      </c>
      <c r="S486" s="19" t="s">
        <v>121</v>
      </c>
      <c r="T486" s="5">
        <f t="shared" si="49"/>
        <v>2022</v>
      </c>
      <c r="U486" s="5">
        <f t="shared" si="50"/>
        <v>1</v>
      </c>
      <c r="V486" s="5">
        <v>0</v>
      </c>
      <c r="W486" s="5">
        <v>10</v>
      </c>
    </row>
    <row r="487" spans="1:23">
      <c r="A487" s="5">
        <f t="shared" si="48"/>
        <v>484</v>
      </c>
      <c r="B487" s="93">
        <f t="shared" si="51"/>
        <v>2022</v>
      </c>
      <c r="C487" s="20" t="str">
        <f>INDEX(Unitinfo!C:C,MATCH(UnitGradeInfo!B487,Unitinfo!A:A,0))</f>
        <v>(원거리)Slime_Archer_Yellow</v>
      </c>
      <c r="D487" s="5">
        <f>COUNTIF($B$4:B487,B487)</f>
        <v>19</v>
      </c>
      <c r="E487" s="5">
        <f>ROUNDDOWN(INDEX(ref_Unit_Balance!$G$31:$G$106,MATCH(UnitGradeInfo!B487,ref_Unit_Balance!$B$31:$B$1048576,0))
+INDEX(ref_Unit_Balance!$G$20:$G$23,MATCH(IFERROR(INDEX(ref_Unit_Balance!$D$31:$D$1048576,MATCH(B487,ref_Unit_Balance!$B$31:$B$1048576,0)),0),ref_Unit_Balance!$B$20:$B$23,0))*D487*ref_Unit_Balance!$C$25,0)</f>
        <v>1102</v>
      </c>
      <c r="F487" s="5">
        <f>INDEX(ref_Unit_Balance!$V$31:$V$106,MATCH(UnitGradeInfo!B487,ref_Unit_Balance!$B$31:$B$1048576,0))
+
INDEX(ref_Unit_Balance!$AB$31:$AB$106,MATCH(UnitGradeInfo!B487,ref_Unit_Balance!$B$31:$B$1048576,0))*(D487-1)</f>
        <v>3600</v>
      </c>
      <c r="G487" s="5">
        <f>INDEX(ref_Unit_Balance!$R$31:$R$106,MATCH(UnitGradeInfo!B487,ref_Unit_Balance!$B$31:$B$1048576,0))
+
INDEX(ref_Unit_Balance!$AA$31:$AA$106,MATCH(UnitGradeInfo!B487,ref_Unit_Balance!$B$31:$B$1048576,0))*(D487-1)</f>
        <v>195</v>
      </c>
      <c r="H487" s="39">
        <f>IF(INDEX(Unitinfo!D:D,MATCH(UnitGradeInfo!B487,Unitinfo!A:A,0))=1,50,5)</f>
        <v>50</v>
      </c>
      <c r="I487" s="5">
        <f>IF(INDEX(ref_Unit_Balance!$T$31:$T$106,MATCH(UnitGradeInfo!B487,ref_Unit_Balance!$B$31:$B$1048576,0))=0,1,INDEX(ref_Unit_Balance!$T$31:$T$106,MATCH(UnitGradeInfo!B487,ref_Unit_Balance!$B$31:$B$1048576,0)))</f>
        <v>5</v>
      </c>
      <c r="J487" s="5">
        <f>INDEX(ref_Unit_Balance!$S$31:$S$106,MATCH(UnitGradeInfo!B487,ref_Unit_Balance!$B$31:$B$1048576,0))</f>
        <v>700</v>
      </c>
      <c r="K487" s="5">
        <v>0</v>
      </c>
      <c r="L487" s="5">
        <f>INDEX(ref_Unit_Balance!$I$31:$I$106,MATCH(UnitGradeInfo!B487,ref_Unit_Balance!$B$31:$B$1048576,0))</f>
        <v>4</v>
      </c>
      <c r="M487" s="5">
        <f t="shared" si="52"/>
        <v>38</v>
      </c>
      <c r="N487" s="5">
        <f t="shared" si="53"/>
        <v>380</v>
      </c>
      <c r="O487" s="5">
        <f>(INDEX(Unitinfo!I:I,MATCH(B487,Unitinfo!A:A,0))+1)*2</f>
        <v>2</v>
      </c>
      <c r="P487" s="5">
        <v>0</v>
      </c>
      <c r="Q487" s="5">
        <v>0</v>
      </c>
      <c r="R487" s="19" t="s">
        <v>121</v>
      </c>
      <c r="S487" s="19" t="s">
        <v>121</v>
      </c>
      <c r="T487" s="5">
        <f t="shared" si="49"/>
        <v>2022</v>
      </c>
      <c r="U487" s="5">
        <f t="shared" si="50"/>
        <v>1</v>
      </c>
      <c r="V487" s="5">
        <v>0</v>
      </c>
      <c r="W487" s="5">
        <v>10</v>
      </c>
    </row>
    <row r="488" spans="1:23">
      <c r="A488" s="5">
        <f t="shared" ref="A488:A551" si="54">A487+1</f>
        <v>485</v>
      </c>
      <c r="B488" s="93">
        <f t="shared" si="51"/>
        <v>2022</v>
      </c>
      <c r="C488" s="20" t="str">
        <f>INDEX(Unitinfo!C:C,MATCH(UnitGradeInfo!B488,Unitinfo!A:A,0))</f>
        <v>(원거리)Slime_Archer_Yellow</v>
      </c>
      <c r="D488" s="5">
        <f>COUNTIF($B$4:B488,B488)</f>
        <v>20</v>
      </c>
      <c r="E488" s="5">
        <f>ROUNDDOWN(INDEX(ref_Unit_Balance!$G$31:$G$106,MATCH(UnitGradeInfo!B488,ref_Unit_Balance!$B$31:$B$1048576,0))
+INDEX(ref_Unit_Balance!$G$20:$G$23,MATCH(IFERROR(INDEX(ref_Unit_Balance!$D$31:$D$1048576,MATCH(B488,ref_Unit_Balance!$B$31:$B$1048576,0)),0),ref_Unit_Balance!$B$20:$B$23,0))*D488*ref_Unit_Balance!$C$25,0)</f>
        <v>1152</v>
      </c>
      <c r="F488" s="5">
        <f>INDEX(ref_Unit_Balance!$V$31:$V$106,MATCH(UnitGradeInfo!B488,ref_Unit_Balance!$B$31:$B$1048576,0))
+
INDEX(ref_Unit_Balance!$AB$31:$AB$106,MATCH(UnitGradeInfo!B488,ref_Unit_Balance!$B$31:$B$1048576,0))*(D488-1)</f>
        <v>3750</v>
      </c>
      <c r="G488" s="5">
        <f>INDEX(ref_Unit_Balance!$R$31:$R$106,MATCH(UnitGradeInfo!B488,ref_Unit_Balance!$B$31:$B$1048576,0))
+
INDEX(ref_Unit_Balance!$AA$31:$AA$106,MATCH(UnitGradeInfo!B488,ref_Unit_Balance!$B$31:$B$1048576,0))*(D488-1)</f>
        <v>200</v>
      </c>
      <c r="H488" s="39">
        <f>IF(INDEX(Unitinfo!D:D,MATCH(UnitGradeInfo!B488,Unitinfo!A:A,0))=1,50,5)</f>
        <v>50</v>
      </c>
      <c r="I488" s="5">
        <f>IF(INDEX(ref_Unit_Balance!$T$31:$T$106,MATCH(UnitGradeInfo!B488,ref_Unit_Balance!$B$31:$B$1048576,0))=0,1,INDEX(ref_Unit_Balance!$T$31:$T$106,MATCH(UnitGradeInfo!B488,ref_Unit_Balance!$B$31:$B$1048576,0)))</f>
        <v>5</v>
      </c>
      <c r="J488" s="5">
        <f>INDEX(ref_Unit_Balance!$S$31:$S$106,MATCH(UnitGradeInfo!B488,ref_Unit_Balance!$B$31:$B$1048576,0))</f>
        <v>700</v>
      </c>
      <c r="K488" s="5">
        <v>0</v>
      </c>
      <c r="L488" s="5">
        <f>INDEX(ref_Unit_Balance!$I$31:$I$106,MATCH(UnitGradeInfo!B488,ref_Unit_Balance!$B$31:$B$1048576,0))</f>
        <v>4</v>
      </c>
      <c r="M488" s="5">
        <f t="shared" si="52"/>
        <v>40</v>
      </c>
      <c r="N488" s="5">
        <f t="shared" si="53"/>
        <v>400</v>
      </c>
      <c r="O488" s="5">
        <f>(INDEX(Unitinfo!I:I,MATCH(B488,Unitinfo!A:A,0))+1)*2</f>
        <v>2</v>
      </c>
      <c r="P488" s="5">
        <v>0</v>
      </c>
      <c r="Q488" s="5">
        <v>0</v>
      </c>
      <c r="R488" s="19" t="s">
        <v>121</v>
      </c>
      <c r="S488" s="19" t="s">
        <v>121</v>
      </c>
      <c r="T488" s="5">
        <f t="shared" si="49"/>
        <v>2022</v>
      </c>
      <c r="U488" s="5">
        <f t="shared" si="50"/>
        <v>1</v>
      </c>
      <c r="V488" s="5">
        <v>0</v>
      </c>
      <c r="W488" s="5">
        <v>10</v>
      </c>
    </row>
    <row r="489" spans="1:23">
      <c r="A489" s="5">
        <f t="shared" si="54"/>
        <v>486</v>
      </c>
      <c r="B489" s="93">
        <f t="shared" si="51"/>
        <v>2023</v>
      </c>
      <c r="C489" s="20" t="str">
        <f>INDEX(Unitinfo!C:C,MATCH(UnitGradeInfo!B489,Unitinfo!A:A,0))</f>
        <v>(근거리)Soul_Skeleton_Sword</v>
      </c>
      <c r="D489" s="5">
        <f>COUNTIF($B$4:B489,B489)</f>
        <v>1</v>
      </c>
      <c r="E489" s="5">
        <f>ROUNDDOWN(INDEX(ref_Unit_Balance!$G$31:$G$106,MATCH(UnitGradeInfo!B489,ref_Unit_Balance!$B$31:$B$1048576,0))
+INDEX(ref_Unit_Balance!$G$20:$G$23,MATCH(IFERROR(INDEX(ref_Unit_Balance!$D$31:$D$1048576,MATCH(B489,ref_Unit_Balance!$B$31:$B$1048576,0)),0),ref_Unit_Balance!$B$20:$B$23,0))*D489*ref_Unit_Balance!$C$25,0)</f>
        <v>275</v>
      </c>
      <c r="F489" s="5">
        <f>INDEX(ref_Unit_Balance!$V$31:$V$106,MATCH(UnitGradeInfo!B489,ref_Unit_Balance!$B$31:$B$1048576,0))
+
INDEX(ref_Unit_Balance!$AB$31:$AB$106,MATCH(UnitGradeInfo!B489,ref_Unit_Balance!$B$31:$B$1048576,0))*(D489-1)</f>
        <v>1600</v>
      </c>
      <c r="G489" s="5">
        <f>INDEX(ref_Unit_Balance!$R$31:$R$106,MATCH(UnitGradeInfo!B489,ref_Unit_Balance!$B$31:$B$1048576,0))
+
INDEX(ref_Unit_Balance!$AA$31:$AA$106,MATCH(UnitGradeInfo!B489,ref_Unit_Balance!$B$31:$B$1048576,0))*(D489-1)</f>
        <v>240</v>
      </c>
      <c r="H489" s="39">
        <f>IF(INDEX(Unitinfo!D:D,MATCH(UnitGradeInfo!B489,Unitinfo!A:A,0))=1,50,5)</f>
        <v>5</v>
      </c>
      <c r="I489" s="5">
        <f>IF(INDEX(ref_Unit_Balance!$T$31:$T$106,MATCH(UnitGradeInfo!B489,ref_Unit_Balance!$B$31:$B$1048576,0))=0,1,INDEX(ref_Unit_Balance!$T$31:$T$106,MATCH(UnitGradeInfo!B489,ref_Unit_Balance!$B$31:$B$1048576,0)))</f>
        <v>5</v>
      </c>
      <c r="J489" s="5">
        <f>INDEX(ref_Unit_Balance!$S$31:$S$106,MATCH(UnitGradeInfo!B489,ref_Unit_Balance!$B$31:$B$1048576,0))</f>
        <v>1000</v>
      </c>
      <c r="K489" s="5">
        <v>0</v>
      </c>
      <c r="L489" s="5">
        <f>INDEX(ref_Unit_Balance!$I$31:$I$106,MATCH(UnitGradeInfo!B489,ref_Unit_Balance!$B$31:$B$1048576,0))</f>
        <v>5</v>
      </c>
      <c r="M489" s="5">
        <f t="shared" si="52"/>
        <v>2</v>
      </c>
      <c r="N489" s="5">
        <f t="shared" si="53"/>
        <v>20</v>
      </c>
      <c r="O489" s="5">
        <f>(INDEX(Unitinfo!I:I,MATCH(B489,Unitinfo!A:A,0))+1)*2</f>
        <v>6</v>
      </c>
      <c r="P489" s="5">
        <v>0</v>
      </c>
      <c r="Q489" s="5">
        <v>0</v>
      </c>
      <c r="R489" s="19" t="s">
        <v>121</v>
      </c>
      <c r="S489" s="19" t="s">
        <v>121</v>
      </c>
      <c r="T489" s="5">
        <f t="shared" si="49"/>
        <v>2023</v>
      </c>
      <c r="U489" s="5">
        <f t="shared" si="50"/>
        <v>1</v>
      </c>
      <c r="V489" s="5">
        <v>0</v>
      </c>
      <c r="W489" s="5">
        <v>10</v>
      </c>
    </row>
    <row r="490" spans="1:23">
      <c r="A490" s="5">
        <f t="shared" si="54"/>
        <v>487</v>
      </c>
      <c r="B490" s="93">
        <f t="shared" si="51"/>
        <v>2023</v>
      </c>
      <c r="C490" s="20" t="str">
        <f>INDEX(Unitinfo!C:C,MATCH(UnitGradeInfo!B490,Unitinfo!A:A,0))</f>
        <v>(근거리)Soul_Skeleton_Sword</v>
      </c>
      <c r="D490" s="5">
        <f>COUNTIF($B$4:B490,B490)</f>
        <v>2</v>
      </c>
      <c r="E490" s="5">
        <f>ROUNDDOWN(INDEX(ref_Unit_Balance!$G$31:$G$106,MATCH(UnitGradeInfo!B490,ref_Unit_Balance!$B$31:$B$1048576,0))
+INDEX(ref_Unit_Balance!$G$20:$G$23,MATCH(IFERROR(INDEX(ref_Unit_Balance!$D$31:$D$1048576,MATCH(B490,ref_Unit_Balance!$B$31:$B$1048576,0)),0),ref_Unit_Balance!$B$20:$B$23,0))*D490*ref_Unit_Balance!$C$25,0)</f>
        <v>350</v>
      </c>
      <c r="F490" s="5">
        <f>INDEX(ref_Unit_Balance!$V$31:$V$106,MATCH(UnitGradeInfo!B490,ref_Unit_Balance!$B$31:$B$1048576,0))
+
INDEX(ref_Unit_Balance!$AB$31:$AB$106,MATCH(UnitGradeInfo!B490,ref_Unit_Balance!$B$31:$B$1048576,0))*(D490-1)</f>
        <v>1800</v>
      </c>
      <c r="G490" s="5">
        <f>INDEX(ref_Unit_Balance!$R$31:$R$106,MATCH(UnitGradeInfo!B490,ref_Unit_Balance!$B$31:$B$1048576,0))
+
INDEX(ref_Unit_Balance!$AA$31:$AA$106,MATCH(UnitGradeInfo!B490,ref_Unit_Balance!$B$31:$B$1048576,0))*(D490-1)</f>
        <v>247</v>
      </c>
      <c r="H490" s="39">
        <f>IF(INDEX(Unitinfo!D:D,MATCH(UnitGradeInfo!B490,Unitinfo!A:A,0))=1,50,5)</f>
        <v>5</v>
      </c>
      <c r="I490" s="5">
        <f>IF(INDEX(ref_Unit_Balance!$T$31:$T$106,MATCH(UnitGradeInfo!B490,ref_Unit_Balance!$B$31:$B$1048576,0))=0,1,INDEX(ref_Unit_Balance!$T$31:$T$106,MATCH(UnitGradeInfo!B490,ref_Unit_Balance!$B$31:$B$1048576,0)))</f>
        <v>5</v>
      </c>
      <c r="J490" s="5">
        <f>INDEX(ref_Unit_Balance!$S$31:$S$106,MATCH(UnitGradeInfo!B490,ref_Unit_Balance!$B$31:$B$1048576,0))</f>
        <v>1000</v>
      </c>
      <c r="K490" s="5">
        <v>0</v>
      </c>
      <c r="L490" s="5">
        <f>INDEX(ref_Unit_Balance!$I$31:$I$106,MATCH(UnitGradeInfo!B490,ref_Unit_Balance!$B$31:$B$1048576,0))</f>
        <v>5</v>
      </c>
      <c r="M490" s="5">
        <f t="shared" si="52"/>
        <v>4</v>
      </c>
      <c r="N490" s="5">
        <f t="shared" si="53"/>
        <v>40</v>
      </c>
      <c r="O490" s="5">
        <f>(INDEX(Unitinfo!I:I,MATCH(B490,Unitinfo!A:A,0))+1)*2</f>
        <v>6</v>
      </c>
      <c r="P490" s="5">
        <v>0</v>
      </c>
      <c r="Q490" s="5">
        <v>0</v>
      </c>
      <c r="R490" s="19" t="s">
        <v>121</v>
      </c>
      <c r="S490" s="19" t="s">
        <v>121</v>
      </c>
      <c r="T490" s="5">
        <f t="shared" si="49"/>
        <v>2023</v>
      </c>
      <c r="U490" s="5">
        <f t="shared" si="50"/>
        <v>1</v>
      </c>
      <c r="V490" s="5">
        <v>0</v>
      </c>
      <c r="W490" s="5">
        <v>10</v>
      </c>
    </row>
    <row r="491" spans="1:23">
      <c r="A491" s="5">
        <f t="shared" si="54"/>
        <v>488</v>
      </c>
      <c r="B491" s="93">
        <f t="shared" si="51"/>
        <v>2023</v>
      </c>
      <c r="C491" s="20" t="str">
        <f>INDEX(Unitinfo!C:C,MATCH(UnitGradeInfo!B491,Unitinfo!A:A,0))</f>
        <v>(근거리)Soul_Skeleton_Sword</v>
      </c>
      <c r="D491" s="5">
        <f>COUNTIF($B$4:B491,B491)</f>
        <v>3</v>
      </c>
      <c r="E491" s="5">
        <f>ROUNDDOWN(INDEX(ref_Unit_Balance!$G$31:$G$106,MATCH(UnitGradeInfo!B491,ref_Unit_Balance!$B$31:$B$1048576,0))
+INDEX(ref_Unit_Balance!$G$20:$G$23,MATCH(IFERROR(INDEX(ref_Unit_Balance!$D$31:$D$1048576,MATCH(B491,ref_Unit_Balance!$B$31:$B$1048576,0)),0),ref_Unit_Balance!$B$20:$B$23,0))*D491*ref_Unit_Balance!$C$25,0)</f>
        <v>425</v>
      </c>
      <c r="F491" s="5">
        <f>INDEX(ref_Unit_Balance!$V$31:$V$106,MATCH(UnitGradeInfo!B491,ref_Unit_Balance!$B$31:$B$1048576,0))
+
INDEX(ref_Unit_Balance!$AB$31:$AB$106,MATCH(UnitGradeInfo!B491,ref_Unit_Balance!$B$31:$B$1048576,0))*(D491-1)</f>
        <v>2000</v>
      </c>
      <c r="G491" s="5">
        <f>INDEX(ref_Unit_Balance!$R$31:$R$106,MATCH(UnitGradeInfo!B491,ref_Unit_Balance!$B$31:$B$1048576,0))
+
INDEX(ref_Unit_Balance!$AA$31:$AA$106,MATCH(UnitGradeInfo!B491,ref_Unit_Balance!$B$31:$B$1048576,0))*(D491-1)</f>
        <v>254</v>
      </c>
      <c r="H491" s="39">
        <f>IF(INDEX(Unitinfo!D:D,MATCH(UnitGradeInfo!B491,Unitinfo!A:A,0))=1,50,5)</f>
        <v>5</v>
      </c>
      <c r="I491" s="5">
        <f>IF(INDEX(ref_Unit_Balance!$T$31:$T$106,MATCH(UnitGradeInfo!B491,ref_Unit_Balance!$B$31:$B$1048576,0))=0,1,INDEX(ref_Unit_Balance!$T$31:$T$106,MATCH(UnitGradeInfo!B491,ref_Unit_Balance!$B$31:$B$1048576,0)))</f>
        <v>5</v>
      </c>
      <c r="J491" s="5">
        <f>INDEX(ref_Unit_Balance!$S$31:$S$106,MATCH(UnitGradeInfo!B491,ref_Unit_Balance!$B$31:$B$1048576,0))</f>
        <v>1000</v>
      </c>
      <c r="K491" s="5">
        <v>0</v>
      </c>
      <c r="L491" s="5">
        <f>INDEX(ref_Unit_Balance!$I$31:$I$106,MATCH(UnitGradeInfo!B491,ref_Unit_Balance!$B$31:$B$1048576,0))</f>
        <v>5</v>
      </c>
      <c r="M491" s="5">
        <f t="shared" si="52"/>
        <v>6</v>
      </c>
      <c r="N491" s="5">
        <f t="shared" si="53"/>
        <v>60</v>
      </c>
      <c r="O491" s="5">
        <f>(INDEX(Unitinfo!I:I,MATCH(B491,Unitinfo!A:A,0))+1)*2</f>
        <v>6</v>
      </c>
      <c r="P491" s="5">
        <v>0</v>
      </c>
      <c r="Q491" s="5">
        <v>0</v>
      </c>
      <c r="R491" s="19" t="s">
        <v>121</v>
      </c>
      <c r="S491" s="19" t="s">
        <v>121</v>
      </c>
      <c r="T491" s="5">
        <f t="shared" si="49"/>
        <v>2023</v>
      </c>
      <c r="U491" s="5">
        <f t="shared" si="50"/>
        <v>1</v>
      </c>
      <c r="V491" s="5">
        <v>0</v>
      </c>
      <c r="W491" s="5">
        <v>10</v>
      </c>
    </row>
    <row r="492" spans="1:23">
      <c r="A492" s="5">
        <f t="shared" si="54"/>
        <v>489</v>
      </c>
      <c r="B492" s="93">
        <f t="shared" si="51"/>
        <v>2023</v>
      </c>
      <c r="C492" s="20" t="str">
        <f>INDEX(Unitinfo!C:C,MATCH(UnitGradeInfo!B492,Unitinfo!A:A,0))</f>
        <v>(근거리)Soul_Skeleton_Sword</v>
      </c>
      <c r="D492" s="5">
        <f>COUNTIF($B$4:B492,B492)</f>
        <v>4</v>
      </c>
      <c r="E492" s="5">
        <f>ROUNDDOWN(INDEX(ref_Unit_Balance!$G$31:$G$106,MATCH(UnitGradeInfo!B492,ref_Unit_Balance!$B$31:$B$1048576,0))
+INDEX(ref_Unit_Balance!$G$20:$G$23,MATCH(IFERROR(INDEX(ref_Unit_Balance!$D$31:$D$1048576,MATCH(B492,ref_Unit_Balance!$B$31:$B$1048576,0)),0),ref_Unit_Balance!$B$20:$B$23,0))*D492*ref_Unit_Balance!$C$25,0)</f>
        <v>500</v>
      </c>
      <c r="F492" s="5">
        <f>INDEX(ref_Unit_Balance!$V$31:$V$106,MATCH(UnitGradeInfo!B492,ref_Unit_Balance!$B$31:$B$1048576,0))
+
INDEX(ref_Unit_Balance!$AB$31:$AB$106,MATCH(UnitGradeInfo!B492,ref_Unit_Balance!$B$31:$B$1048576,0))*(D492-1)</f>
        <v>2200</v>
      </c>
      <c r="G492" s="5">
        <f>INDEX(ref_Unit_Balance!$R$31:$R$106,MATCH(UnitGradeInfo!B492,ref_Unit_Balance!$B$31:$B$1048576,0))
+
INDEX(ref_Unit_Balance!$AA$31:$AA$106,MATCH(UnitGradeInfo!B492,ref_Unit_Balance!$B$31:$B$1048576,0))*(D492-1)</f>
        <v>261</v>
      </c>
      <c r="H492" s="39">
        <f>IF(INDEX(Unitinfo!D:D,MATCH(UnitGradeInfo!B492,Unitinfo!A:A,0))=1,50,5)</f>
        <v>5</v>
      </c>
      <c r="I492" s="5">
        <f>IF(INDEX(ref_Unit_Balance!$T$31:$T$106,MATCH(UnitGradeInfo!B492,ref_Unit_Balance!$B$31:$B$1048576,0))=0,1,INDEX(ref_Unit_Balance!$T$31:$T$106,MATCH(UnitGradeInfo!B492,ref_Unit_Balance!$B$31:$B$1048576,0)))</f>
        <v>5</v>
      </c>
      <c r="J492" s="5">
        <f>INDEX(ref_Unit_Balance!$S$31:$S$106,MATCH(UnitGradeInfo!B492,ref_Unit_Balance!$B$31:$B$1048576,0))</f>
        <v>1000</v>
      </c>
      <c r="K492" s="5">
        <v>0</v>
      </c>
      <c r="L492" s="5">
        <f>INDEX(ref_Unit_Balance!$I$31:$I$106,MATCH(UnitGradeInfo!B492,ref_Unit_Balance!$B$31:$B$1048576,0))</f>
        <v>5</v>
      </c>
      <c r="M492" s="5">
        <f t="shared" si="52"/>
        <v>8</v>
      </c>
      <c r="N492" s="5">
        <f t="shared" si="53"/>
        <v>80</v>
      </c>
      <c r="O492" s="5">
        <f>(INDEX(Unitinfo!I:I,MATCH(B492,Unitinfo!A:A,0))+1)*2</f>
        <v>6</v>
      </c>
      <c r="P492" s="5">
        <v>0</v>
      </c>
      <c r="Q492" s="5">
        <v>0</v>
      </c>
      <c r="R492" s="19" t="s">
        <v>121</v>
      </c>
      <c r="S492" s="19" t="s">
        <v>121</v>
      </c>
      <c r="T492" s="5">
        <f t="shared" si="49"/>
        <v>2023</v>
      </c>
      <c r="U492" s="5">
        <f t="shared" si="50"/>
        <v>1</v>
      </c>
      <c r="V492" s="5">
        <v>0</v>
      </c>
      <c r="W492" s="5">
        <v>10</v>
      </c>
    </row>
    <row r="493" spans="1:23">
      <c r="A493" s="5">
        <f t="shared" si="54"/>
        <v>490</v>
      </c>
      <c r="B493" s="93">
        <f t="shared" si="51"/>
        <v>2023</v>
      </c>
      <c r="C493" s="20" t="str">
        <f>INDEX(Unitinfo!C:C,MATCH(UnitGradeInfo!B493,Unitinfo!A:A,0))</f>
        <v>(근거리)Soul_Skeleton_Sword</v>
      </c>
      <c r="D493" s="5">
        <f>COUNTIF($B$4:B493,B493)</f>
        <v>5</v>
      </c>
      <c r="E493" s="5">
        <f>ROUNDDOWN(INDEX(ref_Unit_Balance!$G$31:$G$106,MATCH(UnitGradeInfo!B493,ref_Unit_Balance!$B$31:$B$1048576,0))
+INDEX(ref_Unit_Balance!$G$20:$G$23,MATCH(IFERROR(INDEX(ref_Unit_Balance!$D$31:$D$1048576,MATCH(B493,ref_Unit_Balance!$B$31:$B$1048576,0)),0),ref_Unit_Balance!$B$20:$B$23,0))*D493*ref_Unit_Balance!$C$25,0)</f>
        <v>575</v>
      </c>
      <c r="F493" s="5">
        <f>INDEX(ref_Unit_Balance!$V$31:$V$106,MATCH(UnitGradeInfo!B493,ref_Unit_Balance!$B$31:$B$1048576,0))
+
INDEX(ref_Unit_Balance!$AB$31:$AB$106,MATCH(UnitGradeInfo!B493,ref_Unit_Balance!$B$31:$B$1048576,0))*(D493-1)</f>
        <v>2400</v>
      </c>
      <c r="G493" s="5">
        <f>INDEX(ref_Unit_Balance!$R$31:$R$106,MATCH(UnitGradeInfo!B493,ref_Unit_Balance!$B$31:$B$1048576,0))
+
INDEX(ref_Unit_Balance!$AA$31:$AA$106,MATCH(UnitGradeInfo!B493,ref_Unit_Balance!$B$31:$B$1048576,0))*(D493-1)</f>
        <v>268</v>
      </c>
      <c r="H493" s="39">
        <f>IF(INDEX(Unitinfo!D:D,MATCH(UnitGradeInfo!B493,Unitinfo!A:A,0))=1,50,5)</f>
        <v>5</v>
      </c>
      <c r="I493" s="5">
        <f>IF(INDEX(ref_Unit_Balance!$T$31:$T$106,MATCH(UnitGradeInfo!B493,ref_Unit_Balance!$B$31:$B$1048576,0))=0,1,INDEX(ref_Unit_Balance!$T$31:$T$106,MATCH(UnitGradeInfo!B493,ref_Unit_Balance!$B$31:$B$1048576,0)))</f>
        <v>5</v>
      </c>
      <c r="J493" s="5">
        <f>INDEX(ref_Unit_Balance!$S$31:$S$106,MATCH(UnitGradeInfo!B493,ref_Unit_Balance!$B$31:$B$1048576,0))</f>
        <v>1000</v>
      </c>
      <c r="K493" s="5">
        <v>0</v>
      </c>
      <c r="L493" s="5">
        <f>INDEX(ref_Unit_Balance!$I$31:$I$106,MATCH(UnitGradeInfo!B493,ref_Unit_Balance!$B$31:$B$1048576,0))</f>
        <v>5</v>
      </c>
      <c r="M493" s="5">
        <f t="shared" si="52"/>
        <v>10</v>
      </c>
      <c r="N493" s="5">
        <f t="shared" si="53"/>
        <v>100</v>
      </c>
      <c r="O493" s="5">
        <f>(INDEX(Unitinfo!I:I,MATCH(B493,Unitinfo!A:A,0))+1)*2</f>
        <v>6</v>
      </c>
      <c r="P493" s="5">
        <v>0</v>
      </c>
      <c r="Q493" s="5">
        <v>0</v>
      </c>
      <c r="R493" s="19" t="s">
        <v>121</v>
      </c>
      <c r="S493" s="19" t="s">
        <v>121</v>
      </c>
      <c r="T493" s="5">
        <f t="shared" si="49"/>
        <v>2023</v>
      </c>
      <c r="U493" s="5">
        <f t="shared" si="50"/>
        <v>1</v>
      </c>
      <c r="V493" s="5">
        <v>0</v>
      </c>
      <c r="W493" s="5">
        <v>10</v>
      </c>
    </row>
    <row r="494" spans="1:23">
      <c r="A494" s="5">
        <f t="shared" si="54"/>
        <v>491</v>
      </c>
      <c r="B494" s="93">
        <f t="shared" si="51"/>
        <v>2023</v>
      </c>
      <c r="C494" s="20" t="str">
        <f>INDEX(Unitinfo!C:C,MATCH(UnitGradeInfo!B494,Unitinfo!A:A,0))</f>
        <v>(근거리)Soul_Skeleton_Sword</v>
      </c>
      <c r="D494" s="5">
        <f>COUNTIF($B$4:B494,B494)</f>
        <v>6</v>
      </c>
      <c r="E494" s="5">
        <f>ROUNDDOWN(INDEX(ref_Unit_Balance!$G$31:$G$106,MATCH(UnitGradeInfo!B494,ref_Unit_Balance!$B$31:$B$1048576,0))
+INDEX(ref_Unit_Balance!$G$20:$G$23,MATCH(IFERROR(INDEX(ref_Unit_Balance!$D$31:$D$1048576,MATCH(B494,ref_Unit_Balance!$B$31:$B$1048576,0)),0),ref_Unit_Balance!$B$20:$B$23,0))*D494*ref_Unit_Balance!$C$25,0)</f>
        <v>650</v>
      </c>
      <c r="F494" s="5">
        <f>INDEX(ref_Unit_Balance!$V$31:$V$106,MATCH(UnitGradeInfo!B494,ref_Unit_Balance!$B$31:$B$1048576,0))
+
INDEX(ref_Unit_Balance!$AB$31:$AB$106,MATCH(UnitGradeInfo!B494,ref_Unit_Balance!$B$31:$B$1048576,0))*(D494-1)</f>
        <v>2600</v>
      </c>
      <c r="G494" s="5">
        <f>INDEX(ref_Unit_Balance!$R$31:$R$106,MATCH(UnitGradeInfo!B494,ref_Unit_Balance!$B$31:$B$1048576,0))
+
INDEX(ref_Unit_Balance!$AA$31:$AA$106,MATCH(UnitGradeInfo!B494,ref_Unit_Balance!$B$31:$B$1048576,0))*(D494-1)</f>
        <v>275</v>
      </c>
      <c r="H494" s="39">
        <f>IF(INDEX(Unitinfo!D:D,MATCH(UnitGradeInfo!B494,Unitinfo!A:A,0))=1,50,5)</f>
        <v>5</v>
      </c>
      <c r="I494" s="5">
        <f>IF(INDEX(ref_Unit_Balance!$T$31:$T$106,MATCH(UnitGradeInfo!B494,ref_Unit_Balance!$B$31:$B$1048576,0))=0,1,INDEX(ref_Unit_Balance!$T$31:$T$106,MATCH(UnitGradeInfo!B494,ref_Unit_Balance!$B$31:$B$1048576,0)))</f>
        <v>5</v>
      </c>
      <c r="J494" s="5">
        <f>INDEX(ref_Unit_Balance!$S$31:$S$106,MATCH(UnitGradeInfo!B494,ref_Unit_Balance!$B$31:$B$1048576,0))</f>
        <v>1000</v>
      </c>
      <c r="K494" s="5">
        <v>0</v>
      </c>
      <c r="L494" s="5">
        <f>INDEX(ref_Unit_Balance!$I$31:$I$106,MATCH(UnitGradeInfo!B494,ref_Unit_Balance!$B$31:$B$1048576,0))</f>
        <v>5</v>
      </c>
      <c r="M494" s="5">
        <f t="shared" si="52"/>
        <v>12</v>
      </c>
      <c r="N494" s="5">
        <f t="shared" si="53"/>
        <v>120</v>
      </c>
      <c r="O494" s="5">
        <f>(INDEX(Unitinfo!I:I,MATCH(B494,Unitinfo!A:A,0))+1)*2</f>
        <v>6</v>
      </c>
      <c r="P494" s="5">
        <v>0</v>
      </c>
      <c r="Q494" s="5">
        <v>0</v>
      </c>
      <c r="R494" s="19" t="s">
        <v>121</v>
      </c>
      <c r="S494" s="19" t="s">
        <v>121</v>
      </c>
      <c r="T494" s="5">
        <f t="shared" si="49"/>
        <v>2023</v>
      </c>
      <c r="U494" s="5">
        <f t="shared" si="50"/>
        <v>1</v>
      </c>
      <c r="V494" s="5">
        <v>0</v>
      </c>
      <c r="W494" s="5">
        <v>10</v>
      </c>
    </row>
    <row r="495" spans="1:23">
      <c r="A495" s="5">
        <f t="shared" si="54"/>
        <v>492</v>
      </c>
      <c r="B495" s="93">
        <f t="shared" si="51"/>
        <v>2023</v>
      </c>
      <c r="C495" s="20" t="str">
        <f>INDEX(Unitinfo!C:C,MATCH(UnitGradeInfo!B495,Unitinfo!A:A,0))</f>
        <v>(근거리)Soul_Skeleton_Sword</v>
      </c>
      <c r="D495" s="5">
        <f>COUNTIF($B$4:B495,B495)</f>
        <v>7</v>
      </c>
      <c r="E495" s="5">
        <f>ROUNDDOWN(INDEX(ref_Unit_Balance!$G$31:$G$106,MATCH(UnitGradeInfo!B495,ref_Unit_Balance!$B$31:$B$1048576,0))
+INDEX(ref_Unit_Balance!$G$20:$G$23,MATCH(IFERROR(INDEX(ref_Unit_Balance!$D$31:$D$1048576,MATCH(B495,ref_Unit_Balance!$B$31:$B$1048576,0)),0),ref_Unit_Balance!$B$20:$B$23,0))*D495*ref_Unit_Balance!$C$25,0)</f>
        <v>725</v>
      </c>
      <c r="F495" s="5">
        <f>INDEX(ref_Unit_Balance!$V$31:$V$106,MATCH(UnitGradeInfo!B495,ref_Unit_Balance!$B$31:$B$1048576,0))
+
INDEX(ref_Unit_Balance!$AB$31:$AB$106,MATCH(UnitGradeInfo!B495,ref_Unit_Balance!$B$31:$B$1048576,0))*(D495-1)</f>
        <v>2800</v>
      </c>
      <c r="G495" s="5">
        <f>INDEX(ref_Unit_Balance!$R$31:$R$106,MATCH(UnitGradeInfo!B495,ref_Unit_Balance!$B$31:$B$1048576,0))
+
INDEX(ref_Unit_Balance!$AA$31:$AA$106,MATCH(UnitGradeInfo!B495,ref_Unit_Balance!$B$31:$B$1048576,0))*(D495-1)</f>
        <v>282</v>
      </c>
      <c r="H495" s="39">
        <f>IF(INDEX(Unitinfo!D:D,MATCH(UnitGradeInfo!B495,Unitinfo!A:A,0))=1,50,5)</f>
        <v>5</v>
      </c>
      <c r="I495" s="5">
        <f>IF(INDEX(ref_Unit_Balance!$T$31:$T$106,MATCH(UnitGradeInfo!B495,ref_Unit_Balance!$B$31:$B$1048576,0))=0,1,INDEX(ref_Unit_Balance!$T$31:$T$106,MATCH(UnitGradeInfo!B495,ref_Unit_Balance!$B$31:$B$1048576,0)))</f>
        <v>5</v>
      </c>
      <c r="J495" s="5">
        <f>INDEX(ref_Unit_Balance!$S$31:$S$106,MATCH(UnitGradeInfo!B495,ref_Unit_Balance!$B$31:$B$1048576,0))</f>
        <v>1000</v>
      </c>
      <c r="K495" s="5">
        <v>0</v>
      </c>
      <c r="L495" s="5">
        <f>INDEX(ref_Unit_Balance!$I$31:$I$106,MATCH(UnitGradeInfo!B495,ref_Unit_Balance!$B$31:$B$1048576,0))</f>
        <v>5</v>
      </c>
      <c r="M495" s="5">
        <f t="shared" si="52"/>
        <v>14</v>
      </c>
      <c r="N495" s="5">
        <f t="shared" si="53"/>
        <v>140</v>
      </c>
      <c r="O495" s="5">
        <f>(INDEX(Unitinfo!I:I,MATCH(B495,Unitinfo!A:A,0))+1)*2</f>
        <v>6</v>
      </c>
      <c r="P495" s="5">
        <v>0</v>
      </c>
      <c r="Q495" s="5">
        <v>0</v>
      </c>
      <c r="R495" s="19" t="s">
        <v>121</v>
      </c>
      <c r="S495" s="19" t="s">
        <v>121</v>
      </c>
      <c r="T495" s="5">
        <f t="shared" si="49"/>
        <v>2023</v>
      </c>
      <c r="U495" s="5">
        <f t="shared" si="50"/>
        <v>1</v>
      </c>
      <c r="V495" s="5">
        <v>0</v>
      </c>
      <c r="W495" s="5">
        <v>10</v>
      </c>
    </row>
    <row r="496" spans="1:23">
      <c r="A496" s="5">
        <f t="shared" si="54"/>
        <v>493</v>
      </c>
      <c r="B496" s="93">
        <f t="shared" si="51"/>
        <v>2023</v>
      </c>
      <c r="C496" s="20" t="str">
        <f>INDEX(Unitinfo!C:C,MATCH(UnitGradeInfo!B496,Unitinfo!A:A,0))</f>
        <v>(근거리)Soul_Skeleton_Sword</v>
      </c>
      <c r="D496" s="5">
        <f>COUNTIF($B$4:B496,B496)</f>
        <v>8</v>
      </c>
      <c r="E496" s="5">
        <f>ROUNDDOWN(INDEX(ref_Unit_Balance!$G$31:$G$106,MATCH(UnitGradeInfo!B496,ref_Unit_Balance!$B$31:$B$1048576,0))
+INDEX(ref_Unit_Balance!$G$20:$G$23,MATCH(IFERROR(INDEX(ref_Unit_Balance!$D$31:$D$1048576,MATCH(B496,ref_Unit_Balance!$B$31:$B$1048576,0)),0),ref_Unit_Balance!$B$20:$B$23,0))*D496*ref_Unit_Balance!$C$25,0)</f>
        <v>800</v>
      </c>
      <c r="F496" s="5">
        <f>INDEX(ref_Unit_Balance!$V$31:$V$106,MATCH(UnitGradeInfo!B496,ref_Unit_Balance!$B$31:$B$1048576,0))
+
INDEX(ref_Unit_Balance!$AB$31:$AB$106,MATCH(UnitGradeInfo!B496,ref_Unit_Balance!$B$31:$B$1048576,0))*(D496-1)</f>
        <v>3000</v>
      </c>
      <c r="G496" s="5">
        <f>INDEX(ref_Unit_Balance!$R$31:$R$106,MATCH(UnitGradeInfo!B496,ref_Unit_Balance!$B$31:$B$1048576,0))
+
INDEX(ref_Unit_Balance!$AA$31:$AA$106,MATCH(UnitGradeInfo!B496,ref_Unit_Balance!$B$31:$B$1048576,0))*(D496-1)</f>
        <v>289</v>
      </c>
      <c r="H496" s="39">
        <f>IF(INDEX(Unitinfo!D:D,MATCH(UnitGradeInfo!B496,Unitinfo!A:A,0))=1,50,5)</f>
        <v>5</v>
      </c>
      <c r="I496" s="5">
        <f>IF(INDEX(ref_Unit_Balance!$T$31:$T$106,MATCH(UnitGradeInfo!B496,ref_Unit_Balance!$B$31:$B$1048576,0))=0,1,INDEX(ref_Unit_Balance!$T$31:$T$106,MATCH(UnitGradeInfo!B496,ref_Unit_Balance!$B$31:$B$1048576,0)))</f>
        <v>5</v>
      </c>
      <c r="J496" s="5">
        <f>INDEX(ref_Unit_Balance!$S$31:$S$106,MATCH(UnitGradeInfo!B496,ref_Unit_Balance!$B$31:$B$1048576,0))</f>
        <v>1000</v>
      </c>
      <c r="K496" s="5">
        <v>0</v>
      </c>
      <c r="L496" s="5">
        <f>INDEX(ref_Unit_Balance!$I$31:$I$106,MATCH(UnitGradeInfo!B496,ref_Unit_Balance!$B$31:$B$1048576,0))</f>
        <v>5</v>
      </c>
      <c r="M496" s="5">
        <f t="shared" si="52"/>
        <v>16</v>
      </c>
      <c r="N496" s="5">
        <f t="shared" si="53"/>
        <v>160</v>
      </c>
      <c r="O496" s="5">
        <f>(INDEX(Unitinfo!I:I,MATCH(B496,Unitinfo!A:A,0))+1)*2</f>
        <v>6</v>
      </c>
      <c r="P496" s="5">
        <v>0</v>
      </c>
      <c r="Q496" s="5">
        <v>0</v>
      </c>
      <c r="R496" s="19" t="s">
        <v>121</v>
      </c>
      <c r="S496" s="19" t="s">
        <v>121</v>
      </c>
      <c r="T496" s="5">
        <f t="shared" si="49"/>
        <v>2023</v>
      </c>
      <c r="U496" s="5">
        <f t="shared" si="50"/>
        <v>1</v>
      </c>
      <c r="V496" s="5">
        <v>0</v>
      </c>
      <c r="W496" s="5">
        <v>10</v>
      </c>
    </row>
    <row r="497" spans="1:23">
      <c r="A497" s="5">
        <f t="shared" si="54"/>
        <v>494</v>
      </c>
      <c r="B497" s="93">
        <f t="shared" si="51"/>
        <v>2023</v>
      </c>
      <c r="C497" s="20" t="str">
        <f>INDEX(Unitinfo!C:C,MATCH(UnitGradeInfo!B497,Unitinfo!A:A,0))</f>
        <v>(근거리)Soul_Skeleton_Sword</v>
      </c>
      <c r="D497" s="5">
        <f>COUNTIF($B$4:B497,B497)</f>
        <v>9</v>
      </c>
      <c r="E497" s="5">
        <f>ROUNDDOWN(INDEX(ref_Unit_Balance!$G$31:$G$106,MATCH(UnitGradeInfo!B497,ref_Unit_Balance!$B$31:$B$1048576,0))
+INDEX(ref_Unit_Balance!$G$20:$G$23,MATCH(IFERROR(INDEX(ref_Unit_Balance!$D$31:$D$1048576,MATCH(B497,ref_Unit_Balance!$B$31:$B$1048576,0)),0),ref_Unit_Balance!$B$20:$B$23,0))*D497*ref_Unit_Balance!$C$25,0)</f>
        <v>875</v>
      </c>
      <c r="F497" s="5">
        <f>INDEX(ref_Unit_Balance!$V$31:$V$106,MATCH(UnitGradeInfo!B497,ref_Unit_Balance!$B$31:$B$1048576,0))
+
INDEX(ref_Unit_Balance!$AB$31:$AB$106,MATCH(UnitGradeInfo!B497,ref_Unit_Balance!$B$31:$B$1048576,0))*(D497-1)</f>
        <v>3200</v>
      </c>
      <c r="G497" s="5">
        <f>INDEX(ref_Unit_Balance!$R$31:$R$106,MATCH(UnitGradeInfo!B497,ref_Unit_Balance!$B$31:$B$1048576,0))
+
INDEX(ref_Unit_Balance!$AA$31:$AA$106,MATCH(UnitGradeInfo!B497,ref_Unit_Balance!$B$31:$B$1048576,0))*(D497-1)</f>
        <v>296</v>
      </c>
      <c r="H497" s="39">
        <f>IF(INDEX(Unitinfo!D:D,MATCH(UnitGradeInfo!B497,Unitinfo!A:A,0))=1,50,5)</f>
        <v>5</v>
      </c>
      <c r="I497" s="5">
        <f>IF(INDEX(ref_Unit_Balance!$T$31:$T$106,MATCH(UnitGradeInfo!B497,ref_Unit_Balance!$B$31:$B$1048576,0))=0,1,INDEX(ref_Unit_Balance!$T$31:$T$106,MATCH(UnitGradeInfo!B497,ref_Unit_Balance!$B$31:$B$1048576,0)))</f>
        <v>5</v>
      </c>
      <c r="J497" s="5">
        <f>INDEX(ref_Unit_Balance!$S$31:$S$106,MATCH(UnitGradeInfo!B497,ref_Unit_Balance!$B$31:$B$1048576,0))</f>
        <v>1000</v>
      </c>
      <c r="K497" s="5">
        <v>0</v>
      </c>
      <c r="L497" s="5">
        <f>INDEX(ref_Unit_Balance!$I$31:$I$106,MATCH(UnitGradeInfo!B497,ref_Unit_Balance!$B$31:$B$1048576,0))</f>
        <v>5</v>
      </c>
      <c r="M497" s="5">
        <f t="shared" si="52"/>
        <v>18</v>
      </c>
      <c r="N497" s="5">
        <f t="shared" si="53"/>
        <v>180</v>
      </c>
      <c r="O497" s="5">
        <f>(INDEX(Unitinfo!I:I,MATCH(B497,Unitinfo!A:A,0))+1)*2</f>
        <v>6</v>
      </c>
      <c r="P497" s="5">
        <v>0</v>
      </c>
      <c r="Q497" s="5">
        <v>0</v>
      </c>
      <c r="R497" s="19" t="s">
        <v>121</v>
      </c>
      <c r="S497" s="19" t="s">
        <v>121</v>
      </c>
      <c r="T497" s="5">
        <f t="shared" ref="T497:T560" si="55">B497</f>
        <v>2023</v>
      </c>
      <c r="U497" s="5">
        <f t="shared" ref="U497:U560" si="56">IF(B497&gt;10000,0,1)</f>
        <v>1</v>
      </c>
      <c r="V497" s="5">
        <v>0</v>
      </c>
      <c r="W497" s="5">
        <v>10</v>
      </c>
    </row>
    <row r="498" spans="1:23">
      <c r="A498" s="5">
        <f t="shared" si="54"/>
        <v>495</v>
      </c>
      <c r="B498" s="93">
        <f t="shared" ref="B498:B561" si="57">QUOTIENT(A498-45-1,20)+2001</f>
        <v>2023</v>
      </c>
      <c r="C498" s="20" t="str">
        <f>INDEX(Unitinfo!C:C,MATCH(UnitGradeInfo!B498,Unitinfo!A:A,0))</f>
        <v>(근거리)Soul_Skeleton_Sword</v>
      </c>
      <c r="D498" s="5">
        <f>COUNTIF($B$4:B498,B498)</f>
        <v>10</v>
      </c>
      <c r="E498" s="5">
        <f>ROUNDDOWN(INDEX(ref_Unit_Balance!$G$31:$G$106,MATCH(UnitGradeInfo!B498,ref_Unit_Balance!$B$31:$B$1048576,0))
+INDEX(ref_Unit_Balance!$G$20:$G$23,MATCH(IFERROR(INDEX(ref_Unit_Balance!$D$31:$D$1048576,MATCH(B498,ref_Unit_Balance!$B$31:$B$1048576,0)),0),ref_Unit_Balance!$B$20:$B$23,0))*D498*ref_Unit_Balance!$C$25,0)</f>
        <v>950</v>
      </c>
      <c r="F498" s="5">
        <f>INDEX(ref_Unit_Balance!$V$31:$V$106,MATCH(UnitGradeInfo!B498,ref_Unit_Balance!$B$31:$B$1048576,0))
+
INDEX(ref_Unit_Balance!$AB$31:$AB$106,MATCH(UnitGradeInfo!B498,ref_Unit_Balance!$B$31:$B$1048576,0))*(D498-1)</f>
        <v>3400</v>
      </c>
      <c r="G498" s="5">
        <f>INDEX(ref_Unit_Balance!$R$31:$R$106,MATCH(UnitGradeInfo!B498,ref_Unit_Balance!$B$31:$B$1048576,0))
+
INDEX(ref_Unit_Balance!$AA$31:$AA$106,MATCH(UnitGradeInfo!B498,ref_Unit_Balance!$B$31:$B$1048576,0))*(D498-1)</f>
        <v>303</v>
      </c>
      <c r="H498" s="39">
        <f>IF(INDEX(Unitinfo!D:D,MATCH(UnitGradeInfo!B498,Unitinfo!A:A,0))=1,50,5)</f>
        <v>5</v>
      </c>
      <c r="I498" s="5">
        <f>IF(INDEX(ref_Unit_Balance!$T$31:$T$106,MATCH(UnitGradeInfo!B498,ref_Unit_Balance!$B$31:$B$1048576,0))=0,1,INDEX(ref_Unit_Balance!$T$31:$T$106,MATCH(UnitGradeInfo!B498,ref_Unit_Balance!$B$31:$B$1048576,0)))</f>
        <v>5</v>
      </c>
      <c r="J498" s="5">
        <f>INDEX(ref_Unit_Balance!$S$31:$S$106,MATCH(UnitGradeInfo!B498,ref_Unit_Balance!$B$31:$B$1048576,0))</f>
        <v>1000</v>
      </c>
      <c r="K498" s="5">
        <v>0</v>
      </c>
      <c r="L498" s="5">
        <f>INDEX(ref_Unit_Balance!$I$31:$I$106,MATCH(UnitGradeInfo!B498,ref_Unit_Balance!$B$31:$B$1048576,0))</f>
        <v>5</v>
      </c>
      <c r="M498" s="5">
        <f t="shared" si="52"/>
        <v>20</v>
      </c>
      <c r="N498" s="5">
        <f t="shared" si="53"/>
        <v>200</v>
      </c>
      <c r="O498" s="5">
        <f>(INDEX(Unitinfo!I:I,MATCH(B498,Unitinfo!A:A,0))+1)*2</f>
        <v>6</v>
      </c>
      <c r="P498" s="5">
        <v>0</v>
      </c>
      <c r="Q498" s="5">
        <v>0</v>
      </c>
      <c r="R498" s="19" t="s">
        <v>121</v>
      </c>
      <c r="S498" s="19" t="s">
        <v>121</v>
      </c>
      <c r="T498" s="5">
        <f t="shared" si="55"/>
        <v>2023</v>
      </c>
      <c r="U498" s="5">
        <f t="shared" si="56"/>
        <v>1</v>
      </c>
      <c r="V498" s="5">
        <v>0</v>
      </c>
      <c r="W498" s="5">
        <v>10</v>
      </c>
    </row>
    <row r="499" spans="1:23">
      <c r="A499" s="5">
        <f t="shared" si="54"/>
        <v>496</v>
      </c>
      <c r="B499" s="93">
        <f t="shared" si="57"/>
        <v>2023</v>
      </c>
      <c r="C499" s="20" t="str">
        <f>INDEX(Unitinfo!C:C,MATCH(UnitGradeInfo!B499,Unitinfo!A:A,0))</f>
        <v>(근거리)Soul_Skeleton_Sword</v>
      </c>
      <c r="D499" s="5">
        <f>COUNTIF($B$4:B499,B499)</f>
        <v>11</v>
      </c>
      <c r="E499" s="5">
        <f>ROUNDDOWN(INDEX(ref_Unit_Balance!$G$31:$G$106,MATCH(UnitGradeInfo!B499,ref_Unit_Balance!$B$31:$B$1048576,0))
+INDEX(ref_Unit_Balance!$G$20:$G$23,MATCH(IFERROR(INDEX(ref_Unit_Balance!$D$31:$D$1048576,MATCH(B499,ref_Unit_Balance!$B$31:$B$1048576,0)),0),ref_Unit_Balance!$B$20:$B$23,0))*D499*ref_Unit_Balance!$C$25,0)</f>
        <v>1025</v>
      </c>
      <c r="F499" s="5">
        <f>INDEX(ref_Unit_Balance!$V$31:$V$106,MATCH(UnitGradeInfo!B499,ref_Unit_Balance!$B$31:$B$1048576,0))
+
INDEX(ref_Unit_Balance!$AB$31:$AB$106,MATCH(UnitGradeInfo!B499,ref_Unit_Balance!$B$31:$B$1048576,0))*(D499-1)</f>
        <v>3600</v>
      </c>
      <c r="G499" s="5">
        <f>INDEX(ref_Unit_Balance!$R$31:$R$106,MATCH(UnitGradeInfo!B499,ref_Unit_Balance!$B$31:$B$1048576,0))
+
INDEX(ref_Unit_Balance!$AA$31:$AA$106,MATCH(UnitGradeInfo!B499,ref_Unit_Balance!$B$31:$B$1048576,0))*(D499-1)</f>
        <v>310</v>
      </c>
      <c r="H499" s="39">
        <f>IF(INDEX(Unitinfo!D:D,MATCH(UnitGradeInfo!B499,Unitinfo!A:A,0))=1,50,5)</f>
        <v>5</v>
      </c>
      <c r="I499" s="5">
        <f>IF(INDEX(ref_Unit_Balance!$T$31:$T$106,MATCH(UnitGradeInfo!B499,ref_Unit_Balance!$B$31:$B$1048576,0))=0,1,INDEX(ref_Unit_Balance!$T$31:$T$106,MATCH(UnitGradeInfo!B499,ref_Unit_Balance!$B$31:$B$1048576,0)))</f>
        <v>5</v>
      </c>
      <c r="J499" s="5">
        <f>INDEX(ref_Unit_Balance!$S$31:$S$106,MATCH(UnitGradeInfo!B499,ref_Unit_Balance!$B$31:$B$1048576,0))</f>
        <v>1000</v>
      </c>
      <c r="K499" s="5">
        <v>0</v>
      </c>
      <c r="L499" s="5">
        <f>INDEX(ref_Unit_Balance!$I$31:$I$106,MATCH(UnitGradeInfo!B499,ref_Unit_Balance!$B$31:$B$1048576,0))</f>
        <v>5</v>
      </c>
      <c r="M499" s="5">
        <f t="shared" si="52"/>
        <v>22</v>
      </c>
      <c r="N499" s="5">
        <f t="shared" si="53"/>
        <v>220</v>
      </c>
      <c r="O499" s="5">
        <f>(INDEX(Unitinfo!I:I,MATCH(B499,Unitinfo!A:A,0))+1)*2</f>
        <v>6</v>
      </c>
      <c r="P499" s="5">
        <v>0</v>
      </c>
      <c r="Q499" s="5">
        <v>0</v>
      </c>
      <c r="R499" s="19" t="s">
        <v>121</v>
      </c>
      <c r="S499" s="19" t="s">
        <v>121</v>
      </c>
      <c r="T499" s="5">
        <f t="shared" si="55"/>
        <v>2023</v>
      </c>
      <c r="U499" s="5">
        <f t="shared" si="56"/>
        <v>1</v>
      </c>
      <c r="V499" s="5">
        <v>0</v>
      </c>
      <c r="W499" s="5">
        <v>10</v>
      </c>
    </row>
    <row r="500" spans="1:23">
      <c r="A500" s="5">
        <f t="shared" si="54"/>
        <v>497</v>
      </c>
      <c r="B500" s="93">
        <f t="shared" si="57"/>
        <v>2023</v>
      </c>
      <c r="C500" s="20" t="str">
        <f>INDEX(Unitinfo!C:C,MATCH(UnitGradeInfo!B500,Unitinfo!A:A,0))</f>
        <v>(근거리)Soul_Skeleton_Sword</v>
      </c>
      <c r="D500" s="5">
        <f>COUNTIF($B$4:B500,B500)</f>
        <v>12</v>
      </c>
      <c r="E500" s="5">
        <f>ROUNDDOWN(INDEX(ref_Unit_Balance!$G$31:$G$106,MATCH(UnitGradeInfo!B500,ref_Unit_Balance!$B$31:$B$1048576,0))
+INDEX(ref_Unit_Balance!$G$20:$G$23,MATCH(IFERROR(INDEX(ref_Unit_Balance!$D$31:$D$1048576,MATCH(B500,ref_Unit_Balance!$B$31:$B$1048576,0)),0),ref_Unit_Balance!$B$20:$B$23,0))*D500*ref_Unit_Balance!$C$25,0)</f>
        <v>1100</v>
      </c>
      <c r="F500" s="5">
        <f>INDEX(ref_Unit_Balance!$V$31:$V$106,MATCH(UnitGradeInfo!B500,ref_Unit_Balance!$B$31:$B$1048576,0))
+
INDEX(ref_Unit_Balance!$AB$31:$AB$106,MATCH(UnitGradeInfo!B500,ref_Unit_Balance!$B$31:$B$1048576,0))*(D500-1)</f>
        <v>3800</v>
      </c>
      <c r="G500" s="5">
        <f>INDEX(ref_Unit_Balance!$R$31:$R$106,MATCH(UnitGradeInfo!B500,ref_Unit_Balance!$B$31:$B$1048576,0))
+
INDEX(ref_Unit_Balance!$AA$31:$AA$106,MATCH(UnitGradeInfo!B500,ref_Unit_Balance!$B$31:$B$1048576,0))*(D500-1)</f>
        <v>317</v>
      </c>
      <c r="H500" s="39">
        <f>IF(INDEX(Unitinfo!D:D,MATCH(UnitGradeInfo!B500,Unitinfo!A:A,0))=1,50,5)</f>
        <v>5</v>
      </c>
      <c r="I500" s="5">
        <f>IF(INDEX(ref_Unit_Balance!$T$31:$T$106,MATCH(UnitGradeInfo!B500,ref_Unit_Balance!$B$31:$B$1048576,0))=0,1,INDEX(ref_Unit_Balance!$T$31:$T$106,MATCH(UnitGradeInfo!B500,ref_Unit_Balance!$B$31:$B$1048576,0)))</f>
        <v>5</v>
      </c>
      <c r="J500" s="5">
        <f>INDEX(ref_Unit_Balance!$S$31:$S$106,MATCH(UnitGradeInfo!B500,ref_Unit_Balance!$B$31:$B$1048576,0))</f>
        <v>1000</v>
      </c>
      <c r="K500" s="5">
        <v>0</v>
      </c>
      <c r="L500" s="5">
        <f>INDEX(ref_Unit_Balance!$I$31:$I$106,MATCH(UnitGradeInfo!B500,ref_Unit_Balance!$B$31:$B$1048576,0))</f>
        <v>5</v>
      </c>
      <c r="M500" s="5">
        <f t="shared" si="52"/>
        <v>24</v>
      </c>
      <c r="N500" s="5">
        <f t="shared" si="53"/>
        <v>240</v>
      </c>
      <c r="O500" s="5">
        <f>(INDEX(Unitinfo!I:I,MATCH(B500,Unitinfo!A:A,0))+1)*2</f>
        <v>6</v>
      </c>
      <c r="P500" s="5">
        <v>0</v>
      </c>
      <c r="Q500" s="5">
        <v>0</v>
      </c>
      <c r="R500" s="19" t="s">
        <v>121</v>
      </c>
      <c r="S500" s="19" t="s">
        <v>121</v>
      </c>
      <c r="T500" s="5">
        <f t="shared" si="55"/>
        <v>2023</v>
      </c>
      <c r="U500" s="5">
        <f t="shared" si="56"/>
        <v>1</v>
      </c>
      <c r="V500" s="5">
        <v>0</v>
      </c>
      <c r="W500" s="5">
        <v>10</v>
      </c>
    </row>
    <row r="501" spans="1:23">
      <c r="A501" s="5">
        <f t="shared" si="54"/>
        <v>498</v>
      </c>
      <c r="B501" s="93">
        <f t="shared" si="57"/>
        <v>2023</v>
      </c>
      <c r="C501" s="20" t="str">
        <f>INDEX(Unitinfo!C:C,MATCH(UnitGradeInfo!B501,Unitinfo!A:A,0))</f>
        <v>(근거리)Soul_Skeleton_Sword</v>
      </c>
      <c r="D501" s="5">
        <f>COUNTIF($B$4:B501,B501)</f>
        <v>13</v>
      </c>
      <c r="E501" s="5">
        <f>ROUNDDOWN(INDEX(ref_Unit_Balance!$G$31:$G$106,MATCH(UnitGradeInfo!B501,ref_Unit_Balance!$B$31:$B$1048576,0))
+INDEX(ref_Unit_Balance!$G$20:$G$23,MATCH(IFERROR(INDEX(ref_Unit_Balance!$D$31:$D$1048576,MATCH(B501,ref_Unit_Balance!$B$31:$B$1048576,0)),0),ref_Unit_Balance!$B$20:$B$23,0))*D501*ref_Unit_Balance!$C$25,0)</f>
        <v>1175</v>
      </c>
      <c r="F501" s="5">
        <f>INDEX(ref_Unit_Balance!$V$31:$V$106,MATCH(UnitGradeInfo!B501,ref_Unit_Balance!$B$31:$B$1048576,0))
+
INDEX(ref_Unit_Balance!$AB$31:$AB$106,MATCH(UnitGradeInfo!B501,ref_Unit_Balance!$B$31:$B$1048576,0))*(D501-1)</f>
        <v>4000</v>
      </c>
      <c r="G501" s="5">
        <f>INDEX(ref_Unit_Balance!$R$31:$R$106,MATCH(UnitGradeInfo!B501,ref_Unit_Balance!$B$31:$B$1048576,0))
+
INDEX(ref_Unit_Balance!$AA$31:$AA$106,MATCH(UnitGradeInfo!B501,ref_Unit_Balance!$B$31:$B$1048576,0))*(D501-1)</f>
        <v>324</v>
      </c>
      <c r="H501" s="39">
        <f>IF(INDEX(Unitinfo!D:D,MATCH(UnitGradeInfo!B501,Unitinfo!A:A,0))=1,50,5)</f>
        <v>5</v>
      </c>
      <c r="I501" s="5">
        <f>IF(INDEX(ref_Unit_Balance!$T$31:$T$106,MATCH(UnitGradeInfo!B501,ref_Unit_Balance!$B$31:$B$1048576,0))=0,1,INDEX(ref_Unit_Balance!$T$31:$T$106,MATCH(UnitGradeInfo!B501,ref_Unit_Balance!$B$31:$B$1048576,0)))</f>
        <v>5</v>
      </c>
      <c r="J501" s="5">
        <f>INDEX(ref_Unit_Balance!$S$31:$S$106,MATCH(UnitGradeInfo!B501,ref_Unit_Balance!$B$31:$B$1048576,0))</f>
        <v>1000</v>
      </c>
      <c r="K501" s="5">
        <v>0</v>
      </c>
      <c r="L501" s="5">
        <f>INDEX(ref_Unit_Balance!$I$31:$I$106,MATCH(UnitGradeInfo!B501,ref_Unit_Balance!$B$31:$B$1048576,0))</f>
        <v>5</v>
      </c>
      <c r="M501" s="5">
        <f t="shared" si="52"/>
        <v>26</v>
      </c>
      <c r="N501" s="5">
        <f t="shared" si="53"/>
        <v>260</v>
      </c>
      <c r="O501" s="5">
        <f>(INDEX(Unitinfo!I:I,MATCH(B501,Unitinfo!A:A,0))+1)*2</f>
        <v>6</v>
      </c>
      <c r="P501" s="5">
        <v>0</v>
      </c>
      <c r="Q501" s="5">
        <v>0</v>
      </c>
      <c r="R501" s="19" t="s">
        <v>121</v>
      </c>
      <c r="S501" s="19" t="s">
        <v>121</v>
      </c>
      <c r="T501" s="5">
        <f t="shared" si="55"/>
        <v>2023</v>
      </c>
      <c r="U501" s="5">
        <f t="shared" si="56"/>
        <v>1</v>
      </c>
      <c r="V501" s="5">
        <v>0</v>
      </c>
      <c r="W501" s="5">
        <v>10</v>
      </c>
    </row>
    <row r="502" spans="1:23">
      <c r="A502" s="5">
        <f t="shared" si="54"/>
        <v>499</v>
      </c>
      <c r="B502" s="93">
        <f t="shared" si="57"/>
        <v>2023</v>
      </c>
      <c r="C502" s="20" t="str">
        <f>INDEX(Unitinfo!C:C,MATCH(UnitGradeInfo!B502,Unitinfo!A:A,0))</f>
        <v>(근거리)Soul_Skeleton_Sword</v>
      </c>
      <c r="D502" s="5">
        <f>COUNTIF($B$4:B502,B502)</f>
        <v>14</v>
      </c>
      <c r="E502" s="5">
        <f>ROUNDDOWN(INDEX(ref_Unit_Balance!$G$31:$G$106,MATCH(UnitGradeInfo!B502,ref_Unit_Balance!$B$31:$B$1048576,0))
+INDEX(ref_Unit_Balance!$G$20:$G$23,MATCH(IFERROR(INDEX(ref_Unit_Balance!$D$31:$D$1048576,MATCH(B502,ref_Unit_Balance!$B$31:$B$1048576,0)),0),ref_Unit_Balance!$B$20:$B$23,0))*D502*ref_Unit_Balance!$C$25,0)</f>
        <v>1250</v>
      </c>
      <c r="F502" s="5">
        <f>INDEX(ref_Unit_Balance!$V$31:$V$106,MATCH(UnitGradeInfo!B502,ref_Unit_Balance!$B$31:$B$1048576,0))
+
INDEX(ref_Unit_Balance!$AB$31:$AB$106,MATCH(UnitGradeInfo!B502,ref_Unit_Balance!$B$31:$B$1048576,0))*(D502-1)</f>
        <v>4200</v>
      </c>
      <c r="G502" s="5">
        <f>INDEX(ref_Unit_Balance!$R$31:$R$106,MATCH(UnitGradeInfo!B502,ref_Unit_Balance!$B$31:$B$1048576,0))
+
INDEX(ref_Unit_Balance!$AA$31:$AA$106,MATCH(UnitGradeInfo!B502,ref_Unit_Balance!$B$31:$B$1048576,0))*(D502-1)</f>
        <v>331</v>
      </c>
      <c r="H502" s="39">
        <f>IF(INDEX(Unitinfo!D:D,MATCH(UnitGradeInfo!B502,Unitinfo!A:A,0))=1,50,5)</f>
        <v>5</v>
      </c>
      <c r="I502" s="5">
        <f>IF(INDEX(ref_Unit_Balance!$T$31:$T$106,MATCH(UnitGradeInfo!B502,ref_Unit_Balance!$B$31:$B$1048576,0))=0,1,INDEX(ref_Unit_Balance!$T$31:$T$106,MATCH(UnitGradeInfo!B502,ref_Unit_Balance!$B$31:$B$1048576,0)))</f>
        <v>5</v>
      </c>
      <c r="J502" s="5">
        <f>INDEX(ref_Unit_Balance!$S$31:$S$106,MATCH(UnitGradeInfo!B502,ref_Unit_Balance!$B$31:$B$1048576,0))</f>
        <v>1000</v>
      </c>
      <c r="K502" s="5">
        <v>0</v>
      </c>
      <c r="L502" s="5">
        <f>INDEX(ref_Unit_Balance!$I$31:$I$106,MATCH(UnitGradeInfo!B502,ref_Unit_Balance!$B$31:$B$1048576,0))</f>
        <v>5</v>
      </c>
      <c r="M502" s="5">
        <f t="shared" si="52"/>
        <v>28</v>
      </c>
      <c r="N502" s="5">
        <f t="shared" si="53"/>
        <v>280</v>
      </c>
      <c r="O502" s="5">
        <f>(INDEX(Unitinfo!I:I,MATCH(B502,Unitinfo!A:A,0))+1)*2</f>
        <v>6</v>
      </c>
      <c r="P502" s="5">
        <v>0</v>
      </c>
      <c r="Q502" s="5">
        <v>0</v>
      </c>
      <c r="R502" s="19" t="s">
        <v>121</v>
      </c>
      <c r="S502" s="19" t="s">
        <v>121</v>
      </c>
      <c r="T502" s="5">
        <f t="shared" si="55"/>
        <v>2023</v>
      </c>
      <c r="U502" s="5">
        <f t="shared" si="56"/>
        <v>1</v>
      </c>
      <c r="V502" s="5">
        <v>0</v>
      </c>
      <c r="W502" s="5">
        <v>10</v>
      </c>
    </row>
    <row r="503" spans="1:23">
      <c r="A503" s="5">
        <f t="shared" si="54"/>
        <v>500</v>
      </c>
      <c r="B503" s="93">
        <f t="shared" si="57"/>
        <v>2023</v>
      </c>
      <c r="C503" s="20" t="str">
        <f>INDEX(Unitinfo!C:C,MATCH(UnitGradeInfo!B503,Unitinfo!A:A,0))</f>
        <v>(근거리)Soul_Skeleton_Sword</v>
      </c>
      <c r="D503" s="5">
        <f>COUNTIF($B$4:B503,B503)</f>
        <v>15</v>
      </c>
      <c r="E503" s="5">
        <f>ROUNDDOWN(INDEX(ref_Unit_Balance!$G$31:$G$106,MATCH(UnitGradeInfo!B503,ref_Unit_Balance!$B$31:$B$1048576,0))
+INDEX(ref_Unit_Balance!$G$20:$G$23,MATCH(IFERROR(INDEX(ref_Unit_Balance!$D$31:$D$1048576,MATCH(B503,ref_Unit_Balance!$B$31:$B$1048576,0)),0),ref_Unit_Balance!$B$20:$B$23,0))*D503*ref_Unit_Balance!$C$25,0)</f>
        <v>1325</v>
      </c>
      <c r="F503" s="5">
        <f>INDEX(ref_Unit_Balance!$V$31:$V$106,MATCH(UnitGradeInfo!B503,ref_Unit_Balance!$B$31:$B$1048576,0))
+
INDEX(ref_Unit_Balance!$AB$31:$AB$106,MATCH(UnitGradeInfo!B503,ref_Unit_Balance!$B$31:$B$1048576,0))*(D503-1)</f>
        <v>4400</v>
      </c>
      <c r="G503" s="5">
        <f>INDEX(ref_Unit_Balance!$R$31:$R$106,MATCH(UnitGradeInfo!B503,ref_Unit_Balance!$B$31:$B$1048576,0))
+
INDEX(ref_Unit_Balance!$AA$31:$AA$106,MATCH(UnitGradeInfo!B503,ref_Unit_Balance!$B$31:$B$1048576,0))*(D503-1)</f>
        <v>338</v>
      </c>
      <c r="H503" s="39">
        <f>IF(INDEX(Unitinfo!D:D,MATCH(UnitGradeInfo!B503,Unitinfo!A:A,0))=1,50,5)</f>
        <v>5</v>
      </c>
      <c r="I503" s="5">
        <f>IF(INDEX(ref_Unit_Balance!$T$31:$T$106,MATCH(UnitGradeInfo!B503,ref_Unit_Balance!$B$31:$B$1048576,0))=0,1,INDEX(ref_Unit_Balance!$T$31:$T$106,MATCH(UnitGradeInfo!B503,ref_Unit_Balance!$B$31:$B$1048576,0)))</f>
        <v>5</v>
      </c>
      <c r="J503" s="5">
        <f>INDEX(ref_Unit_Balance!$S$31:$S$106,MATCH(UnitGradeInfo!B503,ref_Unit_Balance!$B$31:$B$1048576,0))</f>
        <v>1000</v>
      </c>
      <c r="K503" s="5">
        <v>0</v>
      </c>
      <c r="L503" s="5">
        <f>INDEX(ref_Unit_Balance!$I$31:$I$106,MATCH(UnitGradeInfo!B503,ref_Unit_Balance!$B$31:$B$1048576,0))</f>
        <v>5</v>
      </c>
      <c r="M503" s="5">
        <f t="shared" si="52"/>
        <v>30</v>
      </c>
      <c r="N503" s="5">
        <f t="shared" si="53"/>
        <v>300</v>
      </c>
      <c r="O503" s="5">
        <f>(INDEX(Unitinfo!I:I,MATCH(B503,Unitinfo!A:A,0))+1)*2</f>
        <v>6</v>
      </c>
      <c r="P503" s="5">
        <v>0</v>
      </c>
      <c r="Q503" s="5">
        <v>0</v>
      </c>
      <c r="R503" s="19" t="s">
        <v>121</v>
      </c>
      <c r="S503" s="19" t="s">
        <v>121</v>
      </c>
      <c r="T503" s="5">
        <f t="shared" si="55"/>
        <v>2023</v>
      </c>
      <c r="U503" s="5">
        <f t="shared" si="56"/>
        <v>1</v>
      </c>
      <c r="V503" s="5">
        <v>0</v>
      </c>
      <c r="W503" s="5">
        <v>10</v>
      </c>
    </row>
    <row r="504" spans="1:23">
      <c r="A504" s="5">
        <f t="shared" si="54"/>
        <v>501</v>
      </c>
      <c r="B504" s="93">
        <f t="shared" si="57"/>
        <v>2023</v>
      </c>
      <c r="C504" s="20" t="str">
        <f>INDEX(Unitinfo!C:C,MATCH(UnitGradeInfo!B504,Unitinfo!A:A,0))</f>
        <v>(근거리)Soul_Skeleton_Sword</v>
      </c>
      <c r="D504" s="5">
        <f>COUNTIF($B$4:B504,B504)</f>
        <v>16</v>
      </c>
      <c r="E504" s="5">
        <f>ROUNDDOWN(INDEX(ref_Unit_Balance!$G$31:$G$106,MATCH(UnitGradeInfo!B504,ref_Unit_Balance!$B$31:$B$1048576,0))
+INDEX(ref_Unit_Balance!$G$20:$G$23,MATCH(IFERROR(INDEX(ref_Unit_Balance!$D$31:$D$1048576,MATCH(B504,ref_Unit_Balance!$B$31:$B$1048576,0)),0),ref_Unit_Balance!$B$20:$B$23,0))*D504*ref_Unit_Balance!$C$25,0)</f>
        <v>1400</v>
      </c>
      <c r="F504" s="5">
        <f>INDEX(ref_Unit_Balance!$V$31:$V$106,MATCH(UnitGradeInfo!B504,ref_Unit_Balance!$B$31:$B$1048576,0))
+
INDEX(ref_Unit_Balance!$AB$31:$AB$106,MATCH(UnitGradeInfo!B504,ref_Unit_Balance!$B$31:$B$1048576,0))*(D504-1)</f>
        <v>4600</v>
      </c>
      <c r="G504" s="5">
        <f>INDEX(ref_Unit_Balance!$R$31:$R$106,MATCH(UnitGradeInfo!B504,ref_Unit_Balance!$B$31:$B$1048576,0))
+
INDEX(ref_Unit_Balance!$AA$31:$AA$106,MATCH(UnitGradeInfo!B504,ref_Unit_Balance!$B$31:$B$1048576,0))*(D504-1)</f>
        <v>345</v>
      </c>
      <c r="H504" s="39">
        <f>IF(INDEX(Unitinfo!D:D,MATCH(UnitGradeInfo!B504,Unitinfo!A:A,0))=1,50,5)</f>
        <v>5</v>
      </c>
      <c r="I504" s="5">
        <f>IF(INDEX(ref_Unit_Balance!$T$31:$T$106,MATCH(UnitGradeInfo!B504,ref_Unit_Balance!$B$31:$B$1048576,0))=0,1,INDEX(ref_Unit_Balance!$T$31:$T$106,MATCH(UnitGradeInfo!B504,ref_Unit_Balance!$B$31:$B$1048576,0)))</f>
        <v>5</v>
      </c>
      <c r="J504" s="5">
        <f>INDEX(ref_Unit_Balance!$S$31:$S$106,MATCH(UnitGradeInfo!B504,ref_Unit_Balance!$B$31:$B$1048576,0))</f>
        <v>1000</v>
      </c>
      <c r="K504" s="5">
        <v>0</v>
      </c>
      <c r="L504" s="5">
        <f>INDEX(ref_Unit_Balance!$I$31:$I$106,MATCH(UnitGradeInfo!B504,ref_Unit_Balance!$B$31:$B$1048576,0))</f>
        <v>5</v>
      </c>
      <c r="M504" s="5">
        <f t="shared" si="52"/>
        <v>32</v>
      </c>
      <c r="N504" s="5">
        <f t="shared" si="53"/>
        <v>320</v>
      </c>
      <c r="O504" s="5">
        <f>(INDEX(Unitinfo!I:I,MATCH(B504,Unitinfo!A:A,0))+1)*2</f>
        <v>6</v>
      </c>
      <c r="P504" s="5">
        <v>0</v>
      </c>
      <c r="Q504" s="5">
        <v>0</v>
      </c>
      <c r="R504" s="19" t="s">
        <v>121</v>
      </c>
      <c r="S504" s="19" t="s">
        <v>121</v>
      </c>
      <c r="T504" s="5">
        <f t="shared" si="55"/>
        <v>2023</v>
      </c>
      <c r="U504" s="5">
        <f t="shared" si="56"/>
        <v>1</v>
      </c>
      <c r="V504" s="5">
        <v>0</v>
      </c>
      <c r="W504" s="5">
        <v>10</v>
      </c>
    </row>
    <row r="505" spans="1:23">
      <c r="A505" s="5">
        <f t="shared" si="54"/>
        <v>502</v>
      </c>
      <c r="B505" s="93">
        <f t="shared" si="57"/>
        <v>2023</v>
      </c>
      <c r="C505" s="20" t="str">
        <f>INDEX(Unitinfo!C:C,MATCH(UnitGradeInfo!B505,Unitinfo!A:A,0))</f>
        <v>(근거리)Soul_Skeleton_Sword</v>
      </c>
      <c r="D505" s="5">
        <f>COUNTIF($B$4:B505,B505)</f>
        <v>17</v>
      </c>
      <c r="E505" s="5">
        <f>ROUNDDOWN(INDEX(ref_Unit_Balance!$G$31:$G$106,MATCH(UnitGradeInfo!B505,ref_Unit_Balance!$B$31:$B$1048576,0))
+INDEX(ref_Unit_Balance!$G$20:$G$23,MATCH(IFERROR(INDEX(ref_Unit_Balance!$D$31:$D$1048576,MATCH(B505,ref_Unit_Balance!$B$31:$B$1048576,0)),0),ref_Unit_Balance!$B$20:$B$23,0))*D505*ref_Unit_Balance!$C$25,0)</f>
        <v>1475</v>
      </c>
      <c r="F505" s="5">
        <f>INDEX(ref_Unit_Balance!$V$31:$V$106,MATCH(UnitGradeInfo!B505,ref_Unit_Balance!$B$31:$B$1048576,0))
+
INDEX(ref_Unit_Balance!$AB$31:$AB$106,MATCH(UnitGradeInfo!B505,ref_Unit_Balance!$B$31:$B$1048576,0))*(D505-1)</f>
        <v>4800</v>
      </c>
      <c r="G505" s="5">
        <f>INDEX(ref_Unit_Balance!$R$31:$R$106,MATCH(UnitGradeInfo!B505,ref_Unit_Balance!$B$31:$B$1048576,0))
+
INDEX(ref_Unit_Balance!$AA$31:$AA$106,MATCH(UnitGradeInfo!B505,ref_Unit_Balance!$B$31:$B$1048576,0))*(D505-1)</f>
        <v>352</v>
      </c>
      <c r="H505" s="39">
        <f>IF(INDEX(Unitinfo!D:D,MATCH(UnitGradeInfo!B505,Unitinfo!A:A,0))=1,50,5)</f>
        <v>5</v>
      </c>
      <c r="I505" s="5">
        <f>IF(INDEX(ref_Unit_Balance!$T$31:$T$106,MATCH(UnitGradeInfo!B505,ref_Unit_Balance!$B$31:$B$1048576,0))=0,1,INDEX(ref_Unit_Balance!$T$31:$T$106,MATCH(UnitGradeInfo!B505,ref_Unit_Balance!$B$31:$B$1048576,0)))</f>
        <v>5</v>
      </c>
      <c r="J505" s="5">
        <f>INDEX(ref_Unit_Balance!$S$31:$S$106,MATCH(UnitGradeInfo!B505,ref_Unit_Balance!$B$31:$B$1048576,0))</f>
        <v>1000</v>
      </c>
      <c r="K505" s="5">
        <v>0</v>
      </c>
      <c r="L505" s="5">
        <f>INDEX(ref_Unit_Balance!$I$31:$I$106,MATCH(UnitGradeInfo!B505,ref_Unit_Balance!$B$31:$B$1048576,0))</f>
        <v>5</v>
      </c>
      <c r="M505" s="5">
        <f t="shared" si="52"/>
        <v>34</v>
      </c>
      <c r="N505" s="5">
        <f t="shared" si="53"/>
        <v>340</v>
      </c>
      <c r="O505" s="5">
        <f>(INDEX(Unitinfo!I:I,MATCH(B505,Unitinfo!A:A,0))+1)*2</f>
        <v>6</v>
      </c>
      <c r="P505" s="5">
        <v>0</v>
      </c>
      <c r="Q505" s="5">
        <v>0</v>
      </c>
      <c r="R505" s="19" t="s">
        <v>121</v>
      </c>
      <c r="S505" s="19" t="s">
        <v>121</v>
      </c>
      <c r="T505" s="5">
        <f t="shared" si="55"/>
        <v>2023</v>
      </c>
      <c r="U505" s="5">
        <f t="shared" si="56"/>
        <v>1</v>
      </c>
      <c r="V505" s="5">
        <v>0</v>
      </c>
      <c r="W505" s="5">
        <v>10</v>
      </c>
    </row>
    <row r="506" spans="1:23">
      <c r="A506" s="5">
        <f t="shared" si="54"/>
        <v>503</v>
      </c>
      <c r="B506" s="93">
        <f t="shared" si="57"/>
        <v>2023</v>
      </c>
      <c r="C506" s="20" t="str">
        <f>INDEX(Unitinfo!C:C,MATCH(UnitGradeInfo!B506,Unitinfo!A:A,0))</f>
        <v>(근거리)Soul_Skeleton_Sword</v>
      </c>
      <c r="D506" s="5">
        <f>COUNTIF($B$4:B506,B506)</f>
        <v>18</v>
      </c>
      <c r="E506" s="5">
        <f>ROUNDDOWN(INDEX(ref_Unit_Balance!$G$31:$G$106,MATCH(UnitGradeInfo!B506,ref_Unit_Balance!$B$31:$B$1048576,0))
+INDEX(ref_Unit_Balance!$G$20:$G$23,MATCH(IFERROR(INDEX(ref_Unit_Balance!$D$31:$D$1048576,MATCH(B506,ref_Unit_Balance!$B$31:$B$1048576,0)),0),ref_Unit_Balance!$B$20:$B$23,0))*D506*ref_Unit_Balance!$C$25,0)</f>
        <v>1550</v>
      </c>
      <c r="F506" s="5">
        <f>INDEX(ref_Unit_Balance!$V$31:$V$106,MATCH(UnitGradeInfo!B506,ref_Unit_Balance!$B$31:$B$1048576,0))
+
INDEX(ref_Unit_Balance!$AB$31:$AB$106,MATCH(UnitGradeInfo!B506,ref_Unit_Balance!$B$31:$B$1048576,0))*(D506-1)</f>
        <v>5000</v>
      </c>
      <c r="G506" s="5">
        <f>INDEX(ref_Unit_Balance!$R$31:$R$106,MATCH(UnitGradeInfo!B506,ref_Unit_Balance!$B$31:$B$1048576,0))
+
INDEX(ref_Unit_Balance!$AA$31:$AA$106,MATCH(UnitGradeInfo!B506,ref_Unit_Balance!$B$31:$B$1048576,0))*(D506-1)</f>
        <v>359</v>
      </c>
      <c r="H506" s="39">
        <f>IF(INDEX(Unitinfo!D:D,MATCH(UnitGradeInfo!B506,Unitinfo!A:A,0))=1,50,5)</f>
        <v>5</v>
      </c>
      <c r="I506" s="5">
        <f>IF(INDEX(ref_Unit_Balance!$T$31:$T$106,MATCH(UnitGradeInfo!B506,ref_Unit_Balance!$B$31:$B$1048576,0))=0,1,INDEX(ref_Unit_Balance!$T$31:$T$106,MATCH(UnitGradeInfo!B506,ref_Unit_Balance!$B$31:$B$1048576,0)))</f>
        <v>5</v>
      </c>
      <c r="J506" s="5">
        <f>INDEX(ref_Unit_Balance!$S$31:$S$106,MATCH(UnitGradeInfo!B506,ref_Unit_Balance!$B$31:$B$1048576,0))</f>
        <v>1000</v>
      </c>
      <c r="K506" s="5">
        <v>0</v>
      </c>
      <c r="L506" s="5">
        <f>INDEX(ref_Unit_Balance!$I$31:$I$106,MATCH(UnitGradeInfo!B506,ref_Unit_Balance!$B$31:$B$1048576,0))</f>
        <v>5</v>
      </c>
      <c r="M506" s="5">
        <f t="shared" si="52"/>
        <v>36</v>
      </c>
      <c r="N506" s="5">
        <f t="shared" si="53"/>
        <v>360</v>
      </c>
      <c r="O506" s="5">
        <f>(INDEX(Unitinfo!I:I,MATCH(B506,Unitinfo!A:A,0))+1)*2</f>
        <v>6</v>
      </c>
      <c r="P506" s="5">
        <v>0</v>
      </c>
      <c r="Q506" s="5">
        <v>0</v>
      </c>
      <c r="R506" s="19" t="s">
        <v>121</v>
      </c>
      <c r="S506" s="19" t="s">
        <v>121</v>
      </c>
      <c r="T506" s="5">
        <f t="shared" si="55"/>
        <v>2023</v>
      </c>
      <c r="U506" s="5">
        <f t="shared" si="56"/>
        <v>1</v>
      </c>
      <c r="V506" s="5">
        <v>0</v>
      </c>
      <c r="W506" s="5">
        <v>10</v>
      </c>
    </row>
    <row r="507" spans="1:23">
      <c r="A507" s="5">
        <f t="shared" si="54"/>
        <v>504</v>
      </c>
      <c r="B507" s="93">
        <f t="shared" si="57"/>
        <v>2023</v>
      </c>
      <c r="C507" s="20" t="str">
        <f>INDEX(Unitinfo!C:C,MATCH(UnitGradeInfo!B507,Unitinfo!A:A,0))</f>
        <v>(근거리)Soul_Skeleton_Sword</v>
      </c>
      <c r="D507" s="5">
        <f>COUNTIF($B$4:B507,B507)</f>
        <v>19</v>
      </c>
      <c r="E507" s="5">
        <f>ROUNDDOWN(INDEX(ref_Unit_Balance!$G$31:$G$106,MATCH(UnitGradeInfo!B507,ref_Unit_Balance!$B$31:$B$1048576,0))
+INDEX(ref_Unit_Balance!$G$20:$G$23,MATCH(IFERROR(INDEX(ref_Unit_Balance!$D$31:$D$1048576,MATCH(B507,ref_Unit_Balance!$B$31:$B$1048576,0)),0),ref_Unit_Balance!$B$20:$B$23,0))*D507*ref_Unit_Balance!$C$25,0)</f>
        <v>1625</v>
      </c>
      <c r="F507" s="5">
        <f>INDEX(ref_Unit_Balance!$V$31:$V$106,MATCH(UnitGradeInfo!B507,ref_Unit_Balance!$B$31:$B$1048576,0))
+
INDEX(ref_Unit_Balance!$AB$31:$AB$106,MATCH(UnitGradeInfo!B507,ref_Unit_Balance!$B$31:$B$1048576,0))*(D507-1)</f>
        <v>5200</v>
      </c>
      <c r="G507" s="5">
        <f>INDEX(ref_Unit_Balance!$R$31:$R$106,MATCH(UnitGradeInfo!B507,ref_Unit_Balance!$B$31:$B$1048576,0))
+
INDEX(ref_Unit_Balance!$AA$31:$AA$106,MATCH(UnitGradeInfo!B507,ref_Unit_Balance!$B$31:$B$1048576,0))*(D507-1)</f>
        <v>366</v>
      </c>
      <c r="H507" s="39">
        <f>IF(INDEX(Unitinfo!D:D,MATCH(UnitGradeInfo!B507,Unitinfo!A:A,0))=1,50,5)</f>
        <v>5</v>
      </c>
      <c r="I507" s="5">
        <f>IF(INDEX(ref_Unit_Balance!$T$31:$T$106,MATCH(UnitGradeInfo!B507,ref_Unit_Balance!$B$31:$B$1048576,0))=0,1,INDEX(ref_Unit_Balance!$T$31:$T$106,MATCH(UnitGradeInfo!B507,ref_Unit_Balance!$B$31:$B$1048576,0)))</f>
        <v>5</v>
      </c>
      <c r="J507" s="5">
        <f>INDEX(ref_Unit_Balance!$S$31:$S$106,MATCH(UnitGradeInfo!B507,ref_Unit_Balance!$B$31:$B$1048576,0))</f>
        <v>1000</v>
      </c>
      <c r="K507" s="5">
        <v>0</v>
      </c>
      <c r="L507" s="5">
        <f>INDEX(ref_Unit_Balance!$I$31:$I$106,MATCH(UnitGradeInfo!B507,ref_Unit_Balance!$B$31:$B$1048576,0))</f>
        <v>5</v>
      </c>
      <c r="M507" s="5">
        <f t="shared" si="52"/>
        <v>38</v>
      </c>
      <c r="N507" s="5">
        <f t="shared" si="53"/>
        <v>380</v>
      </c>
      <c r="O507" s="5">
        <f>(INDEX(Unitinfo!I:I,MATCH(B507,Unitinfo!A:A,0))+1)*2</f>
        <v>6</v>
      </c>
      <c r="P507" s="5">
        <v>0</v>
      </c>
      <c r="Q507" s="5">
        <v>0</v>
      </c>
      <c r="R507" s="19" t="s">
        <v>121</v>
      </c>
      <c r="S507" s="19" t="s">
        <v>121</v>
      </c>
      <c r="T507" s="5">
        <f t="shared" si="55"/>
        <v>2023</v>
      </c>
      <c r="U507" s="5">
        <f t="shared" si="56"/>
        <v>1</v>
      </c>
      <c r="V507" s="5">
        <v>0</v>
      </c>
      <c r="W507" s="5">
        <v>10</v>
      </c>
    </row>
    <row r="508" spans="1:23">
      <c r="A508" s="5">
        <f t="shared" si="54"/>
        <v>505</v>
      </c>
      <c r="B508" s="93">
        <f t="shared" si="57"/>
        <v>2023</v>
      </c>
      <c r="C508" s="20" t="str">
        <f>INDEX(Unitinfo!C:C,MATCH(UnitGradeInfo!B508,Unitinfo!A:A,0))</f>
        <v>(근거리)Soul_Skeleton_Sword</v>
      </c>
      <c r="D508" s="5">
        <f>COUNTIF($B$4:B508,B508)</f>
        <v>20</v>
      </c>
      <c r="E508" s="5">
        <f>ROUNDDOWN(INDEX(ref_Unit_Balance!$G$31:$G$106,MATCH(UnitGradeInfo!B508,ref_Unit_Balance!$B$31:$B$1048576,0))
+INDEX(ref_Unit_Balance!$G$20:$G$23,MATCH(IFERROR(INDEX(ref_Unit_Balance!$D$31:$D$1048576,MATCH(B508,ref_Unit_Balance!$B$31:$B$1048576,0)),0),ref_Unit_Balance!$B$20:$B$23,0))*D508*ref_Unit_Balance!$C$25,0)</f>
        <v>1700</v>
      </c>
      <c r="F508" s="5">
        <f>INDEX(ref_Unit_Balance!$V$31:$V$106,MATCH(UnitGradeInfo!B508,ref_Unit_Balance!$B$31:$B$1048576,0))
+
INDEX(ref_Unit_Balance!$AB$31:$AB$106,MATCH(UnitGradeInfo!B508,ref_Unit_Balance!$B$31:$B$1048576,0))*(D508-1)</f>
        <v>5400</v>
      </c>
      <c r="G508" s="5">
        <f>INDEX(ref_Unit_Balance!$R$31:$R$106,MATCH(UnitGradeInfo!B508,ref_Unit_Balance!$B$31:$B$1048576,0))
+
INDEX(ref_Unit_Balance!$AA$31:$AA$106,MATCH(UnitGradeInfo!B508,ref_Unit_Balance!$B$31:$B$1048576,0))*(D508-1)</f>
        <v>373</v>
      </c>
      <c r="H508" s="39">
        <f>IF(INDEX(Unitinfo!D:D,MATCH(UnitGradeInfo!B508,Unitinfo!A:A,0))=1,50,5)</f>
        <v>5</v>
      </c>
      <c r="I508" s="5">
        <f>IF(INDEX(ref_Unit_Balance!$T$31:$T$106,MATCH(UnitGradeInfo!B508,ref_Unit_Balance!$B$31:$B$1048576,0))=0,1,INDEX(ref_Unit_Balance!$T$31:$T$106,MATCH(UnitGradeInfo!B508,ref_Unit_Balance!$B$31:$B$1048576,0)))</f>
        <v>5</v>
      </c>
      <c r="J508" s="5">
        <f>INDEX(ref_Unit_Balance!$S$31:$S$106,MATCH(UnitGradeInfo!B508,ref_Unit_Balance!$B$31:$B$1048576,0))</f>
        <v>1000</v>
      </c>
      <c r="K508" s="5">
        <v>0</v>
      </c>
      <c r="L508" s="5">
        <f>INDEX(ref_Unit_Balance!$I$31:$I$106,MATCH(UnitGradeInfo!B508,ref_Unit_Balance!$B$31:$B$1048576,0))</f>
        <v>5</v>
      </c>
      <c r="M508" s="5">
        <f t="shared" si="52"/>
        <v>40</v>
      </c>
      <c r="N508" s="5">
        <f t="shared" si="53"/>
        <v>400</v>
      </c>
      <c r="O508" s="5">
        <f>(INDEX(Unitinfo!I:I,MATCH(B508,Unitinfo!A:A,0))+1)*2</f>
        <v>6</v>
      </c>
      <c r="P508" s="5">
        <v>0</v>
      </c>
      <c r="Q508" s="5">
        <v>0</v>
      </c>
      <c r="R508" s="19" t="s">
        <v>121</v>
      </c>
      <c r="S508" s="19" t="s">
        <v>121</v>
      </c>
      <c r="T508" s="5">
        <f t="shared" si="55"/>
        <v>2023</v>
      </c>
      <c r="U508" s="5">
        <f t="shared" si="56"/>
        <v>1</v>
      </c>
      <c r="V508" s="5">
        <v>0</v>
      </c>
      <c r="W508" s="5">
        <v>10</v>
      </c>
    </row>
    <row r="509" spans="1:23">
      <c r="A509" s="5">
        <f t="shared" si="54"/>
        <v>506</v>
      </c>
      <c r="B509" s="93">
        <f t="shared" si="57"/>
        <v>2024</v>
      </c>
      <c r="C509" s="20" t="str">
        <f>INDEX(Unitinfo!C:C,MATCH(UnitGradeInfo!B509,Unitinfo!A:A,0))</f>
        <v>(원거리)Soul_Skeleton_Archer</v>
      </c>
      <c r="D509" s="5">
        <f>COUNTIF($B$4:B509,B509)</f>
        <v>1</v>
      </c>
      <c r="E509" s="5">
        <f>ROUNDDOWN(INDEX(ref_Unit_Balance!$G$31:$G$106,MATCH(UnitGradeInfo!B509,ref_Unit_Balance!$B$31:$B$1048576,0))
+INDEX(ref_Unit_Balance!$G$20:$G$23,MATCH(IFERROR(INDEX(ref_Unit_Balance!$D$31:$D$1048576,MATCH(B509,ref_Unit_Balance!$B$31:$B$1048576,0)),0),ref_Unit_Balance!$B$20:$B$23,0))*D509*ref_Unit_Balance!$C$25,0)</f>
        <v>275</v>
      </c>
      <c r="F509" s="5">
        <f>INDEX(ref_Unit_Balance!$V$31:$V$106,MATCH(UnitGradeInfo!B509,ref_Unit_Balance!$B$31:$B$1048576,0))
+
INDEX(ref_Unit_Balance!$AB$31:$AB$106,MATCH(UnitGradeInfo!B509,ref_Unit_Balance!$B$31:$B$1048576,0))*(D509-1)</f>
        <v>1200</v>
      </c>
      <c r="G509" s="5">
        <f>INDEX(ref_Unit_Balance!$R$31:$R$106,MATCH(UnitGradeInfo!B509,ref_Unit_Balance!$B$31:$B$1048576,0))
+
INDEX(ref_Unit_Balance!$AA$31:$AA$106,MATCH(UnitGradeInfo!B509,ref_Unit_Balance!$B$31:$B$1048576,0))*(D509-1)</f>
        <v>120</v>
      </c>
      <c r="H509" s="39">
        <f>IF(INDEX(Unitinfo!D:D,MATCH(UnitGradeInfo!B509,Unitinfo!A:A,0))=1,50,5)</f>
        <v>50</v>
      </c>
      <c r="I509" s="5">
        <f>IF(INDEX(ref_Unit_Balance!$T$31:$T$106,MATCH(UnitGradeInfo!B509,ref_Unit_Balance!$B$31:$B$1048576,0))=0,1,INDEX(ref_Unit_Balance!$T$31:$T$106,MATCH(UnitGradeInfo!B509,ref_Unit_Balance!$B$31:$B$1048576,0)))</f>
        <v>5</v>
      </c>
      <c r="J509" s="5">
        <f>INDEX(ref_Unit_Balance!$S$31:$S$106,MATCH(UnitGradeInfo!B509,ref_Unit_Balance!$B$31:$B$1048576,0))</f>
        <v>600</v>
      </c>
      <c r="K509" s="5">
        <v>0</v>
      </c>
      <c r="L509" s="5">
        <f>INDEX(ref_Unit_Balance!$I$31:$I$106,MATCH(UnitGradeInfo!B509,ref_Unit_Balance!$B$31:$B$1048576,0))</f>
        <v>4</v>
      </c>
      <c r="M509" s="5">
        <f t="shared" si="52"/>
        <v>2</v>
      </c>
      <c r="N509" s="5">
        <f t="shared" si="53"/>
        <v>20</v>
      </c>
      <c r="O509" s="5">
        <f>(INDEX(Unitinfo!I:I,MATCH(B509,Unitinfo!A:A,0))+1)*2</f>
        <v>6</v>
      </c>
      <c r="P509" s="5">
        <v>0</v>
      </c>
      <c r="Q509" s="5">
        <v>0</v>
      </c>
      <c r="R509" s="19" t="s">
        <v>121</v>
      </c>
      <c r="S509" s="19" t="s">
        <v>121</v>
      </c>
      <c r="T509" s="5">
        <f t="shared" si="55"/>
        <v>2024</v>
      </c>
      <c r="U509" s="5">
        <f t="shared" si="56"/>
        <v>1</v>
      </c>
      <c r="V509" s="5">
        <v>0</v>
      </c>
      <c r="W509" s="5">
        <v>10</v>
      </c>
    </row>
    <row r="510" spans="1:23">
      <c r="A510" s="5">
        <f t="shared" si="54"/>
        <v>507</v>
      </c>
      <c r="B510" s="93">
        <f t="shared" si="57"/>
        <v>2024</v>
      </c>
      <c r="C510" s="20" t="str">
        <f>INDEX(Unitinfo!C:C,MATCH(UnitGradeInfo!B510,Unitinfo!A:A,0))</f>
        <v>(원거리)Soul_Skeleton_Archer</v>
      </c>
      <c r="D510" s="5">
        <f>COUNTIF($B$4:B510,B510)</f>
        <v>2</v>
      </c>
      <c r="E510" s="5">
        <f>ROUNDDOWN(INDEX(ref_Unit_Balance!$G$31:$G$106,MATCH(UnitGradeInfo!B510,ref_Unit_Balance!$B$31:$B$1048576,0))
+INDEX(ref_Unit_Balance!$G$20:$G$23,MATCH(IFERROR(INDEX(ref_Unit_Balance!$D$31:$D$1048576,MATCH(B510,ref_Unit_Balance!$B$31:$B$1048576,0)),0),ref_Unit_Balance!$B$20:$B$23,0))*D510*ref_Unit_Balance!$C$25,0)</f>
        <v>350</v>
      </c>
      <c r="F510" s="5">
        <f>INDEX(ref_Unit_Balance!$V$31:$V$106,MATCH(UnitGradeInfo!B510,ref_Unit_Balance!$B$31:$B$1048576,0))
+
INDEX(ref_Unit_Balance!$AB$31:$AB$106,MATCH(UnitGradeInfo!B510,ref_Unit_Balance!$B$31:$B$1048576,0))*(D510-1)</f>
        <v>1350</v>
      </c>
      <c r="G510" s="5">
        <f>INDEX(ref_Unit_Balance!$R$31:$R$106,MATCH(UnitGradeInfo!B510,ref_Unit_Balance!$B$31:$B$1048576,0))
+
INDEX(ref_Unit_Balance!$AA$31:$AA$106,MATCH(UnitGradeInfo!B510,ref_Unit_Balance!$B$31:$B$1048576,0))*(D510-1)</f>
        <v>124</v>
      </c>
      <c r="H510" s="39">
        <f>IF(INDEX(Unitinfo!D:D,MATCH(UnitGradeInfo!B510,Unitinfo!A:A,0))=1,50,5)</f>
        <v>50</v>
      </c>
      <c r="I510" s="5">
        <f>IF(INDEX(ref_Unit_Balance!$T$31:$T$106,MATCH(UnitGradeInfo!B510,ref_Unit_Balance!$B$31:$B$1048576,0))=0,1,INDEX(ref_Unit_Balance!$T$31:$T$106,MATCH(UnitGradeInfo!B510,ref_Unit_Balance!$B$31:$B$1048576,0)))</f>
        <v>5</v>
      </c>
      <c r="J510" s="5">
        <f>INDEX(ref_Unit_Balance!$S$31:$S$106,MATCH(UnitGradeInfo!B510,ref_Unit_Balance!$B$31:$B$1048576,0))</f>
        <v>600</v>
      </c>
      <c r="K510" s="5">
        <v>0</v>
      </c>
      <c r="L510" s="5">
        <f>INDEX(ref_Unit_Balance!$I$31:$I$106,MATCH(UnitGradeInfo!B510,ref_Unit_Balance!$B$31:$B$1048576,0))</f>
        <v>4</v>
      </c>
      <c r="M510" s="5">
        <f t="shared" si="52"/>
        <v>4</v>
      </c>
      <c r="N510" s="5">
        <f t="shared" si="53"/>
        <v>40</v>
      </c>
      <c r="O510" s="5">
        <f>(INDEX(Unitinfo!I:I,MATCH(B510,Unitinfo!A:A,0))+1)*2</f>
        <v>6</v>
      </c>
      <c r="P510" s="5">
        <v>0</v>
      </c>
      <c r="Q510" s="5">
        <v>0</v>
      </c>
      <c r="R510" s="19" t="s">
        <v>121</v>
      </c>
      <c r="S510" s="19" t="s">
        <v>121</v>
      </c>
      <c r="T510" s="5">
        <f t="shared" si="55"/>
        <v>2024</v>
      </c>
      <c r="U510" s="5">
        <f t="shared" si="56"/>
        <v>1</v>
      </c>
      <c r="V510" s="5">
        <v>0</v>
      </c>
      <c r="W510" s="5">
        <v>10</v>
      </c>
    </row>
    <row r="511" spans="1:23">
      <c r="A511" s="5">
        <f t="shared" si="54"/>
        <v>508</v>
      </c>
      <c r="B511" s="93">
        <f t="shared" si="57"/>
        <v>2024</v>
      </c>
      <c r="C511" s="20" t="str">
        <f>INDEX(Unitinfo!C:C,MATCH(UnitGradeInfo!B511,Unitinfo!A:A,0))</f>
        <v>(원거리)Soul_Skeleton_Archer</v>
      </c>
      <c r="D511" s="5">
        <f>COUNTIF($B$4:B511,B511)</f>
        <v>3</v>
      </c>
      <c r="E511" s="5">
        <f>ROUNDDOWN(INDEX(ref_Unit_Balance!$G$31:$G$106,MATCH(UnitGradeInfo!B511,ref_Unit_Balance!$B$31:$B$1048576,0))
+INDEX(ref_Unit_Balance!$G$20:$G$23,MATCH(IFERROR(INDEX(ref_Unit_Balance!$D$31:$D$1048576,MATCH(B511,ref_Unit_Balance!$B$31:$B$1048576,0)),0),ref_Unit_Balance!$B$20:$B$23,0))*D511*ref_Unit_Balance!$C$25,0)</f>
        <v>425</v>
      </c>
      <c r="F511" s="5">
        <f>INDEX(ref_Unit_Balance!$V$31:$V$106,MATCH(UnitGradeInfo!B511,ref_Unit_Balance!$B$31:$B$1048576,0))
+
INDEX(ref_Unit_Balance!$AB$31:$AB$106,MATCH(UnitGradeInfo!B511,ref_Unit_Balance!$B$31:$B$1048576,0))*(D511-1)</f>
        <v>1500</v>
      </c>
      <c r="G511" s="5">
        <f>INDEX(ref_Unit_Balance!$R$31:$R$106,MATCH(UnitGradeInfo!B511,ref_Unit_Balance!$B$31:$B$1048576,0))
+
INDEX(ref_Unit_Balance!$AA$31:$AA$106,MATCH(UnitGradeInfo!B511,ref_Unit_Balance!$B$31:$B$1048576,0))*(D511-1)</f>
        <v>128</v>
      </c>
      <c r="H511" s="39">
        <f>IF(INDEX(Unitinfo!D:D,MATCH(UnitGradeInfo!B511,Unitinfo!A:A,0))=1,50,5)</f>
        <v>50</v>
      </c>
      <c r="I511" s="5">
        <f>IF(INDEX(ref_Unit_Balance!$T$31:$T$106,MATCH(UnitGradeInfo!B511,ref_Unit_Balance!$B$31:$B$1048576,0))=0,1,INDEX(ref_Unit_Balance!$T$31:$T$106,MATCH(UnitGradeInfo!B511,ref_Unit_Balance!$B$31:$B$1048576,0)))</f>
        <v>5</v>
      </c>
      <c r="J511" s="5">
        <f>INDEX(ref_Unit_Balance!$S$31:$S$106,MATCH(UnitGradeInfo!B511,ref_Unit_Balance!$B$31:$B$1048576,0))</f>
        <v>600</v>
      </c>
      <c r="K511" s="5">
        <v>0</v>
      </c>
      <c r="L511" s="5">
        <f>INDEX(ref_Unit_Balance!$I$31:$I$106,MATCH(UnitGradeInfo!B511,ref_Unit_Balance!$B$31:$B$1048576,0))</f>
        <v>4</v>
      </c>
      <c r="M511" s="5">
        <f t="shared" si="52"/>
        <v>6</v>
      </c>
      <c r="N511" s="5">
        <f t="shared" si="53"/>
        <v>60</v>
      </c>
      <c r="O511" s="5">
        <f>(INDEX(Unitinfo!I:I,MATCH(B511,Unitinfo!A:A,0))+1)*2</f>
        <v>6</v>
      </c>
      <c r="P511" s="5">
        <v>0</v>
      </c>
      <c r="Q511" s="5">
        <v>0</v>
      </c>
      <c r="R511" s="19" t="s">
        <v>121</v>
      </c>
      <c r="S511" s="19" t="s">
        <v>121</v>
      </c>
      <c r="T511" s="5">
        <f t="shared" si="55"/>
        <v>2024</v>
      </c>
      <c r="U511" s="5">
        <f t="shared" si="56"/>
        <v>1</v>
      </c>
      <c r="V511" s="5">
        <v>0</v>
      </c>
      <c r="W511" s="5">
        <v>10</v>
      </c>
    </row>
    <row r="512" spans="1:23">
      <c r="A512" s="5">
        <f t="shared" si="54"/>
        <v>509</v>
      </c>
      <c r="B512" s="93">
        <f t="shared" si="57"/>
        <v>2024</v>
      </c>
      <c r="C512" s="20" t="str">
        <f>INDEX(Unitinfo!C:C,MATCH(UnitGradeInfo!B512,Unitinfo!A:A,0))</f>
        <v>(원거리)Soul_Skeleton_Archer</v>
      </c>
      <c r="D512" s="5">
        <f>COUNTIF($B$4:B512,B512)</f>
        <v>4</v>
      </c>
      <c r="E512" s="5">
        <f>ROUNDDOWN(INDEX(ref_Unit_Balance!$G$31:$G$106,MATCH(UnitGradeInfo!B512,ref_Unit_Balance!$B$31:$B$1048576,0))
+INDEX(ref_Unit_Balance!$G$20:$G$23,MATCH(IFERROR(INDEX(ref_Unit_Balance!$D$31:$D$1048576,MATCH(B512,ref_Unit_Balance!$B$31:$B$1048576,0)),0),ref_Unit_Balance!$B$20:$B$23,0))*D512*ref_Unit_Balance!$C$25,0)</f>
        <v>500</v>
      </c>
      <c r="F512" s="5">
        <f>INDEX(ref_Unit_Balance!$V$31:$V$106,MATCH(UnitGradeInfo!B512,ref_Unit_Balance!$B$31:$B$1048576,0))
+
INDEX(ref_Unit_Balance!$AB$31:$AB$106,MATCH(UnitGradeInfo!B512,ref_Unit_Balance!$B$31:$B$1048576,0))*(D512-1)</f>
        <v>1650</v>
      </c>
      <c r="G512" s="5">
        <f>INDEX(ref_Unit_Balance!$R$31:$R$106,MATCH(UnitGradeInfo!B512,ref_Unit_Balance!$B$31:$B$1048576,0))
+
INDEX(ref_Unit_Balance!$AA$31:$AA$106,MATCH(UnitGradeInfo!B512,ref_Unit_Balance!$B$31:$B$1048576,0))*(D512-1)</f>
        <v>132</v>
      </c>
      <c r="H512" s="39">
        <f>IF(INDEX(Unitinfo!D:D,MATCH(UnitGradeInfo!B512,Unitinfo!A:A,0))=1,50,5)</f>
        <v>50</v>
      </c>
      <c r="I512" s="5">
        <f>IF(INDEX(ref_Unit_Balance!$T$31:$T$106,MATCH(UnitGradeInfo!B512,ref_Unit_Balance!$B$31:$B$1048576,0))=0,1,INDEX(ref_Unit_Balance!$T$31:$T$106,MATCH(UnitGradeInfo!B512,ref_Unit_Balance!$B$31:$B$1048576,0)))</f>
        <v>5</v>
      </c>
      <c r="J512" s="5">
        <f>INDEX(ref_Unit_Balance!$S$31:$S$106,MATCH(UnitGradeInfo!B512,ref_Unit_Balance!$B$31:$B$1048576,0))</f>
        <v>600</v>
      </c>
      <c r="K512" s="5">
        <v>0</v>
      </c>
      <c r="L512" s="5">
        <f>INDEX(ref_Unit_Balance!$I$31:$I$106,MATCH(UnitGradeInfo!B512,ref_Unit_Balance!$B$31:$B$1048576,0))</f>
        <v>4</v>
      </c>
      <c r="M512" s="5">
        <f t="shared" si="52"/>
        <v>8</v>
      </c>
      <c r="N512" s="5">
        <f t="shared" si="53"/>
        <v>80</v>
      </c>
      <c r="O512" s="5">
        <f>(INDEX(Unitinfo!I:I,MATCH(B512,Unitinfo!A:A,0))+1)*2</f>
        <v>6</v>
      </c>
      <c r="P512" s="5">
        <v>0</v>
      </c>
      <c r="Q512" s="5">
        <v>0</v>
      </c>
      <c r="R512" s="19" t="s">
        <v>121</v>
      </c>
      <c r="S512" s="19" t="s">
        <v>121</v>
      </c>
      <c r="T512" s="5">
        <f t="shared" si="55"/>
        <v>2024</v>
      </c>
      <c r="U512" s="5">
        <f t="shared" si="56"/>
        <v>1</v>
      </c>
      <c r="V512" s="5">
        <v>0</v>
      </c>
      <c r="W512" s="5">
        <v>10</v>
      </c>
    </row>
    <row r="513" spans="1:23">
      <c r="A513" s="5">
        <f t="shared" si="54"/>
        <v>510</v>
      </c>
      <c r="B513" s="93">
        <f t="shared" si="57"/>
        <v>2024</v>
      </c>
      <c r="C513" s="20" t="str">
        <f>INDEX(Unitinfo!C:C,MATCH(UnitGradeInfo!B513,Unitinfo!A:A,0))</f>
        <v>(원거리)Soul_Skeleton_Archer</v>
      </c>
      <c r="D513" s="5">
        <f>COUNTIF($B$4:B513,B513)</f>
        <v>5</v>
      </c>
      <c r="E513" s="5">
        <f>ROUNDDOWN(INDEX(ref_Unit_Balance!$G$31:$G$106,MATCH(UnitGradeInfo!B513,ref_Unit_Balance!$B$31:$B$1048576,0))
+INDEX(ref_Unit_Balance!$G$20:$G$23,MATCH(IFERROR(INDEX(ref_Unit_Balance!$D$31:$D$1048576,MATCH(B513,ref_Unit_Balance!$B$31:$B$1048576,0)),0),ref_Unit_Balance!$B$20:$B$23,0))*D513*ref_Unit_Balance!$C$25,0)</f>
        <v>575</v>
      </c>
      <c r="F513" s="5">
        <f>INDEX(ref_Unit_Balance!$V$31:$V$106,MATCH(UnitGradeInfo!B513,ref_Unit_Balance!$B$31:$B$1048576,0))
+
INDEX(ref_Unit_Balance!$AB$31:$AB$106,MATCH(UnitGradeInfo!B513,ref_Unit_Balance!$B$31:$B$1048576,0))*(D513-1)</f>
        <v>1800</v>
      </c>
      <c r="G513" s="5">
        <f>INDEX(ref_Unit_Balance!$R$31:$R$106,MATCH(UnitGradeInfo!B513,ref_Unit_Balance!$B$31:$B$1048576,0))
+
INDEX(ref_Unit_Balance!$AA$31:$AA$106,MATCH(UnitGradeInfo!B513,ref_Unit_Balance!$B$31:$B$1048576,0))*(D513-1)</f>
        <v>136</v>
      </c>
      <c r="H513" s="39">
        <f>IF(INDEX(Unitinfo!D:D,MATCH(UnitGradeInfo!B513,Unitinfo!A:A,0))=1,50,5)</f>
        <v>50</v>
      </c>
      <c r="I513" s="5">
        <f>IF(INDEX(ref_Unit_Balance!$T$31:$T$106,MATCH(UnitGradeInfo!B513,ref_Unit_Balance!$B$31:$B$1048576,0))=0,1,INDEX(ref_Unit_Balance!$T$31:$T$106,MATCH(UnitGradeInfo!B513,ref_Unit_Balance!$B$31:$B$1048576,0)))</f>
        <v>5</v>
      </c>
      <c r="J513" s="5">
        <f>INDEX(ref_Unit_Balance!$S$31:$S$106,MATCH(UnitGradeInfo!B513,ref_Unit_Balance!$B$31:$B$1048576,0))</f>
        <v>600</v>
      </c>
      <c r="K513" s="5">
        <v>0</v>
      </c>
      <c r="L513" s="5">
        <f>INDEX(ref_Unit_Balance!$I$31:$I$106,MATCH(UnitGradeInfo!B513,ref_Unit_Balance!$B$31:$B$1048576,0))</f>
        <v>4</v>
      </c>
      <c r="M513" s="5">
        <f t="shared" si="52"/>
        <v>10</v>
      </c>
      <c r="N513" s="5">
        <f t="shared" si="53"/>
        <v>100</v>
      </c>
      <c r="O513" s="5">
        <f>(INDEX(Unitinfo!I:I,MATCH(B513,Unitinfo!A:A,0))+1)*2</f>
        <v>6</v>
      </c>
      <c r="P513" s="5">
        <v>0</v>
      </c>
      <c r="Q513" s="5">
        <v>0</v>
      </c>
      <c r="R513" s="19" t="s">
        <v>121</v>
      </c>
      <c r="S513" s="19" t="s">
        <v>121</v>
      </c>
      <c r="T513" s="5">
        <f t="shared" si="55"/>
        <v>2024</v>
      </c>
      <c r="U513" s="5">
        <f t="shared" si="56"/>
        <v>1</v>
      </c>
      <c r="V513" s="5">
        <v>0</v>
      </c>
      <c r="W513" s="5">
        <v>10</v>
      </c>
    </row>
    <row r="514" spans="1:23">
      <c r="A514" s="5">
        <f t="shared" si="54"/>
        <v>511</v>
      </c>
      <c r="B514" s="93">
        <f t="shared" si="57"/>
        <v>2024</v>
      </c>
      <c r="C514" s="20" t="str">
        <f>INDEX(Unitinfo!C:C,MATCH(UnitGradeInfo!B514,Unitinfo!A:A,0))</f>
        <v>(원거리)Soul_Skeleton_Archer</v>
      </c>
      <c r="D514" s="5">
        <f>COUNTIF($B$4:B514,B514)</f>
        <v>6</v>
      </c>
      <c r="E514" s="5">
        <f>ROUNDDOWN(INDEX(ref_Unit_Balance!$G$31:$G$106,MATCH(UnitGradeInfo!B514,ref_Unit_Balance!$B$31:$B$1048576,0))
+INDEX(ref_Unit_Balance!$G$20:$G$23,MATCH(IFERROR(INDEX(ref_Unit_Balance!$D$31:$D$1048576,MATCH(B514,ref_Unit_Balance!$B$31:$B$1048576,0)),0),ref_Unit_Balance!$B$20:$B$23,0))*D514*ref_Unit_Balance!$C$25,0)</f>
        <v>650</v>
      </c>
      <c r="F514" s="5">
        <f>INDEX(ref_Unit_Balance!$V$31:$V$106,MATCH(UnitGradeInfo!B514,ref_Unit_Balance!$B$31:$B$1048576,0))
+
INDEX(ref_Unit_Balance!$AB$31:$AB$106,MATCH(UnitGradeInfo!B514,ref_Unit_Balance!$B$31:$B$1048576,0))*(D514-1)</f>
        <v>1950</v>
      </c>
      <c r="G514" s="5">
        <f>INDEX(ref_Unit_Balance!$R$31:$R$106,MATCH(UnitGradeInfo!B514,ref_Unit_Balance!$B$31:$B$1048576,0))
+
INDEX(ref_Unit_Balance!$AA$31:$AA$106,MATCH(UnitGradeInfo!B514,ref_Unit_Balance!$B$31:$B$1048576,0))*(D514-1)</f>
        <v>140</v>
      </c>
      <c r="H514" s="39">
        <f>IF(INDEX(Unitinfo!D:D,MATCH(UnitGradeInfo!B514,Unitinfo!A:A,0))=1,50,5)</f>
        <v>50</v>
      </c>
      <c r="I514" s="5">
        <f>IF(INDEX(ref_Unit_Balance!$T$31:$T$106,MATCH(UnitGradeInfo!B514,ref_Unit_Balance!$B$31:$B$1048576,0))=0,1,INDEX(ref_Unit_Balance!$T$31:$T$106,MATCH(UnitGradeInfo!B514,ref_Unit_Balance!$B$31:$B$1048576,0)))</f>
        <v>5</v>
      </c>
      <c r="J514" s="5">
        <f>INDEX(ref_Unit_Balance!$S$31:$S$106,MATCH(UnitGradeInfo!B514,ref_Unit_Balance!$B$31:$B$1048576,0))</f>
        <v>600</v>
      </c>
      <c r="K514" s="5">
        <v>0</v>
      </c>
      <c r="L514" s="5">
        <f>INDEX(ref_Unit_Balance!$I$31:$I$106,MATCH(UnitGradeInfo!B514,ref_Unit_Balance!$B$31:$B$1048576,0))</f>
        <v>4</v>
      </c>
      <c r="M514" s="5">
        <f t="shared" si="52"/>
        <v>12</v>
      </c>
      <c r="N514" s="5">
        <f t="shared" si="53"/>
        <v>120</v>
      </c>
      <c r="O514" s="5">
        <f>(INDEX(Unitinfo!I:I,MATCH(B514,Unitinfo!A:A,0))+1)*2</f>
        <v>6</v>
      </c>
      <c r="P514" s="5">
        <v>0</v>
      </c>
      <c r="Q514" s="5">
        <v>0</v>
      </c>
      <c r="R514" s="19" t="s">
        <v>121</v>
      </c>
      <c r="S514" s="19" t="s">
        <v>121</v>
      </c>
      <c r="T514" s="5">
        <f t="shared" si="55"/>
        <v>2024</v>
      </c>
      <c r="U514" s="5">
        <f t="shared" si="56"/>
        <v>1</v>
      </c>
      <c r="V514" s="5">
        <v>0</v>
      </c>
      <c r="W514" s="5">
        <v>10</v>
      </c>
    </row>
    <row r="515" spans="1:23">
      <c r="A515" s="5">
        <f t="shared" si="54"/>
        <v>512</v>
      </c>
      <c r="B515" s="93">
        <f t="shared" si="57"/>
        <v>2024</v>
      </c>
      <c r="C515" s="20" t="str">
        <f>INDEX(Unitinfo!C:C,MATCH(UnitGradeInfo!B515,Unitinfo!A:A,0))</f>
        <v>(원거리)Soul_Skeleton_Archer</v>
      </c>
      <c r="D515" s="5">
        <f>COUNTIF($B$4:B515,B515)</f>
        <v>7</v>
      </c>
      <c r="E515" s="5">
        <f>ROUNDDOWN(INDEX(ref_Unit_Balance!$G$31:$G$106,MATCH(UnitGradeInfo!B515,ref_Unit_Balance!$B$31:$B$1048576,0))
+INDEX(ref_Unit_Balance!$G$20:$G$23,MATCH(IFERROR(INDEX(ref_Unit_Balance!$D$31:$D$1048576,MATCH(B515,ref_Unit_Balance!$B$31:$B$1048576,0)),0),ref_Unit_Balance!$B$20:$B$23,0))*D515*ref_Unit_Balance!$C$25,0)</f>
        <v>725</v>
      </c>
      <c r="F515" s="5">
        <f>INDEX(ref_Unit_Balance!$V$31:$V$106,MATCH(UnitGradeInfo!B515,ref_Unit_Balance!$B$31:$B$1048576,0))
+
INDEX(ref_Unit_Balance!$AB$31:$AB$106,MATCH(UnitGradeInfo!B515,ref_Unit_Balance!$B$31:$B$1048576,0))*(D515-1)</f>
        <v>2100</v>
      </c>
      <c r="G515" s="5">
        <f>INDEX(ref_Unit_Balance!$R$31:$R$106,MATCH(UnitGradeInfo!B515,ref_Unit_Balance!$B$31:$B$1048576,0))
+
INDEX(ref_Unit_Balance!$AA$31:$AA$106,MATCH(UnitGradeInfo!B515,ref_Unit_Balance!$B$31:$B$1048576,0))*(D515-1)</f>
        <v>144</v>
      </c>
      <c r="H515" s="39">
        <f>IF(INDEX(Unitinfo!D:D,MATCH(UnitGradeInfo!B515,Unitinfo!A:A,0))=1,50,5)</f>
        <v>50</v>
      </c>
      <c r="I515" s="5">
        <f>IF(INDEX(ref_Unit_Balance!$T$31:$T$106,MATCH(UnitGradeInfo!B515,ref_Unit_Balance!$B$31:$B$1048576,0))=0,1,INDEX(ref_Unit_Balance!$T$31:$T$106,MATCH(UnitGradeInfo!B515,ref_Unit_Balance!$B$31:$B$1048576,0)))</f>
        <v>5</v>
      </c>
      <c r="J515" s="5">
        <f>INDEX(ref_Unit_Balance!$S$31:$S$106,MATCH(UnitGradeInfo!B515,ref_Unit_Balance!$B$31:$B$1048576,0))</f>
        <v>600</v>
      </c>
      <c r="K515" s="5">
        <v>0</v>
      </c>
      <c r="L515" s="5">
        <f>INDEX(ref_Unit_Balance!$I$31:$I$106,MATCH(UnitGradeInfo!B515,ref_Unit_Balance!$B$31:$B$1048576,0))</f>
        <v>4</v>
      </c>
      <c r="M515" s="5">
        <f t="shared" si="52"/>
        <v>14</v>
      </c>
      <c r="N515" s="5">
        <f t="shared" si="53"/>
        <v>140</v>
      </c>
      <c r="O515" s="5">
        <f>(INDEX(Unitinfo!I:I,MATCH(B515,Unitinfo!A:A,0))+1)*2</f>
        <v>6</v>
      </c>
      <c r="P515" s="5">
        <v>0</v>
      </c>
      <c r="Q515" s="5">
        <v>0</v>
      </c>
      <c r="R515" s="19" t="s">
        <v>121</v>
      </c>
      <c r="S515" s="19" t="s">
        <v>121</v>
      </c>
      <c r="T515" s="5">
        <f t="shared" si="55"/>
        <v>2024</v>
      </c>
      <c r="U515" s="5">
        <f t="shared" si="56"/>
        <v>1</v>
      </c>
      <c r="V515" s="5">
        <v>0</v>
      </c>
      <c r="W515" s="5">
        <v>10</v>
      </c>
    </row>
    <row r="516" spans="1:23">
      <c r="A516" s="5">
        <f t="shared" si="54"/>
        <v>513</v>
      </c>
      <c r="B516" s="93">
        <f t="shared" si="57"/>
        <v>2024</v>
      </c>
      <c r="C516" s="20" t="str">
        <f>INDEX(Unitinfo!C:C,MATCH(UnitGradeInfo!B516,Unitinfo!A:A,0))</f>
        <v>(원거리)Soul_Skeleton_Archer</v>
      </c>
      <c r="D516" s="5">
        <f>COUNTIF($B$4:B516,B516)</f>
        <v>8</v>
      </c>
      <c r="E516" s="5">
        <f>ROUNDDOWN(INDEX(ref_Unit_Balance!$G$31:$G$106,MATCH(UnitGradeInfo!B516,ref_Unit_Balance!$B$31:$B$1048576,0))
+INDEX(ref_Unit_Balance!$G$20:$G$23,MATCH(IFERROR(INDEX(ref_Unit_Balance!$D$31:$D$1048576,MATCH(B516,ref_Unit_Balance!$B$31:$B$1048576,0)),0),ref_Unit_Balance!$B$20:$B$23,0))*D516*ref_Unit_Balance!$C$25,0)</f>
        <v>800</v>
      </c>
      <c r="F516" s="5">
        <f>INDEX(ref_Unit_Balance!$V$31:$V$106,MATCH(UnitGradeInfo!B516,ref_Unit_Balance!$B$31:$B$1048576,0))
+
INDEX(ref_Unit_Balance!$AB$31:$AB$106,MATCH(UnitGradeInfo!B516,ref_Unit_Balance!$B$31:$B$1048576,0))*(D516-1)</f>
        <v>2250</v>
      </c>
      <c r="G516" s="5">
        <f>INDEX(ref_Unit_Balance!$R$31:$R$106,MATCH(UnitGradeInfo!B516,ref_Unit_Balance!$B$31:$B$1048576,0))
+
INDEX(ref_Unit_Balance!$AA$31:$AA$106,MATCH(UnitGradeInfo!B516,ref_Unit_Balance!$B$31:$B$1048576,0))*(D516-1)</f>
        <v>148</v>
      </c>
      <c r="H516" s="39">
        <f>IF(INDEX(Unitinfo!D:D,MATCH(UnitGradeInfo!B516,Unitinfo!A:A,0))=1,50,5)</f>
        <v>50</v>
      </c>
      <c r="I516" s="5">
        <f>IF(INDEX(ref_Unit_Balance!$T$31:$T$106,MATCH(UnitGradeInfo!B516,ref_Unit_Balance!$B$31:$B$1048576,0))=0,1,INDEX(ref_Unit_Balance!$T$31:$T$106,MATCH(UnitGradeInfo!B516,ref_Unit_Balance!$B$31:$B$1048576,0)))</f>
        <v>5</v>
      </c>
      <c r="J516" s="5">
        <f>INDEX(ref_Unit_Balance!$S$31:$S$106,MATCH(UnitGradeInfo!B516,ref_Unit_Balance!$B$31:$B$1048576,0))</f>
        <v>600</v>
      </c>
      <c r="K516" s="5">
        <v>0</v>
      </c>
      <c r="L516" s="5">
        <f>INDEX(ref_Unit_Balance!$I$31:$I$106,MATCH(UnitGradeInfo!B516,ref_Unit_Balance!$B$31:$B$1048576,0))</f>
        <v>4</v>
      </c>
      <c r="M516" s="5">
        <f t="shared" si="52"/>
        <v>16</v>
      </c>
      <c r="N516" s="5">
        <f t="shared" si="53"/>
        <v>160</v>
      </c>
      <c r="O516" s="5">
        <f>(INDEX(Unitinfo!I:I,MATCH(B516,Unitinfo!A:A,0))+1)*2</f>
        <v>6</v>
      </c>
      <c r="P516" s="5">
        <v>0</v>
      </c>
      <c r="Q516" s="5">
        <v>0</v>
      </c>
      <c r="R516" s="19" t="s">
        <v>121</v>
      </c>
      <c r="S516" s="19" t="s">
        <v>121</v>
      </c>
      <c r="T516" s="5">
        <f t="shared" si="55"/>
        <v>2024</v>
      </c>
      <c r="U516" s="5">
        <f t="shared" si="56"/>
        <v>1</v>
      </c>
      <c r="V516" s="5">
        <v>0</v>
      </c>
      <c r="W516" s="5">
        <v>10</v>
      </c>
    </row>
    <row r="517" spans="1:23">
      <c r="A517" s="5">
        <f t="shared" si="54"/>
        <v>514</v>
      </c>
      <c r="B517" s="93">
        <f t="shared" si="57"/>
        <v>2024</v>
      </c>
      <c r="C517" s="20" t="str">
        <f>INDEX(Unitinfo!C:C,MATCH(UnitGradeInfo!B517,Unitinfo!A:A,0))</f>
        <v>(원거리)Soul_Skeleton_Archer</v>
      </c>
      <c r="D517" s="5">
        <f>COUNTIF($B$4:B517,B517)</f>
        <v>9</v>
      </c>
      <c r="E517" s="5">
        <f>ROUNDDOWN(INDEX(ref_Unit_Balance!$G$31:$G$106,MATCH(UnitGradeInfo!B517,ref_Unit_Balance!$B$31:$B$1048576,0))
+INDEX(ref_Unit_Balance!$G$20:$G$23,MATCH(IFERROR(INDEX(ref_Unit_Balance!$D$31:$D$1048576,MATCH(B517,ref_Unit_Balance!$B$31:$B$1048576,0)),0),ref_Unit_Balance!$B$20:$B$23,0))*D517*ref_Unit_Balance!$C$25,0)</f>
        <v>875</v>
      </c>
      <c r="F517" s="5">
        <f>INDEX(ref_Unit_Balance!$V$31:$V$106,MATCH(UnitGradeInfo!B517,ref_Unit_Balance!$B$31:$B$1048576,0))
+
INDEX(ref_Unit_Balance!$AB$31:$AB$106,MATCH(UnitGradeInfo!B517,ref_Unit_Balance!$B$31:$B$1048576,0))*(D517-1)</f>
        <v>2400</v>
      </c>
      <c r="G517" s="5">
        <f>INDEX(ref_Unit_Balance!$R$31:$R$106,MATCH(UnitGradeInfo!B517,ref_Unit_Balance!$B$31:$B$1048576,0))
+
INDEX(ref_Unit_Balance!$AA$31:$AA$106,MATCH(UnitGradeInfo!B517,ref_Unit_Balance!$B$31:$B$1048576,0))*(D517-1)</f>
        <v>152</v>
      </c>
      <c r="H517" s="39">
        <f>IF(INDEX(Unitinfo!D:D,MATCH(UnitGradeInfo!B517,Unitinfo!A:A,0))=1,50,5)</f>
        <v>50</v>
      </c>
      <c r="I517" s="5">
        <f>IF(INDEX(ref_Unit_Balance!$T$31:$T$106,MATCH(UnitGradeInfo!B517,ref_Unit_Balance!$B$31:$B$1048576,0))=0,1,INDEX(ref_Unit_Balance!$T$31:$T$106,MATCH(UnitGradeInfo!B517,ref_Unit_Balance!$B$31:$B$1048576,0)))</f>
        <v>5</v>
      </c>
      <c r="J517" s="5">
        <f>INDEX(ref_Unit_Balance!$S$31:$S$106,MATCH(UnitGradeInfo!B517,ref_Unit_Balance!$B$31:$B$1048576,0))</f>
        <v>600</v>
      </c>
      <c r="K517" s="5">
        <v>0</v>
      </c>
      <c r="L517" s="5">
        <f>INDEX(ref_Unit_Balance!$I$31:$I$106,MATCH(UnitGradeInfo!B517,ref_Unit_Balance!$B$31:$B$1048576,0))</f>
        <v>4</v>
      </c>
      <c r="M517" s="5">
        <f t="shared" ref="M517:M580" si="58">D517*2</f>
        <v>18</v>
      </c>
      <c r="N517" s="5">
        <f t="shared" ref="N517:N580" si="59">D517*20</f>
        <v>180</v>
      </c>
      <c r="O517" s="5">
        <f>(INDEX(Unitinfo!I:I,MATCH(B517,Unitinfo!A:A,0))+1)*2</f>
        <v>6</v>
      </c>
      <c r="P517" s="5">
        <v>0</v>
      </c>
      <c r="Q517" s="5">
        <v>0</v>
      </c>
      <c r="R517" s="19" t="s">
        <v>121</v>
      </c>
      <c r="S517" s="19" t="s">
        <v>121</v>
      </c>
      <c r="T517" s="5">
        <f t="shared" si="55"/>
        <v>2024</v>
      </c>
      <c r="U517" s="5">
        <f t="shared" si="56"/>
        <v>1</v>
      </c>
      <c r="V517" s="5">
        <v>0</v>
      </c>
      <c r="W517" s="5">
        <v>10</v>
      </c>
    </row>
    <row r="518" spans="1:23">
      <c r="A518" s="5">
        <f t="shared" si="54"/>
        <v>515</v>
      </c>
      <c r="B518" s="93">
        <f t="shared" si="57"/>
        <v>2024</v>
      </c>
      <c r="C518" s="20" t="str">
        <f>INDEX(Unitinfo!C:C,MATCH(UnitGradeInfo!B518,Unitinfo!A:A,0))</f>
        <v>(원거리)Soul_Skeleton_Archer</v>
      </c>
      <c r="D518" s="5">
        <f>COUNTIF($B$4:B518,B518)</f>
        <v>10</v>
      </c>
      <c r="E518" s="5">
        <f>ROUNDDOWN(INDEX(ref_Unit_Balance!$G$31:$G$106,MATCH(UnitGradeInfo!B518,ref_Unit_Balance!$B$31:$B$1048576,0))
+INDEX(ref_Unit_Balance!$G$20:$G$23,MATCH(IFERROR(INDEX(ref_Unit_Balance!$D$31:$D$1048576,MATCH(B518,ref_Unit_Balance!$B$31:$B$1048576,0)),0),ref_Unit_Balance!$B$20:$B$23,0))*D518*ref_Unit_Balance!$C$25,0)</f>
        <v>950</v>
      </c>
      <c r="F518" s="5">
        <f>INDEX(ref_Unit_Balance!$V$31:$V$106,MATCH(UnitGradeInfo!B518,ref_Unit_Balance!$B$31:$B$1048576,0))
+
INDEX(ref_Unit_Balance!$AB$31:$AB$106,MATCH(UnitGradeInfo!B518,ref_Unit_Balance!$B$31:$B$1048576,0))*(D518-1)</f>
        <v>2550</v>
      </c>
      <c r="G518" s="5">
        <f>INDEX(ref_Unit_Balance!$R$31:$R$106,MATCH(UnitGradeInfo!B518,ref_Unit_Balance!$B$31:$B$1048576,0))
+
INDEX(ref_Unit_Balance!$AA$31:$AA$106,MATCH(UnitGradeInfo!B518,ref_Unit_Balance!$B$31:$B$1048576,0))*(D518-1)</f>
        <v>156</v>
      </c>
      <c r="H518" s="39">
        <f>IF(INDEX(Unitinfo!D:D,MATCH(UnitGradeInfo!B518,Unitinfo!A:A,0))=1,50,5)</f>
        <v>50</v>
      </c>
      <c r="I518" s="5">
        <f>IF(INDEX(ref_Unit_Balance!$T$31:$T$106,MATCH(UnitGradeInfo!B518,ref_Unit_Balance!$B$31:$B$1048576,0))=0,1,INDEX(ref_Unit_Balance!$T$31:$T$106,MATCH(UnitGradeInfo!B518,ref_Unit_Balance!$B$31:$B$1048576,0)))</f>
        <v>5</v>
      </c>
      <c r="J518" s="5">
        <f>INDEX(ref_Unit_Balance!$S$31:$S$106,MATCH(UnitGradeInfo!B518,ref_Unit_Balance!$B$31:$B$1048576,0))</f>
        <v>600</v>
      </c>
      <c r="K518" s="5">
        <v>0</v>
      </c>
      <c r="L518" s="5">
        <f>INDEX(ref_Unit_Balance!$I$31:$I$106,MATCH(UnitGradeInfo!B518,ref_Unit_Balance!$B$31:$B$1048576,0))</f>
        <v>4</v>
      </c>
      <c r="M518" s="5">
        <f t="shared" si="58"/>
        <v>20</v>
      </c>
      <c r="N518" s="5">
        <f t="shared" si="59"/>
        <v>200</v>
      </c>
      <c r="O518" s="5">
        <f>(INDEX(Unitinfo!I:I,MATCH(B518,Unitinfo!A:A,0))+1)*2</f>
        <v>6</v>
      </c>
      <c r="P518" s="5">
        <v>0</v>
      </c>
      <c r="Q518" s="5">
        <v>0</v>
      </c>
      <c r="R518" s="19" t="s">
        <v>121</v>
      </c>
      <c r="S518" s="19" t="s">
        <v>121</v>
      </c>
      <c r="T518" s="5">
        <f t="shared" si="55"/>
        <v>2024</v>
      </c>
      <c r="U518" s="5">
        <f t="shared" si="56"/>
        <v>1</v>
      </c>
      <c r="V518" s="5">
        <v>0</v>
      </c>
      <c r="W518" s="5">
        <v>10</v>
      </c>
    </row>
    <row r="519" spans="1:23">
      <c r="A519" s="5">
        <f t="shared" si="54"/>
        <v>516</v>
      </c>
      <c r="B519" s="93">
        <f t="shared" si="57"/>
        <v>2024</v>
      </c>
      <c r="C519" s="20" t="str">
        <f>INDEX(Unitinfo!C:C,MATCH(UnitGradeInfo!B519,Unitinfo!A:A,0))</f>
        <v>(원거리)Soul_Skeleton_Archer</v>
      </c>
      <c r="D519" s="5">
        <f>COUNTIF($B$4:B519,B519)</f>
        <v>11</v>
      </c>
      <c r="E519" s="5">
        <f>ROUNDDOWN(INDEX(ref_Unit_Balance!$G$31:$G$106,MATCH(UnitGradeInfo!B519,ref_Unit_Balance!$B$31:$B$1048576,0))
+INDEX(ref_Unit_Balance!$G$20:$G$23,MATCH(IFERROR(INDEX(ref_Unit_Balance!$D$31:$D$1048576,MATCH(B519,ref_Unit_Balance!$B$31:$B$1048576,0)),0),ref_Unit_Balance!$B$20:$B$23,0))*D519*ref_Unit_Balance!$C$25,0)</f>
        <v>1025</v>
      </c>
      <c r="F519" s="5">
        <f>INDEX(ref_Unit_Balance!$V$31:$V$106,MATCH(UnitGradeInfo!B519,ref_Unit_Balance!$B$31:$B$1048576,0))
+
INDEX(ref_Unit_Balance!$AB$31:$AB$106,MATCH(UnitGradeInfo!B519,ref_Unit_Balance!$B$31:$B$1048576,0))*(D519-1)</f>
        <v>2700</v>
      </c>
      <c r="G519" s="5">
        <f>INDEX(ref_Unit_Balance!$R$31:$R$106,MATCH(UnitGradeInfo!B519,ref_Unit_Balance!$B$31:$B$1048576,0))
+
INDEX(ref_Unit_Balance!$AA$31:$AA$106,MATCH(UnitGradeInfo!B519,ref_Unit_Balance!$B$31:$B$1048576,0))*(D519-1)</f>
        <v>160</v>
      </c>
      <c r="H519" s="39">
        <f>IF(INDEX(Unitinfo!D:D,MATCH(UnitGradeInfo!B519,Unitinfo!A:A,0))=1,50,5)</f>
        <v>50</v>
      </c>
      <c r="I519" s="5">
        <f>IF(INDEX(ref_Unit_Balance!$T$31:$T$106,MATCH(UnitGradeInfo!B519,ref_Unit_Balance!$B$31:$B$1048576,0))=0,1,INDEX(ref_Unit_Balance!$T$31:$T$106,MATCH(UnitGradeInfo!B519,ref_Unit_Balance!$B$31:$B$1048576,0)))</f>
        <v>5</v>
      </c>
      <c r="J519" s="5">
        <f>INDEX(ref_Unit_Balance!$S$31:$S$106,MATCH(UnitGradeInfo!B519,ref_Unit_Balance!$B$31:$B$1048576,0))</f>
        <v>600</v>
      </c>
      <c r="K519" s="5">
        <v>0</v>
      </c>
      <c r="L519" s="5">
        <f>INDEX(ref_Unit_Balance!$I$31:$I$106,MATCH(UnitGradeInfo!B519,ref_Unit_Balance!$B$31:$B$1048576,0))</f>
        <v>4</v>
      </c>
      <c r="M519" s="5">
        <f t="shared" si="58"/>
        <v>22</v>
      </c>
      <c r="N519" s="5">
        <f t="shared" si="59"/>
        <v>220</v>
      </c>
      <c r="O519" s="5">
        <f>(INDEX(Unitinfo!I:I,MATCH(B519,Unitinfo!A:A,0))+1)*2</f>
        <v>6</v>
      </c>
      <c r="P519" s="5">
        <v>0</v>
      </c>
      <c r="Q519" s="5">
        <v>0</v>
      </c>
      <c r="R519" s="19" t="s">
        <v>121</v>
      </c>
      <c r="S519" s="19" t="s">
        <v>121</v>
      </c>
      <c r="T519" s="5">
        <f t="shared" si="55"/>
        <v>2024</v>
      </c>
      <c r="U519" s="5">
        <f t="shared" si="56"/>
        <v>1</v>
      </c>
      <c r="V519" s="5">
        <v>0</v>
      </c>
      <c r="W519" s="5">
        <v>10</v>
      </c>
    </row>
    <row r="520" spans="1:23">
      <c r="A520" s="5">
        <f t="shared" si="54"/>
        <v>517</v>
      </c>
      <c r="B520" s="93">
        <f t="shared" si="57"/>
        <v>2024</v>
      </c>
      <c r="C520" s="20" t="str">
        <f>INDEX(Unitinfo!C:C,MATCH(UnitGradeInfo!B520,Unitinfo!A:A,0))</f>
        <v>(원거리)Soul_Skeleton_Archer</v>
      </c>
      <c r="D520" s="5">
        <f>COUNTIF($B$4:B520,B520)</f>
        <v>12</v>
      </c>
      <c r="E520" s="5">
        <f>ROUNDDOWN(INDEX(ref_Unit_Balance!$G$31:$G$106,MATCH(UnitGradeInfo!B520,ref_Unit_Balance!$B$31:$B$1048576,0))
+INDEX(ref_Unit_Balance!$G$20:$G$23,MATCH(IFERROR(INDEX(ref_Unit_Balance!$D$31:$D$1048576,MATCH(B520,ref_Unit_Balance!$B$31:$B$1048576,0)),0),ref_Unit_Balance!$B$20:$B$23,0))*D520*ref_Unit_Balance!$C$25,0)</f>
        <v>1100</v>
      </c>
      <c r="F520" s="5">
        <f>INDEX(ref_Unit_Balance!$V$31:$V$106,MATCH(UnitGradeInfo!B520,ref_Unit_Balance!$B$31:$B$1048576,0))
+
INDEX(ref_Unit_Balance!$AB$31:$AB$106,MATCH(UnitGradeInfo!B520,ref_Unit_Balance!$B$31:$B$1048576,0))*(D520-1)</f>
        <v>2850</v>
      </c>
      <c r="G520" s="5">
        <f>INDEX(ref_Unit_Balance!$R$31:$R$106,MATCH(UnitGradeInfo!B520,ref_Unit_Balance!$B$31:$B$1048576,0))
+
INDEX(ref_Unit_Balance!$AA$31:$AA$106,MATCH(UnitGradeInfo!B520,ref_Unit_Balance!$B$31:$B$1048576,0))*(D520-1)</f>
        <v>164</v>
      </c>
      <c r="H520" s="39">
        <f>IF(INDEX(Unitinfo!D:D,MATCH(UnitGradeInfo!B520,Unitinfo!A:A,0))=1,50,5)</f>
        <v>50</v>
      </c>
      <c r="I520" s="5">
        <f>IF(INDEX(ref_Unit_Balance!$T$31:$T$106,MATCH(UnitGradeInfo!B520,ref_Unit_Balance!$B$31:$B$1048576,0))=0,1,INDEX(ref_Unit_Balance!$T$31:$T$106,MATCH(UnitGradeInfo!B520,ref_Unit_Balance!$B$31:$B$1048576,0)))</f>
        <v>5</v>
      </c>
      <c r="J520" s="5">
        <f>INDEX(ref_Unit_Balance!$S$31:$S$106,MATCH(UnitGradeInfo!B520,ref_Unit_Balance!$B$31:$B$1048576,0))</f>
        <v>600</v>
      </c>
      <c r="K520" s="5">
        <v>0</v>
      </c>
      <c r="L520" s="5">
        <f>INDEX(ref_Unit_Balance!$I$31:$I$106,MATCH(UnitGradeInfo!B520,ref_Unit_Balance!$B$31:$B$1048576,0))</f>
        <v>4</v>
      </c>
      <c r="M520" s="5">
        <f t="shared" si="58"/>
        <v>24</v>
      </c>
      <c r="N520" s="5">
        <f t="shared" si="59"/>
        <v>240</v>
      </c>
      <c r="O520" s="5">
        <f>(INDEX(Unitinfo!I:I,MATCH(B520,Unitinfo!A:A,0))+1)*2</f>
        <v>6</v>
      </c>
      <c r="P520" s="5">
        <v>0</v>
      </c>
      <c r="Q520" s="5">
        <v>0</v>
      </c>
      <c r="R520" s="19" t="s">
        <v>421</v>
      </c>
      <c r="S520" s="19" t="s">
        <v>421</v>
      </c>
      <c r="T520" s="5">
        <f t="shared" si="55"/>
        <v>2024</v>
      </c>
      <c r="U520" s="5">
        <f t="shared" si="56"/>
        <v>1</v>
      </c>
      <c r="V520" s="5">
        <v>0</v>
      </c>
      <c r="W520" s="5">
        <v>10</v>
      </c>
    </row>
    <row r="521" spans="1:23">
      <c r="A521" s="5">
        <f t="shared" si="54"/>
        <v>518</v>
      </c>
      <c r="B521" s="93">
        <f t="shared" si="57"/>
        <v>2024</v>
      </c>
      <c r="C521" s="20" t="str">
        <f>INDEX(Unitinfo!C:C,MATCH(UnitGradeInfo!B521,Unitinfo!A:A,0))</f>
        <v>(원거리)Soul_Skeleton_Archer</v>
      </c>
      <c r="D521" s="5">
        <f>COUNTIF($B$4:B521,B521)</f>
        <v>13</v>
      </c>
      <c r="E521" s="5">
        <f>ROUNDDOWN(INDEX(ref_Unit_Balance!$G$31:$G$106,MATCH(UnitGradeInfo!B521,ref_Unit_Balance!$B$31:$B$1048576,0))
+INDEX(ref_Unit_Balance!$G$20:$G$23,MATCH(IFERROR(INDEX(ref_Unit_Balance!$D$31:$D$1048576,MATCH(B521,ref_Unit_Balance!$B$31:$B$1048576,0)),0),ref_Unit_Balance!$B$20:$B$23,0))*D521*ref_Unit_Balance!$C$25,0)</f>
        <v>1175</v>
      </c>
      <c r="F521" s="5">
        <f>INDEX(ref_Unit_Balance!$V$31:$V$106,MATCH(UnitGradeInfo!B521,ref_Unit_Balance!$B$31:$B$1048576,0))
+
INDEX(ref_Unit_Balance!$AB$31:$AB$106,MATCH(UnitGradeInfo!B521,ref_Unit_Balance!$B$31:$B$1048576,0))*(D521-1)</f>
        <v>3000</v>
      </c>
      <c r="G521" s="5">
        <f>INDEX(ref_Unit_Balance!$R$31:$R$106,MATCH(UnitGradeInfo!B521,ref_Unit_Balance!$B$31:$B$1048576,0))
+
INDEX(ref_Unit_Balance!$AA$31:$AA$106,MATCH(UnitGradeInfo!B521,ref_Unit_Balance!$B$31:$B$1048576,0))*(D521-1)</f>
        <v>168</v>
      </c>
      <c r="H521" s="39">
        <f>IF(INDEX(Unitinfo!D:D,MATCH(UnitGradeInfo!B521,Unitinfo!A:A,0))=1,50,5)</f>
        <v>50</v>
      </c>
      <c r="I521" s="5">
        <f>IF(INDEX(ref_Unit_Balance!$T$31:$T$106,MATCH(UnitGradeInfo!B521,ref_Unit_Balance!$B$31:$B$1048576,0))=0,1,INDEX(ref_Unit_Balance!$T$31:$T$106,MATCH(UnitGradeInfo!B521,ref_Unit_Balance!$B$31:$B$1048576,0)))</f>
        <v>5</v>
      </c>
      <c r="J521" s="5">
        <f>INDEX(ref_Unit_Balance!$S$31:$S$106,MATCH(UnitGradeInfo!B521,ref_Unit_Balance!$B$31:$B$1048576,0))</f>
        <v>600</v>
      </c>
      <c r="K521" s="5">
        <v>0</v>
      </c>
      <c r="L521" s="5">
        <f>INDEX(ref_Unit_Balance!$I$31:$I$106,MATCH(UnitGradeInfo!B521,ref_Unit_Balance!$B$31:$B$1048576,0))</f>
        <v>4</v>
      </c>
      <c r="M521" s="5">
        <f t="shared" si="58"/>
        <v>26</v>
      </c>
      <c r="N521" s="5">
        <f t="shared" si="59"/>
        <v>260</v>
      </c>
      <c r="O521" s="5">
        <f>(INDEX(Unitinfo!I:I,MATCH(B521,Unitinfo!A:A,0))+1)*2</f>
        <v>6</v>
      </c>
      <c r="P521" s="5">
        <v>0</v>
      </c>
      <c r="Q521" s="5">
        <v>0</v>
      </c>
      <c r="R521" s="19" t="s">
        <v>421</v>
      </c>
      <c r="S521" s="19" t="s">
        <v>421</v>
      </c>
      <c r="T521" s="5">
        <f t="shared" si="55"/>
        <v>2024</v>
      </c>
      <c r="U521" s="5">
        <f t="shared" si="56"/>
        <v>1</v>
      </c>
      <c r="V521" s="5">
        <v>0</v>
      </c>
      <c r="W521" s="5">
        <v>10</v>
      </c>
    </row>
    <row r="522" spans="1:23">
      <c r="A522" s="5">
        <f t="shared" si="54"/>
        <v>519</v>
      </c>
      <c r="B522" s="93">
        <f t="shared" si="57"/>
        <v>2024</v>
      </c>
      <c r="C522" s="20" t="str">
        <f>INDEX(Unitinfo!C:C,MATCH(UnitGradeInfo!B522,Unitinfo!A:A,0))</f>
        <v>(원거리)Soul_Skeleton_Archer</v>
      </c>
      <c r="D522" s="5">
        <f>COUNTIF($B$4:B522,B522)</f>
        <v>14</v>
      </c>
      <c r="E522" s="5">
        <f>ROUNDDOWN(INDEX(ref_Unit_Balance!$G$31:$G$106,MATCH(UnitGradeInfo!B522,ref_Unit_Balance!$B$31:$B$1048576,0))
+INDEX(ref_Unit_Balance!$G$20:$G$23,MATCH(IFERROR(INDEX(ref_Unit_Balance!$D$31:$D$1048576,MATCH(B522,ref_Unit_Balance!$B$31:$B$1048576,0)),0),ref_Unit_Balance!$B$20:$B$23,0))*D522*ref_Unit_Balance!$C$25,0)</f>
        <v>1250</v>
      </c>
      <c r="F522" s="5">
        <f>INDEX(ref_Unit_Balance!$V$31:$V$106,MATCH(UnitGradeInfo!B522,ref_Unit_Balance!$B$31:$B$1048576,0))
+
INDEX(ref_Unit_Balance!$AB$31:$AB$106,MATCH(UnitGradeInfo!B522,ref_Unit_Balance!$B$31:$B$1048576,0))*(D522-1)</f>
        <v>3150</v>
      </c>
      <c r="G522" s="5">
        <f>INDEX(ref_Unit_Balance!$R$31:$R$106,MATCH(UnitGradeInfo!B522,ref_Unit_Balance!$B$31:$B$1048576,0))
+
INDEX(ref_Unit_Balance!$AA$31:$AA$106,MATCH(UnitGradeInfo!B522,ref_Unit_Balance!$B$31:$B$1048576,0))*(D522-1)</f>
        <v>172</v>
      </c>
      <c r="H522" s="39">
        <f>IF(INDEX(Unitinfo!D:D,MATCH(UnitGradeInfo!B522,Unitinfo!A:A,0))=1,50,5)</f>
        <v>50</v>
      </c>
      <c r="I522" s="5">
        <f>IF(INDEX(ref_Unit_Balance!$T$31:$T$106,MATCH(UnitGradeInfo!B522,ref_Unit_Balance!$B$31:$B$1048576,0))=0,1,INDEX(ref_Unit_Balance!$T$31:$T$106,MATCH(UnitGradeInfo!B522,ref_Unit_Balance!$B$31:$B$1048576,0)))</f>
        <v>5</v>
      </c>
      <c r="J522" s="5">
        <f>INDEX(ref_Unit_Balance!$S$31:$S$106,MATCH(UnitGradeInfo!B522,ref_Unit_Balance!$B$31:$B$1048576,0))</f>
        <v>600</v>
      </c>
      <c r="K522" s="5">
        <v>0</v>
      </c>
      <c r="L522" s="5">
        <f>INDEX(ref_Unit_Balance!$I$31:$I$106,MATCH(UnitGradeInfo!B522,ref_Unit_Balance!$B$31:$B$1048576,0))</f>
        <v>4</v>
      </c>
      <c r="M522" s="5">
        <f t="shared" si="58"/>
        <v>28</v>
      </c>
      <c r="N522" s="5">
        <f t="shared" si="59"/>
        <v>280</v>
      </c>
      <c r="O522" s="5">
        <f>(INDEX(Unitinfo!I:I,MATCH(B522,Unitinfo!A:A,0))+1)*2</f>
        <v>6</v>
      </c>
      <c r="P522" s="5">
        <v>0</v>
      </c>
      <c r="Q522" s="5">
        <v>0</v>
      </c>
      <c r="R522" s="19" t="s">
        <v>421</v>
      </c>
      <c r="S522" s="19" t="s">
        <v>421</v>
      </c>
      <c r="T522" s="5">
        <f t="shared" si="55"/>
        <v>2024</v>
      </c>
      <c r="U522" s="5">
        <f t="shared" si="56"/>
        <v>1</v>
      </c>
      <c r="V522" s="5">
        <v>0</v>
      </c>
      <c r="W522" s="5">
        <v>10</v>
      </c>
    </row>
    <row r="523" spans="1:23">
      <c r="A523" s="5">
        <f t="shared" si="54"/>
        <v>520</v>
      </c>
      <c r="B523" s="93">
        <f t="shared" si="57"/>
        <v>2024</v>
      </c>
      <c r="C523" s="20" t="str">
        <f>INDEX(Unitinfo!C:C,MATCH(UnitGradeInfo!B523,Unitinfo!A:A,0))</f>
        <v>(원거리)Soul_Skeleton_Archer</v>
      </c>
      <c r="D523" s="5">
        <f>COUNTIF($B$4:B523,B523)</f>
        <v>15</v>
      </c>
      <c r="E523" s="5">
        <f>ROUNDDOWN(INDEX(ref_Unit_Balance!$G$31:$G$106,MATCH(UnitGradeInfo!B523,ref_Unit_Balance!$B$31:$B$1048576,0))
+INDEX(ref_Unit_Balance!$G$20:$G$23,MATCH(IFERROR(INDEX(ref_Unit_Balance!$D$31:$D$1048576,MATCH(B523,ref_Unit_Balance!$B$31:$B$1048576,0)),0),ref_Unit_Balance!$B$20:$B$23,0))*D523*ref_Unit_Balance!$C$25,0)</f>
        <v>1325</v>
      </c>
      <c r="F523" s="5">
        <f>INDEX(ref_Unit_Balance!$V$31:$V$106,MATCH(UnitGradeInfo!B523,ref_Unit_Balance!$B$31:$B$1048576,0))
+
INDEX(ref_Unit_Balance!$AB$31:$AB$106,MATCH(UnitGradeInfo!B523,ref_Unit_Balance!$B$31:$B$1048576,0))*(D523-1)</f>
        <v>3300</v>
      </c>
      <c r="G523" s="5">
        <f>INDEX(ref_Unit_Balance!$R$31:$R$106,MATCH(UnitGradeInfo!B523,ref_Unit_Balance!$B$31:$B$1048576,0))
+
INDEX(ref_Unit_Balance!$AA$31:$AA$106,MATCH(UnitGradeInfo!B523,ref_Unit_Balance!$B$31:$B$1048576,0))*(D523-1)</f>
        <v>176</v>
      </c>
      <c r="H523" s="39">
        <f>IF(INDEX(Unitinfo!D:D,MATCH(UnitGradeInfo!B523,Unitinfo!A:A,0))=1,50,5)</f>
        <v>50</v>
      </c>
      <c r="I523" s="5">
        <f>IF(INDEX(ref_Unit_Balance!$T$31:$T$106,MATCH(UnitGradeInfo!B523,ref_Unit_Balance!$B$31:$B$1048576,0))=0,1,INDEX(ref_Unit_Balance!$T$31:$T$106,MATCH(UnitGradeInfo!B523,ref_Unit_Balance!$B$31:$B$1048576,0)))</f>
        <v>5</v>
      </c>
      <c r="J523" s="5">
        <f>INDEX(ref_Unit_Balance!$S$31:$S$106,MATCH(UnitGradeInfo!B523,ref_Unit_Balance!$B$31:$B$1048576,0))</f>
        <v>600</v>
      </c>
      <c r="K523" s="5">
        <v>0</v>
      </c>
      <c r="L523" s="5">
        <f>INDEX(ref_Unit_Balance!$I$31:$I$106,MATCH(UnitGradeInfo!B523,ref_Unit_Balance!$B$31:$B$1048576,0))</f>
        <v>4</v>
      </c>
      <c r="M523" s="5">
        <f t="shared" si="58"/>
        <v>30</v>
      </c>
      <c r="N523" s="5">
        <f t="shared" si="59"/>
        <v>300</v>
      </c>
      <c r="O523" s="5">
        <f>(INDEX(Unitinfo!I:I,MATCH(B523,Unitinfo!A:A,0))+1)*2</f>
        <v>6</v>
      </c>
      <c r="P523" s="5">
        <v>0</v>
      </c>
      <c r="Q523" s="5">
        <v>0</v>
      </c>
      <c r="R523" s="19" t="s">
        <v>421</v>
      </c>
      <c r="S523" s="19" t="s">
        <v>421</v>
      </c>
      <c r="T523" s="5">
        <f t="shared" si="55"/>
        <v>2024</v>
      </c>
      <c r="U523" s="5">
        <f t="shared" si="56"/>
        <v>1</v>
      </c>
      <c r="V523" s="5">
        <v>0</v>
      </c>
      <c r="W523" s="5">
        <v>10</v>
      </c>
    </row>
    <row r="524" spans="1:23">
      <c r="A524" s="5">
        <f t="shared" si="54"/>
        <v>521</v>
      </c>
      <c r="B524" s="93">
        <f t="shared" si="57"/>
        <v>2024</v>
      </c>
      <c r="C524" s="20" t="str">
        <f>INDEX(Unitinfo!C:C,MATCH(UnitGradeInfo!B524,Unitinfo!A:A,0))</f>
        <v>(원거리)Soul_Skeleton_Archer</v>
      </c>
      <c r="D524" s="5">
        <f>COUNTIF($B$4:B524,B524)</f>
        <v>16</v>
      </c>
      <c r="E524" s="5">
        <f>ROUNDDOWN(INDEX(ref_Unit_Balance!$G$31:$G$106,MATCH(UnitGradeInfo!B524,ref_Unit_Balance!$B$31:$B$1048576,0))
+INDEX(ref_Unit_Balance!$G$20:$G$23,MATCH(IFERROR(INDEX(ref_Unit_Balance!$D$31:$D$1048576,MATCH(B524,ref_Unit_Balance!$B$31:$B$1048576,0)),0),ref_Unit_Balance!$B$20:$B$23,0))*D524*ref_Unit_Balance!$C$25,0)</f>
        <v>1400</v>
      </c>
      <c r="F524" s="5">
        <f>INDEX(ref_Unit_Balance!$V$31:$V$106,MATCH(UnitGradeInfo!B524,ref_Unit_Balance!$B$31:$B$1048576,0))
+
INDEX(ref_Unit_Balance!$AB$31:$AB$106,MATCH(UnitGradeInfo!B524,ref_Unit_Balance!$B$31:$B$1048576,0))*(D524-1)</f>
        <v>3450</v>
      </c>
      <c r="G524" s="5">
        <f>INDEX(ref_Unit_Balance!$R$31:$R$106,MATCH(UnitGradeInfo!B524,ref_Unit_Balance!$B$31:$B$1048576,0))
+
INDEX(ref_Unit_Balance!$AA$31:$AA$106,MATCH(UnitGradeInfo!B524,ref_Unit_Balance!$B$31:$B$1048576,0))*(D524-1)</f>
        <v>180</v>
      </c>
      <c r="H524" s="39">
        <f>IF(INDEX(Unitinfo!D:D,MATCH(UnitGradeInfo!B524,Unitinfo!A:A,0))=1,50,5)</f>
        <v>50</v>
      </c>
      <c r="I524" s="5">
        <f>IF(INDEX(ref_Unit_Balance!$T$31:$T$106,MATCH(UnitGradeInfo!B524,ref_Unit_Balance!$B$31:$B$1048576,0))=0,1,INDEX(ref_Unit_Balance!$T$31:$T$106,MATCH(UnitGradeInfo!B524,ref_Unit_Balance!$B$31:$B$1048576,0)))</f>
        <v>5</v>
      </c>
      <c r="J524" s="5">
        <f>INDEX(ref_Unit_Balance!$S$31:$S$106,MATCH(UnitGradeInfo!B524,ref_Unit_Balance!$B$31:$B$1048576,0))</f>
        <v>600</v>
      </c>
      <c r="K524" s="5">
        <v>0</v>
      </c>
      <c r="L524" s="5">
        <f>INDEX(ref_Unit_Balance!$I$31:$I$106,MATCH(UnitGradeInfo!B524,ref_Unit_Balance!$B$31:$B$1048576,0))</f>
        <v>4</v>
      </c>
      <c r="M524" s="5">
        <f t="shared" si="58"/>
        <v>32</v>
      </c>
      <c r="N524" s="5">
        <f t="shared" si="59"/>
        <v>320</v>
      </c>
      <c r="O524" s="5">
        <f>(INDEX(Unitinfo!I:I,MATCH(B524,Unitinfo!A:A,0))+1)*2</f>
        <v>6</v>
      </c>
      <c r="P524" s="5">
        <v>0</v>
      </c>
      <c r="Q524" s="5">
        <v>0</v>
      </c>
      <c r="R524" s="19" t="s">
        <v>421</v>
      </c>
      <c r="S524" s="19" t="s">
        <v>421</v>
      </c>
      <c r="T524" s="5">
        <f t="shared" si="55"/>
        <v>2024</v>
      </c>
      <c r="U524" s="5">
        <f t="shared" si="56"/>
        <v>1</v>
      </c>
      <c r="V524" s="5">
        <v>0</v>
      </c>
      <c r="W524" s="5">
        <v>10</v>
      </c>
    </row>
    <row r="525" spans="1:23">
      <c r="A525" s="5">
        <f t="shared" si="54"/>
        <v>522</v>
      </c>
      <c r="B525" s="93">
        <f t="shared" si="57"/>
        <v>2024</v>
      </c>
      <c r="C525" s="20" t="str">
        <f>INDEX(Unitinfo!C:C,MATCH(UnitGradeInfo!B525,Unitinfo!A:A,0))</f>
        <v>(원거리)Soul_Skeleton_Archer</v>
      </c>
      <c r="D525" s="5">
        <f>COUNTIF($B$4:B525,B525)</f>
        <v>17</v>
      </c>
      <c r="E525" s="5">
        <f>ROUNDDOWN(INDEX(ref_Unit_Balance!$G$31:$G$106,MATCH(UnitGradeInfo!B525,ref_Unit_Balance!$B$31:$B$1048576,0))
+INDEX(ref_Unit_Balance!$G$20:$G$23,MATCH(IFERROR(INDEX(ref_Unit_Balance!$D$31:$D$1048576,MATCH(B525,ref_Unit_Balance!$B$31:$B$1048576,0)),0),ref_Unit_Balance!$B$20:$B$23,0))*D525*ref_Unit_Balance!$C$25,0)</f>
        <v>1475</v>
      </c>
      <c r="F525" s="5">
        <f>INDEX(ref_Unit_Balance!$V$31:$V$106,MATCH(UnitGradeInfo!B525,ref_Unit_Balance!$B$31:$B$1048576,0))
+
INDEX(ref_Unit_Balance!$AB$31:$AB$106,MATCH(UnitGradeInfo!B525,ref_Unit_Balance!$B$31:$B$1048576,0))*(D525-1)</f>
        <v>3600</v>
      </c>
      <c r="G525" s="5">
        <f>INDEX(ref_Unit_Balance!$R$31:$R$106,MATCH(UnitGradeInfo!B525,ref_Unit_Balance!$B$31:$B$1048576,0))
+
INDEX(ref_Unit_Balance!$AA$31:$AA$106,MATCH(UnitGradeInfo!B525,ref_Unit_Balance!$B$31:$B$1048576,0))*(D525-1)</f>
        <v>184</v>
      </c>
      <c r="H525" s="39">
        <f>IF(INDEX(Unitinfo!D:D,MATCH(UnitGradeInfo!B525,Unitinfo!A:A,0))=1,50,5)</f>
        <v>50</v>
      </c>
      <c r="I525" s="5">
        <f>IF(INDEX(ref_Unit_Balance!$T$31:$T$106,MATCH(UnitGradeInfo!B525,ref_Unit_Balance!$B$31:$B$1048576,0))=0,1,INDEX(ref_Unit_Balance!$T$31:$T$106,MATCH(UnitGradeInfo!B525,ref_Unit_Balance!$B$31:$B$1048576,0)))</f>
        <v>5</v>
      </c>
      <c r="J525" s="5">
        <f>INDEX(ref_Unit_Balance!$S$31:$S$106,MATCH(UnitGradeInfo!B525,ref_Unit_Balance!$B$31:$B$1048576,0))</f>
        <v>600</v>
      </c>
      <c r="K525" s="5">
        <v>0</v>
      </c>
      <c r="L525" s="5">
        <f>INDEX(ref_Unit_Balance!$I$31:$I$106,MATCH(UnitGradeInfo!B525,ref_Unit_Balance!$B$31:$B$1048576,0))</f>
        <v>4</v>
      </c>
      <c r="M525" s="5">
        <f t="shared" si="58"/>
        <v>34</v>
      </c>
      <c r="N525" s="5">
        <f t="shared" si="59"/>
        <v>340</v>
      </c>
      <c r="O525" s="5">
        <f>(INDEX(Unitinfo!I:I,MATCH(B525,Unitinfo!A:A,0))+1)*2</f>
        <v>6</v>
      </c>
      <c r="P525" s="5">
        <v>0</v>
      </c>
      <c r="Q525" s="5">
        <v>0</v>
      </c>
      <c r="R525" s="19" t="s">
        <v>421</v>
      </c>
      <c r="S525" s="19" t="s">
        <v>421</v>
      </c>
      <c r="T525" s="5">
        <f t="shared" si="55"/>
        <v>2024</v>
      </c>
      <c r="U525" s="5">
        <f t="shared" si="56"/>
        <v>1</v>
      </c>
      <c r="V525" s="5">
        <v>0</v>
      </c>
      <c r="W525" s="5">
        <v>10</v>
      </c>
    </row>
    <row r="526" spans="1:23">
      <c r="A526" s="5">
        <f t="shared" si="54"/>
        <v>523</v>
      </c>
      <c r="B526" s="93">
        <f t="shared" si="57"/>
        <v>2024</v>
      </c>
      <c r="C526" s="20" t="str">
        <f>INDEX(Unitinfo!C:C,MATCH(UnitGradeInfo!B526,Unitinfo!A:A,0))</f>
        <v>(원거리)Soul_Skeleton_Archer</v>
      </c>
      <c r="D526" s="5">
        <f>COUNTIF($B$4:B526,B526)</f>
        <v>18</v>
      </c>
      <c r="E526" s="5">
        <f>ROUNDDOWN(INDEX(ref_Unit_Balance!$G$31:$G$106,MATCH(UnitGradeInfo!B526,ref_Unit_Balance!$B$31:$B$1048576,0))
+INDEX(ref_Unit_Balance!$G$20:$G$23,MATCH(IFERROR(INDEX(ref_Unit_Balance!$D$31:$D$1048576,MATCH(B526,ref_Unit_Balance!$B$31:$B$1048576,0)),0),ref_Unit_Balance!$B$20:$B$23,0))*D526*ref_Unit_Balance!$C$25,0)</f>
        <v>1550</v>
      </c>
      <c r="F526" s="5">
        <f>INDEX(ref_Unit_Balance!$V$31:$V$106,MATCH(UnitGradeInfo!B526,ref_Unit_Balance!$B$31:$B$1048576,0))
+
INDEX(ref_Unit_Balance!$AB$31:$AB$106,MATCH(UnitGradeInfo!B526,ref_Unit_Balance!$B$31:$B$1048576,0))*(D526-1)</f>
        <v>3750</v>
      </c>
      <c r="G526" s="5">
        <f>INDEX(ref_Unit_Balance!$R$31:$R$106,MATCH(UnitGradeInfo!B526,ref_Unit_Balance!$B$31:$B$1048576,0))
+
INDEX(ref_Unit_Balance!$AA$31:$AA$106,MATCH(UnitGradeInfo!B526,ref_Unit_Balance!$B$31:$B$1048576,0))*(D526-1)</f>
        <v>188</v>
      </c>
      <c r="H526" s="39">
        <f>IF(INDEX(Unitinfo!D:D,MATCH(UnitGradeInfo!B526,Unitinfo!A:A,0))=1,50,5)</f>
        <v>50</v>
      </c>
      <c r="I526" s="5">
        <f>IF(INDEX(ref_Unit_Balance!$T$31:$T$106,MATCH(UnitGradeInfo!B526,ref_Unit_Balance!$B$31:$B$1048576,0))=0,1,INDEX(ref_Unit_Balance!$T$31:$T$106,MATCH(UnitGradeInfo!B526,ref_Unit_Balance!$B$31:$B$1048576,0)))</f>
        <v>5</v>
      </c>
      <c r="J526" s="5">
        <f>INDEX(ref_Unit_Balance!$S$31:$S$106,MATCH(UnitGradeInfo!B526,ref_Unit_Balance!$B$31:$B$1048576,0))</f>
        <v>600</v>
      </c>
      <c r="K526" s="5">
        <v>0</v>
      </c>
      <c r="L526" s="5">
        <f>INDEX(ref_Unit_Balance!$I$31:$I$106,MATCH(UnitGradeInfo!B526,ref_Unit_Balance!$B$31:$B$1048576,0))</f>
        <v>4</v>
      </c>
      <c r="M526" s="5">
        <f t="shared" si="58"/>
        <v>36</v>
      </c>
      <c r="N526" s="5">
        <f t="shared" si="59"/>
        <v>360</v>
      </c>
      <c r="O526" s="5">
        <f>(INDEX(Unitinfo!I:I,MATCH(B526,Unitinfo!A:A,0))+1)*2</f>
        <v>6</v>
      </c>
      <c r="P526" s="5">
        <v>0</v>
      </c>
      <c r="Q526" s="5">
        <v>0</v>
      </c>
      <c r="R526" s="19" t="s">
        <v>421</v>
      </c>
      <c r="S526" s="19" t="s">
        <v>421</v>
      </c>
      <c r="T526" s="5">
        <f t="shared" si="55"/>
        <v>2024</v>
      </c>
      <c r="U526" s="5">
        <f t="shared" si="56"/>
        <v>1</v>
      </c>
      <c r="V526" s="5">
        <v>0</v>
      </c>
      <c r="W526" s="5">
        <v>10</v>
      </c>
    </row>
    <row r="527" spans="1:23">
      <c r="A527" s="5">
        <f t="shared" si="54"/>
        <v>524</v>
      </c>
      <c r="B527" s="93">
        <f t="shared" si="57"/>
        <v>2024</v>
      </c>
      <c r="C527" s="20" t="str">
        <f>INDEX(Unitinfo!C:C,MATCH(UnitGradeInfo!B527,Unitinfo!A:A,0))</f>
        <v>(원거리)Soul_Skeleton_Archer</v>
      </c>
      <c r="D527" s="5">
        <f>COUNTIF($B$4:B527,B527)</f>
        <v>19</v>
      </c>
      <c r="E527" s="5">
        <f>ROUNDDOWN(INDEX(ref_Unit_Balance!$G$31:$G$106,MATCH(UnitGradeInfo!B527,ref_Unit_Balance!$B$31:$B$1048576,0))
+INDEX(ref_Unit_Balance!$G$20:$G$23,MATCH(IFERROR(INDEX(ref_Unit_Balance!$D$31:$D$1048576,MATCH(B527,ref_Unit_Balance!$B$31:$B$1048576,0)),0),ref_Unit_Balance!$B$20:$B$23,0))*D527*ref_Unit_Balance!$C$25,0)</f>
        <v>1625</v>
      </c>
      <c r="F527" s="5">
        <f>INDEX(ref_Unit_Balance!$V$31:$V$106,MATCH(UnitGradeInfo!B527,ref_Unit_Balance!$B$31:$B$1048576,0))
+
INDEX(ref_Unit_Balance!$AB$31:$AB$106,MATCH(UnitGradeInfo!B527,ref_Unit_Balance!$B$31:$B$1048576,0))*(D527-1)</f>
        <v>3900</v>
      </c>
      <c r="G527" s="5">
        <f>INDEX(ref_Unit_Balance!$R$31:$R$106,MATCH(UnitGradeInfo!B527,ref_Unit_Balance!$B$31:$B$1048576,0))
+
INDEX(ref_Unit_Balance!$AA$31:$AA$106,MATCH(UnitGradeInfo!B527,ref_Unit_Balance!$B$31:$B$1048576,0))*(D527-1)</f>
        <v>192</v>
      </c>
      <c r="H527" s="39">
        <f>IF(INDEX(Unitinfo!D:D,MATCH(UnitGradeInfo!B527,Unitinfo!A:A,0))=1,50,5)</f>
        <v>50</v>
      </c>
      <c r="I527" s="5">
        <f>IF(INDEX(ref_Unit_Balance!$T$31:$T$106,MATCH(UnitGradeInfo!B527,ref_Unit_Balance!$B$31:$B$1048576,0))=0,1,INDEX(ref_Unit_Balance!$T$31:$T$106,MATCH(UnitGradeInfo!B527,ref_Unit_Balance!$B$31:$B$1048576,0)))</f>
        <v>5</v>
      </c>
      <c r="J527" s="5">
        <f>INDEX(ref_Unit_Balance!$S$31:$S$106,MATCH(UnitGradeInfo!B527,ref_Unit_Balance!$B$31:$B$1048576,0))</f>
        <v>600</v>
      </c>
      <c r="K527" s="5">
        <v>0</v>
      </c>
      <c r="L527" s="5">
        <f>INDEX(ref_Unit_Balance!$I$31:$I$106,MATCH(UnitGradeInfo!B527,ref_Unit_Balance!$B$31:$B$1048576,0))</f>
        <v>4</v>
      </c>
      <c r="M527" s="5">
        <f t="shared" si="58"/>
        <v>38</v>
      </c>
      <c r="N527" s="5">
        <f t="shared" si="59"/>
        <v>380</v>
      </c>
      <c r="O527" s="5">
        <f>(INDEX(Unitinfo!I:I,MATCH(B527,Unitinfo!A:A,0))+1)*2</f>
        <v>6</v>
      </c>
      <c r="P527" s="5">
        <v>0</v>
      </c>
      <c r="Q527" s="5">
        <v>0</v>
      </c>
      <c r="R527" s="19" t="s">
        <v>421</v>
      </c>
      <c r="S527" s="19" t="s">
        <v>421</v>
      </c>
      <c r="T527" s="5">
        <f t="shared" si="55"/>
        <v>2024</v>
      </c>
      <c r="U527" s="5">
        <f t="shared" si="56"/>
        <v>1</v>
      </c>
      <c r="V527" s="5">
        <v>0</v>
      </c>
      <c r="W527" s="5">
        <v>10</v>
      </c>
    </row>
    <row r="528" spans="1:23">
      <c r="A528" s="5">
        <f t="shared" si="54"/>
        <v>525</v>
      </c>
      <c r="B528" s="93">
        <f t="shared" si="57"/>
        <v>2024</v>
      </c>
      <c r="C528" s="20" t="str">
        <f>INDEX(Unitinfo!C:C,MATCH(UnitGradeInfo!B528,Unitinfo!A:A,0))</f>
        <v>(원거리)Soul_Skeleton_Archer</v>
      </c>
      <c r="D528" s="5">
        <f>COUNTIF($B$4:B528,B528)</f>
        <v>20</v>
      </c>
      <c r="E528" s="5">
        <f>ROUNDDOWN(INDEX(ref_Unit_Balance!$G$31:$G$106,MATCH(UnitGradeInfo!B528,ref_Unit_Balance!$B$31:$B$1048576,0))
+INDEX(ref_Unit_Balance!$G$20:$G$23,MATCH(IFERROR(INDEX(ref_Unit_Balance!$D$31:$D$1048576,MATCH(B528,ref_Unit_Balance!$B$31:$B$1048576,0)),0),ref_Unit_Balance!$B$20:$B$23,0))*D528*ref_Unit_Balance!$C$25,0)</f>
        <v>1700</v>
      </c>
      <c r="F528" s="5">
        <f>INDEX(ref_Unit_Balance!$V$31:$V$106,MATCH(UnitGradeInfo!B528,ref_Unit_Balance!$B$31:$B$1048576,0))
+
INDEX(ref_Unit_Balance!$AB$31:$AB$106,MATCH(UnitGradeInfo!B528,ref_Unit_Balance!$B$31:$B$1048576,0))*(D528-1)</f>
        <v>4050</v>
      </c>
      <c r="G528" s="5">
        <f>INDEX(ref_Unit_Balance!$R$31:$R$106,MATCH(UnitGradeInfo!B528,ref_Unit_Balance!$B$31:$B$1048576,0))
+
INDEX(ref_Unit_Balance!$AA$31:$AA$106,MATCH(UnitGradeInfo!B528,ref_Unit_Balance!$B$31:$B$1048576,0))*(D528-1)</f>
        <v>196</v>
      </c>
      <c r="H528" s="39">
        <f>IF(INDEX(Unitinfo!D:D,MATCH(UnitGradeInfo!B528,Unitinfo!A:A,0))=1,50,5)</f>
        <v>50</v>
      </c>
      <c r="I528" s="5">
        <f>IF(INDEX(ref_Unit_Balance!$T$31:$T$106,MATCH(UnitGradeInfo!B528,ref_Unit_Balance!$B$31:$B$1048576,0))=0,1,INDEX(ref_Unit_Balance!$T$31:$T$106,MATCH(UnitGradeInfo!B528,ref_Unit_Balance!$B$31:$B$1048576,0)))</f>
        <v>5</v>
      </c>
      <c r="J528" s="5">
        <f>INDEX(ref_Unit_Balance!$S$31:$S$106,MATCH(UnitGradeInfo!B528,ref_Unit_Balance!$B$31:$B$1048576,0))</f>
        <v>600</v>
      </c>
      <c r="K528" s="5">
        <v>0</v>
      </c>
      <c r="L528" s="5">
        <f>INDEX(ref_Unit_Balance!$I$31:$I$106,MATCH(UnitGradeInfo!B528,ref_Unit_Balance!$B$31:$B$1048576,0))</f>
        <v>4</v>
      </c>
      <c r="M528" s="5">
        <f t="shared" si="58"/>
        <v>40</v>
      </c>
      <c r="N528" s="5">
        <f t="shared" si="59"/>
        <v>400</v>
      </c>
      <c r="O528" s="5">
        <f>(INDEX(Unitinfo!I:I,MATCH(B528,Unitinfo!A:A,0))+1)*2</f>
        <v>6</v>
      </c>
      <c r="P528" s="5">
        <v>0</v>
      </c>
      <c r="Q528" s="5">
        <v>0</v>
      </c>
      <c r="R528" s="19" t="s">
        <v>421</v>
      </c>
      <c r="S528" s="19" t="s">
        <v>421</v>
      </c>
      <c r="T528" s="5">
        <f t="shared" si="55"/>
        <v>2024</v>
      </c>
      <c r="U528" s="5">
        <f t="shared" si="56"/>
        <v>1</v>
      </c>
      <c r="V528" s="5">
        <v>0</v>
      </c>
      <c r="W528" s="5">
        <v>10</v>
      </c>
    </row>
    <row r="529" spans="1:23">
      <c r="A529" s="5">
        <f t="shared" si="54"/>
        <v>526</v>
      </c>
      <c r="B529" s="93">
        <f t="shared" si="57"/>
        <v>2025</v>
      </c>
      <c r="C529" s="20" t="str">
        <f>INDEX(Unitinfo!C:C,MATCH(UnitGradeInfo!B529,Unitinfo!A:A,0))</f>
        <v>(원거리)Soul_Skeleton_Witch</v>
      </c>
      <c r="D529" s="5">
        <f>COUNTIF($B$4:B529,B529)</f>
        <v>1</v>
      </c>
      <c r="E529" s="5">
        <f>ROUNDDOWN(INDEX(ref_Unit_Balance!$G$31:$G$106,MATCH(UnitGradeInfo!B529,ref_Unit_Balance!$B$31:$B$1048576,0))
+INDEX(ref_Unit_Balance!$G$20:$G$23,MATCH(IFERROR(INDEX(ref_Unit_Balance!$D$31:$D$1048576,MATCH(B529,ref_Unit_Balance!$B$31:$B$1048576,0)),0),ref_Unit_Balance!$B$20:$B$23,0))*D529*ref_Unit_Balance!$C$25,0)</f>
        <v>276</v>
      </c>
      <c r="F529" s="5">
        <f>INDEX(ref_Unit_Balance!$V$31:$V$106,MATCH(UnitGradeInfo!B529,ref_Unit_Balance!$B$31:$B$1048576,0))
+
INDEX(ref_Unit_Balance!$AB$31:$AB$106,MATCH(UnitGradeInfo!B529,ref_Unit_Balance!$B$31:$B$1048576,0))*(D529-1)</f>
        <v>2000</v>
      </c>
      <c r="G529" s="5">
        <f>INDEX(ref_Unit_Balance!$R$31:$R$106,MATCH(UnitGradeInfo!B529,ref_Unit_Balance!$B$31:$B$1048576,0))
+
INDEX(ref_Unit_Balance!$AA$31:$AA$106,MATCH(UnitGradeInfo!B529,ref_Unit_Balance!$B$31:$B$1048576,0))*(D529-1)</f>
        <v>66</v>
      </c>
      <c r="H529" s="39">
        <f>IF(INDEX(Unitinfo!D:D,MATCH(UnitGradeInfo!B529,Unitinfo!A:A,0))=1,50,5)</f>
        <v>50</v>
      </c>
      <c r="I529" s="5">
        <f>IF(INDEX(ref_Unit_Balance!$T$31:$T$106,MATCH(UnitGradeInfo!B529,ref_Unit_Balance!$B$31:$B$1048576,0))=0,1,INDEX(ref_Unit_Balance!$T$31:$T$106,MATCH(UnitGradeInfo!B529,ref_Unit_Balance!$B$31:$B$1048576,0)))</f>
        <v>5</v>
      </c>
      <c r="J529" s="5">
        <f>INDEX(ref_Unit_Balance!$S$31:$S$106,MATCH(UnitGradeInfo!B529,ref_Unit_Balance!$B$31:$B$1048576,0))</f>
        <v>300</v>
      </c>
      <c r="K529" s="5">
        <v>0</v>
      </c>
      <c r="L529" s="5">
        <f>INDEX(ref_Unit_Balance!$I$31:$I$106,MATCH(UnitGradeInfo!B529,ref_Unit_Balance!$B$31:$B$1048576,0))</f>
        <v>3</v>
      </c>
      <c r="M529" s="5">
        <f t="shared" si="58"/>
        <v>2</v>
      </c>
      <c r="N529" s="5">
        <f t="shared" si="59"/>
        <v>20</v>
      </c>
      <c r="O529" s="5">
        <f>(INDEX(Unitinfo!I:I,MATCH(B529,Unitinfo!A:A,0))+1)*2</f>
        <v>6</v>
      </c>
      <c r="P529" s="5">
        <v>0</v>
      </c>
      <c r="Q529" s="5">
        <v>0</v>
      </c>
      <c r="R529" s="19" t="s">
        <v>421</v>
      </c>
      <c r="S529" s="19" t="s">
        <v>421</v>
      </c>
      <c r="T529" s="5">
        <f t="shared" si="55"/>
        <v>2025</v>
      </c>
      <c r="U529" s="5">
        <f t="shared" si="56"/>
        <v>1</v>
      </c>
      <c r="V529" s="5">
        <v>0</v>
      </c>
      <c r="W529" s="5">
        <v>10</v>
      </c>
    </row>
    <row r="530" spans="1:23">
      <c r="A530" s="5">
        <f t="shared" si="54"/>
        <v>527</v>
      </c>
      <c r="B530" s="93">
        <f t="shared" si="57"/>
        <v>2025</v>
      </c>
      <c r="C530" s="20" t="str">
        <f>INDEX(Unitinfo!C:C,MATCH(UnitGradeInfo!B530,Unitinfo!A:A,0))</f>
        <v>(원거리)Soul_Skeleton_Witch</v>
      </c>
      <c r="D530" s="5">
        <f>COUNTIF($B$4:B530,B530)</f>
        <v>2</v>
      </c>
      <c r="E530" s="5">
        <f>ROUNDDOWN(INDEX(ref_Unit_Balance!$G$31:$G$106,MATCH(UnitGradeInfo!B530,ref_Unit_Balance!$B$31:$B$1048576,0))
+INDEX(ref_Unit_Balance!$G$20:$G$23,MATCH(IFERROR(INDEX(ref_Unit_Balance!$D$31:$D$1048576,MATCH(B530,ref_Unit_Balance!$B$31:$B$1048576,0)),0),ref_Unit_Balance!$B$20:$B$23,0))*D530*ref_Unit_Balance!$C$25,0)</f>
        <v>351</v>
      </c>
      <c r="F530" s="5">
        <f>INDEX(ref_Unit_Balance!$V$31:$V$106,MATCH(UnitGradeInfo!B530,ref_Unit_Balance!$B$31:$B$1048576,0))
+
INDEX(ref_Unit_Balance!$AB$31:$AB$106,MATCH(UnitGradeInfo!B530,ref_Unit_Balance!$B$31:$B$1048576,0))*(D530-1)</f>
        <v>2200</v>
      </c>
      <c r="G530" s="5">
        <f>INDEX(ref_Unit_Balance!$R$31:$R$106,MATCH(UnitGradeInfo!B530,ref_Unit_Balance!$B$31:$B$1048576,0))
+
INDEX(ref_Unit_Balance!$AA$31:$AA$106,MATCH(UnitGradeInfo!B530,ref_Unit_Balance!$B$31:$B$1048576,0))*(D530-1)</f>
        <v>70</v>
      </c>
      <c r="H530" s="39">
        <f>IF(INDEX(Unitinfo!D:D,MATCH(UnitGradeInfo!B530,Unitinfo!A:A,0))=1,50,5)</f>
        <v>50</v>
      </c>
      <c r="I530" s="5">
        <f>IF(INDEX(ref_Unit_Balance!$T$31:$T$106,MATCH(UnitGradeInfo!B530,ref_Unit_Balance!$B$31:$B$1048576,0))=0,1,INDEX(ref_Unit_Balance!$T$31:$T$106,MATCH(UnitGradeInfo!B530,ref_Unit_Balance!$B$31:$B$1048576,0)))</f>
        <v>5</v>
      </c>
      <c r="J530" s="5">
        <f>INDEX(ref_Unit_Balance!$S$31:$S$106,MATCH(UnitGradeInfo!B530,ref_Unit_Balance!$B$31:$B$1048576,0))</f>
        <v>300</v>
      </c>
      <c r="K530" s="5">
        <v>0</v>
      </c>
      <c r="L530" s="5">
        <f>INDEX(ref_Unit_Balance!$I$31:$I$106,MATCH(UnitGradeInfo!B530,ref_Unit_Balance!$B$31:$B$1048576,0))</f>
        <v>3</v>
      </c>
      <c r="M530" s="5">
        <f t="shared" si="58"/>
        <v>4</v>
      </c>
      <c r="N530" s="5">
        <f t="shared" si="59"/>
        <v>40</v>
      </c>
      <c r="O530" s="5">
        <f>(INDEX(Unitinfo!I:I,MATCH(B530,Unitinfo!A:A,0))+1)*2</f>
        <v>6</v>
      </c>
      <c r="P530" s="5">
        <v>0</v>
      </c>
      <c r="Q530" s="5">
        <v>0</v>
      </c>
      <c r="R530" s="19" t="s">
        <v>421</v>
      </c>
      <c r="S530" s="19" t="s">
        <v>421</v>
      </c>
      <c r="T530" s="5">
        <f t="shared" si="55"/>
        <v>2025</v>
      </c>
      <c r="U530" s="5">
        <f t="shared" si="56"/>
        <v>1</v>
      </c>
      <c r="V530" s="5">
        <v>0</v>
      </c>
      <c r="W530" s="5">
        <v>10</v>
      </c>
    </row>
    <row r="531" spans="1:23">
      <c r="A531" s="5">
        <f t="shared" si="54"/>
        <v>528</v>
      </c>
      <c r="B531" s="93">
        <f t="shared" si="57"/>
        <v>2025</v>
      </c>
      <c r="C531" s="20" t="str">
        <f>INDEX(Unitinfo!C:C,MATCH(UnitGradeInfo!B531,Unitinfo!A:A,0))</f>
        <v>(원거리)Soul_Skeleton_Witch</v>
      </c>
      <c r="D531" s="5">
        <f>COUNTIF($B$4:B531,B531)</f>
        <v>3</v>
      </c>
      <c r="E531" s="5">
        <f>ROUNDDOWN(INDEX(ref_Unit_Balance!$G$31:$G$106,MATCH(UnitGradeInfo!B531,ref_Unit_Balance!$B$31:$B$1048576,0))
+INDEX(ref_Unit_Balance!$G$20:$G$23,MATCH(IFERROR(INDEX(ref_Unit_Balance!$D$31:$D$1048576,MATCH(B531,ref_Unit_Balance!$B$31:$B$1048576,0)),0),ref_Unit_Balance!$B$20:$B$23,0))*D531*ref_Unit_Balance!$C$25,0)</f>
        <v>426</v>
      </c>
      <c r="F531" s="5">
        <f>INDEX(ref_Unit_Balance!$V$31:$V$106,MATCH(UnitGradeInfo!B531,ref_Unit_Balance!$B$31:$B$1048576,0))
+
INDEX(ref_Unit_Balance!$AB$31:$AB$106,MATCH(UnitGradeInfo!B531,ref_Unit_Balance!$B$31:$B$1048576,0))*(D531-1)</f>
        <v>2400</v>
      </c>
      <c r="G531" s="5">
        <f>INDEX(ref_Unit_Balance!$R$31:$R$106,MATCH(UnitGradeInfo!B531,ref_Unit_Balance!$B$31:$B$1048576,0))
+
INDEX(ref_Unit_Balance!$AA$31:$AA$106,MATCH(UnitGradeInfo!B531,ref_Unit_Balance!$B$31:$B$1048576,0))*(D531-1)</f>
        <v>74</v>
      </c>
      <c r="H531" s="39">
        <f>IF(INDEX(Unitinfo!D:D,MATCH(UnitGradeInfo!B531,Unitinfo!A:A,0))=1,50,5)</f>
        <v>50</v>
      </c>
      <c r="I531" s="5">
        <f>IF(INDEX(ref_Unit_Balance!$T$31:$T$106,MATCH(UnitGradeInfo!B531,ref_Unit_Balance!$B$31:$B$1048576,0))=0,1,INDEX(ref_Unit_Balance!$T$31:$T$106,MATCH(UnitGradeInfo!B531,ref_Unit_Balance!$B$31:$B$1048576,0)))</f>
        <v>5</v>
      </c>
      <c r="J531" s="5">
        <f>INDEX(ref_Unit_Balance!$S$31:$S$106,MATCH(UnitGradeInfo!B531,ref_Unit_Balance!$B$31:$B$1048576,0))</f>
        <v>300</v>
      </c>
      <c r="K531" s="5">
        <v>0</v>
      </c>
      <c r="L531" s="5">
        <f>INDEX(ref_Unit_Balance!$I$31:$I$106,MATCH(UnitGradeInfo!B531,ref_Unit_Balance!$B$31:$B$1048576,0))</f>
        <v>3</v>
      </c>
      <c r="M531" s="5">
        <f t="shared" si="58"/>
        <v>6</v>
      </c>
      <c r="N531" s="5">
        <f t="shared" si="59"/>
        <v>60</v>
      </c>
      <c r="O531" s="5">
        <f>(INDEX(Unitinfo!I:I,MATCH(B531,Unitinfo!A:A,0))+1)*2</f>
        <v>6</v>
      </c>
      <c r="P531" s="5">
        <v>0</v>
      </c>
      <c r="Q531" s="5">
        <v>0</v>
      </c>
      <c r="R531" s="19" t="s">
        <v>421</v>
      </c>
      <c r="S531" s="19" t="s">
        <v>421</v>
      </c>
      <c r="T531" s="5">
        <f t="shared" si="55"/>
        <v>2025</v>
      </c>
      <c r="U531" s="5">
        <f t="shared" si="56"/>
        <v>1</v>
      </c>
      <c r="V531" s="5">
        <v>0</v>
      </c>
      <c r="W531" s="5">
        <v>10</v>
      </c>
    </row>
    <row r="532" spans="1:23">
      <c r="A532" s="5">
        <f t="shared" si="54"/>
        <v>529</v>
      </c>
      <c r="B532" s="93">
        <f t="shared" si="57"/>
        <v>2025</v>
      </c>
      <c r="C532" s="20" t="str">
        <f>INDEX(Unitinfo!C:C,MATCH(UnitGradeInfo!B532,Unitinfo!A:A,0))</f>
        <v>(원거리)Soul_Skeleton_Witch</v>
      </c>
      <c r="D532" s="5">
        <f>COUNTIF($B$4:B532,B532)</f>
        <v>4</v>
      </c>
      <c r="E532" s="5">
        <f>ROUNDDOWN(INDEX(ref_Unit_Balance!$G$31:$G$106,MATCH(UnitGradeInfo!B532,ref_Unit_Balance!$B$31:$B$1048576,0))
+INDEX(ref_Unit_Balance!$G$20:$G$23,MATCH(IFERROR(INDEX(ref_Unit_Balance!$D$31:$D$1048576,MATCH(B532,ref_Unit_Balance!$B$31:$B$1048576,0)),0),ref_Unit_Balance!$B$20:$B$23,0))*D532*ref_Unit_Balance!$C$25,0)</f>
        <v>501</v>
      </c>
      <c r="F532" s="5">
        <f>INDEX(ref_Unit_Balance!$V$31:$V$106,MATCH(UnitGradeInfo!B532,ref_Unit_Balance!$B$31:$B$1048576,0))
+
INDEX(ref_Unit_Balance!$AB$31:$AB$106,MATCH(UnitGradeInfo!B532,ref_Unit_Balance!$B$31:$B$1048576,0))*(D532-1)</f>
        <v>2600</v>
      </c>
      <c r="G532" s="5">
        <f>INDEX(ref_Unit_Balance!$R$31:$R$106,MATCH(UnitGradeInfo!B532,ref_Unit_Balance!$B$31:$B$1048576,0))
+
INDEX(ref_Unit_Balance!$AA$31:$AA$106,MATCH(UnitGradeInfo!B532,ref_Unit_Balance!$B$31:$B$1048576,0))*(D532-1)</f>
        <v>78</v>
      </c>
      <c r="H532" s="39">
        <f>IF(INDEX(Unitinfo!D:D,MATCH(UnitGradeInfo!B532,Unitinfo!A:A,0))=1,50,5)</f>
        <v>50</v>
      </c>
      <c r="I532" s="5">
        <f>IF(INDEX(ref_Unit_Balance!$T$31:$T$106,MATCH(UnitGradeInfo!B532,ref_Unit_Balance!$B$31:$B$1048576,0))=0,1,INDEX(ref_Unit_Balance!$T$31:$T$106,MATCH(UnitGradeInfo!B532,ref_Unit_Balance!$B$31:$B$1048576,0)))</f>
        <v>5</v>
      </c>
      <c r="J532" s="5">
        <f>INDEX(ref_Unit_Balance!$S$31:$S$106,MATCH(UnitGradeInfo!B532,ref_Unit_Balance!$B$31:$B$1048576,0))</f>
        <v>300</v>
      </c>
      <c r="K532" s="5">
        <v>0</v>
      </c>
      <c r="L532" s="5">
        <f>INDEX(ref_Unit_Balance!$I$31:$I$106,MATCH(UnitGradeInfo!B532,ref_Unit_Balance!$B$31:$B$1048576,0))</f>
        <v>3</v>
      </c>
      <c r="M532" s="5">
        <f t="shared" si="58"/>
        <v>8</v>
      </c>
      <c r="N532" s="5">
        <f t="shared" si="59"/>
        <v>80</v>
      </c>
      <c r="O532" s="5">
        <f>(INDEX(Unitinfo!I:I,MATCH(B532,Unitinfo!A:A,0))+1)*2</f>
        <v>6</v>
      </c>
      <c r="P532" s="5">
        <v>0</v>
      </c>
      <c r="Q532" s="5">
        <v>0</v>
      </c>
      <c r="R532" s="19" t="s">
        <v>421</v>
      </c>
      <c r="S532" s="19" t="s">
        <v>421</v>
      </c>
      <c r="T532" s="5">
        <f t="shared" si="55"/>
        <v>2025</v>
      </c>
      <c r="U532" s="5">
        <f t="shared" si="56"/>
        <v>1</v>
      </c>
      <c r="V532" s="5">
        <v>0</v>
      </c>
      <c r="W532" s="5">
        <v>10</v>
      </c>
    </row>
    <row r="533" spans="1:23">
      <c r="A533" s="5">
        <f t="shared" si="54"/>
        <v>530</v>
      </c>
      <c r="B533" s="93">
        <f t="shared" si="57"/>
        <v>2025</v>
      </c>
      <c r="C533" s="20" t="str">
        <f>INDEX(Unitinfo!C:C,MATCH(UnitGradeInfo!B533,Unitinfo!A:A,0))</f>
        <v>(원거리)Soul_Skeleton_Witch</v>
      </c>
      <c r="D533" s="5">
        <f>COUNTIF($B$4:B533,B533)</f>
        <v>5</v>
      </c>
      <c r="E533" s="5">
        <f>ROUNDDOWN(INDEX(ref_Unit_Balance!$G$31:$G$106,MATCH(UnitGradeInfo!B533,ref_Unit_Balance!$B$31:$B$1048576,0))
+INDEX(ref_Unit_Balance!$G$20:$G$23,MATCH(IFERROR(INDEX(ref_Unit_Balance!$D$31:$D$1048576,MATCH(B533,ref_Unit_Balance!$B$31:$B$1048576,0)),0),ref_Unit_Balance!$B$20:$B$23,0))*D533*ref_Unit_Balance!$C$25,0)</f>
        <v>576</v>
      </c>
      <c r="F533" s="5">
        <f>INDEX(ref_Unit_Balance!$V$31:$V$106,MATCH(UnitGradeInfo!B533,ref_Unit_Balance!$B$31:$B$1048576,0))
+
INDEX(ref_Unit_Balance!$AB$31:$AB$106,MATCH(UnitGradeInfo!B533,ref_Unit_Balance!$B$31:$B$1048576,0))*(D533-1)</f>
        <v>2800</v>
      </c>
      <c r="G533" s="5">
        <f>INDEX(ref_Unit_Balance!$R$31:$R$106,MATCH(UnitGradeInfo!B533,ref_Unit_Balance!$B$31:$B$1048576,0))
+
INDEX(ref_Unit_Balance!$AA$31:$AA$106,MATCH(UnitGradeInfo!B533,ref_Unit_Balance!$B$31:$B$1048576,0))*(D533-1)</f>
        <v>82</v>
      </c>
      <c r="H533" s="39">
        <f>IF(INDEX(Unitinfo!D:D,MATCH(UnitGradeInfo!B533,Unitinfo!A:A,0))=1,50,5)</f>
        <v>50</v>
      </c>
      <c r="I533" s="5">
        <f>IF(INDEX(ref_Unit_Balance!$T$31:$T$106,MATCH(UnitGradeInfo!B533,ref_Unit_Balance!$B$31:$B$1048576,0))=0,1,INDEX(ref_Unit_Balance!$T$31:$T$106,MATCH(UnitGradeInfo!B533,ref_Unit_Balance!$B$31:$B$1048576,0)))</f>
        <v>5</v>
      </c>
      <c r="J533" s="5">
        <f>INDEX(ref_Unit_Balance!$S$31:$S$106,MATCH(UnitGradeInfo!B533,ref_Unit_Balance!$B$31:$B$1048576,0))</f>
        <v>300</v>
      </c>
      <c r="K533" s="5">
        <v>0</v>
      </c>
      <c r="L533" s="5">
        <f>INDEX(ref_Unit_Balance!$I$31:$I$106,MATCH(UnitGradeInfo!B533,ref_Unit_Balance!$B$31:$B$1048576,0))</f>
        <v>3</v>
      </c>
      <c r="M533" s="5">
        <f t="shared" si="58"/>
        <v>10</v>
      </c>
      <c r="N533" s="5">
        <f t="shared" si="59"/>
        <v>100</v>
      </c>
      <c r="O533" s="5">
        <f>(INDEX(Unitinfo!I:I,MATCH(B533,Unitinfo!A:A,0))+1)*2</f>
        <v>6</v>
      </c>
      <c r="P533" s="5">
        <v>0</v>
      </c>
      <c r="Q533" s="5">
        <v>0</v>
      </c>
      <c r="R533" s="19" t="s">
        <v>421</v>
      </c>
      <c r="S533" s="19" t="s">
        <v>421</v>
      </c>
      <c r="T533" s="5">
        <f t="shared" si="55"/>
        <v>2025</v>
      </c>
      <c r="U533" s="5">
        <f t="shared" si="56"/>
        <v>1</v>
      </c>
      <c r="V533" s="5">
        <v>0</v>
      </c>
      <c r="W533" s="5">
        <v>10</v>
      </c>
    </row>
    <row r="534" spans="1:23">
      <c r="A534" s="5">
        <f t="shared" si="54"/>
        <v>531</v>
      </c>
      <c r="B534" s="93">
        <f t="shared" si="57"/>
        <v>2025</v>
      </c>
      <c r="C534" s="20" t="str">
        <f>INDEX(Unitinfo!C:C,MATCH(UnitGradeInfo!B534,Unitinfo!A:A,0))</f>
        <v>(원거리)Soul_Skeleton_Witch</v>
      </c>
      <c r="D534" s="5">
        <f>COUNTIF($B$4:B534,B534)</f>
        <v>6</v>
      </c>
      <c r="E534" s="5">
        <f>ROUNDDOWN(INDEX(ref_Unit_Balance!$G$31:$G$106,MATCH(UnitGradeInfo!B534,ref_Unit_Balance!$B$31:$B$1048576,0))
+INDEX(ref_Unit_Balance!$G$20:$G$23,MATCH(IFERROR(INDEX(ref_Unit_Balance!$D$31:$D$1048576,MATCH(B534,ref_Unit_Balance!$B$31:$B$1048576,0)),0),ref_Unit_Balance!$B$20:$B$23,0))*D534*ref_Unit_Balance!$C$25,0)</f>
        <v>651</v>
      </c>
      <c r="F534" s="5">
        <f>INDEX(ref_Unit_Balance!$V$31:$V$106,MATCH(UnitGradeInfo!B534,ref_Unit_Balance!$B$31:$B$1048576,0))
+
INDEX(ref_Unit_Balance!$AB$31:$AB$106,MATCH(UnitGradeInfo!B534,ref_Unit_Balance!$B$31:$B$1048576,0))*(D534-1)</f>
        <v>3000</v>
      </c>
      <c r="G534" s="5">
        <f>INDEX(ref_Unit_Balance!$R$31:$R$106,MATCH(UnitGradeInfo!B534,ref_Unit_Balance!$B$31:$B$1048576,0))
+
INDEX(ref_Unit_Balance!$AA$31:$AA$106,MATCH(UnitGradeInfo!B534,ref_Unit_Balance!$B$31:$B$1048576,0))*(D534-1)</f>
        <v>86</v>
      </c>
      <c r="H534" s="39">
        <f>IF(INDEX(Unitinfo!D:D,MATCH(UnitGradeInfo!B534,Unitinfo!A:A,0))=1,50,5)</f>
        <v>50</v>
      </c>
      <c r="I534" s="5">
        <f>IF(INDEX(ref_Unit_Balance!$T$31:$T$106,MATCH(UnitGradeInfo!B534,ref_Unit_Balance!$B$31:$B$1048576,0))=0,1,INDEX(ref_Unit_Balance!$T$31:$T$106,MATCH(UnitGradeInfo!B534,ref_Unit_Balance!$B$31:$B$1048576,0)))</f>
        <v>5</v>
      </c>
      <c r="J534" s="5">
        <f>INDEX(ref_Unit_Balance!$S$31:$S$106,MATCH(UnitGradeInfo!B534,ref_Unit_Balance!$B$31:$B$1048576,0))</f>
        <v>300</v>
      </c>
      <c r="K534" s="5">
        <v>0</v>
      </c>
      <c r="L534" s="5">
        <f>INDEX(ref_Unit_Balance!$I$31:$I$106,MATCH(UnitGradeInfo!B534,ref_Unit_Balance!$B$31:$B$1048576,0))</f>
        <v>3</v>
      </c>
      <c r="M534" s="5">
        <f t="shared" si="58"/>
        <v>12</v>
      </c>
      <c r="N534" s="5">
        <f t="shared" si="59"/>
        <v>120</v>
      </c>
      <c r="O534" s="5">
        <f>(INDEX(Unitinfo!I:I,MATCH(B534,Unitinfo!A:A,0))+1)*2</f>
        <v>6</v>
      </c>
      <c r="P534" s="5">
        <v>0</v>
      </c>
      <c r="Q534" s="5">
        <v>0</v>
      </c>
      <c r="R534" s="19" t="s">
        <v>421</v>
      </c>
      <c r="S534" s="19" t="s">
        <v>421</v>
      </c>
      <c r="T534" s="5">
        <f t="shared" si="55"/>
        <v>2025</v>
      </c>
      <c r="U534" s="5">
        <f t="shared" si="56"/>
        <v>1</v>
      </c>
      <c r="V534" s="5">
        <v>0</v>
      </c>
      <c r="W534" s="5">
        <v>10</v>
      </c>
    </row>
    <row r="535" spans="1:23">
      <c r="A535" s="5">
        <f t="shared" si="54"/>
        <v>532</v>
      </c>
      <c r="B535" s="93">
        <f t="shared" si="57"/>
        <v>2025</v>
      </c>
      <c r="C535" s="20" t="str">
        <f>INDEX(Unitinfo!C:C,MATCH(UnitGradeInfo!B535,Unitinfo!A:A,0))</f>
        <v>(원거리)Soul_Skeleton_Witch</v>
      </c>
      <c r="D535" s="5">
        <f>COUNTIF($B$4:B535,B535)</f>
        <v>7</v>
      </c>
      <c r="E535" s="5">
        <f>ROUNDDOWN(INDEX(ref_Unit_Balance!$G$31:$G$106,MATCH(UnitGradeInfo!B535,ref_Unit_Balance!$B$31:$B$1048576,0))
+INDEX(ref_Unit_Balance!$G$20:$G$23,MATCH(IFERROR(INDEX(ref_Unit_Balance!$D$31:$D$1048576,MATCH(B535,ref_Unit_Balance!$B$31:$B$1048576,0)),0),ref_Unit_Balance!$B$20:$B$23,0))*D535*ref_Unit_Balance!$C$25,0)</f>
        <v>726</v>
      </c>
      <c r="F535" s="5">
        <f>INDEX(ref_Unit_Balance!$V$31:$V$106,MATCH(UnitGradeInfo!B535,ref_Unit_Balance!$B$31:$B$1048576,0))
+
INDEX(ref_Unit_Balance!$AB$31:$AB$106,MATCH(UnitGradeInfo!B535,ref_Unit_Balance!$B$31:$B$1048576,0))*(D535-1)</f>
        <v>3200</v>
      </c>
      <c r="G535" s="5">
        <f>INDEX(ref_Unit_Balance!$R$31:$R$106,MATCH(UnitGradeInfo!B535,ref_Unit_Balance!$B$31:$B$1048576,0))
+
INDEX(ref_Unit_Balance!$AA$31:$AA$106,MATCH(UnitGradeInfo!B535,ref_Unit_Balance!$B$31:$B$1048576,0))*(D535-1)</f>
        <v>90</v>
      </c>
      <c r="H535" s="39">
        <f>IF(INDEX(Unitinfo!D:D,MATCH(UnitGradeInfo!B535,Unitinfo!A:A,0))=1,50,5)</f>
        <v>50</v>
      </c>
      <c r="I535" s="5">
        <f>IF(INDEX(ref_Unit_Balance!$T$31:$T$106,MATCH(UnitGradeInfo!B535,ref_Unit_Balance!$B$31:$B$1048576,0))=0,1,INDEX(ref_Unit_Balance!$T$31:$T$106,MATCH(UnitGradeInfo!B535,ref_Unit_Balance!$B$31:$B$1048576,0)))</f>
        <v>5</v>
      </c>
      <c r="J535" s="5">
        <f>INDEX(ref_Unit_Balance!$S$31:$S$106,MATCH(UnitGradeInfo!B535,ref_Unit_Balance!$B$31:$B$1048576,0))</f>
        <v>300</v>
      </c>
      <c r="K535" s="5">
        <v>0</v>
      </c>
      <c r="L535" s="5">
        <f>INDEX(ref_Unit_Balance!$I$31:$I$106,MATCH(UnitGradeInfo!B535,ref_Unit_Balance!$B$31:$B$1048576,0))</f>
        <v>3</v>
      </c>
      <c r="M535" s="5">
        <f t="shared" si="58"/>
        <v>14</v>
      </c>
      <c r="N535" s="5">
        <f t="shared" si="59"/>
        <v>140</v>
      </c>
      <c r="O535" s="5">
        <f>(INDEX(Unitinfo!I:I,MATCH(B535,Unitinfo!A:A,0))+1)*2</f>
        <v>6</v>
      </c>
      <c r="P535" s="5">
        <v>0</v>
      </c>
      <c r="Q535" s="5">
        <v>0</v>
      </c>
      <c r="R535" s="19" t="s">
        <v>421</v>
      </c>
      <c r="S535" s="19" t="s">
        <v>421</v>
      </c>
      <c r="T535" s="5">
        <f t="shared" si="55"/>
        <v>2025</v>
      </c>
      <c r="U535" s="5">
        <f t="shared" si="56"/>
        <v>1</v>
      </c>
      <c r="V535" s="5">
        <v>0</v>
      </c>
      <c r="W535" s="5">
        <v>10</v>
      </c>
    </row>
    <row r="536" spans="1:23">
      <c r="A536" s="5">
        <f t="shared" si="54"/>
        <v>533</v>
      </c>
      <c r="B536" s="93">
        <f t="shared" si="57"/>
        <v>2025</v>
      </c>
      <c r="C536" s="20" t="str">
        <f>INDEX(Unitinfo!C:C,MATCH(UnitGradeInfo!B536,Unitinfo!A:A,0))</f>
        <v>(원거리)Soul_Skeleton_Witch</v>
      </c>
      <c r="D536" s="5">
        <f>COUNTIF($B$4:B536,B536)</f>
        <v>8</v>
      </c>
      <c r="E536" s="5">
        <f>ROUNDDOWN(INDEX(ref_Unit_Balance!$G$31:$G$106,MATCH(UnitGradeInfo!B536,ref_Unit_Balance!$B$31:$B$1048576,0))
+INDEX(ref_Unit_Balance!$G$20:$G$23,MATCH(IFERROR(INDEX(ref_Unit_Balance!$D$31:$D$1048576,MATCH(B536,ref_Unit_Balance!$B$31:$B$1048576,0)),0),ref_Unit_Balance!$B$20:$B$23,0))*D536*ref_Unit_Balance!$C$25,0)</f>
        <v>801</v>
      </c>
      <c r="F536" s="5">
        <f>INDEX(ref_Unit_Balance!$V$31:$V$106,MATCH(UnitGradeInfo!B536,ref_Unit_Balance!$B$31:$B$1048576,0))
+
INDEX(ref_Unit_Balance!$AB$31:$AB$106,MATCH(UnitGradeInfo!B536,ref_Unit_Balance!$B$31:$B$1048576,0))*(D536-1)</f>
        <v>3400</v>
      </c>
      <c r="G536" s="5">
        <f>INDEX(ref_Unit_Balance!$R$31:$R$106,MATCH(UnitGradeInfo!B536,ref_Unit_Balance!$B$31:$B$1048576,0))
+
INDEX(ref_Unit_Balance!$AA$31:$AA$106,MATCH(UnitGradeInfo!B536,ref_Unit_Balance!$B$31:$B$1048576,0))*(D536-1)</f>
        <v>94</v>
      </c>
      <c r="H536" s="39">
        <f>IF(INDEX(Unitinfo!D:D,MATCH(UnitGradeInfo!B536,Unitinfo!A:A,0))=1,50,5)</f>
        <v>50</v>
      </c>
      <c r="I536" s="5">
        <f>IF(INDEX(ref_Unit_Balance!$T$31:$T$106,MATCH(UnitGradeInfo!B536,ref_Unit_Balance!$B$31:$B$1048576,0))=0,1,INDEX(ref_Unit_Balance!$T$31:$T$106,MATCH(UnitGradeInfo!B536,ref_Unit_Balance!$B$31:$B$1048576,0)))</f>
        <v>5</v>
      </c>
      <c r="J536" s="5">
        <f>INDEX(ref_Unit_Balance!$S$31:$S$106,MATCH(UnitGradeInfo!B536,ref_Unit_Balance!$B$31:$B$1048576,0))</f>
        <v>300</v>
      </c>
      <c r="K536" s="5">
        <v>0</v>
      </c>
      <c r="L536" s="5">
        <f>INDEX(ref_Unit_Balance!$I$31:$I$106,MATCH(UnitGradeInfo!B536,ref_Unit_Balance!$B$31:$B$1048576,0))</f>
        <v>3</v>
      </c>
      <c r="M536" s="5">
        <f t="shared" si="58"/>
        <v>16</v>
      </c>
      <c r="N536" s="5">
        <f t="shared" si="59"/>
        <v>160</v>
      </c>
      <c r="O536" s="5">
        <f>(INDEX(Unitinfo!I:I,MATCH(B536,Unitinfo!A:A,0))+1)*2</f>
        <v>6</v>
      </c>
      <c r="P536" s="5">
        <v>0</v>
      </c>
      <c r="Q536" s="5">
        <v>0</v>
      </c>
      <c r="R536" s="19" t="s">
        <v>421</v>
      </c>
      <c r="S536" s="19" t="s">
        <v>421</v>
      </c>
      <c r="T536" s="5">
        <f t="shared" si="55"/>
        <v>2025</v>
      </c>
      <c r="U536" s="5">
        <f t="shared" si="56"/>
        <v>1</v>
      </c>
      <c r="V536" s="5">
        <v>0</v>
      </c>
      <c r="W536" s="5">
        <v>10</v>
      </c>
    </row>
    <row r="537" spans="1:23">
      <c r="A537" s="5">
        <f t="shared" si="54"/>
        <v>534</v>
      </c>
      <c r="B537" s="93">
        <f t="shared" si="57"/>
        <v>2025</v>
      </c>
      <c r="C537" s="20" t="str">
        <f>INDEX(Unitinfo!C:C,MATCH(UnitGradeInfo!B537,Unitinfo!A:A,0))</f>
        <v>(원거리)Soul_Skeleton_Witch</v>
      </c>
      <c r="D537" s="5">
        <f>COUNTIF($B$4:B537,B537)</f>
        <v>9</v>
      </c>
      <c r="E537" s="5">
        <f>ROUNDDOWN(INDEX(ref_Unit_Balance!$G$31:$G$106,MATCH(UnitGradeInfo!B537,ref_Unit_Balance!$B$31:$B$1048576,0))
+INDEX(ref_Unit_Balance!$G$20:$G$23,MATCH(IFERROR(INDEX(ref_Unit_Balance!$D$31:$D$1048576,MATCH(B537,ref_Unit_Balance!$B$31:$B$1048576,0)),0),ref_Unit_Balance!$B$20:$B$23,0))*D537*ref_Unit_Balance!$C$25,0)</f>
        <v>876</v>
      </c>
      <c r="F537" s="5">
        <f>INDEX(ref_Unit_Balance!$V$31:$V$106,MATCH(UnitGradeInfo!B537,ref_Unit_Balance!$B$31:$B$1048576,0))
+
INDEX(ref_Unit_Balance!$AB$31:$AB$106,MATCH(UnitGradeInfo!B537,ref_Unit_Balance!$B$31:$B$1048576,0))*(D537-1)</f>
        <v>3600</v>
      </c>
      <c r="G537" s="5">
        <f>INDEX(ref_Unit_Balance!$R$31:$R$106,MATCH(UnitGradeInfo!B537,ref_Unit_Balance!$B$31:$B$1048576,0))
+
INDEX(ref_Unit_Balance!$AA$31:$AA$106,MATCH(UnitGradeInfo!B537,ref_Unit_Balance!$B$31:$B$1048576,0))*(D537-1)</f>
        <v>98</v>
      </c>
      <c r="H537" s="39">
        <f>IF(INDEX(Unitinfo!D:D,MATCH(UnitGradeInfo!B537,Unitinfo!A:A,0))=1,50,5)</f>
        <v>50</v>
      </c>
      <c r="I537" s="5">
        <f>IF(INDEX(ref_Unit_Balance!$T$31:$T$106,MATCH(UnitGradeInfo!B537,ref_Unit_Balance!$B$31:$B$1048576,0))=0,1,INDEX(ref_Unit_Balance!$T$31:$T$106,MATCH(UnitGradeInfo!B537,ref_Unit_Balance!$B$31:$B$1048576,0)))</f>
        <v>5</v>
      </c>
      <c r="J537" s="5">
        <f>INDEX(ref_Unit_Balance!$S$31:$S$106,MATCH(UnitGradeInfo!B537,ref_Unit_Balance!$B$31:$B$1048576,0))</f>
        <v>300</v>
      </c>
      <c r="K537" s="5">
        <v>0</v>
      </c>
      <c r="L537" s="5">
        <f>INDEX(ref_Unit_Balance!$I$31:$I$106,MATCH(UnitGradeInfo!B537,ref_Unit_Balance!$B$31:$B$1048576,0))</f>
        <v>3</v>
      </c>
      <c r="M537" s="5">
        <f t="shared" si="58"/>
        <v>18</v>
      </c>
      <c r="N537" s="5">
        <f t="shared" si="59"/>
        <v>180</v>
      </c>
      <c r="O537" s="5">
        <f>(INDEX(Unitinfo!I:I,MATCH(B537,Unitinfo!A:A,0))+1)*2</f>
        <v>6</v>
      </c>
      <c r="P537" s="5">
        <v>0</v>
      </c>
      <c r="Q537" s="5">
        <v>0</v>
      </c>
      <c r="R537" s="19" t="s">
        <v>421</v>
      </c>
      <c r="S537" s="19" t="s">
        <v>421</v>
      </c>
      <c r="T537" s="5">
        <f t="shared" si="55"/>
        <v>2025</v>
      </c>
      <c r="U537" s="5">
        <f t="shared" si="56"/>
        <v>1</v>
      </c>
      <c r="V537" s="5">
        <v>0</v>
      </c>
      <c r="W537" s="5">
        <v>10</v>
      </c>
    </row>
    <row r="538" spans="1:23">
      <c r="A538" s="5">
        <f t="shared" si="54"/>
        <v>535</v>
      </c>
      <c r="B538" s="93">
        <f t="shared" si="57"/>
        <v>2025</v>
      </c>
      <c r="C538" s="20" t="str">
        <f>INDEX(Unitinfo!C:C,MATCH(UnitGradeInfo!B538,Unitinfo!A:A,0))</f>
        <v>(원거리)Soul_Skeleton_Witch</v>
      </c>
      <c r="D538" s="5">
        <f>COUNTIF($B$4:B538,B538)</f>
        <v>10</v>
      </c>
      <c r="E538" s="5">
        <f>ROUNDDOWN(INDEX(ref_Unit_Balance!$G$31:$G$106,MATCH(UnitGradeInfo!B538,ref_Unit_Balance!$B$31:$B$1048576,0))
+INDEX(ref_Unit_Balance!$G$20:$G$23,MATCH(IFERROR(INDEX(ref_Unit_Balance!$D$31:$D$1048576,MATCH(B538,ref_Unit_Balance!$B$31:$B$1048576,0)),0),ref_Unit_Balance!$B$20:$B$23,0))*D538*ref_Unit_Balance!$C$25,0)</f>
        <v>951</v>
      </c>
      <c r="F538" s="5">
        <f>INDEX(ref_Unit_Balance!$V$31:$V$106,MATCH(UnitGradeInfo!B538,ref_Unit_Balance!$B$31:$B$1048576,0))
+
INDEX(ref_Unit_Balance!$AB$31:$AB$106,MATCH(UnitGradeInfo!B538,ref_Unit_Balance!$B$31:$B$1048576,0))*(D538-1)</f>
        <v>3800</v>
      </c>
      <c r="G538" s="5">
        <f>INDEX(ref_Unit_Balance!$R$31:$R$106,MATCH(UnitGradeInfo!B538,ref_Unit_Balance!$B$31:$B$1048576,0))
+
INDEX(ref_Unit_Balance!$AA$31:$AA$106,MATCH(UnitGradeInfo!B538,ref_Unit_Balance!$B$31:$B$1048576,0))*(D538-1)</f>
        <v>102</v>
      </c>
      <c r="H538" s="39">
        <f>IF(INDEX(Unitinfo!D:D,MATCH(UnitGradeInfo!B538,Unitinfo!A:A,0))=1,50,5)</f>
        <v>50</v>
      </c>
      <c r="I538" s="5">
        <f>IF(INDEX(ref_Unit_Balance!$T$31:$T$106,MATCH(UnitGradeInfo!B538,ref_Unit_Balance!$B$31:$B$1048576,0))=0,1,INDEX(ref_Unit_Balance!$T$31:$T$106,MATCH(UnitGradeInfo!B538,ref_Unit_Balance!$B$31:$B$1048576,0)))</f>
        <v>5</v>
      </c>
      <c r="J538" s="5">
        <f>INDEX(ref_Unit_Balance!$S$31:$S$106,MATCH(UnitGradeInfo!B538,ref_Unit_Balance!$B$31:$B$1048576,0))</f>
        <v>300</v>
      </c>
      <c r="K538" s="5">
        <v>0</v>
      </c>
      <c r="L538" s="5">
        <f>INDEX(ref_Unit_Balance!$I$31:$I$106,MATCH(UnitGradeInfo!B538,ref_Unit_Balance!$B$31:$B$1048576,0))</f>
        <v>3</v>
      </c>
      <c r="M538" s="5">
        <f t="shared" si="58"/>
        <v>20</v>
      </c>
      <c r="N538" s="5">
        <f t="shared" si="59"/>
        <v>200</v>
      </c>
      <c r="O538" s="5">
        <f>(INDEX(Unitinfo!I:I,MATCH(B538,Unitinfo!A:A,0))+1)*2</f>
        <v>6</v>
      </c>
      <c r="P538" s="5">
        <v>0</v>
      </c>
      <c r="Q538" s="5">
        <v>0</v>
      </c>
      <c r="R538" s="19" t="s">
        <v>421</v>
      </c>
      <c r="S538" s="19" t="s">
        <v>421</v>
      </c>
      <c r="T538" s="5">
        <f t="shared" si="55"/>
        <v>2025</v>
      </c>
      <c r="U538" s="5">
        <f t="shared" si="56"/>
        <v>1</v>
      </c>
      <c r="V538" s="5">
        <v>0</v>
      </c>
      <c r="W538" s="5">
        <v>10</v>
      </c>
    </row>
    <row r="539" spans="1:23">
      <c r="A539" s="5">
        <f t="shared" si="54"/>
        <v>536</v>
      </c>
      <c r="B539" s="93">
        <f t="shared" si="57"/>
        <v>2025</v>
      </c>
      <c r="C539" s="20" t="str">
        <f>INDEX(Unitinfo!C:C,MATCH(UnitGradeInfo!B539,Unitinfo!A:A,0))</f>
        <v>(원거리)Soul_Skeleton_Witch</v>
      </c>
      <c r="D539" s="5">
        <f>COUNTIF($B$4:B539,B539)</f>
        <v>11</v>
      </c>
      <c r="E539" s="5">
        <f>ROUNDDOWN(INDEX(ref_Unit_Balance!$G$31:$G$106,MATCH(UnitGradeInfo!B539,ref_Unit_Balance!$B$31:$B$1048576,0))
+INDEX(ref_Unit_Balance!$G$20:$G$23,MATCH(IFERROR(INDEX(ref_Unit_Balance!$D$31:$D$1048576,MATCH(B539,ref_Unit_Balance!$B$31:$B$1048576,0)),0),ref_Unit_Balance!$B$20:$B$23,0))*D539*ref_Unit_Balance!$C$25,0)</f>
        <v>1026</v>
      </c>
      <c r="F539" s="5">
        <f>INDEX(ref_Unit_Balance!$V$31:$V$106,MATCH(UnitGradeInfo!B539,ref_Unit_Balance!$B$31:$B$1048576,0))
+
INDEX(ref_Unit_Balance!$AB$31:$AB$106,MATCH(UnitGradeInfo!B539,ref_Unit_Balance!$B$31:$B$1048576,0))*(D539-1)</f>
        <v>4000</v>
      </c>
      <c r="G539" s="5">
        <f>INDEX(ref_Unit_Balance!$R$31:$R$106,MATCH(UnitGradeInfo!B539,ref_Unit_Balance!$B$31:$B$1048576,0))
+
INDEX(ref_Unit_Balance!$AA$31:$AA$106,MATCH(UnitGradeInfo!B539,ref_Unit_Balance!$B$31:$B$1048576,0))*(D539-1)</f>
        <v>106</v>
      </c>
      <c r="H539" s="39">
        <f>IF(INDEX(Unitinfo!D:D,MATCH(UnitGradeInfo!B539,Unitinfo!A:A,0))=1,50,5)</f>
        <v>50</v>
      </c>
      <c r="I539" s="5">
        <f>IF(INDEX(ref_Unit_Balance!$T$31:$T$106,MATCH(UnitGradeInfo!B539,ref_Unit_Balance!$B$31:$B$1048576,0))=0,1,INDEX(ref_Unit_Balance!$T$31:$T$106,MATCH(UnitGradeInfo!B539,ref_Unit_Balance!$B$31:$B$1048576,0)))</f>
        <v>5</v>
      </c>
      <c r="J539" s="5">
        <f>INDEX(ref_Unit_Balance!$S$31:$S$106,MATCH(UnitGradeInfo!B539,ref_Unit_Balance!$B$31:$B$1048576,0))</f>
        <v>300</v>
      </c>
      <c r="K539" s="5">
        <v>0</v>
      </c>
      <c r="L539" s="5">
        <f>INDEX(ref_Unit_Balance!$I$31:$I$106,MATCH(UnitGradeInfo!B539,ref_Unit_Balance!$B$31:$B$1048576,0))</f>
        <v>3</v>
      </c>
      <c r="M539" s="5">
        <f t="shared" si="58"/>
        <v>22</v>
      </c>
      <c r="N539" s="5">
        <f t="shared" si="59"/>
        <v>220</v>
      </c>
      <c r="O539" s="5">
        <f>(INDEX(Unitinfo!I:I,MATCH(B539,Unitinfo!A:A,0))+1)*2</f>
        <v>6</v>
      </c>
      <c r="P539" s="5">
        <v>0</v>
      </c>
      <c r="Q539" s="5">
        <v>0</v>
      </c>
      <c r="R539" s="19" t="s">
        <v>421</v>
      </c>
      <c r="S539" s="19" t="s">
        <v>421</v>
      </c>
      <c r="T539" s="5">
        <f t="shared" si="55"/>
        <v>2025</v>
      </c>
      <c r="U539" s="5">
        <f t="shared" si="56"/>
        <v>1</v>
      </c>
      <c r="V539" s="5">
        <v>0</v>
      </c>
      <c r="W539" s="5">
        <v>10</v>
      </c>
    </row>
    <row r="540" spans="1:23">
      <c r="A540" s="5">
        <f t="shared" si="54"/>
        <v>537</v>
      </c>
      <c r="B540" s="93">
        <f t="shared" si="57"/>
        <v>2025</v>
      </c>
      <c r="C540" s="20" t="str">
        <f>INDEX(Unitinfo!C:C,MATCH(UnitGradeInfo!B540,Unitinfo!A:A,0))</f>
        <v>(원거리)Soul_Skeleton_Witch</v>
      </c>
      <c r="D540" s="5">
        <f>COUNTIF($B$4:B540,B540)</f>
        <v>12</v>
      </c>
      <c r="E540" s="5">
        <f>ROUNDDOWN(INDEX(ref_Unit_Balance!$G$31:$G$106,MATCH(UnitGradeInfo!B540,ref_Unit_Balance!$B$31:$B$1048576,0))
+INDEX(ref_Unit_Balance!$G$20:$G$23,MATCH(IFERROR(INDEX(ref_Unit_Balance!$D$31:$D$1048576,MATCH(B540,ref_Unit_Balance!$B$31:$B$1048576,0)),0),ref_Unit_Balance!$B$20:$B$23,0))*D540*ref_Unit_Balance!$C$25,0)</f>
        <v>1101</v>
      </c>
      <c r="F540" s="5">
        <f>INDEX(ref_Unit_Balance!$V$31:$V$106,MATCH(UnitGradeInfo!B540,ref_Unit_Balance!$B$31:$B$1048576,0))
+
INDEX(ref_Unit_Balance!$AB$31:$AB$106,MATCH(UnitGradeInfo!B540,ref_Unit_Balance!$B$31:$B$1048576,0))*(D540-1)</f>
        <v>4200</v>
      </c>
      <c r="G540" s="5">
        <f>INDEX(ref_Unit_Balance!$R$31:$R$106,MATCH(UnitGradeInfo!B540,ref_Unit_Balance!$B$31:$B$1048576,0))
+
INDEX(ref_Unit_Balance!$AA$31:$AA$106,MATCH(UnitGradeInfo!B540,ref_Unit_Balance!$B$31:$B$1048576,0))*(D540-1)</f>
        <v>110</v>
      </c>
      <c r="H540" s="39">
        <f>IF(INDEX(Unitinfo!D:D,MATCH(UnitGradeInfo!B540,Unitinfo!A:A,0))=1,50,5)</f>
        <v>50</v>
      </c>
      <c r="I540" s="5">
        <f>IF(INDEX(ref_Unit_Balance!$T$31:$T$106,MATCH(UnitGradeInfo!B540,ref_Unit_Balance!$B$31:$B$1048576,0))=0,1,INDEX(ref_Unit_Balance!$T$31:$T$106,MATCH(UnitGradeInfo!B540,ref_Unit_Balance!$B$31:$B$1048576,0)))</f>
        <v>5</v>
      </c>
      <c r="J540" s="5">
        <f>INDEX(ref_Unit_Balance!$S$31:$S$106,MATCH(UnitGradeInfo!B540,ref_Unit_Balance!$B$31:$B$1048576,0))</f>
        <v>300</v>
      </c>
      <c r="K540" s="5">
        <v>0</v>
      </c>
      <c r="L540" s="5">
        <f>INDEX(ref_Unit_Balance!$I$31:$I$106,MATCH(UnitGradeInfo!B540,ref_Unit_Balance!$B$31:$B$1048576,0))</f>
        <v>3</v>
      </c>
      <c r="M540" s="5">
        <f t="shared" si="58"/>
        <v>24</v>
      </c>
      <c r="N540" s="5">
        <f t="shared" si="59"/>
        <v>240</v>
      </c>
      <c r="O540" s="5">
        <f>(INDEX(Unitinfo!I:I,MATCH(B540,Unitinfo!A:A,0))+1)*2</f>
        <v>6</v>
      </c>
      <c r="P540" s="5">
        <v>0</v>
      </c>
      <c r="Q540" s="5">
        <v>0</v>
      </c>
      <c r="R540" s="19" t="s">
        <v>421</v>
      </c>
      <c r="S540" s="19" t="s">
        <v>421</v>
      </c>
      <c r="T540" s="5">
        <f t="shared" si="55"/>
        <v>2025</v>
      </c>
      <c r="U540" s="5">
        <f t="shared" si="56"/>
        <v>1</v>
      </c>
      <c r="V540" s="5">
        <v>0</v>
      </c>
      <c r="W540" s="5">
        <v>10</v>
      </c>
    </row>
    <row r="541" spans="1:23">
      <c r="A541" s="5">
        <f t="shared" si="54"/>
        <v>538</v>
      </c>
      <c r="B541" s="93">
        <f t="shared" si="57"/>
        <v>2025</v>
      </c>
      <c r="C541" s="20" t="str">
        <f>INDEX(Unitinfo!C:C,MATCH(UnitGradeInfo!B541,Unitinfo!A:A,0))</f>
        <v>(원거리)Soul_Skeleton_Witch</v>
      </c>
      <c r="D541" s="5">
        <f>COUNTIF($B$4:B541,B541)</f>
        <v>13</v>
      </c>
      <c r="E541" s="5">
        <f>ROUNDDOWN(INDEX(ref_Unit_Balance!$G$31:$G$106,MATCH(UnitGradeInfo!B541,ref_Unit_Balance!$B$31:$B$1048576,0))
+INDEX(ref_Unit_Balance!$G$20:$G$23,MATCH(IFERROR(INDEX(ref_Unit_Balance!$D$31:$D$1048576,MATCH(B541,ref_Unit_Balance!$B$31:$B$1048576,0)),0),ref_Unit_Balance!$B$20:$B$23,0))*D541*ref_Unit_Balance!$C$25,0)</f>
        <v>1176</v>
      </c>
      <c r="F541" s="5">
        <f>INDEX(ref_Unit_Balance!$V$31:$V$106,MATCH(UnitGradeInfo!B541,ref_Unit_Balance!$B$31:$B$1048576,0))
+
INDEX(ref_Unit_Balance!$AB$31:$AB$106,MATCH(UnitGradeInfo!B541,ref_Unit_Balance!$B$31:$B$1048576,0))*(D541-1)</f>
        <v>4400</v>
      </c>
      <c r="G541" s="5">
        <f>INDEX(ref_Unit_Balance!$R$31:$R$106,MATCH(UnitGradeInfo!B541,ref_Unit_Balance!$B$31:$B$1048576,0))
+
INDEX(ref_Unit_Balance!$AA$31:$AA$106,MATCH(UnitGradeInfo!B541,ref_Unit_Balance!$B$31:$B$1048576,0))*(D541-1)</f>
        <v>114</v>
      </c>
      <c r="H541" s="39">
        <f>IF(INDEX(Unitinfo!D:D,MATCH(UnitGradeInfo!B541,Unitinfo!A:A,0))=1,50,5)</f>
        <v>50</v>
      </c>
      <c r="I541" s="5">
        <f>IF(INDEX(ref_Unit_Balance!$T$31:$T$106,MATCH(UnitGradeInfo!B541,ref_Unit_Balance!$B$31:$B$1048576,0))=0,1,INDEX(ref_Unit_Balance!$T$31:$T$106,MATCH(UnitGradeInfo!B541,ref_Unit_Balance!$B$31:$B$1048576,0)))</f>
        <v>5</v>
      </c>
      <c r="J541" s="5">
        <f>INDEX(ref_Unit_Balance!$S$31:$S$106,MATCH(UnitGradeInfo!B541,ref_Unit_Balance!$B$31:$B$1048576,0))</f>
        <v>300</v>
      </c>
      <c r="K541" s="5">
        <v>0</v>
      </c>
      <c r="L541" s="5">
        <f>INDEX(ref_Unit_Balance!$I$31:$I$106,MATCH(UnitGradeInfo!B541,ref_Unit_Balance!$B$31:$B$1048576,0))</f>
        <v>3</v>
      </c>
      <c r="M541" s="5">
        <f t="shared" si="58"/>
        <v>26</v>
      </c>
      <c r="N541" s="5">
        <f t="shared" si="59"/>
        <v>260</v>
      </c>
      <c r="O541" s="5">
        <f>(INDEX(Unitinfo!I:I,MATCH(B541,Unitinfo!A:A,0))+1)*2</f>
        <v>6</v>
      </c>
      <c r="P541" s="5">
        <v>0</v>
      </c>
      <c r="Q541" s="5">
        <v>0</v>
      </c>
      <c r="R541" s="19" t="s">
        <v>421</v>
      </c>
      <c r="S541" s="19" t="s">
        <v>421</v>
      </c>
      <c r="T541" s="5">
        <f t="shared" si="55"/>
        <v>2025</v>
      </c>
      <c r="U541" s="5">
        <f t="shared" si="56"/>
        <v>1</v>
      </c>
      <c r="V541" s="5">
        <v>0</v>
      </c>
      <c r="W541" s="5">
        <v>10</v>
      </c>
    </row>
    <row r="542" spans="1:23">
      <c r="A542" s="5">
        <f t="shared" si="54"/>
        <v>539</v>
      </c>
      <c r="B542" s="93">
        <f t="shared" si="57"/>
        <v>2025</v>
      </c>
      <c r="C542" s="20" t="str">
        <f>INDEX(Unitinfo!C:C,MATCH(UnitGradeInfo!B542,Unitinfo!A:A,0))</f>
        <v>(원거리)Soul_Skeleton_Witch</v>
      </c>
      <c r="D542" s="5">
        <f>COUNTIF($B$4:B542,B542)</f>
        <v>14</v>
      </c>
      <c r="E542" s="5">
        <f>ROUNDDOWN(INDEX(ref_Unit_Balance!$G$31:$G$106,MATCH(UnitGradeInfo!B542,ref_Unit_Balance!$B$31:$B$1048576,0))
+INDEX(ref_Unit_Balance!$G$20:$G$23,MATCH(IFERROR(INDEX(ref_Unit_Balance!$D$31:$D$1048576,MATCH(B542,ref_Unit_Balance!$B$31:$B$1048576,0)),0),ref_Unit_Balance!$B$20:$B$23,0))*D542*ref_Unit_Balance!$C$25,0)</f>
        <v>1251</v>
      </c>
      <c r="F542" s="5">
        <f>INDEX(ref_Unit_Balance!$V$31:$V$106,MATCH(UnitGradeInfo!B542,ref_Unit_Balance!$B$31:$B$1048576,0))
+
INDEX(ref_Unit_Balance!$AB$31:$AB$106,MATCH(UnitGradeInfo!B542,ref_Unit_Balance!$B$31:$B$1048576,0))*(D542-1)</f>
        <v>4600</v>
      </c>
      <c r="G542" s="5">
        <f>INDEX(ref_Unit_Balance!$R$31:$R$106,MATCH(UnitGradeInfo!B542,ref_Unit_Balance!$B$31:$B$1048576,0))
+
INDEX(ref_Unit_Balance!$AA$31:$AA$106,MATCH(UnitGradeInfo!B542,ref_Unit_Balance!$B$31:$B$1048576,0))*(D542-1)</f>
        <v>118</v>
      </c>
      <c r="H542" s="39">
        <f>IF(INDEX(Unitinfo!D:D,MATCH(UnitGradeInfo!B542,Unitinfo!A:A,0))=1,50,5)</f>
        <v>50</v>
      </c>
      <c r="I542" s="5">
        <f>IF(INDEX(ref_Unit_Balance!$T$31:$T$106,MATCH(UnitGradeInfo!B542,ref_Unit_Balance!$B$31:$B$1048576,0))=0,1,INDEX(ref_Unit_Balance!$T$31:$T$106,MATCH(UnitGradeInfo!B542,ref_Unit_Balance!$B$31:$B$1048576,0)))</f>
        <v>5</v>
      </c>
      <c r="J542" s="5">
        <f>INDEX(ref_Unit_Balance!$S$31:$S$106,MATCH(UnitGradeInfo!B542,ref_Unit_Balance!$B$31:$B$1048576,0))</f>
        <v>300</v>
      </c>
      <c r="K542" s="5">
        <v>0</v>
      </c>
      <c r="L542" s="5">
        <f>INDEX(ref_Unit_Balance!$I$31:$I$106,MATCH(UnitGradeInfo!B542,ref_Unit_Balance!$B$31:$B$1048576,0))</f>
        <v>3</v>
      </c>
      <c r="M542" s="5">
        <f t="shared" si="58"/>
        <v>28</v>
      </c>
      <c r="N542" s="5">
        <f t="shared" si="59"/>
        <v>280</v>
      </c>
      <c r="O542" s="5">
        <f>(INDEX(Unitinfo!I:I,MATCH(B542,Unitinfo!A:A,0))+1)*2</f>
        <v>6</v>
      </c>
      <c r="P542" s="5">
        <v>0</v>
      </c>
      <c r="Q542" s="5">
        <v>0</v>
      </c>
      <c r="R542" s="19" t="s">
        <v>421</v>
      </c>
      <c r="S542" s="19" t="s">
        <v>421</v>
      </c>
      <c r="T542" s="5">
        <f t="shared" si="55"/>
        <v>2025</v>
      </c>
      <c r="U542" s="5">
        <f t="shared" si="56"/>
        <v>1</v>
      </c>
      <c r="V542" s="5">
        <v>0</v>
      </c>
      <c r="W542" s="5">
        <v>10</v>
      </c>
    </row>
    <row r="543" spans="1:23">
      <c r="A543" s="5">
        <f t="shared" si="54"/>
        <v>540</v>
      </c>
      <c r="B543" s="93">
        <f t="shared" si="57"/>
        <v>2025</v>
      </c>
      <c r="C543" s="20" t="str">
        <f>INDEX(Unitinfo!C:C,MATCH(UnitGradeInfo!B543,Unitinfo!A:A,0))</f>
        <v>(원거리)Soul_Skeleton_Witch</v>
      </c>
      <c r="D543" s="5">
        <f>COUNTIF($B$4:B543,B543)</f>
        <v>15</v>
      </c>
      <c r="E543" s="5">
        <f>ROUNDDOWN(INDEX(ref_Unit_Balance!$G$31:$G$106,MATCH(UnitGradeInfo!B543,ref_Unit_Balance!$B$31:$B$1048576,0))
+INDEX(ref_Unit_Balance!$G$20:$G$23,MATCH(IFERROR(INDEX(ref_Unit_Balance!$D$31:$D$1048576,MATCH(B543,ref_Unit_Balance!$B$31:$B$1048576,0)),0),ref_Unit_Balance!$B$20:$B$23,0))*D543*ref_Unit_Balance!$C$25,0)</f>
        <v>1326</v>
      </c>
      <c r="F543" s="5">
        <f>INDEX(ref_Unit_Balance!$V$31:$V$106,MATCH(UnitGradeInfo!B543,ref_Unit_Balance!$B$31:$B$1048576,0))
+
INDEX(ref_Unit_Balance!$AB$31:$AB$106,MATCH(UnitGradeInfo!B543,ref_Unit_Balance!$B$31:$B$1048576,0))*(D543-1)</f>
        <v>4800</v>
      </c>
      <c r="G543" s="5">
        <f>INDEX(ref_Unit_Balance!$R$31:$R$106,MATCH(UnitGradeInfo!B543,ref_Unit_Balance!$B$31:$B$1048576,0))
+
INDEX(ref_Unit_Balance!$AA$31:$AA$106,MATCH(UnitGradeInfo!B543,ref_Unit_Balance!$B$31:$B$1048576,0))*(D543-1)</f>
        <v>122</v>
      </c>
      <c r="H543" s="39">
        <f>IF(INDEX(Unitinfo!D:D,MATCH(UnitGradeInfo!B543,Unitinfo!A:A,0))=1,50,5)</f>
        <v>50</v>
      </c>
      <c r="I543" s="5">
        <f>IF(INDEX(ref_Unit_Balance!$T$31:$T$106,MATCH(UnitGradeInfo!B543,ref_Unit_Balance!$B$31:$B$1048576,0))=0,1,INDEX(ref_Unit_Balance!$T$31:$T$106,MATCH(UnitGradeInfo!B543,ref_Unit_Balance!$B$31:$B$1048576,0)))</f>
        <v>5</v>
      </c>
      <c r="J543" s="5">
        <f>INDEX(ref_Unit_Balance!$S$31:$S$106,MATCH(UnitGradeInfo!B543,ref_Unit_Balance!$B$31:$B$1048576,0))</f>
        <v>300</v>
      </c>
      <c r="K543" s="5">
        <v>0</v>
      </c>
      <c r="L543" s="5">
        <f>INDEX(ref_Unit_Balance!$I$31:$I$106,MATCH(UnitGradeInfo!B543,ref_Unit_Balance!$B$31:$B$1048576,0))</f>
        <v>3</v>
      </c>
      <c r="M543" s="5">
        <f t="shared" si="58"/>
        <v>30</v>
      </c>
      <c r="N543" s="5">
        <f t="shared" si="59"/>
        <v>300</v>
      </c>
      <c r="O543" s="5">
        <f>(INDEX(Unitinfo!I:I,MATCH(B543,Unitinfo!A:A,0))+1)*2</f>
        <v>6</v>
      </c>
      <c r="P543" s="5">
        <v>0</v>
      </c>
      <c r="Q543" s="5">
        <v>0</v>
      </c>
      <c r="R543" s="19" t="s">
        <v>421</v>
      </c>
      <c r="S543" s="19" t="s">
        <v>421</v>
      </c>
      <c r="T543" s="5">
        <f t="shared" si="55"/>
        <v>2025</v>
      </c>
      <c r="U543" s="5">
        <f t="shared" si="56"/>
        <v>1</v>
      </c>
      <c r="V543" s="5">
        <v>0</v>
      </c>
      <c r="W543" s="5">
        <v>10</v>
      </c>
    </row>
    <row r="544" spans="1:23">
      <c r="A544" s="5">
        <f t="shared" si="54"/>
        <v>541</v>
      </c>
      <c r="B544" s="93">
        <f t="shared" si="57"/>
        <v>2025</v>
      </c>
      <c r="C544" s="20" t="str">
        <f>INDEX(Unitinfo!C:C,MATCH(UnitGradeInfo!B544,Unitinfo!A:A,0))</f>
        <v>(원거리)Soul_Skeleton_Witch</v>
      </c>
      <c r="D544" s="5">
        <f>COUNTIF($B$4:B544,B544)</f>
        <v>16</v>
      </c>
      <c r="E544" s="5">
        <f>ROUNDDOWN(INDEX(ref_Unit_Balance!$G$31:$G$106,MATCH(UnitGradeInfo!B544,ref_Unit_Balance!$B$31:$B$1048576,0))
+INDEX(ref_Unit_Balance!$G$20:$G$23,MATCH(IFERROR(INDEX(ref_Unit_Balance!$D$31:$D$1048576,MATCH(B544,ref_Unit_Balance!$B$31:$B$1048576,0)),0),ref_Unit_Balance!$B$20:$B$23,0))*D544*ref_Unit_Balance!$C$25,0)</f>
        <v>1401</v>
      </c>
      <c r="F544" s="5">
        <f>INDEX(ref_Unit_Balance!$V$31:$V$106,MATCH(UnitGradeInfo!B544,ref_Unit_Balance!$B$31:$B$1048576,0))
+
INDEX(ref_Unit_Balance!$AB$31:$AB$106,MATCH(UnitGradeInfo!B544,ref_Unit_Balance!$B$31:$B$1048576,0))*(D544-1)</f>
        <v>5000</v>
      </c>
      <c r="G544" s="5">
        <f>INDEX(ref_Unit_Balance!$R$31:$R$106,MATCH(UnitGradeInfo!B544,ref_Unit_Balance!$B$31:$B$1048576,0))
+
INDEX(ref_Unit_Balance!$AA$31:$AA$106,MATCH(UnitGradeInfo!B544,ref_Unit_Balance!$B$31:$B$1048576,0))*(D544-1)</f>
        <v>126</v>
      </c>
      <c r="H544" s="39">
        <f>IF(INDEX(Unitinfo!D:D,MATCH(UnitGradeInfo!B544,Unitinfo!A:A,0))=1,50,5)</f>
        <v>50</v>
      </c>
      <c r="I544" s="5">
        <f>IF(INDEX(ref_Unit_Balance!$T$31:$T$106,MATCH(UnitGradeInfo!B544,ref_Unit_Balance!$B$31:$B$1048576,0))=0,1,INDEX(ref_Unit_Balance!$T$31:$T$106,MATCH(UnitGradeInfo!B544,ref_Unit_Balance!$B$31:$B$1048576,0)))</f>
        <v>5</v>
      </c>
      <c r="J544" s="5">
        <f>INDEX(ref_Unit_Balance!$S$31:$S$106,MATCH(UnitGradeInfo!B544,ref_Unit_Balance!$B$31:$B$1048576,0))</f>
        <v>300</v>
      </c>
      <c r="K544" s="5">
        <v>0</v>
      </c>
      <c r="L544" s="5">
        <f>INDEX(ref_Unit_Balance!$I$31:$I$106,MATCH(UnitGradeInfo!B544,ref_Unit_Balance!$B$31:$B$1048576,0))</f>
        <v>3</v>
      </c>
      <c r="M544" s="5">
        <f t="shared" si="58"/>
        <v>32</v>
      </c>
      <c r="N544" s="5">
        <f t="shared" si="59"/>
        <v>320</v>
      </c>
      <c r="O544" s="5">
        <f>(INDEX(Unitinfo!I:I,MATCH(B544,Unitinfo!A:A,0))+1)*2</f>
        <v>6</v>
      </c>
      <c r="P544" s="5">
        <v>0</v>
      </c>
      <c r="Q544" s="5">
        <v>0</v>
      </c>
      <c r="R544" s="19" t="s">
        <v>421</v>
      </c>
      <c r="S544" s="19" t="s">
        <v>421</v>
      </c>
      <c r="T544" s="5">
        <f t="shared" si="55"/>
        <v>2025</v>
      </c>
      <c r="U544" s="5">
        <f t="shared" si="56"/>
        <v>1</v>
      </c>
      <c r="V544" s="5">
        <v>0</v>
      </c>
      <c r="W544" s="5">
        <v>10</v>
      </c>
    </row>
    <row r="545" spans="1:23">
      <c r="A545" s="5">
        <f t="shared" si="54"/>
        <v>542</v>
      </c>
      <c r="B545" s="93">
        <f t="shared" si="57"/>
        <v>2025</v>
      </c>
      <c r="C545" s="20" t="str">
        <f>INDEX(Unitinfo!C:C,MATCH(UnitGradeInfo!B545,Unitinfo!A:A,0))</f>
        <v>(원거리)Soul_Skeleton_Witch</v>
      </c>
      <c r="D545" s="5">
        <f>COUNTIF($B$4:B545,B545)</f>
        <v>17</v>
      </c>
      <c r="E545" s="5">
        <f>ROUNDDOWN(INDEX(ref_Unit_Balance!$G$31:$G$106,MATCH(UnitGradeInfo!B545,ref_Unit_Balance!$B$31:$B$1048576,0))
+INDEX(ref_Unit_Balance!$G$20:$G$23,MATCH(IFERROR(INDEX(ref_Unit_Balance!$D$31:$D$1048576,MATCH(B545,ref_Unit_Balance!$B$31:$B$1048576,0)),0),ref_Unit_Balance!$B$20:$B$23,0))*D545*ref_Unit_Balance!$C$25,0)</f>
        <v>1476</v>
      </c>
      <c r="F545" s="5">
        <f>INDEX(ref_Unit_Balance!$V$31:$V$106,MATCH(UnitGradeInfo!B545,ref_Unit_Balance!$B$31:$B$1048576,0))
+
INDEX(ref_Unit_Balance!$AB$31:$AB$106,MATCH(UnitGradeInfo!B545,ref_Unit_Balance!$B$31:$B$1048576,0))*(D545-1)</f>
        <v>5200</v>
      </c>
      <c r="G545" s="5">
        <f>INDEX(ref_Unit_Balance!$R$31:$R$106,MATCH(UnitGradeInfo!B545,ref_Unit_Balance!$B$31:$B$1048576,0))
+
INDEX(ref_Unit_Balance!$AA$31:$AA$106,MATCH(UnitGradeInfo!B545,ref_Unit_Balance!$B$31:$B$1048576,0))*(D545-1)</f>
        <v>130</v>
      </c>
      <c r="H545" s="39">
        <f>IF(INDEX(Unitinfo!D:D,MATCH(UnitGradeInfo!B545,Unitinfo!A:A,0))=1,50,5)</f>
        <v>50</v>
      </c>
      <c r="I545" s="5">
        <f>IF(INDEX(ref_Unit_Balance!$T$31:$T$106,MATCH(UnitGradeInfo!B545,ref_Unit_Balance!$B$31:$B$1048576,0))=0,1,INDEX(ref_Unit_Balance!$T$31:$T$106,MATCH(UnitGradeInfo!B545,ref_Unit_Balance!$B$31:$B$1048576,0)))</f>
        <v>5</v>
      </c>
      <c r="J545" s="5">
        <f>INDEX(ref_Unit_Balance!$S$31:$S$106,MATCH(UnitGradeInfo!B545,ref_Unit_Balance!$B$31:$B$1048576,0))</f>
        <v>300</v>
      </c>
      <c r="K545" s="5">
        <v>0</v>
      </c>
      <c r="L545" s="5">
        <f>INDEX(ref_Unit_Balance!$I$31:$I$106,MATCH(UnitGradeInfo!B545,ref_Unit_Balance!$B$31:$B$1048576,0))</f>
        <v>3</v>
      </c>
      <c r="M545" s="5">
        <f t="shared" si="58"/>
        <v>34</v>
      </c>
      <c r="N545" s="5">
        <f t="shared" si="59"/>
        <v>340</v>
      </c>
      <c r="O545" s="5">
        <f>(INDEX(Unitinfo!I:I,MATCH(B545,Unitinfo!A:A,0))+1)*2</f>
        <v>6</v>
      </c>
      <c r="P545" s="5">
        <v>0</v>
      </c>
      <c r="Q545" s="5">
        <v>0</v>
      </c>
      <c r="R545" s="19" t="s">
        <v>421</v>
      </c>
      <c r="S545" s="19" t="s">
        <v>421</v>
      </c>
      <c r="T545" s="5">
        <f t="shared" si="55"/>
        <v>2025</v>
      </c>
      <c r="U545" s="5">
        <f t="shared" si="56"/>
        <v>1</v>
      </c>
      <c r="V545" s="5">
        <v>0</v>
      </c>
      <c r="W545" s="5">
        <v>10</v>
      </c>
    </row>
    <row r="546" spans="1:23">
      <c r="A546" s="5">
        <f t="shared" si="54"/>
        <v>543</v>
      </c>
      <c r="B546" s="93">
        <f t="shared" si="57"/>
        <v>2025</v>
      </c>
      <c r="C546" s="20" t="str">
        <f>INDEX(Unitinfo!C:C,MATCH(UnitGradeInfo!B546,Unitinfo!A:A,0))</f>
        <v>(원거리)Soul_Skeleton_Witch</v>
      </c>
      <c r="D546" s="5">
        <f>COUNTIF($B$4:B546,B546)</f>
        <v>18</v>
      </c>
      <c r="E546" s="5">
        <f>ROUNDDOWN(INDEX(ref_Unit_Balance!$G$31:$G$106,MATCH(UnitGradeInfo!B546,ref_Unit_Balance!$B$31:$B$1048576,0))
+INDEX(ref_Unit_Balance!$G$20:$G$23,MATCH(IFERROR(INDEX(ref_Unit_Balance!$D$31:$D$1048576,MATCH(B546,ref_Unit_Balance!$B$31:$B$1048576,0)),0),ref_Unit_Balance!$B$20:$B$23,0))*D546*ref_Unit_Balance!$C$25,0)</f>
        <v>1551</v>
      </c>
      <c r="F546" s="5">
        <f>INDEX(ref_Unit_Balance!$V$31:$V$106,MATCH(UnitGradeInfo!B546,ref_Unit_Balance!$B$31:$B$1048576,0))
+
INDEX(ref_Unit_Balance!$AB$31:$AB$106,MATCH(UnitGradeInfo!B546,ref_Unit_Balance!$B$31:$B$1048576,0))*(D546-1)</f>
        <v>5400</v>
      </c>
      <c r="G546" s="5">
        <f>INDEX(ref_Unit_Balance!$R$31:$R$106,MATCH(UnitGradeInfo!B546,ref_Unit_Balance!$B$31:$B$1048576,0))
+
INDEX(ref_Unit_Balance!$AA$31:$AA$106,MATCH(UnitGradeInfo!B546,ref_Unit_Balance!$B$31:$B$1048576,0))*(D546-1)</f>
        <v>134</v>
      </c>
      <c r="H546" s="39">
        <f>IF(INDEX(Unitinfo!D:D,MATCH(UnitGradeInfo!B546,Unitinfo!A:A,0))=1,50,5)</f>
        <v>50</v>
      </c>
      <c r="I546" s="5">
        <f>IF(INDEX(ref_Unit_Balance!$T$31:$T$106,MATCH(UnitGradeInfo!B546,ref_Unit_Balance!$B$31:$B$1048576,0))=0,1,INDEX(ref_Unit_Balance!$T$31:$T$106,MATCH(UnitGradeInfo!B546,ref_Unit_Balance!$B$31:$B$1048576,0)))</f>
        <v>5</v>
      </c>
      <c r="J546" s="5">
        <f>INDEX(ref_Unit_Balance!$S$31:$S$106,MATCH(UnitGradeInfo!B546,ref_Unit_Balance!$B$31:$B$1048576,0))</f>
        <v>300</v>
      </c>
      <c r="K546" s="5">
        <v>0</v>
      </c>
      <c r="L546" s="5">
        <f>INDEX(ref_Unit_Balance!$I$31:$I$106,MATCH(UnitGradeInfo!B546,ref_Unit_Balance!$B$31:$B$1048576,0))</f>
        <v>3</v>
      </c>
      <c r="M546" s="5">
        <f t="shared" si="58"/>
        <v>36</v>
      </c>
      <c r="N546" s="5">
        <f t="shared" si="59"/>
        <v>360</v>
      </c>
      <c r="O546" s="5">
        <f>(INDEX(Unitinfo!I:I,MATCH(B546,Unitinfo!A:A,0))+1)*2</f>
        <v>6</v>
      </c>
      <c r="P546" s="5">
        <v>0</v>
      </c>
      <c r="Q546" s="5">
        <v>0</v>
      </c>
      <c r="R546" s="19" t="s">
        <v>421</v>
      </c>
      <c r="S546" s="19" t="s">
        <v>421</v>
      </c>
      <c r="T546" s="5">
        <f t="shared" si="55"/>
        <v>2025</v>
      </c>
      <c r="U546" s="5">
        <f t="shared" si="56"/>
        <v>1</v>
      </c>
      <c r="V546" s="5">
        <v>0</v>
      </c>
      <c r="W546" s="5">
        <v>10</v>
      </c>
    </row>
    <row r="547" spans="1:23">
      <c r="A547" s="5">
        <f t="shared" si="54"/>
        <v>544</v>
      </c>
      <c r="B547" s="93">
        <f t="shared" si="57"/>
        <v>2025</v>
      </c>
      <c r="C547" s="20" t="str">
        <f>INDEX(Unitinfo!C:C,MATCH(UnitGradeInfo!B547,Unitinfo!A:A,0))</f>
        <v>(원거리)Soul_Skeleton_Witch</v>
      </c>
      <c r="D547" s="5">
        <f>COUNTIF($B$4:B547,B547)</f>
        <v>19</v>
      </c>
      <c r="E547" s="5">
        <f>ROUNDDOWN(INDEX(ref_Unit_Balance!$G$31:$G$106,MATCH(UnitGradeInfo!B547,ref_Unit_Balance!$B$31:$B$1048576,0))
+INDEX(ref_Unit_Balance!$G$20:$G$23,MATCH(IFERROR(INDEX(ref_Unit_Balance!$D$31:$D$1048576,MATCH(B547,ref_Unit_Balance!$B$31:$B$1048576,0)),0),ref_Unit_Balance!$B$20:$B$23,0))*D547*ref_Unit_Balance!$C$25,0)</f>
        <v>1626</v>
      </c>
      <c r="F547" s="5">
        <f>INDEX(ref_Unit_Balance!$V$31:$V$106,MATCH(UnitGradeInfo!B547,ref_Unit_Balance!$B$31:$B$1048576,0))
+
INDEX(ref_Unit_Balance!$AB$31:$AB$106,MATCH(UnitGradeInfo!B547,ref_Unit_Balance!$B$31:$B$1048576,0))*(D547-1)</f>
        <v>5600</v>
      </c>
      <c r="G547" s="5">
        <f>INDEX(ref_Unit_Balance!$R$31:$R$106,MATCH(UnitGradeInfo!B547,ref_Unit_Balance!$B$31:$B$1048576,0))
+
INDEX(ref_Unit_Balance!$AA$31:$AA$106,MATCH(UnitGradeInfo!B547,ref_Unit_Balance!$B$31:$B$1048576,0))*(D547-1)</f>
        <v>138</v>
      </c>
      <c r="H547" s="39">
        <f>IF(INDEX(Unitinfo!D:D,MATCH(UnitGradeInfo!B547,Unitinfo!A:A,0))=1,50,5)</f>
        <v>50</v>
      </c>
      <c r="I547" s="5">
        <f>IF(INDEX(ref_Unit_Balance!$T$31:$T$106,MATCH(UnitGradeInfo!B547,ref_Unit_Balance!$B$31:$B$1048576,0))=0,1,INDEX(ref_Unit_Balance!$T$31:$T$106,MATCH(UnitGradeInfo!B547,ref_Unit_Balance!$B$31:$B$1048576,0)))</f>
        <v>5</v>
      </c>
      <c r="J547" s="5">
        <f>INDEX(ref_Unit_Balance!$S$31:$S$106,MATCH(UnitGradeInfo!B547,ref_Unit_Balance!$B$31:$B$1048576,0))</f>
        <v>300</v>
      </c>
      <c r="K547" s="5">
        <v>0</v>
      </c>
      <c r="L547" s="5">
        <f>INDEX(ref_Unit_Balance!$I$31:$I$106,MATCH(UnitGradeInfo!B547,ref_Unit_Balance!$B$31:$B$1048576,0))</f>
        <v>3</v>
      </c>
      <c r="M547" s="5">
        <f t="shared" si="58"/>
        <v>38</v>
      </c>
      <c r="N547" s="5">
        <f t="shared" si="59"/>
        <v>380</v>
      </c>
      <c r="O547" s="5">
        <f>(INDEX(Unitinfo!I:I,MATCH(B547,Unitinfo!A:A,0))+1)*2</f>
        <v>6</v>
      </c>
      <c r="P547" s="5">
        <v>0</v>
      </c>
      <c r="Q547" s="5">
        <v>0</v>
      </c>
      <c r="R547" s="19" t="s">
        <v>421</v>
      </c>
      <c r="S547" s="19" t="s">
        <v>421</v>
      </c>
      <c r="T547" s="5">
        <f t="shared" si="55"/>
        <v>2025</v>
      </c>
      <c r="U547" s="5">
        <f t="shared" si="56"/>
        <v>1</v>
      </c>
      <c r="V547" s="5">
        <v>0</v>
      </c>
      <c r="W547" s="5">
        <v>10</v>
      </c>
    </row>
    <row r="548" spans="1:23">
      <c r="A548" s="5">
        <f t="shared" si="54"/>
        <v>545</v>
      </c>
      <c r="B548" s="93">
        <f t="shared" si="57"/>
        <v>2025</v>
      </c>
      <c r="C548" s="20" t="str">
        <f>INDEX(Unitinfo!C:C,MATCH(UnitGradeInfo!B548,Unitinfo!A:A,0))</f>
        <v>(원거리)Soul_Skeleton_Witch</v>
      </c>
      <c r="D548" s="5">
        <f>COUNTIF($B$4:B548,B548)</f>
        <v>20</v>
      </c>
      <c r="E548" s="5">
        <f>ROUNDDOWN(INDEX(ref_Unit_Balance!$G$31:$G$106,MATCH(UnitGradeInfo!B548,ref_Unit_Balance!$B$31:$B$1048576,0))
+INDEX(ref_Unit_Balance!$G$20:$G$23,MATCH(IFERROR(INDEX(ref_Unit_Balance!$D$31:$D$1048576,MATCH(B548,ref_Unit_Balance!$B$31:$B$1048576,0)),0),ref_Unit_Balance!$B$20:$B$23,0))*D548*ref_Unit_Balance!$C$25,0)</f>
        <v>1701</v>
      </c>
      <c r="F548" s="5">
        <f>INDEX(ref_Unit_Balance!$V$31:$V$106,MATCH(UnitGradeInfo!B548,ref_Unit_Balance!$B$31:$B$1048576,0))
+
INDEX(ref_Unit_Balance!$AB$31:$AB$106,MATCH(UnitGradeInfo!B548,ref_Unit_Balance!$B$31:$B$1048576,0))*(D548-1)</f>
        <v>5800</v>
      </c>
      <c r="G548" s="5">
        <f>INDEX(ref_Unit_Balance!$R$31:$R$106,MATCH(UnitGradeInfo!B548,ref_Unit_Balance!$B$31:$B$1048576,0))
+
INDEX(ref_Unit_Balance!$AA$31:$AA$106,MATCH(UnitGradeInfo!B548,ref_Unit_Balance!$B$31:$B$1048576,0))*(D548-1)</f>
        <v>142</v>
      </c>
      <c r="H548" s="39">
        <f>IF(INDEX(Unitinfo!D:D,MATCH(UnitGradeInfo!B548,Unitinfo!A:A,0))=1,50,5)</f>
        <v>50</v>
      </c>
      <c r="I548" s="5">
        <f>IF(INDEX(ref_Unit_Balance!$T$31:$T$106,MATCH(UnitGradeInfo!B548,ref_Unit_Balance!$B$31:$B$1048576,0))=0,1,INDEX(ref_Unit_Balance!$T$31:$T$106,MATCH(UnitGradeInfo!B548,ref_Unit_Balance!$B$31:$B$1048576,0)))</f>
        <v>5</v>
      </c>
      <c r="J548" s="5">
        <f>INDEX(ref_Unit_Balance!$S$31:$S$106,MATCH(UnitGradeInfo!B548,ref_Unit_Balance!$B$31:$B$1048576,0))</f>
        <v>300</v>
      </c>
      <c r="K548" s="5">
        <v>0</v>
      </c>
      <c r="L548" s="5">
        <f>INDEX(ref_Unit_Balance!$I$31:$I$106,MATCH(UnitGradeInfo!B548,ref_Unit_Balance!$B$31:$B$1048576,0))</f>
        <v>3</v>
      </c>
      <c r="M548" s="5">
        <f t="shared" si="58"/>
        <v>40</v>
      </c>
      <c r="N548" s="5">
        <f t="shared" si="59"/>
        <v>400</v>
      </c>
      <c r="O548" s="5">
        <f>(INDEX(Unitinfo!I:I,MATCH(B548,Unitinfo!A:A,0))+1)*2</f>
        <v>6</v>
      </c>
      <c r="P548" s="5">
        <v>0</v>
      </c>
      <c r="Q548" s="5">
        <v>0</v>
      </c>
      <c r="R548" s="19" t="s">
        <v>421</v>
      </c>
      <c r="S548" s="19" t="s">
        <v>421</v>
      </c>
      <c r="T548" s="5">
        <f t="shared" si="55"/>
        <v>2025</v>
      </c>
      <c r="U548" s="5">
        <f t="shared" si="56"/>
        <v>1</v>
      </c>
      <c r="V548" s="5">
        <v>0</v>
      </c>
      <c r="W548" s="5">
        <v>10</v>
      </c>
    </row>
    <row r="549" spans="1:23">
      <c r="A549" s="5">
        <f t="shared" si="54"/>
        <v>546</v>
      </c>
      <c r="B549" s="93">
        <f t="shared" si="57"/>
        <v>2026</v>
      </c>
      <c r="C549" s="20" t="str">
        <f>INDEX(Unitinfo!C:C,MATCH(UnitGradeInfo!B549,Unitinfo!A:A,0))</f>
        <v>(원거리)Golem_Stone</v>
      </c>
      <c r="D549" s="5">
        <f>COUNTIF($B$4:B549,B549)</f>
        <v>1</v>
      </c>
      <c r="E549" s="5">
        <f>ROUNDDOWN(INDEX(ref_Unit_Balance!$G$31:$G$106,MATCH(UnitGradeInfo!B549,ref_Unit_Balance!$B$31:$B$1048576,0))
+INDEX(ref_Unit_Balance!$G$20:$G$23,MATCH(IFERROR(INDEX(ref_Unit_Balance!$D$31:$D$1048576,MATCH(B549,ref_Unit_Balance!$B$31:$B$1048576,0)),0),ref_Unit_Balance!$B$20:$B$23,0))*D549*ref_Unit_Balance!$C$25,0)</f>
        <v>239</v>
      </c>
      <c r="F549" s="5">
        <f>INDEX(ref_Unit_Balance!$V$31:$V$106,MATCH(UnitGradeInfo!B549,ref_Unit_Balance!$B$31:$B$1048576,0))
+
INDEX(ref_Unit_Balance!$AB$31:$AB$106,MATCH(UnitGradeInfo!B549,ref_Unit_Balance!$B$31:$B$1048576,0))*(D549-1)</f>
        <v>2450</v>
      </c>
      <c r="G549" s="5">
        <f>INDEX(ref_Unit_Balance!$R$31:$R$106,MATCH(UnitGradeInfo!B549,ref_Unit_Balance!$B$31:$B$1048576,0))
+
INDEX(ref_Unit_Balance!$AA$31:$AA$106,MATCH(UnitGradeInfo!B549,ref_Unit_Balance!$B$31:$B$1048576,0))*(D549-1)</f>
        <v>80</v>
      </c>
      <c r="H549" s="39">
        <f>IF(INDEX(Unitinfo!D:D,MATCH(UnitGradeInfo!B549,Unitinfo!A:A,0))=1,50,5)</f>
        <v>50</v>
      </c>
      <c r="I549" s="5">
        <f>IF(INDEX(ref_Unit_Balance!$T$31:$T$106,MATCH(UnitGradeInfo!B549,ref_Unit_Balance!$B$31:$B$1048576,0))=0,1,INDEX(ref_Unit_Balance!$T$31:$T$106,MATCH(UnitGradeInfo!B549,ref_Unit_Balance!$B$31:$B$1048576,0)))</f>
        <v>5</v>
      </c>
      <c r="J549" s="5">
        <f>INDEX(ref_Unit_Balance!$S$31:$S$106,MATCH(UnitGradeInfo!B549,ref_Unit_Balance!$B$31:$B$1048576,0))</f>
        <v>800</v>
      </c>
      <c r="K549" s="5">
        <v>0</v>
      </c>
      <c r="L549" s="5">
        <f>INDEX(ref_Unit_Balance!$I$31:$I$106,MATCH(UnitGradeInfo!B549,ref_Unit_Balance!$B$31:$B$1048576,0))</f>
        <v>3</v>
      </c>
      <c r="M549" s="5">
        <f t="shared" si="58"/>
        <v>2</v>
      </c>
      <c r="N549" s="5">
        <f t="shared" si="59"/>
        <v>20</v>
      </c>
      <c r="O549" s="5">
        <f>(INDEX(Unitinfo!I:I,MATCH(B549,Unitinfo!A:A,0))+1)*2</f>
        <v>4</v>
      </c>
      <c r="P549" s="5">
        <v>0</v>
      </c>
      <c r="Q549" s="5">
        <v>0</v>
      </c>
      <c r="R549" s="19" t="s">
        <v>421</v>
      </c>
      <c r="S549" s="19" t="s">
        <v>421</v>
      </c>
      <c r="T549" s="5">
        <f t="shared" si="55"/>
        <v>2026</v>
      </c>
      <c r="U549" s="5">
        <f t="shared" si="56"/>
        <v>1</v>
      </c>
      <c r="V549" s="5">
        <v>0</v>
      </c>
      <c r="W549" s="5">
        <v>10</v>
      </c>
    </row>
    <row r="550" spans="1:23">
      <c r="A550" s="5">
        <f t="shared" si="54"/>
        <v>547</v>
      </c>
      <c r="B550" s="93">
        <f t="shared" si="57"/>
        <v>2026</v>
      </c>
      <c r="C550" s="20" t="str">
        <f>INDEX(Unitinfo!C:C,MATCH(UnitGradeInfo!B550,Unitinfo!A:A,0))</f>
        <v>(원거리)Golem_Stone</v>
      </c>
      <c r="D550" s="5">
        <f>COUNTIF($B$4:B550,B550)</f>
        <v>2</v>
      </c>
      <c r="E550" s="5">
        <f>ROUNDDOWN(INDEX(ref_Unit_Balance!$G$31:$G$106,MATCH(UnitGradeInfo!B550,ref_Unit_Balance!$B$31:$B$1048576,0))
+INDEX(ref_Unit_Balance!$G$20:$G$23,MATCH(IFERROR(INDEX(ref_Unit_Balance!$D$31:$D$1048576,MATCH(B550,ref_Unit_Balance!$B$31:$B$1048576,0)),0),ref_Unit_Balance!$B$20:$B$23,0))*D550*ref_Unit_Balance!$C$25,0)</f>
        <v>302</v>
      </c>
      <c r="F550" s="5">
        <f>INDEX(ref_Unit_Balance!$V$31:$V$106,MATCH(UnitGradeInfo!B550,ref_Unit_Balance!$B$31:$B$1048576,0))
+
INDEX(ref_Unit_Balance!$AB$31:$AB$106,MATCH(UnitGradeInfo!B550,ref_Unit_Balance!$B$31:$B$1048576,0))*(D550-1)</f>
        <v>2650</v>
      </c>
      <c r="G550" s="5">
        <f>INDEX(ref_Unit_Balance!$R$31:$R$106,MATCH(UnitGradeInfo!B550,ref_Unit_Balance!$B$31:$B$1048576,0))
+
INDEX(ref_Unit_Balance!$AA$31:$AA$106,MATCH(UnitGradeInfo!B550,ref_Unit_Balance!$B$31:$B$1048576,0))*(D550-1)</f>
        <v>90</v>
      </c>
      <c r="H550" s="39">
        <f>IF(INDEX(Unitinfo!D:D,MATCH(UnitGradeInfo!B550,Unitinfo!A:A,0))=1,50,5)</f>
        <v>50</v>
      </c>
      <c r="I550" s="5">
        <f>IF(INDEX(ref_Unit_Balance!$T$31:$T$106,MATCH(UnitGradeInfo!B550,ref_Unit_Balance!$B$31:$B$1048576,0))=0,1,INDEX(ref_Unit_Balance!$T$31:$T$106,MATCH(UnitGradeInfo!B550,ref_Unit_Balance!$B$31:$B$1048576,0)))</f>
        <v>5</v>
      </c>
      <c r="J550" s="5">
        <f>INDEX(ref_Unit_Balance!$S$31:$S$106,MATCH(UnitGradeInfo!B550,ref_Unit_Balance!$B$31:$B$1048576,0))</f>
        <v>800</v>
      </c>
      <c r="K550" s="5">
        <v>0</v>
      </c>
      <c r="L550" s="5">
        <f>INDEX(ref_Unit_Balance!$I$31:$I$106,MATCH(UnitGradeInfo!B550,ref_Unit_Balance!$B$31:$B$1048576,0))</f>
        <v>3</v>
      </c>
      <c r="M550" s="5">
        <f t="shared" si="58"/>
        <v>4</v>
      </c>
      <c r="N550" s="5">
        <f t="shared" si="59"/>
        <v>40</v>
      </c>
      <c r="O550" s="5">
        <f>(INDEX(Unitinfo!I:I,MATCH(B550,Unitinfo!A:A,0))+1)*2</f>
        <v>4</v>
      </c>
      <c r="P550" s="5">
        <v>0</v>
      </c>
      <c r="Q550" s="5">
        <v>0</v>
      </c>
      <c r="R550" s="19" t="s">
        <v>421</v>
      </c>
      <c r="S550" s="19" t="s">
        <v>421</v>
      </c>
      <c r="T550" s="5">
        <f t="shared" si="55"/>
        <v>2026</v>
      </c>
      <c r="U550" s="5">
        <f t="shared" si="56"/>
        <v>1</v>
      </c>
      <c r="V550" s="5">
        <v>0</v>
      </c>
      <c r="W550" s="5">
        <v>10</v>
      </c>
    </row>
    <row r="551" spans="1:23">
      <c r="A551" s="5">
        <f t="shared" si="54"/>
        <v>548</v>
      </c>
      <c r="B551" s="93">
        <f t="shared" si="57"/>
        <v>2026</v>
      </c>
      <c r="C551" s="20" t="str">
        <f>INDEX(Unitinfo!C:C,MATCH(UnitGradeInfo!B551,Unitinfo!A:A,0))</f>
        <v>(원거리)Golem_Stone</v>
      </c>
      <c r="D551" s="5">
        <f>COUNTIF($B$4:B551,B551)</f>
        <v>3</v>
      </c>
      <c r="E551" s="5">
        <f>ROUNDDOWN(INDEX(ref_Unit_Balance!$G$31:$G$106,MATCH(UnitGradeInfo!B551,ref_Unit_Balance!$B$31:$B$1048576,0))
+INDEX(ref_Unit_Balance!$G$20:$G$23,MATCH(IFERROR(INDEX(ref_Unit_Balance!$D$31:$D$1048576,MATCH(B551,ref_Unit_Balance!$B$31:$B$1048576,0)),0),ref_Unit_Balance!$B$20:$B$23,0))*D551*ref_Unit_Balance!$C$25,0)</f>
        <v>364</v>
      </c>
      <c r="F551" s="5">
        <f>INDEX(ref_Unit_Balance!$V$31:$V$106,MATCH(UnitGradeInfo!B551,ref_Unit_Balance!$B$31:$B$1048576,0))
+
INDEX(ref_Unit_Balance!$AB$31:$AB$106,MATCH(UnitGradeInfo!B551,ref_Unit_Balance!$B$31:$B$1048576,0))*(D551-1)</f>
        <v>2850</v>
      </c>
      <c r="G551" s="5">
        <f>INDEX(ref_Unit_Balance!$R$31:$R$106,MATCH(UnitGradeInfo!B551,ref_Unit_Balance!$B$31:$B$1048576,0))
+
INDEX(ref_Unit_Balance!$AA$31:$AA$106,MATCH(UnitGradeInfo!B551,ref_Unit_Balance!$B$31:$B$1048576,0))*(D551-1)</f>
        <v>100</v>
      </c>
      <c r="H551" s="39">
        <f>IF(INDEX(Unitinfo!D:D,MATCH(UnitGradeInfo!B551,Unitinfo!A:A,0))=1,50,5)</f>
        <v>50</v>
      </c>
      <c r="I551" s="5">
        <f>IF(INDEX(ref_Unit_Balance!$T$31:$T$106,MATCH(UnitGradeInfo!B551,ref_Unit_Balance!$B$31:$B$1048576,0))=0,1,INDEX(ref_Unit_Balance!$T$31:$T$106,MATCH(UnitGradeInfo!B551,ref_Unit_Balance!$B$31:$B$1048576,0)))</f>
        <v>5</v>
      </c>
      <c r="J551" s="5">
        <f>INDEX(ref_Unit_Balance!$S$31:$S$106,MATCH(UnitGradeInfo!B551,ref_Unit_Balance!$B$31:$B$1048576,0))</f>
        <v>800</v>
      </c>
      <c r="K551" s="5">
        <v>0</v>
      </c>
      <c r="L551" s="5">
        <f>INDEX(ref_Unit_Balance!$I$31:$I$106,MATCH(UnitGradeInfo!B551,ref_Unit_Balance!$B$31:$B$1048576,0))</f>
        <v>3</v>
      </c>
      <c r="M551" s="5">
        <f t="shared" si="58"/>
        <v>6</v>
      </c>
      <c r="N551" s="5">
        <f t="shared" si="59"/>
        <v>60</v>
      </c>
      <c r="O551" s="5">
        <f>(INDEX(Unitinfo!I:I,MATCH(B551,Unitinfo!A:A,0))+1)*2</f>
        <v>4</v>
      </c>
      <c r="P551" s="5">
        <v>0</v>
      </c>
      <c r="Q551" s="5">
        <v>0</v>
      </c>
      <c r="R551" s="19" t="s">
        <v>421</v>
      </c>
      <c r="S551" s="19" t="s">
        <v>421</v>
      </c>
      <c r="T551" s="5">
        <f t="shared" si="55"/>
        <v>2026</v>
      </c>
      <c r="U551" s="5">
        <f t="shared" si="56"/>
        <v>1</v>
      </c>
      <c r="V551" s="5">
        <v>0</v>
      </c>
      <c r="W551" s="5">
        <v>10</v>
      </c>
    </row>
    <row r="552" spans="1:23">
      <c r="A552" s="5">
        <f t="shared" ref="A552:A615" si="60">A551+1</f>
        <v>549</v>
      </c>
      <c r="B552" s="93">
        <f t="shared" si="57"/>
        <v>2026</v>
      </c>
      <c r="C552" s="20" t="str">
        <f>INDEX(Unitinfo!C:C,MATCH(UnitGradeInfo!B552,Unitinfo!A:A,0))</f>
        <v>(원거리)Golem_Stone</v>
      </c>
      <c r="D552" s="5">
        <f>COUNTIF($B$4:B552,B552)</f>
        <v>4</v>
      </c>
      <c r="E552" s="5">
        <f>ROUNDDOWN(INDEX(ref_Unit_Balance!$G$31:$G$106,MATCH(UnitGradeInfo!B552,ref_Unit_Balance!$B$31:$B$1048576,0))
+INDEX(ref_Unit_Balance!$G$20:$G$23,MATCH(IFERROR(INDEX(ref_Unit_Balance!$D$31:$D$1048576,MATCH(B552,ref_Unit_Balance!$B$31:$B$1048576,0)),0),ref_Unit_Balance!$B$20:$B$23,0))*D552*ref_Unit_Balance!$C$25,0)</f>
        <v>427</v>
      </c>
      <c r="F552" s="5">
        <f>INDEX(ref_Unit_Balance!$V$31:$V$106,MATCH(UnitGradeInfo!B552,ref_Unit_Balance!$B$31:$B$1048576,0))
+
INDEX(ref_Unit_Balance!$AB$31:$AB$106,MATCH(UnitGradeInfo!B552,ref_Unit_Balance!$B$31:$B$1048576,0))*(D552-1)</f>
        <v>3050</v>
      </c>
      <c r="G552" s="5">
        <f>INDEX(ref_Unit_Balance!$R$31:$R$106,MATCH(UnitGradeInfo!B552,ref_Unit_Balance!$B$31:$B$1048576,0))
+
INDEX(ref_Unit_Balance!$AA$31:$AA$106,MATCH(UnitGradeInfo!B552,ref_Unit_Balance!$B$31:$B$1048576,0))*(D552-1)</f>
        <v>110</v>
      </c>
      <c r="H552" s="39">
        <f>IF(INDEX(Unitinfo!D:D,MATCH(UnitGradeInfo!B552,Unitinfo!A:A,0))=1,50,5)</f>
        <v>50</v>
      </c>
      <c r="I552" s="5">
        <f>IF(INDEX(ref_Unit_Balance!$T$31:$T$106,MATCH(UnitGradeInfo!B552,ref_Unit_Balance!$B$31:$B$1048576,0))=0,1,INDEX(ref_Unit_Balance!$T$31:$T$106,MATCH(UnitGradeInfo!B552,ref_Unit_Balance!$B$31:$B$1048576,0)))</f>
        <v>5</v>
      </c>
      <c r="J552" s="5">
        <f>INDEX(ref_Unit_Balance!$S$31:$S$106,MATCH(UnitGradeInfo!B552,ref_Unit_Balance!$B$31:$B$1048576,0))</f>
        <v>800</v>
      </c>
      <c r="K552" s="5">
        <v>0</v>
      </c>
      <c r="L552" s="5">
        <f>INDEX(ref_Unit_Balance!$I$31:$I$106,MATCH(UnitGradeInfo!B552,ref_Unit_Balance!$B$31:$B$1048576,0))</f>
        <v>3</v>
      </c>
      <c r="M552" s="5">
        <f t="shared" si="58"/>
        <v>8</v>
      </c>
      <c r="N552" s="5">
        <f t="shared" si="59"/>
        <v>80</v>
      </c>
      <c r="O552" s="5">
        <f>(INDEX(Unitinfo!I:I,MATCH(B552,Unitinfo!A:A,0))+1)*2</f>
        <v>4</v>
      </c>
      <c r="P552" s="5">
        <v>0</v>
      </c>
      <c r="Q552" s="5">
        <v>0</v>
      </c>
      <c r="R552" s="19" t="s">
        <v>421</v>
      </c>
      <c r="S552" s="19" t="s">
        <v>421</v>
      </c>
      <c r="T552" s="5">
        <f t="shared" si="55"/>
        <v>2026</v>
      </c>
      <c r="U552" s="5">
        <f t="shared" si="56"/>
        <v>1</v>
      </c>
      <c r="V552" s="5">
        <v>0</v>
      </c>
      <c r="W552" s="5">
        <v>10</v>
      </c>
    </row>
    <row r="553" spans="1:23">
      <c r="A553" s="5">
        <f t="shared" si="60"/>
        <v>550</v>
      </c>
      <c r="B553" s="93">
        <f t="shared" si="57"/>
        <v>2026</v>
      </c>
      <c r="C553" s="20" t="str">
        <f>INDEX(Unitinfo!C:C,MATCH(UnitGradeInfo!B553,Unitinfo!A:A,0))</f>
        <v>(원거리)Golem_Stone</v>
      </c>
      <c r="D553" s="5">
        <f>COUNTIF($B$4:B553,B553)</f>
        <v>5</v>
      </c>
      <c r="E553" s="5">
        <f>ROUNDDOWN(INDEX(ref_Unit_Balance!$G$31:$G$106,MATCH(UnitGradeInfo!B553,ref_Unit_Balance!$B$31:$B$1048576,0))
+INDEX(ref_Unit_Balance!$G$20:$G$23,MATCH(IFERROR(INDEX(ref_Unit_Balance!$D$31:$D$1048576,MATCH(B553,ref_Unit_Balance!$B$31:$B$1048576,0)),0),ref_Unit_Balance!$B$20:$B$23,0))*D553*ref_Unit_Balance!$C$25,0)</f>
        <v>489</v>
      </c>
      <c r="F553" s="5">
        <f>INDEX(ref_Unit_Balance!$V$31:$V$106,MATCH(UnitGradeInfo!B553,ref_Unit_Balance!$B$31:$B$1048576,0))
+
INDEX(ref_Unit_Balance!$AB$31:$AB$106,MATCH(UnitGradeInfo!B553,ref_Unit_Balance!$B$31:$B$1048576,0))*(D553-1)</f>
        <v>3250</v>
      </c>
      <c r="G553" s="5">
        <f>INDEX(ref_Unit_Balance!$R$31:$R$106,MATCH(UnitGradeInfo!B553,ref_Unit_Balance!$B$31:$B$1048576,0))
+
INDEX(ref_Unit_Balance!$AA$31:$AA$106,MATCH(UnitGradeInfo!B553,ref_Unit_Balance!$B$31:$B$1048576,0))*(D553-1)</f>
        <v>120</v>
      </c>
      <c r="H553" s="39">
        <f>IF(INDEX(Unitinfo!D:D,MATCH(UnitGradeInfo!B553,Unitinfo!A:A,0))=1,50,5)</f>
        <v>50</v>
      </c>
      <c r="I553" s="5">
        <f>IF(INDEX(ref_Unit_Balance!$T$31:$T$106,MATCH(UnitGradeInfo!B553,ref_Unit_Balance!$B$31:$B$1048576,0))=0,1,INDEX(ref_Unit_Balance!$T$31:$T$106,MATCH(UnitGradeInfo!B553,ref_Unit_Balance!$B$31:$B$1048576,0)))</f>
        <v>5</v>
      </c>
      <c r="J553" s="5">
        <f>INDEX(ref_Unit_Balance!$S$31:$S$106,MATCH(UnitGradeInfo!B553,ref_Unit_Balance!$B$31:$B$1048576,0))</f>
        <v>800</v>
      </c>
      <c r="K553" s="5">
        <v>0</v>
      </c>
      <c r="L553" s="5">
        <f>INDEX(ref_Unit_Balance!$I$31:$I$106,MATCH(UnitGradeInfo!B553,ref_Unit_Balance!$B$31:$B$1048576,0))</f>
        <v>3</v>
      </c>
      <c r="M553" s="5">
        <f t="shared" si="58"/>
        <v>10</v>
      </c>
      <c r="N553" s="5">
        <f t="shared" si="59"/>
        <v>100</v>
      </c>
      <c r="O553" s="5">
        <f>(INDEX(Unitinfo!I:I,MATCH(B553,Unitinfo!A:A,0))+1)*2</f>
        <v>4</v>
      </c>
      <c r="P553" s="5">
        <v>0</v>
      </c>
      <c r="Q553" s="5">
        <v>0</v>
      </c>
      <c r="R553" s="19" t="s">
        <v>421</v>
      </c>
      <c r="S553" s="19" t="s">
        <v>421</v>
      </c>
      <c r="T553" s="5">
        <f t="shared" si="55"/>
        <v>2026</v>
      </c>
      <c r="U553" s="5">
        <f t="shared" si="56"/>
        <v>1</v>
      </c>
      <c r="V553" s="5">
        <v>0</v>
      </c>
      <c r="W553" s="5">
        <v>10</v>
      </c>
    </row>
    <row r="554" spans="1:23">
      <c r="A554" s="5">
        <f t="shared" si="60"/>
        <v>551</v>
      </c>
      <c r="B554" s="93">
        <f t="shared" si="57"/>
        <v>2026</v>
      </c>
      <c r="C554" s="20" t="str">
        <f>INDEX(Unitinfo!C:C,MATCH(UnitGradeInfo!B554,Unitinfo!A:A,0))</f>
        <v>(원거리)Golem_Stone</v>
      </c>
      <c r="D554" s="5">
        <f>COUNTIF($B$4:B554,B554)</f>
        <v>6</v>
      </c>
      <c r="E554" s="5">
        <f>ROUNDDOWN(INDEX(ref_Unit_Balance!$G$31:$G$106,MATCH(UnitGradeInfo!B554,ref_Unit_Balance!$B$31:$B$1048576,0))
+INDEX(ref_Unit_Balance!$G$20:$G$23,MATCH(IFERROR(INDEX(ref_Unit_Balance!$D$31:$D$1048576,MATCH(B554,ref_Unit_Balance!$B$31:$B$1048576,0)),0),ref_Unit_Balance!$B$20:$B$23,0))*D554*ref_Unit_Balance!$C$25,0)</f>
        <v>552</v>
      </c>
      <c r="F554" s="5">
        <f>INDEX(ref_Unit_Balance!$V$31:$V$106,MATCH(UnitGradeInfo!B554,ref_Unit_Balance!$B$31:$B$1048576,0))
+
INDEX(ref_Unit_Balance!$AB$31:$AB$106,MATCH(UnitGradeInfo!B554,ref_Unit_Balance!$B$31:$B$1048576,0))*(D554-1)</f>
        <v>3450</v>
      </c>
      <c r="G554" s="5">
        <f>INDEX(ref_Unit_Balance!$R$31:$R$106,MATCH(UnitGradeInfo!B554,ref_Unit_Balance!$B$31:$B$1048576,0))
+
INDEX(ref_Unit_Balance!$AA$31:$AA$106,MATCH(UnitGradeInfo!B554,ref_Unit_Balance!$B$31:$B$1048576,0))*(D554-1)</f>
        <v>130</v>
      </c>
      <c r="H554" s="39">
        <f>IF(INDEX(Unitinfo!D:D,MATCH(UnitGradeInfo!B554,Unitinfo!A:A,0))=1,50,5)</f>
        <v>50</v>
      </c>
      <c r="I554" s="5">
        <f>IF(INDEX(ref_Unit_Balance!$T$31:$T$106,MATCH(UnitGradeInfo!B554,ref_Unit_Balance!$B$31:$B$1048576,0))=0,1,INDEX(ref_Unit_Balance!$T$31:$T$106,MATCH(UnitGradeInfo!B554,ref_Unit_Balance!$B$31:$B$1048576,0)))</f>
        <v>5</v>
      </c>
      <c r="J554" s="5">
        <f>INDEX(ref_Unit_Balance!$S$31:$S$106,MATCH(UnitGradeInfo!B554,ref_Unit_Balance!$B$31:$B$1048576,0))</f>
        <v>800</v>
      </c>
      <c r="K554" s="5">
        <v>0</v>
      </c>
      <c r="L554" s="5">
        <f>INDEX(ref_Unit_Balance!$I$31:$I$106,MATCH(UnitGradeInfo!B554,ref_Unit_Balance!$B$31:$B$1048576,0))</f>
        <v>3</v>
      </c>
      <c r="M554" s="5">
        <f t="shared" si="58"/>
        <v>12</v>
      </c>
      <c r="N554" s="5">
        <f t="shared" si="59"/>
        <v>120</v>
      </c>
      <c r="O554" s="5">
        <f>(INDEX(Unitinfo!I:I,MATCH(B554,Unitinfo!A:A,0))+1)*2</f>
        <v>4</v>
      </c>
      <c r="P554" s="5">
        <v>0</v>
      </c>
      <c r="Q554" s="5">
        <v>0</v>
      </c>
      <c r="R554" s="19" t="s">
        <v>421</v>
      </c>
      <c r="S554" s="19" t="s">
        <v>421</v>
      </c>
      <c r="T554" s="5">
        <f t="shared" si="55"/>
        <v>2026</v>
      </c>
      <c r="U554" s="5">
        <f t="shared" si="56"/>
        <v>1</v>
      </c>
      <c r="V554" s="5">
        <v>0</v>
      </c>
      <c r="W554" s="5">
        <v>10</v>
      </c>
    </row>
    <row r="555" spans="1:23">
      <c r="A555" s="5">
        <f t="shared" si="60"/>
        <v>552</v>
      </c>
      <c r="B555" s="93">
        <f t="shared" si="57"/>
        <v>2026</v>
      </c>
      <c r="C555" s="20" t="str">
        <f>INDEX(Unitinfo!C:C,MATCH(UnitGradeInfo!B555,Unitinfo!A:A,0))</f>
        <v>(원거리)Golem_Stone</v>
      </c>
      <c r="D555" s="5">
        <f>COUNTIF($B$4:B555,B555)</f>
        <v>7</v>
      </c>
      <c r="E555" s="5">
        <f>ROUNDDOWN(INDEX(ref_Unit_Balance!$G$31:$G$106,MATCH(UnitGradeInfo!B555,ref_Unit_Balance!$B$31:$B$1048576,0))
+INDEX(ref_Unit_Balance!$G$20:$G$23,MATCH(IFERROR(INDEX(ref_Unit_Balance!$D$31:$D$1048576,MATCH(B555,ref_Unit_Balance!$B$31:$B$1048576,0)),0),ref_Unit_Balance!$B$20:$B$23,0))*D555*ref_Unit_Balance!$C$25,0)</f>
        <v>614</v>
      </c>
      <c r="F555" s="5">
        <f>INDEX(ref_Unit_Balance!$V$31:$V$106,MATCH(UnitGradeInfo!B555,ref_Unit_Balance!$B$31:$B$1048576,0))
+
INDEX(ref_Unit_Balance!$AB$31:$AB$106,MATCH(UnitGradeInfo!B555,ref_Unit_Balance!$B$31:$B$1048576,0))*(D555-1)</f>
        <v>3650</v>
      </c>
      <c r="G555" s="5">
        <f>INDEX(ref_Unit_Balance!$R$31:$R$106,MATCH(UnitGradeInfo!B555,ref_Unit_Balance!$B$31:$B$1048576,0))
+
INDEX(ref_Unit_Balance!$AA$31:$AA$106,MATCH(UnitGradeInfo!B555,ref_Unit_Balance!$B$31:$B$1048576,0))*(D555-1)</f>
        <v>140</v>
      </c>
      <c r="H555" s="39">
        <f>IF(INDEX(Unitinfo!D:D,MATCH(UnitGradeInfo!B555,Unitinfo!A:A,0))=1,50,5)</f>
        <v>50</v>
      </c>
      <c r="I555" s="5">
        <f>IF(INDEX(ref_Unit_Balance!$T$31:$T$106,MATCH(UnitGradeInfo!B555,ref_Unit_Balance!$B$31:$B$1048576,0))=0,1,INDEX(ref_Unit_Balance!$T$31:$T$106,MATCH(UnitGradeInfo!B555,ref_Unit_Balance!$B$31:$B$1048576,0)))</f>
        <v>5</v>
      </c>
      <c r="J555" s="5">
        <f>INDEX(ref_Unit_Balance!$S$31:$S$106,MATCH(UnitGradeInfo!B555,ref_Unit_Balance!$B$31:$B$1048576,0))</f>
        <v>800</v>
      </c>
      <c r="K555" s="5">
        <v>0</v>
      </c>
      <c r="L555" s="5">
        <f>INDEX(ref_Unit_Balance!$I$31:$I$106,MATCH(UnitGradeInfo!B555,ref_Unit_Balance!$B$31:$B$1048576,0))</f>
        <v>3</v>
      </c>
      <c r="M555" s="5">
        <f t="shared" si="58"/>
        <v>14</v>
      </c>
      <c r="N555" s="5">
        <f t="shared" si="59"/>
        <v>140</v>
      </c>
      <c r="O555" s="5">
        <f>(INDEX(Unitinfo!I:I,MATCH(B555,Unitinfo!A:A,0))+1)*2</f>
        <v>4</v>
      </c>
      <c r="P555" s="5">
        <v>0</v>
      </c>
      <c r="Q555" s="5">
        <v>0</v>
      </c>
      <c r="R555" s="19" t="s">
        <v>421</v>
      </c>
      <c r="S555" s="19" t="s">
        <v>421</v>
      </c>
      <c r="T555" s="5">
        <f t="shared" si="55"/>
        <v>2026</v>
      </c>
      <c r="U555" s="5">
        <f t="shared" si="56"/>
        <v>1</v>
      </c>
      <c r="V555" s="5">
        <v>0</v>
      </c>
      <c r="W555" s="5">
        <v>10</v>
      </c>
    </row>
    <row r="556" spans="1:23">
      <c r="A556" s="5">
        <f t="shared" si="60"/>
        <v>553</v>
      </c>
      <c r="B556" s="93">
        <f t="shared" si="57"/>
        <v>2026</v>
      </c>
      <c r="C556" s="20" t="str">
        <f>INDEX(Unitinfo!C:C,MATCH(UnitGradeInfo!B556,Unitinfo!A:A,0))</f>
        <v>(원거리)Golem_Stone</v>
      </c>
      <c r="D556" s="5">
        <f>COUNTIF($B$4:B556,B556)</f>
        <v>8</v>
      </c>
      <c r="E556" s="5">
        <f>ROUNDDOWN(INDEX(ref_Unit_Balance!$G$31:$G$106,MATCH(UnitGradeInfo!B556,ref_Unit_Balance!$B$31:$B$1048576,0))
+INDEX(ref_Unit_Balance!$G$20:$G$23,MATCH(IFERROR(INDEX(ref_Unit_Balance!$D$31:$D$1048576,MATCH(B556,ref_Unit_Balance!$B$31:$B$1048576,0)),0),ref_Unit_Balance!$B$20:$B$23,0))*D556*ref_Unit_Balance!$C$25,0)</f>
        <v>677</v>
      </c>
      <c r="F556" s="5">
        <f>INDEX(ref_Unit_Balance!$V$31:$V$106,MATCH(UnitGradeInfo!B556,ref_Unit_Balance!$B$31:$B$1048576,0))
+
INDEX(ref_Unit_Balance!$AB$31:$AB$106,MATCH(UnitGradeInfo!B556,ref_Unit_Balance!$B$31:$B$1048576,0))*(D556-1)</f>
        <v>3850</v>
      </c>
      <c r="G556" s="5">
        <f>INDEX(ref_Unit_Balance!$R$31:$R$106,MATCH(UnitGradeInfo!B556,ref_Unit_Balance!$B$31:$B$1048576,0))
+
INDEX(ref_Unit_Balance!$AA$31:$AA$106,MATCH(UnitGradeInfo!B556,ref_Unit_Balance!$B$31:$B$1048576,0))*(D556-1)</f>
        <v>150</v>
      </c>
      <c r="H556" s="39">
        <f>IF(INDEX(Unitinfo!D:D,MATCH(UnitGradeInfo!B556,Unitinfo!A:A,0))=1,50,5)</f>
        <v>50</v>
      </c>
      <c r="I556" s="5">
        <f>IF(INDEX(ref_Unit_Balance!$T$31:$T$106,MATCH(UnitGradeInfo!B556,ref_Unit_Balance!$B$31:$B$1048576,0))=0,1,INDEX(ref_Unit_Balance!$T$31:$T$106,MATCH(UnitGradeInfo!B556,ref_Unit_Balance!$B$31:$B$1048576,0)))</f>
        <v>5</v>
      </c>
      <c r="J556" s="5">
        <f>INDEX(ref_Unit_Balance!$S$31:$S$106,MATCH(UnitGradeInfo!B556,ref_Unit_Balance!$B$31:$B$1048576,0))</f>
        <v>800</v>
      </c>
      <c r="K556" s="5">
        <v>0</v>
      </c>
      <c r="L556" s="5">
        <f>INDEX(ref_Unit_Balance!$I$31:$I$106,MATCH(UnitGradeInfo!B556,ref_Unit_Balance!$B$31:$B$1048576,0))</f>
        <v>3</v>
      </c>
      <c r="M556" s="5">
        <f t="shared" si="58"/>
        <v>16</v>
      </c>
      <c r="N556" s="5">
        <f t="shared" si="59"/>
        <v>160</v>
      </c>
      <c r="O556" s="5">
        <f>(INDEX(Unitinfo!I:I,MATCH(B556,Unitinfo!A:A,0))+1)*2</f>
        <v>4</v>
      </c>
      <c r="P556" s="5">
        <v>0</v>
      </c>
      <c r="Q556" s="5">
        <v>0</v>
      </c>
      <c r="R556" s="19" t="s">
        <v>421</v>
      </c>
      <c r="S556" s="19" t="s">
        <v>421</v>
      </c>
      <c r="T556" s="5">
        <f t="shared" si="55"/>
        <v>2026</v>
      </c>
      <c r="U556" s="5">
        <f t="shared" si="56"/>
        <v>1</v>
      </c>
      <c r="V556" s="5">
        <v>0</v>
      </c>
      <c r="W556" s="5">
        <v>10</v>
      </c>
    </row>
    <row r="557" spans="1:23">
      <c r="A557" s="5">
        <f t="shared" si="60"/>
        <v>554</v>
      </c>
      <c r="B557" s="93">
        <f t="shared" si="57"/>
        <v>2026</v>
      </c>
      <c r="C557" s="20" t="str">
        <f>INDEX(Unitinfo!C:C,MATCH(UnitGradeInfo!B557,Unitinfo!A:A,0))</f>
        <v>(원거리)Golem_Stone</v>
      </c>
      <c r="D557" s="5">
        <f>COUNTIF($B$4:B557,B557)</f>
        <v>9</v>
      </c>
      <c r="E557" s="5">
        <f>ROUNDDOWN(INDEX(ref_Unit_Balance!$G$31:$G$106,MATCH(UnitGradeInfo!B557,ref_Unit_Balance!$B$31:$B$1048576,0))
+INDEX(ref_Unit_Balance!$G$20:$G$23,MATCH(IFERROR(INDEX(ref_Unit_Balance!$D$31:$D$1048576,MATCH(B557,ref_Unit_Balance!$B$31:$B$1048576,0)),0),ref_Unit_Balance!$B$20:$B$23,0))*D557*ref_Unit_Balance!$C$25,0)</f>
        <v>739</v>
      </c>
      <c r="F557" s="5">
        <f>INDEX(ref_Unit_Balance!$V$31:$V$106,MATCH(UnitGradeInfo!B557,ref_Unit_Balance!$B$31:$B$1048576,0))
+
INDEX(ref_Unit_Balance!$AB$31:$AB$106,MATCH(UnitGradeInfo!B557,ref_Unit_Balance!$B$31:$B$1048576,0))*(D557-1)</f>
        <v>4050</v>
      </c>
      <c r="G557" s="5">
        <f>INDEX(ref_Unit_Balance!$R$31:$R$106,MATCH(UnitGradeInfo!B557,ref_Unit_Balance!$B$31:$B$1048576,0))
+
INDEX(ref_Unit_Balance!$AA$31:$AA$106,MATCH(UnitGradeInfo!B557,ref_Unit_Balance!$B$31:$B$1048576,0))*(D557-1)</f>
        <v>160</v>
      </c>
      <c r="H557" s="39">
        <f>IF(INDEX(Unitinfo!D:D,MATCH(UnitGradeInfo!B557,Unitinfo!A:A,0))=1,50,5)</f>
        <v>50</v>
      </c>
      <c r="I557" s="5">
        <f>IF(INDEX(ref_Unit_Balance!$T$31:$T$106,MATCH(UnitGradeInfo!B557,ref_Unit_Balance!$B$31:$B$1048576,0))=0,1,INDEX(ref_Unit_Balance!$T$31:$T$106,MATCH(UnitGradeInfo!B557,ref_Unit_Balance!$B$31:$B$1048576,0)))</f>
        <v>5</v>
      </c>
      <c r="J557" s="5">
        <f>INDEX(ref_Unit_Balance!$S$31:$S$106,MATCH(UnitGradeInfo!B557,ref_Unit_Balance!$B$31:$B$1048576,0))</f>
        <v>800</v>
      </c>
      <c r="K557" s="5">
        <v>0</v>
      </c>
      <c r="L557" s="5">
        <f>INDEX(ref_Unit_Balance!$I$31:$I$106,MATCH(UnitGradeInfo!B557,ref_Unit_Balance!$B$31:$B$1048576,0))</f>
        <v>3</v>
      </c>
      <c r="M557" s="5">
        <f t="shared" si="58"/>
        <v>18</v>
      </c>
      <c r="N557" s="5">
        <f t="shared" si="59"/>
        <v>180</v>
      </c>
      <c r="O557" s="5">
        <f>(INDEX(Unitinfo!I:I,MATCH(B557,Unitinfo!A:A,0))+1)*2</f>
        <v>4</v>
      </c>
      <c r="P557" s="5">
        <v>0</v>
      </c>
      <c r="Q557" s="5">
        <v>0</v>
      </c>
      <c r="R557" s="19" t="s">
        <v>421</v>
      </c>
      <c r="S557" s="19" t="s">
        <v>421</v>
      </c>
      <c r="T557" s="5">
        <f t="shared" si="55"/>
        <v>2026</v>
      </c>
      <c r="U557" s="5">
        <f t="shared" si="56"/>
        <v>1</v>
      </c>
      <c r="V557" s="5">
        <v>0</v>
      </c>
      <c r="W557" s="5">
        <v>10</v>
      </c>
    </row>
    <row r="558" spans="1:23">
      <c r="A558" s="5">
        <f t="shared" si="60"/>
        <v>555</v>
      </c>
      <c r="B558" s="93">
        <f t="shared" si="57"/>
        <v>2026</v>
      </c>
      <c r="C558" s="20" t="str">
        <f>INDEX(Unitinfo!C:C,MATCH(UnitGradeInfo!B558,Unitinfo!A:A,0))</f>
        <v>(원거리)Golem_Stone</v>
      </c>
      <c r="D558" s="5">
        <f>COUNTIF($B$4:B558,B558)</f>
        <v>10</v>
      </c>
      <c r="E558" s="5">
        <f>ROUNDDOWN(INDEX(ref_Unit_Balance!$G$31:$G$106,MATCH(UnitGradeInfo!B558,ref_Unit_Balance!$B$31:$B$1048576,0))
+INDEX(ref_Unit_Balance!$G$20:$G$23,MATCH(IFERROR(INDEX(ref_Unit_Balance!$D$31:$D$1048576,MATCH(B558,ref_Unit_Balance!$B$31:$B$1048576,0)),0),ref_Unit_Balance!$B$20:$B$23,0))*D558*ref_Unit_Balance!$C$25,0)</f>
        <v>802</v>
      </c>
      <c r="F558" s="5">
        <f>INDEX(ref_Unit_Balance!$V$31:$V$106,MATCH(UnitGradeInfo!B558,ref_Unit_Balance!$B$31:$B$1048576,0))
+
INDEX(ref_Unit_Balance!$AB$31:$AB$106,MATCH(UnitGradeInfo!B558,ref_Unit_Balance!$B$31:$B$1048576,0))*(D558-1)</f>
        <v>4250</v>
      </c>
      <c r="G558" s="5">
        <f>INDEX(ref_Unit_Balance!$R$31:$R$106,MATCH(UnitGradeInfo!B558,ref_Unit_Balance!$B$31:$B$1048576,0))
+
INDEX(ref_Unit_Balance!$AA$31:$AA$106,MATCH(UnitGradeInfo!B558,ref_Unit_Balance!$B$31:$B$1048576,0))*(D558-1)</f>
        <v>170</v>
      </c>
      <c r="H558" s="39">
        <f>IF(INDEX(Unitinfo!D:D,MATCH(UnitGradeInfo!B558,Unitinfo!A:A,0))=1,50,5)</f>
        <v>50</v>
      </c>
      <c r="I558" s="5">
        <f>IF(INDEX(ref_Unit_Balance!$T$31:$T$106,MATCH(UnitGradeInfo!B558,ref_Unit_Balance!$B$31:$B$1048576,0))=0,1,INDEX(ref_Unit_Balance!$T$31:$T$106,MATCH(UnitGradeInfo!B558,ref_Unit_Balance!$B$31:$B$1048576,0)))</f>
        <v>5</v>
      </c>
      <c r="J558" s="5">
        <f>INDEX(ref_Unit_Balance!$S$31:$S$106,MATCH(UnitGradeInfo!B558,ref_Unit_Balance!$B$31:$B$1048576,0))</f>
        <v>800</v>
      </c>
      <c r="K558" s="5">
        <v>0</v>
      </c>
      <c r="L558" s="5">
        <f>INDEX(ref_Unit_Balance!$I$31:$I$106,MATCH(UnitGradeInfo!B558,ref_Unit_Balance!$B$31:$B$1048576,0))</f>
        <v>3</v>
      </c>
      <c r="M558" s="5">
        <f t="shared" si="58"/>
        <v>20</v>
      </c>
      <c r="N558" s="5">
        <f t="shared" si="59"/>
        <v>200</v>
      </c>
      <c r="O558" s="5">
        <f>(INDEX(Unitinfo!I:I,MATCH(B558,Unitinfo!A:A,0))+1)*2</f>
        <v>4</v>
      </c>
      <c r="P558" s="5">
        <v>0</v>
      </c>
      <c r="Q558" s="5">
        <v>0</v>
      </c>
      <c r="R558" s="19" t="s">
        <v>421</v>
      </c>
      <c r="S558" s="19" t="s">
        <v>421</v>
      </c>
      <c r="T558" s="5">
        <f t="shared" si="55"/>
        <v>2026</v>
      </c>
      <c r="U558" s="5">
        <f t="shared" si="56"/>
        <v>1</v>
      </c>
      <c r="V558" s="5">
        <v>0</v>
      </c>
      <c r="W558" s="5">
        <v>10</v>
      </c>
    </row>
    <row r="559" spans="1:23">
      <c r="A559" s="5">
        <f t="shared" si="60"/>
        <v>556</v>
      </c>
      <c r="B559" s="93">
        <f t="shared" si="57"/>
        <v>2026</v>
      </c>
      <c r="C559" s="20" t="str">
        <f>INDEX(Unitinfo!C:C,MATCH(UnitGradeInfo!B559,Unitinfo!A:A,0))</f>
        <v>(원거리)Golem_Stone</v>
      </c>
      <c r="D559" s="5">
        <f>COUNTIF($B$4:B559,B559)</f>
        <v>11</v>
      </c>
      <c r="E559" s="5">
        <f>ROUNDDOWN(INDEX(ref_Unit_Balance!$G$31:$G$106,MATCH(UnitGradeInfo!B559,ref_Unit_Balance!$B$31:$B$1048576,0))
+INDEX(ref_Unit_Balance!$G$20:$G$23,MATCH(IFERROR(INDEX(ref_Unit_Balance!$D$31:$D$1048576,MATCH(B559,ref_Unit_Balance!$B$31:$B$1048576,0)),0),ref_Unit_Balance!$B$20:$B$23,0))*D559*ref_Unit_Balance!$C$25,0)</f>
        <v>864</v>
      </c>
      <c r="F559" s="5">
        <f>INDEX(ref_Unit_Balance!$V$31:$V$106,MATCH(UnitGradeInfo!B559,ref_Unit_Balance!$B$31:$B$1048576,0))
+
INDEX(ref_Unit_Balance!$AB$31:$AB$106,MATCH(UnitGradeInfo!B559,ref_Unit_Balance!$B$31:$B$1048576,0))*(D559-1)</f>
        <v>4450</v>
      </c>
      <c r="G559" s="5">
        <f>INDEX(ref_Unit_Balance!$R$31:$R$106,MATCH(UnitGradeInfo!B559,ref_Unit_Balance!$B$31:$B$1048576,0))
+
INDEX(ref_Unit_Balance!$AA$31:$AA$106,MATCH(UnitGradeInfo!B559,ref_Unit_Balance!$B$31:$B$1048576,0))*(D559-1)</f>
        <v>180</v>
      </c>
      <c r="H559" s="39">
        <f>IF(INDEX(Unitinfo!D:D,MATCH(UnitGradeInfo!B559,Unitinfo!A:A,0))=1,50,5)</f>
        <v>50</v>
      </c>
      <c r="I559" s="5">
        <f>IF(INDEX(ref_Unit_Balance!$T$31:$T$106,MATCH(UnitGradeInfo!B559,ref_Unit_Balance!$B$31:$B$1048576,0))=0,1,INDEX(ref_Unit_Balance!$T$31:$T$106,MATCH(UnitGradeInfo!B559,ref_Unit_Balance!$B$31:$B$1048576,0)))</f>
        <v>5</v>
      </c>
      <c r="J559" s="5">
        <f>INDEX(ref_Unit_Balance!$S$31:$S$106,MATCH(UnitGradeInfo!B559,ref_Unit_Balance!$B$31:$B$1048576,0))</f>
        <v>800</v>
      </c>
      <c r="K559" s="5">
        <v>0</v>
      </c>
      <c r="L559" s="5">
        <f>INDEX(ref_Unit_Balance!$I$31:$I$106,MATCH(UnitGradeInfo!B559,ref_Unit_Balance!$B$31:$B$1048576,0))</f>
        <v>3</v>
      </c>
      <c r="M559" s="5">
        <f t="shared" si="58"/>
        <v>22</v>
      </c>
      <c r="N559" s="5">
        <f t="shared" si="59"/>
        <v>220</v>
      </c>
      <c r="O559" s="5">
        <f>(INDEX(Unitinfo!I:I,MATCH(B559,Unitinfo!A:A,0))+1)*2</f>
        <v>4</v>
      </c>
      <c r="P559" s="5">
        <v>0</v>
      </c>
      <c r="Q559" s="5">
        <v>0</v>
      </c>
      <c r="R559" s="19" t="s">
        <v>421</v>
      </c>
      <c r="S559" s="19" t="s">
        <v>421</v>
      </c>
      <c r="T559" s="5">
        <f t="shared" si="55"/>
        <v>2026</v>
      </c>
      <c r="U559" s="5">
        <f t="shared" si="56"/>
        <v>1</v>
      </c>
      <c r="V559" s="5">
        <v>0</v>
      </c>
      <c r="W559" s="5">
        <v>10</v>
      </c>
    </row>
    <row r="560" spans="1:23">
      <c r="A560" s="5">
        <f t="shared" si="60"/>
        <v>557</v>
      </c>
      <c r="B560" s="93">
        <f t="shared" si="57"/>
        <v>2026</v>
      </c>
      <c r="C560" s="20" t="str">
        <f>INDEX(Unitinfo!C:C,MATCH(UnitGradeInfo!B560,Unitinfo!A:A,0))</f>
        <v>(원거리)Golem_Stone</v>
      </c>
      <c r="D560" s="5">
        <f>COUNTIF($B$4:B560,B560)</f>
        <v>12</v>
      </c>
      <c r="E560" s="5">
        <f>ROUNDDOWN(INDEX(ref_Unit_Balance!$G$31:$G$106,MATCH(UnitGradeInfo!B560,ref_Unit_Balance!$B$31:$B$1048576,0))
+INDEX(ref_Unit_Balance!$G$20:$G$23,MATCH(IFERROR(INDEX(ref_Unit_Balance!$D$31:$D$1048576,MATCH(B560,ref_Unit_Balance!$B$31:$B$1048576,0)),0),ref_Unit_Balance!$B$20:$B$23,0))*D560*ref_Unit_Balance!$C$25,0)</f>
        <v>927</v>
      </c>
      <c r="F560" s="5">
        <f>INDEX(ref_Unit_Balance!$V$31:$V$106,MATCH(UnitGradeInfo!B560,ref_Unit_Balance!$B$31:$B$1048576,0))
+
INDEX(ref_Unit_Balance!$AB$31:$AB$106,MATCH(UnitGradeInfo!B560,ref_Unit_Balance!$B$31:$B$1048576,0))*(D560-1)</f>
        <v>4650</v>
      </c>
      <c r="G560" s="5">
        <f>INDEX(ref_Unit_Balance!$R$31:$R$106,MATCH(UnitGradeInfo!B560,ref_Unit_Balance!$B$31:$B$1048576,0))
+
INDEX(ref_Unit_Balance!$AA$31:$AA$106,MATCH(UnitGradeInfo!B560,ref_Unit_Balance!$B$31:$B$1048576,0))*(D560-1)</f>
        <v>190</v>
      </c>
      <c r="H560" s="39">
        <f>IF(INDEX(Unitinfo!D:D,MATCH(UnitGradeInfo!B560,Unitinfo!A:A,0))=1,50,5)</f>
        <v>50</v>
      </c>
      <c r="I560" s="5">
        <f>IF(INDEX(ref_Unit_Balance!$T$31:$T$106,MATCH(UnitGradeInfo!B560,ref_Unit_Balance!$B$31:$B$1048576,0))=0,1,INDEX(ref_Unit_Balance!$T$31:$T$106,MATCH(UnitGradeInfo!B560,ref_Unit_Balance!$B$31:$B$1048576,0)))</f>
        <v>5</v>
      </c>
      <c r="J560" s="5">
        <f>INDEX(ref_Unit_Balance!$S$31:$S$106,MATCH(UnitGradeInfo!B560,ref_Unit_Balance!$B$31:$B$1048576,0))</f>
        <v>800</v>
      </c>
      <c r="K560" s="5">
        <v>0</v>
      </c>
      <c r="L560" s="5">
        <f>INDEX(ref_Unit_Balance!$I$31:$I$106,MATCH(UnitGradeInfo!B560,ref_Unit_Balance!$B$31:$B$1048576,0))</f>
        <v>3</v>
      </c>
      <c r="M560" s="5">
        <f t="shared" si="58"/>
        <v>24</v>
      </c>
      <c r="N560" s="5">
        <f t="shared" si="59"/>
        <v>240</v>
      </c>
      <c r="O560" s="5">
        <f>(INDEX(Unitinfo!I:I,MATCH(B560,Unitinfo!A:A,0))+1)*2</f>
        <v>4</v>
      </c>
      <c r="P560" s="5">
        <v>0</v>
      </c>
      <c r="Q560" s="5">
        <v>0</v>
      </c>
      <c r="R560" s="19" t="s">
        <v>421</v>
      </c>
      <c r="S560" s="19" t="s">
        <v>421</v>
      </c>
      <c r="T560" s="5">
        <f t="shared" si="55"/>
        <v>2026</v>
      </c>
      <c r="U560" s="5">
        <f t="shared" si="56"/>
        <v>1</v>
      </c>
      <c r="V560" s="5">
        <v>0</v>
      </c>
      <c r="W560" s="5">
        <v>10</v>
      </c>
    </row>
    <row r="561" spans="1:23">
      <c r="A561" s="5">
        <f t="shared" si="60"/>
        <v>558</v>
      </c>
      <c r="B561" s="93">
        <f t="shared" si="57"/>
        <v>2026</v>
      </c>
      <c r="C561" s="20" t="str">
        <f>INDEX(Unitinfo!C:C,MATCH(UnitGradeInfo!B561,Unitinfo!A:A,0))</f>
        <v>(원거리)Golem_Stone</v>
      </c>
      <c r="D561" s="5">
        <f>COUNTIF($B$4:B561,B561)</f>
        <v>13</v>
      </c>
      <c r="E561" s="5">
        <f>ROUNDDOWN(INDEX(ref_Unit_Balance!$G$31:$G$106,MATCH(UnitGradeInfo!B561,ref_Unit_Balance!$B$31:$B$1048576,0))
+INDEX(ref_Unit_Balance!$G$20:$G$23,MATCH(IFERROR(INDEX(ref_Unit_Balance!$D$31:$D$1048576,MATCH(B561,ref_Unit_Balance!$B$31:$B$1048576,0)),0),ref_Unit_Balance!$B$20:$B$23,0))*D561*ref_Unit_Balance!$C$25,0)</f>
        <v>989</v>
      </c>
      <c r="F561" s="5">
        <f>INDEX(ref_Unit_Balance!$V$31:$V$106,MATCH(UnitGradeInfo!B561,ref_Unit_Balance!$B$31:$B$1048576,0))
+
INDEX(ref_Unit_Balance!$AB$31:$AB$106,MATCH(UnitGradeInfo!B561,ref_Unit_Balance!$B$31:$B$1048576,0))*(D561-1)</f>
        <v>4850</v>
      </c>
      <c r="G561" s="5">
        <f>INDEX(ref_Unit_Balance!$R$31:$R$106,MATCH(UnitGradeInfo!B561,ref_Unit_Balance!$B$31:$B$1048576,0))
+
INDEX(ref_Unit_Balance!$AA$31:$AA$106,MATCH(UnitGradeInfo!B561,ref_Unit_Balance!$B$31:$B$1048576,0))*(D561-1)</f>
        <v>200</v>
      </c>
      <c r="H561" s="39">
        <f>IF(INDEX(Unitinfo!D:D,MATCH(UnitGradeInfo!B561,Unitinfo!A:A,0))=1,50,5)</f>
        <v>50</v>
      </c>
      <c r="I561" s="5">
        <f>IF(INDEX(ref_Unit_Balance!$T$31:$T$106,MATCH(UnitGradeInfo!B561,ref_Unit_Balance!$B$31:$B$1048576,0))=0,1,INDEX(ref_Unit_Balance!$T$31:$T$106,MATCH(UnitGradeInfo!B561,ref_Unit_Balance!$B$31:$B$1048576,0)))</f>
        <v>5</v>
      </c>
      <c r="J561" s="5">
        <f>INDEX(ref_Unit_Balance!$S$31:$S$106,MATCH(UnitGradeInfo!B561,ref_Unit_Balance!$B$31:$B$1048576,0))</f>
        <v>800</v>
      </c>
      <c r="K561" s="5">
        <v>0</v>
      </c>
      <c r="L561" s="5">
        <f>INDEX(ref_Unit_Balance!$I$31:$I$106,MATCH(UnitGradeInfo!B561,ref_Unit_Balance!$B$31:$B$1048576,0))</f>
        <v>3</v>
      </c>
      <c r="M561" s="5">
        <f t="shared" si="58"/>
        <v>26</v>
      </c>
      <c r="N561" s="5">
        <f t="shared" si="59"/>
        <v>260</v>
      </c>
      <c r="O561" s="5">
        <f>(INDEX(Unitinfo!I:I,MATCH(B561,Unitinfo!A:A,0))+1)*2</f>
        <v>4</v>
      </c>
      <c r="P561" s="5">
        <v>0</v>
      </c>
      <c r="Q561" s="5">
        <v>0</v>
      </c>
      <c r="R561" s="19" t="s">
        <v>421</v>
      </c>
      <c r="S561" s="19" t="s">
        <v>421</v>
      </c>
      <c r="T561" s="5">
        <f t="shared" ref="T561:T624" si="61">B561</f>
        <v>2026</v>
      </c>
      <c r="U561" s="5">
        <f t="shared" ref="U561:U624" si="62">IF(B561&gt;10000,0,1)</f>
        <v>1</v>
      </c>
      <c r="V561" s="5">
        <v>0</v>
      </c>
      <c r="W561" s="5">
        <v>10</v>
      </c>
    </row>
    <row r="562" spans="1:23">
      <c r="A562" s="5">
        <f t="shared" si="60"/>
        <v>559</v>
      </c>
      <c r="B562" s="93">
        <f t="shared" ref="B562:B625" si="63">QUOTIENT(A562-45-1,20)+2001</f>
        <v>2026</v>
      </c>
      <c r="C562" s="20" t="str">
        <f>INDEX(Unitinfo!C:C,MATCH(UnitGradeInfo!B562,Unitinfo!A:A,0))</f>
        <v>(원거리)Golem_Stone</v>
      </c>
      <c r="D562" s="5">
        <f>COUNTIF($B$4:B562,B562)</f>
        <v>14</v>
      </c>
      <c r="E562" s="5">
        <f>ROUNDDOWN(INDEX(ref_Unit_Balance!$G$31:$G$106,MATCH(UnitGradeInfo!B562,ref_Unit_Balance!$B$31:$B$1048576,0))
+INDEX(ref_Unit_Balance!$G$20:$G$23,MATCH(IFERROR(INDEX(ref_Unit_Balance!$D$31:$D$1048576,MATCH(B562,ref_Unit_Balance!$B$31:$B$1048576,0)),0),ref_Unit_Balance!$B$20:$B$23,0))*D562*ref_Unit_Balance!$C$25,0)</f>
        <v>1052</v>
      </c>
      <c r="F562" s="5">
        <f>INDEX(ref_Unit_Balance!$V$31:$V$106,MATCH(UnitGradeInfo!B562,ref_Unit_Balance!$B$31:$B$1048576,0))
+
INDEX(ref_Unit_Balance!$AB$31:$AB$106,MATCH(UnitGradeInfo!B562,ref_Unit_Balance!$B$31:$B$1048576,0))*(D562-1)</f>
        <v>5050</v>
      </c>
      <c r="G562" s="5">
        <f>INDEX(ref_Unit_Balance!$R$31:$R$106,MATCH(UnitGradeInfo!B562,ref_Unit_Balance!$B$31:$B$1048576,0))
+
INDEX(ref_Unit_Balance!$AA$31:$AA$106,MATCH(UnitGradeInfo!B562,ref_Unit_Balance!$B$31:$B$1048576,0))*(D562-1)</f>
        <v>210</v>
      </c>
      <c r="H562" s="39">
        <f>IF(INDEX(Unitinfo!D:D,MATCH(UnitGradeInfo!B562,Unitinfo!A:A,0))=1,50,5)</f>
        <v>50</v>
      </c>
      <c r="I562" s="5">
        <f>IF(INDEX(ref_Unit_Balance!$T$31:$T$106,MATCH(UnitGradeInfo!B562,ref_Unit_Balance!$B$31:$B$1048576,0))=0,1,INDEX(ref_Unit_Balance!$T$31:$T$106,MATCH(UnitGradeInfo!B562,ref_Unit_Balance!$B$31:$B$1048576,0)))</f>
        <v>5</v>
      </c>
      <c r="J562" s="5">
        <f>INDEX(ref_Unit_Balance!$S$31:$S$106,MATCH(UnitGradeInfo!B562,ref_Unit_Balance!$B$31:$B$1048576,0))</f>
        <v>800</v>
      </c>
      <c r="K562" s="5">
        <v>0</v>
      </c>
      <c r="L562" s="5">
        <f>INDEX(ref_Unit_Balance!$I$31:$I$106,MATCH(UnitGradeInfo!B562,ref_Unit_Balance!$B$31:$B$1048576,0))</f>
        <v>3</v>
      </c>
      <c r="M562" s="5">
        <f t="shared" si="58"/>
        <v>28</v>
      </c>
      <c r="N562" s="5">
        <f t="shared" si="59"/>
        <v>280</v>
      </c>
      <c r="O562" s="5">
        <f>(INDEX(Unitinfo!I:I,MATCH(B562,Unitinfo!A:A,0))+1)*2</f>
        <v>4</v>
      </c>
      <c r="P562" s="5">
        <v>0</v>
      </c>
      <c r="Q562" s="5">
        <v>0</v>
      </c>
      <c r="R562" s="19" t="s">
        <v>421</v>
      </c>
      <c r="S562" s="19" t="s">
        <v>421</v>
      </c>
      <c r="T562" s="5">
        <f t="shared" si="61"/>
        <v>2026</v>
      </c>
      <c r="U562" s="5">
        <f t="shared" si="62"/>
        <v>1</v>
      </c>
      <c r="V562" s="5">
        <v>0</v>
      </c>
      <c r="W562" s="5">
        <v>10</v>
      </c>
    </row>
    <row r="563" spans="1:23">
      <c r="A563" s="5">
        <f t="shared" si="60"/>
        <v>560</v>
      </c>
      <c r="B563" s="93">
        <f t="shared" si="63"/>
        <v>2026</v>
      </c>
      <c r="C563" s="20" t="str">
        <f>INDEX(Unitinfo!C:C,MATCH(UnitGradeInfo!B563,Unitinfo!A:A,0))</f>
        <v>(원거리)Golem_Stone</v>
      </c>
      <c r="D563" s="5">
        <f>COUNTIF($B$4:B563,B563)</f>
        <v>15</v>
      </c>
      <c r="E563" s="5">
        <f>ROUNDDOWN(INDEX(ref_Unit_Balance!$G$31:$G$106,MATCH(UnitGradeInfo!B563,ref_Unit_Balance!$B$31:$B$1048576,0))
+INDEX(ref_Unit_Balance!$G$20:$G$23,MATCH(IFERROR(INDEX(ref_Unit_Balance!$D$31:$D$1048576,MATCH(B563,ref_Unit_Balance!$B$31:$B$1048576,0)),0),ref_Unit_Balance!$B$20:$B$23,0))*D563*ref_Unit_Balance!$C$25,0)</f>
        <v>1114</v>
      </c>
      <c r="F563" s="5">
        <f>INDEX(ref_Unit_Balance!$V$31:$V$106,MATCH(UnitGradeInfo!B563,ref_Unit_Balance!$B$31:$B$1048576,0))
+
INDEX(ref_Unit_Balance!$AB$31:$AB$106,MATCH(UnitGradeInfo!B563,ref_Unit_Balance!$B$31:$B$1048576,0))*(D563-1)</f>
        <v>5250</v>
      </c>
      <c r="G563" s="5">
        <f>INDEX(ref_Unit_Balance!$R$31:$R$106,MATCH(UnitGradeInfo!B563,ref_Unit_Balance!$B$31:$B$1048576,0))
+
INDEX(ref_Unit_Balance!$AA$31:$AA$106,MATCH(UnitGradeInfo!B563,ref_Unit_Balance!$B$31:$B$1048576,0))*(D563-1)</f>
        <v>220</v>
      </c>
      <c r="H563" s="39">
        <f>IF(INDEX(Unitinfo!D:D,MATCH(UnitGradeInfo!B563,Unitinfo!A:A,0))=1,50,5)</f>
        <v>50</v>
      </c>
      <c r="I563" s="5">
        <f>IF(INDEX(ref_Unit_Balance!$T$31:$T$106,MATCH(UnitGradeInfo!B563,ref_Unit_Balance!$B$31:$B$1048576,0))=0,1,INDEX(ref_Unit_Balance!$T$31:$T$106,MATCH(UnitGradeInfo!B563,ref_Unit_Balance!$B$31:$B$1048576,0)))</f>
        <v>5</v>
      </c>
      <c r="J563" s="5">
        <f>INDEX(ref_Unit_Balance!$S$31:$S$106,MATCH(UnitGradeInfo!B563,ref_Unit_Balance!$B$31:$B$1048576,0))</f>
        <v>800</v>
      </c>
      <c r="K563" s="5">
        <v>0</v>
      </c>
      <c r="L563" s="5">
        <f>INDEX(ref_Unit_Balance!$I$31:$I$106,MATCH(UnitGradeInfo!B563,ref_Unit_Balance!$B$31:$B$1048576,0))</f>
        <v>3</v>
      </c>
      <c r="M563" s="5">
        <f t="shared" si="58"/>
        <v>30</v>
      </c>
      <c r="N563" s="5">
        <f t="shared" si="59"/>
        <v>300</v>
      </c>
      <c r="O563" s="5">
        <f>(INDEX(Unitinfo!I:I,MATCH(B563,Unitinfo!A:A,0))+1)*2</f>
        <v>4</v>
      </c>
      <c r="P563" s="5">
        <v>0</v>
      </c>
      <c r="Q563" s="5">
        <v>0</v>
      </c>
      <c r="R563" s="19" t="s">
        <v>421</v>
      </c>
      <c r="S563" s="19" t="s">
        <v>421</v>
      </c>
      <c r="T563" s="5">
        <f t="shared" si="61"/>
        <v>2026</v>
      </c>
      <c r="U563" s="5">
        <f t="shared" si="62"/>
        <v>1</v>
      </c>
      <c r="V563" s="5">
        <v>0</v>
      </c>
      <c r="W563" s="5">
        <v>10</v>
      </c>
    </row>
    <row r="564" spans="1:23">
      <c r="A564" s="5">
        <f t="shared" si="60"/>
        <v>561</v>
      </c>
      <c r="B564" s="93">
        <f t="shared" si="63"/>
        <v>2026</v>
      </c>
      <c r="C564" s="20" t="str">
        <f>INDEX(Unitinfo!C:C,MATCH(UnitGradeInfo!B564,Unitinfo!A:A,0))</f>
        <v>(원거리)Golem_Stone</v>
      </c>
      <c r="D564" s="5">
        <f>COUNTIF($B$4:B564,B564)</f>
        <v>16</v>
      </c>
      <c r="E564" s="5">
        <f>ROUNDDOWN(INDEX(ref_Unit_Balance!$G$31:$G$106,MATCH(UnitGradeInfo!B564,ref_Unit_Balance!$B$31:$B$1048576,0))
+INDEX(ref_Unit_Balance!$G$20:$G$23,MATCH(IFERROR(INDEX(ref_Unit_Balance!$D$31:$D$1048576,MATCH(B564,ref_Unit_Balance!$B$31:$B$1048576,0)),0),ref_Unit_Balance!$B$20:$B$23,0))*D564*ref_Unit_Balance!$C$25,0)</f>
        <v>1177</v>
      </c>
      <c r="F564" s="5">
        <f>INDEX(ref_Unit_Balance!$V$31:$V$106,MATCH(UnitGradeInfo!B564,ref_Unit_Balance!$B$31:$B$1048576,0))
+
INDEX(ref_Unit_Balance!$AB$31:$AB$106,MATCH(UnitGradeInfo!B564,ref_Unit_Balance!$B$31:$B$1048576,0))*(D564-1)</f>
        <v>5450</v>
      </c>
      <c r="G564" s="5">
        <f>INDEX(ref_Unit_Balance!$R$31:$R$106,MATCH(UnitGradeInfo!B564,ref_Unit_Balance!$B$31:$B$1048576,0))
+
INDEX(ref_Unit_Balance!$AA$31:$AA$106,MATCH(UnitGradeInfo!B564,ref_Unit_Balance!$B$31:$B$1048576,0))*(D564-1)</f>
        <v>230</v>
      </c>
      <c r="H564" s="39">
        <f>IF(INDEX(Unitinfo!D:D,MATCH(UnitGradeInfo!B564,Unitinfo!A:A,0))=1,50,5)</f>
        <v>50</v>
      </c>
      <c r="I564" s="5">
        <f>IF(INDEX(ref_Unit_Balance!$T$31:$T$106,MATCH(UnitGradeInfo!B564,ref_Unit_Balance!$B$31:$B$1048576,0))=0,1,INDEX(ref_Unit_Balance!$T$31:$T$106,MATCH(UnitGradeInfo!B564,ref_Unit_Balance!$B$31:$B$1048576,0)))</f>
        <v>5</v>
      </c>
      <c r="J564" s="5">
        <f>INDEX(ref_Unit_Balance!$S$31:$S$106,MATCH(UnitGradeInfo!B564,ref_Unit_Balance!$B$31:$B$1048576,0))</f>
        <v>800</v>
      </c>
      <c r="K564" s="5">
        <v>0</v>
      </c>
      <c r="L564" s="5">
        <f>INDEX(ref_Unit_Balance!$I$31:$I$106,MATCH(UnitGradeInfo!B564,ref_Unit_Balance!$B$31:$B$1048576,0))</f>
        <v>3</v>
      </c>
      <c r="M564" s="5">
        <f t="shared" si="58"/>
        <v>32</v>
      </c>
      <c r="N564" s="5">
        <f t="shared" si="59"/>
        <v>320</v>
      </c>
      <c r="O564" s="5">
        <f>(INDEX(Unitinfo!I:I,MATCH(B564,Unitinfo!A:A,0))+1)*2</f>
        <v>4</v>
      </c>
      <c r="P564" s="5">
        <v>0</v>
      </c>
      <c r="Q564" s="5">
        <v>0</v>
      </c>
      <c r="R564" s="19" t="s">
        <v>421</v>
      </c>
      <c r="S564" s="19" t="s">
        <v>421</v>
      </c>
      <c r="T564" s="5">
        <f t="shared" si="61"/>
        <v>2026</v>
      </c>
      <c r="U564" s="5">
        <f t="shared" si="62"/>
        <v>1</v>
      </c>
      <c r="V564" s="5">
        <v>0</v>
      </c>
      <c r="W564" s="5">
        <v>10</v>
      </c>
    </row>
    <row r="565" spans="1:23">
      <c r="A565" s="5">
        <f t="shared" si="60"/>
        <v>562</v>
      </c>
      <c r="B565" s="93">
        <f t="shared" si="63"/>
        <v>2026</v>
      </c>
      <c r="C565" s="20" t="str">
        <f>INDEX(Unitinfo!C:C,MATCH(UnitGradeInfo!B565,Unitinfo!A:A,0))</f>
        <v>(원거리)Golem_Stone</v>
      </c>
      <c r="D565" s="5">
        <f>COUNTIF($B$4:B565,B565)</f>
        <v>17</v>
      </c>
      <c r="E565" s="5">
        <f>ROUNDDOWN(INDEX(ref_Unit_Balance!$G$31:$G$106,MATCH(UnitGradeInfo!B565,ref_Unit_Balance!$B$31:$B$1048576,0))
+INDEX(ref_Unit_Balance!$G$20:$G$23,MATCH(IFERROR(INDEX(ref_Unit_Balance!$D$31:$D$1048576,MATCH(B565,ref_Unit_Balance!$B$31:$B$1048576,0)),0),ref_Unit_Balance!$B$20:$B$23,0))*D565*ref_Unit_Balance!$C$25,0)</f>
        <v>1239</v>
      </c>
      <c r="F565" s="5">
        <f>INDEX(ref_Unit_Balance!$V$31:$V$106,MATCH(UnitGradeInfo!B565,ref_Unit_Balance!$B$31:$B$1048576,0))
+
INDEX(ref_Unit_Balance!$AB$31:$AB$106,MATCH(UnitGradeInfo!B565,ref_Unit_Balance!$B$31:$B$1048576,0))*(D565-1)</f>
        <v>5650</v>
      </c>
      <c r="G565" s="5">
        <f>INDEX(ref_Unit_Balance!$R$31:$R$106,MATCH(UnitGradeInfo!B565,ref_Unit_Balance!$B$31:$B$1048576,0))
+
INDEX(ref_Unit_Balance!$AA$31:$AA$106,MATCH(UnitGradeInfo!B565,ref_Unit_Balance!$B$31:$B$1048576,0))*(D565-1)</f>
        <v>240</v>
      </c>
      <c r="H565" s="39">
        <f>IF(INDEX(Unitinfo!D:D,MATCH(UnitGradeInfo!B565,Unitinfo!A:A,0))=1,50,5)</f>
        <v>50</v>
      </c>
      <c r="I565" s="5">
        <f>IF(INDEX(ref_Unit_Balance!$T$31:$T$106,MATCH(UnitGradeInfo!B565,ref_Unit_Balance!$B$31:$B$1048576,0))=0,1,INDEX(ref_Unit_Balance!$T$31:$T$106,MATCH(UnitGradeInfo!B565,ref_Unit_Balance!$B$31:$B$1048576,0)))</f>
        <v>5</v>
      </c>
      <c r="J565" s="5">
        <f>INDEX(ref_Unit_Balance!$S$31:$S$106,MATCH(UnitGradeInfo!B565,ref_Unit_Balance!$B$31:$B$1048576,0))</f>
        <v>800</v>
      </c>
      <c r="K565" s="5">
        <v>0</v>
      </c>
      <c r="L565" s="5">
        <f>INDEX(ref_Unit_Balance!$I$31:$I$106,MATCH(UnitGradeInfo!B565,ref_Unit_Balance!$B$31:$B$1048576,0))</f>
        <v>3</v>
      </c>
      <c r="M565" s="5">
        <f t="shared" si="58"/>
        <v>34</v>
      </c>
      <c r="N565" s="5">
        <f t="shared" si="59"/>
        <v>340</v>
      </c>
      <c r="O565" s="5">
        <f>(INDEX(Unitinfo!I:I,MATCH(B565,Unitinfo!A:A,0))+1)*2</f>
        <v>4</v>
      </c>
      <c r="P565" s="5">
        <v>0</v>
      </c>
      <c r="Q565" s="5">
        <v>0</v>
      </c>
      <c r="R565" s="19" t="s">
        <v>421</v>
      </c>
      <c r="S565" s="19" t="s">
        <v>421</v>
      </c>
      <c r="T565" s="5">
        <f t="shared" si="61"/>
        <v>2026</v>
      </c>
      <c r="U565" s="5">
        <f t="shared" si="62"/>
        <v>1</v>
      </c>
      <c r="V565" s="5">
        <v>0</v>
      </c>
      <c r="W565" s="5">
        <v>10</v>
      </c>
    </row>
    <row r="566" spans="1:23">
      <c r="A566" s="5">
        <f t="shared" si="60"/>
        <v>563</v>
      </c>
      <c r="B566" s="93">
        <f t="shared" si="63"/>
        <v>2026</v>
      </c>
      <c r="C566" s="20" t="str">
        <f>INDEX(Unitinfo!C:C,MATCH(UnitGradeInfo!B566,Unitinfo!A:A,0))</f>
        <v>(원거리)Golem_Stone</v>
      </c>
      <c r="D566" s="5">
        <f>COUNTIF($B$4:B566,B566)</f>
        <v>18</v>
      </c>
      <c r="E566" s="5">
        <f>ROUNDDOWN(INDEX(ref_Unit_Balance!$G$31:$G$106,MATCH(UnitGradeInfo!B566,ref_Unit_Balance!$B$31:$B$1048576,0))
+INDEX(ref_Unit_Balance!$G$20:$G$23,MATCH(IFERROR(INDEX(ref_Unit_Balance!$D$31:$D$1048576,MATCH(B566,ref_Unit_Balance!$B$31:$B$1048576,0)),0),ref_Unit_Balance!$B$20:$B$23,0))*D566*ref_Unit_Balance!$C$25,0)</f>
        <v>1302</v>
      </c>
      <c r="F566" s="5">
        <f>INDEX(ref_Unit_Balance!$V$31:$V$106,MATCH(UnitGradeInfo!B566,ref_Unit_Balance!$B$31:$B$1048576,0))
+
INDEX(ref_Unit_Balance!$AB$31:$AB$106,MATCH(UnitGradeInfo!B566,ref_Unit_Balance!$B$31:$B$1048576,0))*(D566-1)</f>
        <v>5850</v>
      </c>
      <c r="G566" s="5">
        <f>INDEX(ref_Unit_Balance!$R$31:$R$106,MATCH(UnitGradeInfo!B566,ref_Unit_Balance!$B$31:$B$1048576,0))
+
INDEX(ref_Unit_Balance!$AA$31:$AA$106,MATCH(UnitGradeInfo!B566,ref_Unit_Balance!$B$31:$B$1048576,0))*(D566-1)</f>
        <v>250</v>
      </c>
      <c r="H566" s="39">
        <f>IF(INDEX(Unitinfo!D:D,MATCH(UnitGradeInfo!B566,Unitinfo!A:A,0))=1,50,5)</f>
        <v>50</v>
      </c>
      <c r="I566" s="5">
        <f>IF(INDEX(ref_Unit_Balance!$T$31:$T$106,MATCH(UnitGradeInfo!B566,ref_Unit_Balance!$B$31:$B$1048576,0))=0,1,INDEX(ref_Unit_Balance!$T$31:$T$106,MATCH(UnitGradeInfo!B566,ref_Unit_Balance!$B$31:$B$1048576,0)))</f>
        <v>5</v>
      </c>
      <c r="J566" s="5">
        <f>INDEX(ref_Unit_Balance!$S$31:$S$106,MATCH(UnitGradeInfo!B566,ref_Unit_Balance!$B$31:$B$1048576,0))</f>
        <v>800</v>
      </c>
      <c r="K566" s="5">
        <v>0</v>
      </c>
      <c r="L566" s="5">
        <f>INDEX(ref_Unit_Balance!$I$31:$I$106,MATCH(UnitGradeInfo!B566,ref_Unit_Balance!$B$31:$B$1048576,0))</f>
        <v>3</v>
      </c>
      <c r="M566" s="5">
        <f t="shared" si="58"/>
        <v>36</v>
      </c>
      <c r="N566" s="5">
        <f t="shared" si="59"/>
        <v>360</v>
      </c>
      <c r="O566" s="5">
        <f>(INDEX(Unitinfo!I:I,MATCH(B566,Unitinfo!A:A,0))+1)*2</f>
        <v>4</v>
      </c>
      <c r="P566" s="5">
        <v>0</v>
      </c>
      <c r="Q566" s="5">
        <v>0</v>
      </c>
      <c r="R566" s="19" t="s">
        <v>421</v>
      </c>
      <c r="S566" s="19" t="s">
        <v>421</v>
      </c>
      <c r="T566" s="5">
        <f t="shared" si="61"/>
        <v>2026</v>
      </c>
      <c r="U566" s="5">
        <f t="shared" si="62"/>
        <v>1</v>
      </c>
      <c r="V566" s="5">
        <v>0</v>
      </c>
      <c r="W566" s="5">
        <v>10</v>
      </c>
    </row>
    <row r="567" spans="1:23">
      <c r="A567" s="5">
        <f t="shared" si="60"/>
        <v>564</v>
      </c>
      <c r="B567" s="93">
        <f t="shared" si="63"/>
        <v>2026</v>
      </c>
      <c r="C567" s="20" t="str">
        <f>INDEX(Unitinfo!C:C,MATCH(UnitGradeInfo!B567,Unitinfo!A:A,0))</f>
        <v>(원거리)Golem_Stone</v>
      </c>
      <c r="D567" s="5">
        <f>COUNTIF($B$4:B567,B567)</f>
        <v>19</v>
      </c>
      <c r="E567" s="5">
        <f>ROUNDDOWN(INDEX(ref_Unit_Balance!$G$31:$G$106,MATCH(UnitGradeInfo!B567,ref_Unit_Balance!$B$31:$B$1048576,0))
+INDEX(ref_Unit_Balance!$G$20:$G$23,MATCH(IFERROR(INDEX(ref_Unit_Balance!$D$31:$D$1048576,MATCH(B567,ref_Unit_Balance!$B$31:$B$1048576,0)),0),ref_Unit_Balance!$B$20:$B$23,0))*D567*ref_Unit_Balance!$C$25,0)</f>
        <v>1364</v>
      </c>
      <c r="F567" s="5">
        <f>INDEX(ref_Unit_Balance!$V$31:$V$106,MATCH(UnitGradeInfo!B567,ref_Unit_Balance!$B$31:$B$1048576,0))
+
INDEX(ref_Unit_Balance!$AB$31:$AB$106,MATCH(UnitGradeInfo!B567,ref_Unit_Balance!$B$31:$B$1048576,0))*(D567-1)</f>
        <v>6050</v>
      </c>
      <c r="G567" s="5">
        <f>INDEX(ref_Unit_Balance!$R$31:$R$106,MATCH(UnitGradeInfo!B567,ref_Unit_Balance!$B$31:$B$1048576,0))
+
INDEX(ref_Unit_Balance!$AA$31:$AA$106,MATCH(UnitGradeInfo!B567,ref_Unit_Balance!$B$31:$B$1048576,0))*(D567-1)</f>
        <v>260</v>
      </c>
      <c r="H567" s="39">
        <f>IF(INDEX(Unitinfo!D:D,MATCH(UnitGradeInfo!B567,Unitinfo!A:A,0))=1,50,5)</f>
        <v>50</v>
      </c>
      <c r="I567" s="5">
        <f>IF(INDEX(ref_Unit_Balance!$T$31:$T$106,MATCH(UnitGradeInfo!B567,ref_Unit_Balance!$B$31:$B$1048576,0))=0,1,INDEX(ref_Unit_Balance!$T$31:$T$106,MATCH(UnitGradeInfo!B567,ref_Unit_Balance!$B$31:$B$1048576,0)))</f>
        <v>5</v>
      </c>
      <c r="J567" s="5">
        <f>INDEX(ref_Unit_Balance!$S$31:$S$106,MATCH(UnitGradeInfo!B567,ref_Unit_Balance!$B$31:$B$1048576,0))</f>
        <v>800</v>
      </c>
      <c r="K567" s="5">
        <v>0</v>
      </c>
      <c r="L567" s="5">
        <f>INDEX(ref_Unit_Balance!$I$31:$I$106,MATCH(UnitGradeInfo!B567,ref_Unit_Balance!$B$31:$B$1048576,0))</f>
        <v>3</v>
      </c>
      <c r="M567" s="5">
        <f t="shared" si="58"/>
        <v>38</v>
      </c>
      <c r="N567" s="5">
        <f t="shared" si="59"/>
        <v>380</v>
      </c>
      <c r="O567" s="5">
        <f>(INDEX(Unitinfo!I:I,MATCH(B567,Unitinfo!A:A,0))+1)*2</f>
        <v>4</v>
      </c>
      <c r="P567" s="5">
        <v>0</v>
      </c>
      <c r="Q567" s="5">
        <v>0</v>
      </c>
      <c r="R567" s="19" t="s">
        <v>421</v>
      </c>
      <c r="S567" s="19" t="s">
        <v>421</v>
      </c>
      <c r="T567" s="5">
        <f t="shared" si="61"/>
        <v>2026</v>
      </c>
      <c r="U567" s="5">
        <f t="shared" si="62"/>
        <v>1</v>
      </c>
      <c r="V567" s="5">
        <v>0</v>
      </c>
      <c r="W567" s="5">
        <v>10</v>
      </c>
    </row>
    <row r="568" spans="1:23">
      <c r="A568" s="5">
        <f t="shared" si="60"/>
        <v>565</v>
      </c>
      <c r="B568" s="93">
        <f t="shared" si="63"/>
        <v>2026</v>
      </c>
      <c r="C568" s="20" t="str">
        <f>INDEX(Unitinfo!C:C,MATCH(UnitGradeInfo!B568,Unitinfo!A:A,0))</f>
        <v>(원거리)Golem_Stone</v>
      </c>
      <c r="D568" s="5">
        <f>COUNTIF($B$4:B568,B568)</f>
        <v>20</v>
      </c>
      <c r="E568" s="5">
        <f>ROUNDDOWN(INDEX(ref_Unit_Balance!$G$31:$G$106,MATCH(UnitGradeInfo!B568,ref_Unit_Balance!$B$31:$B$1048576,0))
+INDEX(ref_Unit_Balance!$G$20:$G$23,MATCH(IFERROR(INDEX(ref_Unit_Balance!$D$31:$D$1048576,MATCH(B568,ref_Unit_Balance!$B$31:$B$1048576,0)),0),ref_Unit_Balance!$B$20:$B$23,0))*D568*ref_Unit_Balance!$C$25,0)</f>
        <v>1427</v>
      </c>
      <c r="F568" s="5">
        <f>INDEX(ref_Unit_Balance!$V$31:$V$106,MATCH(UnitGradeInfo!B568,ref_Unit_Balance!$B$31:$B$1048576,0))
+
INDEX(ref_Unit_Balance!$AB$31:$AB$106,MATCH(UnitGradeInfo!B568,ref_Unit_Balance!$B$31:$B$1048576,0))*(D568-1)</f>
        <v>6250</v>
      </c>
      <c r="G568" s="5">
        <f>INDEX(ref_Unit_Balance!$R$31:$R$106,MATCH(UnitGradeInfo!B568,ref_Unit_Balance!$B$31:$B$1048576,0))
+
INDEX(ref_Unit_Balance!$AA$31:$AA$106,MATCH(UnitGradeInfo!B568,ref_Unit_Balance!$B$31:$B$1048576,0))*(D568-1)</f>
        <v>270</v>
      </c>
      <c r="H568" s="39">
        <f>IF(INDEX(Unitinfo!D:D,MATCH(UnitGradeInfo!B568,Unitinfo!A:A,0))=1,50,5)</f>
        <v>50</v>
      </c>
      <c r="I568" s="5">
        <f>IF(INDEX(ref_Unit_Balance!$T$31:$T$106,MATCH(UnitGradeInfo!B568,ref_Unit_Balance!$B$31:$B$1048576,0))=0,1,INDEX(ref_Unit_Balance!$T$31:$T$106,MATCH(UnitGradeInfo!B568,ref_Unit_Balance!$B$31:$B$1048576,0)))</f>
        <v>5</v>
      </c>
      <c r="J568" s="5">
        <f>INDEX(ref_Unit_Balance!$S$31:$S$106,MATCH(UnitGradeInfo!B568,ref_Unit_Balance!$B$31:$B$1048576,0))</f>
        <v>800</v>
      </c>
      <c r="K568" s="5">
        <v>0</v>
      </c>
      <c r="L568" s="5">
        <f>INDEX(ref_Unit_Balance!$I$31:$I$106,MATCH(UnitGradeInfo!B568,ref_Unit_Balance!$B$31:$B$1048576,0))</f>
        <v>3</v>
      </c>
      <c r="M568" s="5">
        <f t="shared" si="58"/>
        <v>40</v>
      </c>
      <c r="N568" s="5">
        <f t="shared" si="59"/>
        <v>400</v>
      </c>
      <c r="O568" s="5">
        <f>(INDEX(Unitinfo!I:I,MATCH(B568,Unitinfo!A:A,0))+1)*2</f>
        <v>4</v>
      </c>
      <c r="P568" s="5">
        <v>0</v>
      </c>
      <c r="Q568" s="5">
        <v>0</v>
      </c>
      <c r="R568" s="19" t="s">
        <v>421</v>
      </c>
      <c r="S568" s="19" t="s">
        <v>421</v>
      </c>
      <c r="T568" s="5">
        <f t="shared" si="61"/>
        <v>2026</v>
      </c>
      <c r="U568" s="5">
        <f t="shared" si="62"/>
        <v>1</v>
      </c>
      <c r="V568" s="5">
        <v>0</v>
      </c>
      <c r="W568" s="5">
        <v>10</v>
      </c>
    </row>
    <row r="569" spans="1:23">
      <c r="A569" s="5">
        <f t="shared" si="60"/>
        <v>566</v>
      </c>
      <c r="B569" s="93">
        <f t="shared" si="63"/>
        <v>2027</v>
      </c>
      <c r="C569" s="20" t="str">
        <f>INDEX(Unitinfo!C:C,MATCH(UnitGradeInfo!B569,Unitinfo!A:A,0))</f>
        <v>(원거리)Golem_Fire</v>
      </c>
      <c r="D569" s="5">
        <f>COUNTIF($B$4:B569,B569)</f>
        <v>1</v>
      </c>
      <c r="E569" s="5">
        <f>ROUNDDOWN(INDEX(ref_Unit_Balance!$G$31:$G$106,MATCH(UnitGradeInfo!B569,ref_Unit_Balance!$B$31:$B$1048576,0))
+INDEX(ref_Unit_Balance!$G$20:$G$23,MATCH(IFERROR(INDEX(ref_Unit_Balance!$D$31:$D$1048576,MATCH(B569,ref_Unit_Balance!$B$31:$B$1048576,0)),0),ref_Unit_Balance!$B$20:$B$23,0))*D569*ref_Unit_Balance!$C$25,0)</f>
        <v>239</v>
      </c>
      <c r="F569" s="5">
        <f>INDEX(ref_Unit_Balance!$V$31:$V$106,MATCH(UnitGradeInfo!B569,ref_Unit_Balance!$B$31:$B$1048576,0))
+
INDEX(ref_Unit_Balance!$AB$31:$AB$106,MATCH(UnitGradeInfo!B569,ref_Unit_Balance!$B$31:$B$1048576,0))*(D569-1)</f>
        <v>2450</v>
      </c>
      <c r="G569" s="5">
        <f>INDEX(ref_Unit_Balance!$R$31:$R$106,MATCH(UnitGradeInfo!B569,ref_Unit_Balance!$B$31:$B$1048576,0))
+
INDEX(ref_Unit_Balance!$AA$31:$AA$106,MATCH(UnitGradeInfo!B569,ref_Unit_Balance!$B$31:$B$1048576,0))*(D569-1)</f>
        <v>80</v>
      </c>
      <c r="H569" s="39">
        <f>IF(INDEX(Unitinfo!D:D,MATCH(UnitGradeInfo!B569,Unitinfo!A:A,0))=1,50,5)</f>
        <v>50</v>
      </c>
      <c r="I569" s="5">
        <f>IF(INDEX(ref_Unit_Balance!$T$31:$T$106,MATCH(UnitGradeInfo!B569,ref_Unit_Balance!$B$31:$B$1048576,0))=0,1,INDEX(ref_Unit_Balance!$T$31:$T$106,MATCH(UnitGradeInfo!B569,ref_Unit_Balance!$B$31:$B$1048576,0)))</f>
        <v>5</v>
      </c>
      <c r="J569" s="5">
        <f>INDEX(ref_Unit_Balance!$S$31:$S$106,MATCH(UnitGradeInfo!B569,ref_Unit_Balance!$B$31:$B$1048576,0))</f>
        <v>800</v>
      </c>
      <c r="K569" s="5">
        <v>0</v>
      </c>
      <c r="L569" s="5">
        <f>INDEX(ref_Unit_Balance!$I$31:$I$106,MATCH(UnitGradeInfo!B569,ref_Unit_Balance!$B$31:$B$1048576,0))</f>
        <v>3</v>
      </c>
      <c r="M569" s="5">
        <f t="shared" si="58"/>
        <v>2</v>
      </c>
      <c r="N569" s="5">
        <f t="shared" si="59"/>
        <v>20</v>
      </c>
      <c r="O569" s="5">
        <f>(INDEX(Unitinfo!I:I,MATCH(B569,Unitinfo!A:A,0))+1)*2</f>
        <v>4</v>
      </c>
      <c r="P569" s="5">
        <v>0</v>
      </c>
      <c r="Q569" s="5">
        <v>0</v>
      </c>
      <c r="R569" s="19" t="s">
        <v>421</v>
      </c>
      <c r="S569" s="19" t="s">
        <v>421</v>
      </c>
      <c r="T569" s="5">
        <f t="shared" si="61"/>
        <v>2027</v>
      </c>
      <c r="U569" s="5">
        <f t="shared" si="62"/>
        <v>1</v>
      </c>
      <c r="V569" s="5">
        <v>0</v>
      </c>
      <c r="W569" s="5">
        <v>10</v>
      </c>
    </row>
    <row r="570" spans="1:23">
      <c r="A570" s="5">
        <f t="shared" si="60"/>
        <v>567</v>
      </c>
      <c r="B570" s="93">
        <f t="shared" si="63"/>
        <v>2027</v>
      </c>
      <c r="C570" s="20" t="str">
        <f>INDEX(Unitinfo!C:C,MATCH(UnitGradeInfo!B570,Unitinfo!A:A,0))</f>
        <v>(원거리)Golem_Fire</v>
      </c>
      <c r="D570" s="5">
        <f>COUNTIF($B$4:B570,B570)</f>
        <v>2</v>
      </c>
      <c r="E570" s="5">
        <f>ROUNDDOWN(INDEX(ref_Unit_Balance!$G$31:$G$106,MATCH(UnitGradeInfo!B570,ref_Unit_Balance!$B$31:$B$1048576,0))
+INDEX(ref_Unit_Balance!$G$20:$G$23,MATCH(IFERROR(INDEX(ref_Unit_Balance!$D$31:$D$1048576,MATCH(B570,ref_Unit_Balance!$B$31:$B$1048576,0)),0),ref_Unit_Balance!$B$20:$B$23,0))*D570*ref_Unit_Balance!$C$25,0)</f>
        <v>302</v>
      </c>
      <c r="F570" s="5">
        <f>INDEX(ref_Unit_Balance!$V$31:$V$106,MATCH(UnitGradeInfo!B570,ref_Unit_Balance!$B$31:$B$1048576,0))
+
INDEX(ref_Unit_Balance!$AB$31:$AB$106,MATCH(UnitGradeInfo!B570,ref_Unit_Balance!$B$31:$B$1048576,0))*(D570-1)</f>
        <v>2650</v>
      </c>
      <c r="G570" s="5">
        <f>INDEX(ref_Unit_Balance!$R$31:$R$106,MATCH(UnitGradeInfo!B570,ref_Unit_Balance!$B$31:$B$1048576,0))
+
INDEX(ref_Unit_Balance!$AA$31:$AA$106,MATCH(UnitGradeInfo!B570,ref_Unit_Balance!$B$31:$B$1048576,0))*(D570-1)</f>
        <v>90</v>
      </c>
      <c r="H570" s="39">
        <f>IF(INDEX(Unitinfo!D:D,MATCH(UnitGradeInfo!B570,Unitinfo!A:A,0))=1,50,5)</f>
        <v>50</v>
      </c>
      <c r="I570" s="5">
        <f>IF(INDEX(ref_Unit_Balance!$T$31:$T$106,MATCH(UnitGradeInfo!B570,ref_Unit_Balance!$B$31:$B$1048576,0))=0,1,INDEX(ref_Unit_Balance!$T$31:$T$106,MATCH(UnitGradeInfo!B570,ref_Unit_Balance!$B$31:$B$1048576,0)))</f>
        <v>5</v>
      </c>
      <c r="J570" s="5">
        <f>INDEX(ref_Unit_Balance!$S$31:$S$106,MATCH(UnitGradeInfo!B570,ref_Unit_Balance!$B$31:$B$1048576,0))</f>
        <v>800</v>
      </c>
      <c r="K570" s="5">
        <v>0</v>
      </c>
      <c r="L570" s="5">
        <f>INDEX(ref_Unit_Balance!$I$31:$I$106,MATCH(UnitGradeInfo!B570,ref_Unit_Balance!$B$31:$B$1048576,0))</f>
        <v>3</v>
      </c>
      <c r="M570" s="5">
        <f t="shared" si="58"/>
        <v>4</v>
      </c>
      <c r="N570" s="5">
        <f t="shared" si="59"/>
        <v>40</v>
      </c>
      <c r="O570" s="5">
        <f>(INDEX(Unitinfo!I:I,MATCH(B570,Unitinfo!A:A,0))+1)*2</f>
        <v>4</v>
      </c>
      <c r="P570" s="5">
        <v>0</v>
      </c>
      <c r="Q570" s="5">
        <v>0</v>
      </c>
      <c r="R570" s="19" t="s">
        <v>421</v>
      </c>
      <c r="S570" s="19" t="s">
        <v>421</v>
      </c>
      <c r="T570" s="5">
        <f t="shared" si="61"/>
        <v>2027</v>
      </c>
      <c r="U570" s="5">
        <f t="shared" si="62"/>
        <v>1</v>
      </c>
      <c r="V570" s="5">
        <v>0</v>
      </c>
      <c r="W570" s="5">
        <v>10</v>
      </c>
    </row>
    <row r="571" spans="1:23">
      <c r="A571" s="5">
        <f t="shared" si="60"/>
        <v>568</v>
      </c>
      <c r="B571" s="93">
        <f t="shared" si="63"/>
        <v>2027</v>
      </c>
      <c r="C571" s="20" t="str">
        <f>INDEX(Unitinfo!C:C,MATCH(UnitGradeInfo!B571,Unitinfo!A:A,0))</f>
        <v>(원거리)Golem_Fire</v>
      </c>
      <c r="D571" s="5">
        <f>COUNTIF($B$4:B571,B571)</f>
        <v>3</v>
      </c>
      <c r="E571" s="5">
        <f>ROUNDDOWN(INDEX(ref_Unit_Balance!$G$31:$G$106,MATCH(UnitGradeInfo!B571,ref_Unit_Balance!$B$31:$B$1048576,0))
+INDEX(ref_Unit_Balance!$G$20:$G$23,MATCH(IFERROR(INDEX(ref_Unit_Balance!$D$31:$D$1048576,MATCH(B571,ref_Unit_Balance!$B$31:$B$1048576,0)),0),ref_Unit_Balance!$B$20:$B$23,0))*D571*ref_Unit_Balance!$C$25,0)</f>
        <v>364</v>
      </c>
      <c r="F571" s="5">
        <f>INDEX(ref_Unit_Balance!$V$31:$V$106,MATCH(UnitGradeInfo!B571,ref_Unit_Balance!$B$31:$B$1048576,0))
+
INDEX(ref_Unit_Balance!$AB$31:$AB$106,MATCH(UnitGradeInfo!B571,ref_Unit_Balance!$B$31:$B$1048576,0))*(D571-1)</f>
        <v>2850</v>
      </c>
      <c r="G571" s="5">
        <f>INDEX(ref_Unit_Balance!$R$31:$R$106,MATCH(UnitGradeInfo!B571,ref_Unit_Balance!$B$31:$B$1048576,0))
+
INDEX(ref_Unit_Balance!$AA$31:$AA$106,MATCH(UnitGradeInfo!B571,ref_Unit_Balance!$B$31:$B$1048576,0))*(D571-1)</f>
        <v>100</v>
      </c>
      <c r="H571" s="39">
        <f>IF(INDEX(Unitinfo!D:D,MATCH(UnitGradeInfo!B571,Unitinfo!A:A,0))=1,50,5)</f>
        <v>50</v>
      </c>
      <c r="I571" s="5">
        <f>IF(INDEX(ref_Unit_Balance!$T$31:$T$106,MATCH(UnitGradeInfo!B571,ref_Unit_Balance!$B$31:$B$1048576,0))=0,1,INDEX(ref_Unit_Balance!$T$31:$T$106,MATCH(UnitGradeInfo!B571,ref_Unit_Balance!$B$31:$B$1048576,0)))</f>
        <v>5</v>
      </c>
      <c r="J571" s="5">
        <f>INDEX(ref_Unit_Balance!$S$31:$S$106,MATCH(UnitGradeInfo!B571,ref_Unit_Balance!$B$31:$B$1048576,0))</f>
        <v>800</v>
      </c>
      <c r="K571" s="5">
        <v>0</v>
      </c>
      <c r="L571" s="5">
        <f>INDEX(ref_Unit_Balance!$I$31:$I$106,MATCH(UnitGradeInfo!B571,ref_Unit_Balance!$B$31:$B$1048576,0))</f>
        <v>3</v>
      </c>
      <c r="M571" s="5">
        <f t="shared" si="58"/>
        <v>6</v>
      </c>
      <c r="N571" s="5">
        <f t="shared" si="59"/>
        <v>60</v>
      </c>
      <c r="O571" s="5">
        <f>(INDEX(Unitinfo!I:I,MATCH(B571,Unitinfo!A:A,0))+1)*2</f>
        <v>4</v>
      </c>
      <c r="P571" s="5">
        <v>0</v>
      </c>
      <c r="Q571" s="5">
        <v>0</v>
      </c>
      <c r="R571" s="19" t="s">
        <v>421</v>
      </c>
      <c r="S571" s="19" t="s">
        <v>421</v>
      </c>
      <c r="T571" s="5">
        <f t="shared" si="61"/>
        <v>2027</v>
      </c>
      <c r="U571" s="5">
        <f t="shared" si="62"/>
        <v>1</v>
      </c>
      <c r="V571" s="5">
        <v>0</v>
      </c>
      <c r="W571" s="5">
        <v>10</v>
      </c>
    </row>
    <row r="572" spans="1:23">
      <c r="A572" s="5">
        <f t="shared" si="60"/>
        <v>569</v>
      </c>
      <c r="B572" s="93">
        <f t="shared" si="63"/>
        <v>2027</v>
      </c>
      <c r="C572" s="20" t="str">
        <f>INDEX(Unitinfo!C:C,MATCH(UnitGradeInfo!B572,Unitinfo!A:A,0))</f>
        <v>(원거리)Golem_Fire</v>
      </c>
      <c r="D572" s="5">
        <f>COUNTIF($B$4:B572,B572)</f>
        <v>4</v>
      </c>
      <c r="E572" s="5">
        <f>ROUNDDOWN(INDEX(ref_Unit_Balance!$G$31:$G$106,MATCH(UnitGradeInfo!B572,ref_Unit_Balance!$B$31:$B$1048576,0))
+INDEX(ref_Unit_Balance!$G$20:$G$23,MATCH(IFERROR(INDEX(ref_Unit_Balance!$D$31:$D$1048576,MATCH(B572,ref_Unit_Balance!$B$31:$B$1048576,0)),0),ref_Unit_Balance!$B$20:$B$23,0))*D572*ref_Unit_Balance!$C$25,0)</f>
        <v>427</v>
      </c>
      <c r="F572" s="5">
        <f>INDEX(ref_Unit_Balance!$V$31:$V$106,MATCH(UnitGradeInfo!B572,ref_Unit_Balance!$B$31:$B$1048576,0))
+
INDEX(ref_Unit_Balance!$AB$31:$AB$106,MATCH(UnitGradeInfo!B572,ref_Unit_Balance!$B$31:$B$1048576,0))*(D572-1)</f>
        <v>3050</v>
      </c>
      <c r="G572" s="5">
        <f>INDEX(ref_Unit_Balance!$R$31:$R$106,MATCH(UnitGradeInfo!B572,ref_Unit_Balance!$B$31:$B$1048576,0))
+
INDEX(ref_Unit_Balance!$AA$31:$AA$106,MATCH(UnitGradeInfo!B572,ref_Unit_Balance!$B$31:$B$1048576,0))*(D572-1)</f>
        <v>110</v>
      </c>
      <c r="H572" s="39">
        <f>IF(INDEX(Unitinfo!D:D,MATCH(UnitGradeInfo!B572,Unitinfo!A:A,0))=1,50,5)</f>
        <v>50</v>
      </c>
      <c r="I572" s="5">
        <f>IF(INDEX(ref_Unit_Balance!$T$31:$T$106,MATCH(UnitGradeInfo!B572,ref_Unit_Balance!$B$31:$B$1048576,0))=0,1,INDEX(ref_Unit_Balance!$T$31:$T$106,MATCH(UnitGradeInfo!B572,ref_Unit_Balance!$B$31:$B$1048576,0)))</f>
        <v>5</v>
      </c>
      <c r="J572" s="5">
        <f>INDEX(ref_Unit_Balance!$S$31:$S$106,MATCH(UnitGradeInfo!B572,ref_Unit_Balance!$B$31:$B$1048576,0))</f>
        <v>800</v>
      </c>
      <c r="K572" s="5">
        <v>0</v>
      </c>
      <c r="L572" s="5">
        <f>INDEX(ref_Unit_Balance!$I$31:$I$106,MATCH(UnitGradeInfo!B572,ref_Unit_Balance!$B$31:$B$1048576,0))</f>
        <v>3</v>
      </c>
      <c r="M572" s="5">
        <f t="shared" si="58"/>
        <v>8</v>
      </c>
      <c r="N572" s="5">
        <f t="shared" si="59"/>
        <v>80</v>
      </c>
      <c r="O572" s="5">
        <f>(INDEX(Unitinfo!I:I,MATCH(B572,Unitinfo!A:A,0))+1)*2</f>
        <v>4</v>
      </c>
      <c r="P572" s="5">
        <v>0</v>
      </c>
      <c r="Q572" s="5">
        <v>0</v>
      </c>
      <c r="R572" s="19" t="s">
        <v>421</v>
      </c>
      <c r="S572" s="19" t="s">
        <v>421</v>
      </c>
      <c r="T572" s="5">
        <f t="shared" si="61"/>
        <v>2027</v>
      </c>
      <c r="U572" s="5">
        <f t="shared" si="62"/>
        <v>1</v>
      </c>
      <c r="V572" s="5">
        <v>0</v>
      </c>
      <c r="W572" s="5">
        <v>10</v>
      </c>
    </row>
    <row r="573" spans="1:23">
      <c r="A573" s="5">
        <f t="shared" si="60"/>
        <v>570</v>
      </c>
      <c r="B573" s="93">
        <f t="shared" si="63"/>
        <v>2027</v>
      </c>
      <c r="C573" s="20" t="str">
        <f>INDEX(Unitinfo!C:C,MATCH(UnitGradeInfo!B573,Unitinfo!A:A,0))</f>
        <v>(원거리)Golem_Fire</v>
      </c>
      <c r="D573" s="5">
        <f>COUNTIF($B$4:B573,B573)</f>
        <v>5</v>
      </c>
      <c r="E573" s="5">
        <f>ROUNDDOWN(INDEX(ref_Unit_Balance!$G$31:$G$106,MATCH(UnitGradeInfo!B573,ref_Unit_Balance!$B$31:$B$1048576,0))
+INDEX(ref_Unit_Balance!$G$20:$G$23,MATCH(IFERROR(INDEX(ref_Unit_Balance!$D$31:$D$1048576,MATCH(B573,ref_Unit_Balance!$B$31:$B$1048576,0)),0),ref_Unit_Balance!$B$20:$B$23,0))*D573*ref_Unit_Balance!$C$25,0)</f>
        <v>489</v>
      </c>
      <c r="F573" s="5">
        <f>INDEX(ref_Unit_Balance!$V$31:$V$106,MATCH(UnitGradeInfo!B573,ref_Unit_Balance!$B$31:$B$1048576,0))
+
INDEX(ref_Unit_Balance!$AB$31:$AB$106,MATCH(UnitGradeInfo!B573,ref_Unit_Balance!$B$31:$B$1048576,0))*(D573-1)</f>
        <v>3250</v>
      </c>
      <c r="G573" s="5">
        <f>INDEX(ref_Unit_Balance!$R$31:$R$106,MATCH(UnitGradeInfo!B573,ref_Unit_Balance!$B$31:$B$1048576,0))
+
INDEX(ref_Unit_Balance!$AA$31:$AA$106,MATCH(UnitGradeInfo!B573,ref_Unit_Balance!$B$31:$B$1048576,0))*(D573-1)</f>
        <v>120</v>
      </c>
      <c r="H573" s="39">
        <f>IF(INDEX(Unitinfo!D:D,MATCH(UnitGradeInfo!B573,Unitinfo!A:A,0))=1,50,5)</f>
        <v>50</v>
      </c>
      <c r="I573" s="5">
        <f>IF(INDEX(ref_Unit_Balance!$T$31:$T$106,MATCH(UnitGradeInfo!B573,ref_Unit_Balance!$B$31:$B$1048576,0))=0,1,INDEX(ref_Unit_Balance!$T$31:$T$106,MATCH(UnitGradeInfo!B573,ref_Unit_Balance!$B$31:$B$1048576,0)))</f>
        <v>5</v>
      </c>
      <c r="J573" s="5">
        <f>INDEX(ref_Unit_Balance!$S$31:$S$106,MATCH(UnitGradeInfo!B573,ref_Unit_Balance!$B$31:$B$1048576,0))</f>
        <v>800</v>
      </c>
      <c r="K573" s="5">
        <v>0</v>
      </c>
      <c r="L573" s="5">
        <f>INDEX(ref_Unit_Balance!$I$31:$I$106,MATCH(UnitGradeInfo!B573,ref_Unit_Balance!$B$31:$B$1048576,0))</f>
        <v>3</v>
      </c>
      <c r="M573" s="5">
        <f t="shared" si="58"/>
        <v>10</v>
      </c>
      <c r="N573" s="5">
        <f t="shared" si="59"/>
        <v>100</v>
      </c>
      <c r="O573" s="5">
        <f>(INDEX(Unitinfo!I:I,MATCH(B573,Unitinfo!A:A,0))+1)*2</f>
        <v>4</v>
      </c>
      <c r="P573" s="5">
        <v>0</v>
      </c>
      <c r="Q573" s="5">
        <v>0</v>
      </c>
      <c r="R573" s="19" t="s">
        <v>421</v>
      </c>
      <c r="S573" s="19" t="s">
        <v>421</v>
      </c>
      <c r="T573" s="5">
        <f t="shared" si="61"/>
        <v>2027</v>
      </c>
      <c r="U573" s="5">
        <f t="shared" si="62"/>
        <v>1</v>
      </c>
      <c r="V573" s="5">
        <v>0</v>
      </c>
      <c r="W573" s="5">
        <v>10</v>
      </c>
    </row>
    <row r="574" spans="1:23">
      <c r="A574" s="5">
        <f t="shared" si="60"/>
        <v>571</v>
      </c>
      <c r="B574" s="93">
        <f t="shared" si="63"/>
        <v>2027</v>
      </c>
      <c r="C574" s="20" t="str">
        <f>INDEX(Unitinfo!C:C,MATCH(UnitGradeInfo!B574,Unitinfo!A:A,0))</f>
        <v>(원거리)Golem_Fire</v>
      </c>
      <c r="D574" s="5">
        <f>COUNTIF($B$4:B574,B574)</f>
        <v>6</v>
      </c>
      <c r="E574" s="5">
        <f>ROUNDDOWN(INDEX(ref_Unit_Balance!$G$31:$G$106,MATCH(UnitGradeInfo!B574,ref_Unit_Balance!$B$31:$B$1048576,0))
+INDEX(ref_Unit_Balance!$G$20:$G$23,MATCH(IFERROR(INDEX(ref_Unit_Balance!$D$31:$D$1048576,MATCH(B574,ref_Unit_Balance!$B$31:$B$1048576,0)),0),ref_Unit_Balance!$B$20:$B$23,0))*D574*ref_Unit_Balance!$C$25,0)</f>
        <v>552</v>
      </c>
      <c r="F574" s="5">
        <f>INDEX(ref_Unit_Balance!$V$31:$V$106,MATCH(UnitGradeInfo!B574,ref_Unit_Balance!$B$31:$B$1048576,0))
+
INDEX(ref_Unit_Balance!$AB$31:$AB$106,MATCH(UnitGradeInfo!B574,ref_Unit_Balance!$B$31:$B$1048576,0))*(D574-1)</f>
        <v>3450</v>
      </c>
      <c r="G574" s="5">
        <f>INDEX(ref_Unit_Balance!$R$31:$R$106,MATCH(UnitGradeInfo!B574,ref_Unit_Balance!$B$31:$B$1048576,0))
+
INDEX(ref_Unit_Balance!$AA$31:$AA$106,MATCH(UnitGradeInfo!B574,ref_Unit_Balance!$B$31:$B$1048576,0))*(D574-1)</f>
        <v>130</v>
      </c>
      <c r="H574" s="39">
        <f>IF(INDEX(Unitinfo!D:D,MATCH(UnitGradeInfo!B574,Unitinfo!A:A,0))=1,50,5)</f>
        <v>50</v>
      </c>
      <c r="I574" s="5">
        <f>IF(INDEX(ref_Unit_Balance!$T$31:$T$106,MATCH(UnitGradeInfo!B574,ref_Unit_Balance!$B$31:$B$1048576,0))=0,1,INDEX(ref_Unit_Balance!$T$31:$T$106,MATCH(UnitGradeInfo!B574,ref_Unit_Balance!$B$31:$B$1048576,0)))</f>
        <v>5</v>
      </c>
      <c r="J574" s="5">
        <f>INDEX(ref_Unit_Balance!$S$31:$S$106,MATCH(UnitGradeInfo!B574,ref_Unit_Balance!$B$31:$B$1048576,0))</f>
        <v>800</v>
      </c>
      <c r="K574" s="5">
        <v>0</v>
      </c>
      <c r="L574" s="5">
        <f>INDEX(ref_Unit_Balance!$I$31:$I$106,MATCH(UnitGradeInfo!B574,ref_Unit_Balance!$B$31:$B$1048576,0))</f>
        <v>3</v>
      </c>
      <c r="M574" s="5">
        <f t="shared" si="58"/>
        <v>12</v>
      </c>
      <c r="N574" s="5">
        <f t="shared" si="59"/>
        <v>120</v>
      </c>
      <c r="O574" s="5">
        <f>(INDEX(Unitinfo!I:I,MATCH(B574,Unitinfo!A:A,0))+1)*2</f>
        <v>4</v>
      </c>
      <c r="P574" s="5">
        <v>0</v>
      </c>
      <c r="Q574" s="5">
        <v>0</v>
      </c>
      <c r="R574" s="19" t="s">
        <v>421</v>
      </c>
      <c r="S574" s="19" t="s">
        <v>421</v>
      </c>
      <c r="T574" s="5">
        <f t="shared" si="61"/>
        <v>2027</v>
      </c>
      <c r="U574" s="5">
        <f t="shared" si="62"/>
        <v>1</v>
      </c>
      <c r="V574" s="5">
        <v>0</v>
      </c>
      <c r="W574" s="5">
        <v>10</v>
      </c>
    </row>
    <row r="575" spans="1:23">
      <c r="A575" s="5">
        <f t="shared" si="60"/>
        <v>572</v>
      </c>
      <c r="B575" s="93">
        <f t="shared" si="63"/>
        <v>2027</v>
      </c>
      <c r="C575" s="20" t="str">
        <f>INDEX(Unitinfo!C:C,MATCH(UnitGradeInfo!B575,Unitinfo!A:A,0))</f>
        <v>(원거리)Golem_Fire</v>
      </c>
      <c r="D575" s="5">
        <f>COUNTIF($B$4:B575,B575)</f>
        <v>7</v>
      </c>
      <c r="E575" s="5">
        <f>ROUNDDOWN(INDEX(ref_Unit_Balance!$G$31:$G$106,MATCH(UnitGradeInfo!B575,ref_Unit_Balance!$B$31:$B$1048576,0))
+INDEX(ref_Unit_Balance!$G$20:$G$23,MATCH(IFERROR(INDEX(ref_Unit_Balance!$D$31:$D$1048576,MATCH(B575,ref_Unit_Balance!$B$31:$B$1048576,0)),0),ref_Unit_Balance!$B$20:$B$23,0))*D575*ref_Unit_Balance!$C$25,0)</f>
        <v>614</v>
      </c>
      <c r="F575" s="5">
        <f>INDEX(ref_Unit_Balance!$V$31:$V$106,MATCH(UnitGradeInfo!B575,ref_Unit_Balance!$B$31:$B$1048576,0))
+
INDEX(ref_Unit_Balance!$AB$31:$AB$106,MATCH(UnitGradeInfo!B575,ref_Unit_Balance!$B$31:$B$1048576,0))*(D575-1)</f>
        <v>3650</v>
      </c>
      <c r="G575" s="5">
        <f>INDEX(ref_Unit_Balance!$R$31:$R$106,MATCH(UnitGradeInfo!B575,ref_Unit_Balance!$B$31:$B$1048576,0))
+
INDEX(ref_Unit_Balance!$AA$31:$AA$106,MATCH(UnitGradeInfo!B575,ref_Unit_Balance!$B$31:$B$1048576,0))*(D575-1)</f>
        <v>140</v>
      </c>
      <c r="H575" s="39">
        <f>IF(INDEX(Unitinfo!D:D,MATCH(UnitGradeInfo!B575,Unitinfo!A:A,0))=1,50,5)</f>
        <v>50</v>
      </c>
      <c r="I575" s="5">
        <f>IF(INDEX(ref_Unit_Balance!$T$31:$T$106,MATCH(UnitGradeInfo!B575,ref_Unit_Balance!$B$31:$B$1048576,0))=0,1,INDEX(ref_Unit_Balance!$T$31:$T$106,MATCH(UnitGradeInfo!B575,ref_Unit_Balance!$B$31:$B$1048576,0)))</f>
        <v>5</v>
      </c>
      <c r="J575" s="5">
        <f>INDEX(ref_Unit_Balance!$S$31:$S$106,MATCH(UnitGradeInfo!B575,ref_Unit_Balance!$B$31:$B$1048576,0))</f>
        <v>800</v>
      </c>
      <c r="K575" s="5">
        <v>0</v>
      </c>
      <c r="L575" s="5">
        <f>INDEX(ref_Unit_Balance!$I$31:$I$106,MATCH(UnitGradeInfo!B575,ref_Unit_Balance!$B$31:$B$1048576,0))</f>
        <v>3</v>
      </c>
      <c r="M575" s="5">
        <f t="shared" si="58"/>
        <v>14</v>
      </c>
      <c r="N575" s="5">
        <f t="shared" si="59"/>
        <v>140</v>
      </c>
      <c r="O575" s="5">
        <f>(INDEX(Unitinfo!I:I,MATCH(B575,Unitinfo!A:A,0))+1)*2</f>
        <v>4</v>
      </c>
      <c r="P575" s="5">
        <v>0</v>
      </c>
      <c r="Q575" s="5">
        <v>0</v>
      </c>
      <c r="R575" s="19" t="s">
        <v>421</v>
      </c>
      <c r="S575" s="19" t="s">
        <v>421</v>
      </c>
      <c r="T575" s="5">
        <f t="shared" si="61"/>
        <v>2027</v>
      </c>
      <c r="U575" s="5">
        <f t="shared" si="62"/>
        <v>1</v>
      </c>
      <c r="V575" s="5">
        <v>0</v>
      </c>
      <c r="W575" s="5">
        <v>10</v>
      </c>
    </row>
    <row r="576" spans="1:23">
      <c r="A576" s="5">
        <f t="shared" si="60"/>
        <v>573</v>
      </c>
      <c r="B576" s="93">
        <f t="shared" si="63"/>
        <v>2027</v>
      </c>
      <c r="C576" s="20" t="str">
        <f>INDEX(Unitinfo!C:C,MATCH(UnitGradeInfo!B576,Unitinfo!A:A,0))</f>
        <v>(원거리)Golem_Fire</v>
      </c>
      <c r="D576" s="5">
        <f>COUNTIF($B$4:B576,B576)</f>
        <v>8</v>
      </c>
      <c r="E576" s="5">
        <f>ROUNDDOWN(INDEX(ref_Unit_Balance!$G$31:$G$106,MATCH(UnitGradeInfo!B576,ref_Unit_Balance!$B$31:$B$1048576,0))
+INDEX(ref_Unit_Balance!$G$20:$G$23,MATCH(IFERROR(INDEX(ref_Unit_Balance!$D$31:$D$1048576,MATCH(B576,ref_Unit_Balance!$B$31:$B$1048576,0)),0),ref_Unit_Balance!$B$20:$B$23,0))*D576*ref_Unit_Balance!$C$25,0)</f>
        <v>677</v>
      </c>
      <c r="F576" s="5">
        <f>INDEX(ref_Unit_Balance!$V$31:$V$106,MATCH(UnitGradeInfo!B576,ref_Unit_Balance!$B$31:$B$1048576,0))
+
INDEX(ref_Unit_Balance!$AB$31:$AB$106,MATCH(UnitGradeInfo!B576,ref_Unit_Balance!$B$31:$B$1048576,0))*(D576-1)</f>
        <v>3850</v>
      </c>
      <c r="G576" s="5">
        <f>INDEX(ref_Unit_Balance!$R$31:$R$106,MATCH(UnitGradeInfo!B576,ref_Unit_Balance!$B$31:$B$1048576,0))
+
INDEX(ref_Unit_Balance!$AA$31:$AA$106,MATCH(UnitGradeInfo!B576,ref_Unit_Balance!$B$31:$B$1048576,0))*(D576-1)</f>
        <v>150</v>
      </c>
      <c r="H576" s="39">
        <f>IF(INDEX(Unitinfo!D:D,MATCH(UnitGradeInfo!B576,Unitinfo!A:A,0))=1,50,5)</f>
        <v>50</v>
      </c>
      <c r="I576" s="5">
        <f>IF(INDEX(ref_Unit_Balance!$T$31:$T$106,MATCH(UnitGradeInfo!B576,ref_Unit_Balance!$B$31:$B$1048576,0))=0,1,INDEX(ref_Unit_Balance!$T$31:$T$106,MATCH(UnitGradeInfo!B576,ref_Unit_Balance!$B$31:$B$1048576,0)))</f>
        <v>5</v>
      </c>
      <c r="J576" s="5">
        <f>INDEX(ref_Unit_Balance!$S$31:$S$106,MATCH(UnitGradeInfo!B576,ref_Unit_Balance!$B$31:$B$1048576,0))</f>
        <v>800</v>
      </c>
      <c r="K576" s="5">
        <v>0</v>
      </c>
      <c r="L576" s="5">
        <f>INDEX(ref_Unit_Balance!$I$31:$I$106,MATCH(UnitGradeInfo!B576,ref_Unit_Balance!$B$31:$B$1048576,0))</f>
        <v>3</v>
      </c>
      <c r="M576" s="5">
        <f t="shared" si="58"/>
        <v>16</v>
      </c>
      <c r="N576" s="5">
        <f t="shared" si="59"/>
        <v>160</v>
      </c>
      <c r="O576" s="5">
        <f>(INDEX(Unitinfo!I:I,MATCH(B576,Unitinfo!A:A,0))+1)*2</f>
        <v>4</v>
      </c>
      <c r="P576" s="5">
        <v>0</v>
      </c>
      <c r="Q576" s="5">
        <v>0</v>
      </c>
      <c r="R576" s="19" t="s">
        <v>421</v>
      </c>
      <c r="S576" s="19" t="s">
        <v>421</v>
      </c>
      <c r="T576" s="5">
        <f t="shared" si="61"/>
        <v>2027</v>
      </c>
      <c r="U576" s="5">
        <f t="shared" si="62"/>
        <v>1</v>
      </c>
      <c r="V576" s="5">
        <v>0</v>
      </c>
      <c r="W576" s="5">
        <v>10</v>
      </c>
    </row>
    <row r="577" spans="1:23">
      <c r="A577" s="5">
        <f t="shared" si="60"/>
        <v>574</v>
      </c>
      <c r="B577" s="93">
        <f t="shared" si="63"/>
        <v>2027</v>
      </c>
      <c r="C577" s="20" t="str">
        <f>INDEX(Unitinfo!C:C,MATCH(UnitGradeInfo!B577,Unitinfo!A:A,0))</f>
        <v>(원거리)Golem_Fire</v>
      </c>
      <c r="D577" s="5">
        <f>COUNTIF($B$4:B577,B577)</f>
        <v>9</v>
      </c>
      <c r="E577" s="5">
        <f>ROUNDDOWN(INDEX(ref_Unit_Balance!$G$31:$G$106,MATCH(UnitGradeInfo!B577,ref_Unit_Balance!$B$31:$B$1048576,0))
+INDEX(ref_Unit_Balance!$G$20:$G$23,MATCH(IFERROR(INDEX(ref_Unit_Balance!$D$31:$D$1048576,MATCH(B577,ref_Unit_Balance!$B$31:$B$1048576,0)),0),ref_Unit_Balance!$B$20:$B$23,0))*D577*ref_Unit_Balance!$C$25,0)</f>
        <v>739</v>
      </c>
      <c r="F577" s="5">
        <f>INDEX(ref_Unit_Balance!$V$31:$V$106,MATCH(UnitGradeInfo!B577,ref_Unit_Balance!$B$31:$B$1048576,0))
+
INDEX(ref_Unit_Balance!$AB$31:$AB$106,MATCH(UnitGradeInfo!B577,ref_Unit_Balance!$B$31:$B$1048576,0))*(D577-1)</f>
        <v>4050</v>
      </c>
      <c r="G577" s="5">
        <f>INDEX(ref_Unit_Balance!$R$31:$R$106,MATCH(UnitGradeInfo!B577,ref_Unit_Balance!$B$31:$B$1048576,0))
+
INDEX(ref_Unit_Balance!$AA$31:$AA$106,MATCH(UnitGradeInfo!B577,ref_Unit_Balance!$B$31:$B$1048576,0))*(D577-1)</f>
        <v>160</v>
      </c>
      <c r="H577" s="39">
        <f>IF(INDEX(Unitinfo!D:D,MATCH(UnitGradeInfo!B577,Unitinfo!A:A,0))=1,50,5)</f>
        <v>50</v>
      </c>
      <c r="I577" s="5">
        <f>IF(INDEX(ref_Unit_Balance!$T$31:$T$106,MATCH(UnitGradeInfo!B577,ref_Unit_Balance!$B$31:$B$1048576,0))=0,1,INDEX(ref_Unit_Balance!$T$31:$T$106,MATCH(UnitGradeInfo!B577,ref_Unit_Balance!$B$31:$B$1048576,0)))</f>
        <v>5</v>
      </c>
      <c r="J577" s="5">
        <f>INDEX(ref_Unit_Balance!$S$31:$S$106,MATCH(UnitGradeInfo!B577,ref_Unit_Balance!$B$31:$B$1048576,0))</f>
        <v>800</v>
      </c>
      <c r="K577" s="5">
        <v>0</v>
      </c>
      <c r="L577" s="5">
        <f>INDEX(ref_Unit_Balance!$I$31:$I$106,MATCH(UnitGradeInfo!B577,ref_Unit_Balance!$B$31:$B$1048576,0))</f>
        <v>3</v>
      </c>
      <c r="M577" s="5">
        <f t="shared" si="58"/>
        <v>18</v>
      </c>
      <c r="N577" s="5">
        <f t="shared" si="59"/>
        <v>180</v>
      </c>
      <c r="O577" s="5">
        <f>(INDEX(Unitinfo!I:I,MATCH(B577,Unitinfo!A:A,0))+1)*2</f>
        <v>4</v>
      </c>
      <c r="P577" s="5">
        <v>0</v>
      </c>
      <c r="Q577" s="5">
        <v>0</v>
      </c>
      <c r="R577" s="19" t="s">
        <v>421</v>
      </c>
      <c r="S577" s="19" t="s">
        <v>421</v>
      </c>
      <c r="T577" s="5">
        <f t="shared" si="61"/>
        <v>2027</v>
      </c>
      <c r="U577" s="5">
        <f t="shared" si="62"/>
        <v>1</v>
      </c>
      <c r="V577" s="5">
        <v>0</v>
      </c>
      <c r="W577" s="5">
        <v>10</v>
      </c>
    </row>
    <row r="578" spans="1:23">
      <c r="A578" s="5">
        <f t="shared" si="60"/>
        <v>575</v>
      </c>
      <c r="B578" s="93">
        <f t="shared" si="63"/>
        <v>2027</v>
      </c>
      <c r="C578" s="20" t="str">
        <f>INDEX(Unitinfo!C:C,MATCH(UnitGradeInfo!B578,Unitinfo!A:A,0))</f>
        <v>(원거리)Golem_Fire</v>
      </c>
      <c r="D578" s="5">
        <f>COUNTIF($B$4:B578,B578)</f>
        <v>10</v>
      </c>
      <c r="E578" s="5">
        <f>ROUNDDOWN(INDEX(ref_Unit_Balance!$G$31:$G$106,MATCH(UnitGradeInfo!B578,ref_Unit_Balance!$B$31:$B$1048576,0))
+INDEX(ref_Unit_Balance!$G$20:$G$23,MATCH(IFERROR(INDEX(ref_Unit_Balance!$D$31:$D$1048576,MATCH(B578,ref_Unit_Balance!$B$31:$B$1048576,0)),0),ref_Unit_Balance!$B$20:$B$23,0))*D578*ref_Unit_Balance!$C$25,0)</f>
        <v>802</v>
      </c>
      <c r="F578" s="5">
        <f>INDEX(ref_Unit_Balance!$V$31:$V$106,MATCH(UnitGradeInfo!B578,ref_Unit_Balance!$B$31:$B$1048576,0))
+
INDEX(ref_Unit_Balance!$AB$31:$AB$106,MATCH(UnitGradeInfo!B578,ref_Unit_Balance!$B$31:$B$1048576,0))*(D578-1)</f>
        <v>4250</v>
      </c>
      <c r="G578" s="5">
        <f>INDEX(ref_Unit_Balance!$R$31:$R$106,MATCH(UnitGradeInfo!B578,ref_Unit_Balance!$B$31:$B$1048576,0))
+
INDEX(ref_Unit_Balance!$AA$31:$AA$106,MATCH(UnitGradeInfo!B578,ref_Unit_Balance!$B$31:$B$1048576,0))*(D578-1)</f>
        <v>170</v>
      </c>
      <c r="H578" s="39">
        <f>IF(INDEX(Unitinfo!D:D,MATCH(UnitGradeInfo!B578,Unitinfo!A:A,0))=1,50,5)</f>
        <v>50</v>
      </c>
      <c r="I578" s="5">
        <f>IF(INDEX(ref_Unit_Balance!$T$31:$T$106,MATCH(UnitGradeInfo!B578,ref_Unit_Balance!$B$31:$B$1048576,0))=0,1,INDEX(ref_Unit_Balance!$T$31:$T$106,MATCH(UnitGradeInfo!B578,ref_Unit_Balance!$B$31:$B$1048576,0)))</f>
        <v>5</v>
      </c>
      <c r="J578" s="5">
        <f>INDEX(ref_Unit_Balance!$S$31:$S$106,MATCH(UnitGradeInfo!B578,ref_Unit_Balance!$B$31:$B$1048576,0))</f>
        <v>800</v>
      </c>
      <c r="K578" s="5">
        <v>0</v>
      </c>
      <c r="L578" s="5">
        <f>INDEX(ref_Unit_Balance!$I$31:$I$106,MATCH(UnitGradeInfo!B578,ref_Unit_Balance!$B$31:$B$1048576,0))</f>
        <v>3</v>
      </c>
      <c r="M578" s="5">
        <f t="shared" si="58"/>
        <v>20</v>
      </c>
      <c r="N578" s="5">
        <f t="shared" si="59"/>
        <v>200</v>
      </c>
      <c r="O578" s="5">
        <f>(INDEX(Unitinfo!I:I,MATCH(B578,Unitinfo!A:A,0))+1)*2</f>
        <v>4</v>
      </c>
      <c r="P578" s="5">
        <v>0</v>
      </c>
      <c r="Q578" s="5">
        <v>0</v>
      </c>
      <c r="R578" s="19" t="s">
        <v>421</v>
      </c>
      <c r="S578" s="19" t="s">
        <v>421</v>
      </c>
      <c r="T578" s="5">
        <f t="shared" si="61"/>
        <v>2027</v>
      </c>
      <c r="U578" s="5">
        <f t="shared" si="62"/>
        <v>1</v>
      </c>
      <c r="V578" s="5">
        <v>0</v>
      </c>
      <c r="W578" s="5">
        <v>10</v>
      </c>
    </row>
    <row r="579" spans="1:23">
      <c r="A579" s="5">
        <f t="shared" si="60"/>
        <v>576</v>
      </c>
      <c r="B579" s="93">
        <f t="shared" si="63"/>
        <v>2027</v>
      </c>
      <c r="C579" s="20" t="str">
        <f>INDEX(Unitinfo!C:C,MATCH(UnitGradeInfo!B579,Unitinfo!A:A,0))</f>
        <v>(원거리)Golem_Fire</v>
      </c>
      <c r="D579" s="5">
        <f>COUNTIF($B$4:B579,B579)</f>
        <v>11</v>
      </c>
      <c r="E579" s="5">
        <f>ROUNDDOWN(INDEX(ref_Unit_Balance!$G$31:$G$106,MATCH(UnitGradeInfo!B579,ref_Unit_Balance!$B$31:$B$1048576,0))
+INDEX(ref_Unit_Balance!$G$20:$G$23,MATCH(IFERROR(INDEX(ref_Unit_Balance!$D$31:$D$1048576,MATCH(B579,ref_Unit_Balance!$B$31:$B$1048576,0)),0),ref_Unit_Balance!$B$20:$B$23,0))*D579*ref_Unit_Balance!$C$25,0)</f>
        <v>864</v>
      </c>
      <c r="F579" s="5">
        <f>INDEX(ref_Unit_Balance!$V$31:$V$106,MATCH(UnitGradeInfo!B579,ref_Unit_Balance!$B$31:$B$1048576,0))
+
INDEX(ref_Unit_Balance!$AB$31:$AB$106,MATCH(UnitGradeInfo!B579,ref_Unit_Balance!$B$31:$B$1048576,0))*(D579-1)</f>
        <v>4450</v>
      </c>
      <c r="G579" s="5">
        <f>INDEX(ref_Unit_Balance!$R$31:$R$106,MATCH(UnitGradeInfo!B579,ref_Unit_Balance!$B$31:$B$1048576,0))
+
INDEX(ref_Unit_Balance!$AA$31:$AA$106,MATCH(UnitGradeInfo!B579,ref_Unit_Balance!$B$31:$B$1048576,0))*(D579-1)</f>
        <v>180</v>
      </c>
      <c r="H579" s="39">
        <f>IF(INDEX(Unitinfo!D:D,MATCH(UnitGradeInfo!B579,Unitinfo!A:A,0))=1,50,5)</f>
        <v>50</v>
      </c>
      <c r="I579" s="5">
        <f>IF(INDEX(ref_Unit_Balance!$T$31:$T$106,MATCH(UnitGradeInfo!B579,ref_Unit_Balance!$B$31:$B$1048576,0))=0,1,INDEX(ref_Unit_Balance!$T$31:$T$106,MATCH(UnitGradeInfo!B579,ref_Unit_Balance!$B$31:$B$1048576,0)))</f>
        <v>5</v>
      </c>
      <c r="J579" s="5">
        <f>INDEX(ref_Unit_Balance!$S$31:$S$106,MATCH(UnitGradeInfo!B579,ref_Unit_Balance!$B$31:$B$1048576,0))</f>
        <v>800</v>
      </c>
      <c r="K579" s="5">
        <v>0</v>
      </c>
      <c r="L579" s="5">
        <f>INDEX(ref_Unit_Balance!$I$31:$I$106,MATCH(UnitGradeInfo!B579,ref_Unit_Balance!$B$31:$B$1048576,0))</f>
        <v>3</v>
      </c>
      <c r="M579" s="5">
        <f t="shared" si="58"/>
        <v>22</v>
      </c>
      <c r="N579" s="5">
        <f t="shared" si="59"/>
        <v>220</v>
      </c>
      <c r="O579" s="5">
        <f>(INDEX(Unitinfo!I:I,MATCH(B579,Unitinfo!A:A,0))+1)*2</f>
        <v>4</v>
      </c>
      <c r="P579" s="5">
        <v>0</v>
      </c>
      <c r="Q579" s="5">
        <v>0</v>
      </c>
      <c r="R579" s="19" t="s">
        <v>421</v>
      </c>
      <c r="S579" s="19" t="s">
        <v>421</v>
      </c>
      <c r="T579" s="5">
        <f t="shared" si="61"/>
        <v>2027</v>
      </c>
      <c r="U579" s="5">
        <f t="shared" si="62"/>
        <v>1</v>
      </c>
      <c r="V579" s="5">
        <v>0</v>
      </c>
      <c r="W579" s="5">
        <v>10</v>
      </c>
    </row>
    <row r="580" spans="1:23">
      <c r="A580" s="5">
        <f t="shared" si="60"/>
        <v>577</v>
      </c>
      <c r="B580" s="93">
        <f t="shared" si="63"/>
        <v>2027</v>
      </c>
      <c r="C580" s="20" t="str">
        <f>INDEX(Unitinfo!C:C,MATCH(UnitGradeInfo!B580,Unitinfo!A:A,0))</f>
        <v>(원거리)Golem_Fire</v>
      </c>
      <c r="D580" s="5">
        <f>COUNTIF($B$4:B580,B580)</f>
        <v>12</v>
      </c>
      <c r="E580" s="5">
        <f>ROUNDDOWN(INDEX(ref_Unit_Balance!$G$31:$G$106,MATCH(UnitGradeInfo!B580,ref_Unit_Balance!$B$31:$B$1048576,0))
+INDEX(ref_Unit_Balance!$G$20:$G$23,MATCH(IFERROR(INDEX(ref_Unit_Balance!$D$31:$D$1048576,MATCH(B580,ref_Unit_Balance!$B$31:$B$1048576,0)),0),ref_Unit_Balance!$B$20:$B$23,0))*D580*ref_Unit_Balance!$C$25,0)</f>
        <v>927</v>
      </c>
      <c r="F580" s="5">
        <f>INDEX(ref_Unit_Balance!$V$31:$V$106,MATCH(UnitGradeInfo!B580,ref_Unit_Balance!$B$31:$B$1048576,0))
+
INDEX(ref_Unit_Balance!$AB$31:$AB$106,MATCH(UnitGradeInfo!B580,ref_Unit_Balance!$B$31:$B$1048576,0))*(D580-1)</f>
        <v>4650</v>
      </c>
      <c r="G580" s="5">
        <f>INDEX(ref_Unit_Balance!$R$31:$R$106,MATCH(UnitGradeInfo!B580,ref_Unit_Balance!$B$31:$B$1048576,0))
+
INDEX(ref_Unit_Balance!$AA$31:$AA$106,MATCH(UnitGradeInfo!B580,ref_Unit_Balance!$B$31:$B$1048576,0))*(D580-1)</f>
        <v>190</v>
      </c>
      <c r="H580" s="39">
        <f>IF(INDEX(Unitinfo!D:D,MATCH(UnitGradeInfo!B580,Unitinfo!A:A,0))=1,50,5)</f>
        <v>50</v>
      </c>
      <c r="I580" s="5">
        <f>IF(INDEX(ref_Unit_Balance!$T$31:$T$106,MATCH(UnitGradeInfo!B580,ref_Unit_Balance!$B$31:$B$1048576,0))=0,1,INDEX(ref_Unit_Balance!$T$31:$T$106,MATCH(UnitGradeInfo!B580,ref_Unit_Balance!$B$31:$B$1048576,0)))</f>
        <v>5</v>
      </c>
      <c r="J580" s="5">
        <f>INDEX(ref_Unit_Balance!$S$31:$S$106,MATCH(UnitGradeInfo!B580,ref_Unit_Balance!$B$31:$B$1048576,0))</f>
        <v>800</v>
      </c>
      <c r="K580" s="5">
        <v>0</v>
      </c>
      <c r="L580" s="5">
        <f>INDEX(ref_Unit_Balance!$I$31:$I$106,MATCH(UnitGradeInfo!B580,ref_Unit_Balance!$B$31:$B$1048576,0))</f>
        <v>3</v>
      </c>
      <c r="M580" s="5">
        <f t="shared" si="58"/>
        <v>24</v>
      </c>
      <c r="N580" s="5">
        <f t="shared" si="59"/>
        <v>240</v>
      </c>
      <c r="O580" s="5">
        <f>(INDEX(Unitinfo!I:I,MATCH(B580,Unitinfo!A:A,0))+1)*2</f>
        <v>4</v>
      </c>
      <c r="P580" s="5">
        <v>0</v>
      </c>
      <c r="Q580" s="5">
        <v>0</v>
      </c>
      <c r="R580" s="19" t="s">
        <v>421</v>
      </c>
      <c r="S580" s="19" t="s">
        <v>421</v>
      </c>
      <c r="T580" s="5">
        <f t="shared" si="61"/>
        <v>2027</v>
      </c>
      <c r="U580" s="5">
        <f t="shared" si="62"/>
        <v>1</v>
      </c>
      <c r="V580" s="5">
        <v>0</v>
      </c>
      <c r="W580" s="5">
        <v>10</v>
      </c>
    </row>
    <row r="581" spans="1:23">
      <c r="A581" s="5">
        <f t="shared" si="60"/>
        <v>578</v>
      </c>
      <c r="B581" s="93">
        <f t="shared" si="63"/>
        <v>2027</v>
      </c>
      <c r="C581" s="20" t="str">
        <f>INDEX(Unitinfo!C:C,MATCH(UnitGradeInfo!B581,Unitinfo!A:A,0))</f>
        <v>(원거리)Golem_Fire</v>
      </c>
      <c r="D581" s="5">
        <f>COUNTIF($B$4:B581,B581)</f>
        <v>13</v>
      </c>
      <c r="E581" s="5">
        <f>ROUNDDOWN(INDEX(ref_Unit_Balance!$G$31:$G$106,MATCH(UnitGradeInfo!B581,ref_Unit_Balance!$B$31:$B$1048576,0))
+INDEX(ref_Unit_Balance!$G$20:$G$23,MATCH(IFERROR(INDEX(ref_Unit_Balance!$D$31:$D$1048576,MATCH(B581,ref_Unit_Balance!$B$31:$B$1048576,0)),0),ref_Unit_Balance!$B$20:$B$23,0))*D581*ref_Unit_Balance!$C$25,0)</f>
        <v>989</v>
      </c>
      <c r="F581" s="5">
        <f>INDEX(ref_Unit_Balance!$V$31:$V$106,MATCH(UnitGradeInfo!B581,ref_Unit_Balance!$B$31:$B$1048576,0))
+
INDEX(ref_Unit_Balance!$AB$31:$AB$106,MATCH(UnitGradeInfo!B581,ref_Unit_Balance!$B$31:$B$1048576,0))*(D581-1)</f>
        <v>4850</v>
      </c>
      <c r="G581" s="5">
        <f>INDEX(ref_Unit_Balance!$R$31:$R$106,MATCH(UnitGradeInfo!B581,ref_Unit_Balance!$B$31:$B$1048576,0))
+
INDEX(ref_Unit_Balance!$AA$31:$AA$106,MATCH(UnitGradeInfo!B581,ref_Unit_Balance!$B$31:$B$1048576,0))*(D581-1)</f>
        <v>200</v>
      </c>
      <c r="H581" s="39">
        <f>IF(INDEX(Unitinfo!D:D,MATCH(UnitGradeInfo!B581,Unitinfo!A:A,0))=1,50,5)</f>
        <v>50</v>
      </c>
      <c r="I581" s="5">
        <f>IF(INDEX(ref_Unit_Balance!$T$31:$T$106,MATCH(UnitGradeInfo!B581,ref_Unit_Balance!$B$31:$B$1048576,0))=0,1,INDEX(ref_Unit_Balance!$T$31:$T$106,MATCH(UnitGradeInfo!B581,ref_Unit_Balance!$B$31:$B$1048576,0)))</f>
        <v>5</v>
      </c>
      <c r="J581" s="5">
        <f>INDEX(ref_Unit_Balance!$S$31:$S$106,MATCH(UnitGradeInfo!B581,ref_Unit_Balance!$B$31:$B$1048576,0))</f>
        <v>800</v>
      </c>
      <c r="K581" s="5">
        <v>0</v>
      </c>
      <c r="L581" s="5">
        <f>INDEX(ref_Unit_Balance!$I$31:$I$106,MATCH(UnitGradeInfo!B581,ref_Unit_Balance!$B$31:$B$1048576,0))</f>
        <v>3</v>
      </c>
      <c r="M581" s="5">
        <f t="shared" ref="M581:M644" si="64">D581*2</f>
        <v>26</v>
      </c>
      <c r="N581" s="5">
        <f t="shared" ref="N581:N644" si="65">D581*20</f>
        <v>260</v>
      </c>
      <c r="O581" s="5">
        <f>(INDEX(Unitinfo!I:I,MATCH(B581,Unitinfo!A:A,0))+1)*2</f>
        <v>4</v>
      </c>
      <c r="P581" s="5">
        <v>0</v>
      </c>
      <c r="Q581" s="5">
        <v>0</v>
      </c>
      <c r="R581" s="19" t="s">
        <v>421</v>
      </c>
      <c r="S581" s="19" t="s">
        <v>421</v>
      </c>
      <c r="T581" s="5">
        <f t="shared" si="61"/>
        <v>2027</v>
      </c>
      <c r="U581" s="5">
        <f t="shared" si="62"/>
        <v>1</v>
      </c>
      <c r="V581" s="5">
        <v>0</v>
      </c>
      <c r="W581" s="5">
        <v>10</v>
      </c>
    </row>
    <row r="582" spans="1:23">
      <c r="A582" s="5">
        <f t="shared" si="60"/>
        <v>579</v>
      </c>
      <c r="B582" s="93">
        <f t="shared" si="63"/>
        <v>2027</v>
      </c>
      <c r="C582" s="20" t="str">
        <f>INDEX(Unitinfo!C:C,MATCH(UnitGradeInfo!B582,Unitinfo!A:A,0))</f>
        <v>(원거리)Golem_Fire</v>
      </c>
      <c r="D582" s="5">
        <f>COUNTIF($B$4:B582,B582)</f>
        <v>14</v>
      </c>
      <c r="E582" s="5">
        <f>ROUNDDOWN(INDEX(ref_Unit_Balance!$G$31:$G$106,MATCH(UnitGradeInfo!B582,ref_Unit_Balance!$B$31:$B$1048576,0))
+INDEX(ref_Unit_Balance!$G$20:$G$23,MATCH(IFERROR(INDEX(ref_Unit_Balance!$D$31:$D$1048576,MATCH(B582,ref_Unit_Balance!$B$31:$B$1048576,0)),0),ref_Unit_Balance!$B$20:$B$23,0))*D582*ref_Unit_Balance!$C$25,0)</f>
        <v>1052</v>
      </c>
      <c r="F582" s="5">
        <f>INDEX(ref_Unit_Balance!$V$31:$V$106,MATCH(UnitGradeInfo!B582,ref_Unit_Balance!$B$31:$B$1048576,0))
+
INDEX(ref_Unit_Balance!$AB$31:$AB$106,MATCH(UnitGradeInfo!B582,ref_Unit_Balance!$B$31:$B$1048576,0))*(D582-1)</f>
        <v>5050</v>
      </c>
      <c r="G582" s="5">
        <f>INDEX(ref_Unit_Balance!$R$31:$R$106,MATCH(UnitGradeInfo!B582,ref_Unit_Balance!$B$31:$B$1048576,0))
+
INDEX(ref_Unit_Balance!$AA$31:$AA$106,MATCH(UnitGradeInfo!B582,ref_Unit_Balance!$B$31:$B$1048576,0))*(D582-1)</f>
        <v>210</v>
      </c>
      <c r="H582" s="39">
        <f>IF(INDEX(Unitinfo!D:D,MATCH(UnitGradeInfo!B582,Unitinfo!A:A,0))=1,50,5)</f>
        <v>50</v>
      </c>
      <c r="I582" s="5">
        <f>IF(INDEX(ref_Unit_Balance!$T$31:$T$106,MATCH(UnitGradeInfo!B582,ref_Unit_Balance!$B$31:$B$1048576,0))=0,1,INDEX(ref_Unit_Balance!$T$31:$T$106,MATCH(UnitGradeInfo!B582,ref_Unit_Balance!$B$31:$B$1048576,0)))</f>
        <v>5</v>
      </c>
      <c r="J582" s="5">
        <f>INDEX(ref_Unit_Balance!$S$31:$S$106,MATCH(UnitGradeInfo!B582,ref_Unit_Balance!$B$31:$B$1048576,0))</f>
        <v>800</v>
      </c>
      <c r="K582" s="5">
        <v>0</v>
      </c>
      <c r="L582" s="5">
        <f>INDEX(ref_Unit_Balance!$I$31:$I$106,MATCH(UnitGradeInfo!B582,ref_Unit_Balance!$B$31:$B$1048576,0))</f>
        <v>3</v>
      </c>
      <c r="M582" s="5">
        <f t="shared" si="64"/>
        <v>28</v>
      </c>
      <c r="N582" s="5">
        <f t="shared" si="65"/>
        <v>280</v>
      </c>
      <c r="O582" s="5">
        <f>(INDEX(Unitinfo!I:I,MATCH(B582,Unitinfo!A:A,0))+1)*2</f>
        <v>4</v>
      </c>
      <c r="P582" s="5">
        <v>0</v>
      </c>
      <c r="Q582" s="5">
        <v>0</v>
      </c>
      <c r="R582" s="19" t="s">
        <v>421</v>
      </c>
      <c r="S582" s="19" t="s">
        <v>421</v>
      </c>
      <c r="T582" s="5">
        <f t="shared" si="61"/>
        <v>2027</v>
      </c>
      <c r="U582" s="5">
        <f t="shared" si="62"/>
        <v>1</v>
      </c>
      <c r="V582" s="5">
        <v>0</v>
      </c>
      <c r="W582" s="5">
        <v>10</v>
      </c>
    </row>
    <row r="583" spans="1:23">
      <c r="A583" s="5">
        <f t="shared" si="60"/>
        <v>580</v>
      </c>
      <c r="B583" s="93">
        <f t="shared" si="63"/>
        <v>2027</v>
      </c>
      <c r="C583" s="20" t="str">
        <f>INDEX(Unitinfo!C:C,MATCH(UnitGradeInfo!B583,Unitinfo!A:A,0))</f>
        <v>(원거리)Golem_Fire</v>
      </c>
      <c r="D583" s="5">
        <f>COUNTIF($B$4:B583,B583)</f>
        <v>15</v>
      </c>
      <c r="E583" s="5">
        <f>ROUNDDOWN(INDEX(ref_Unit_Balance!$G$31:$G$106,MATCH(UnitGradeInfo!B583,ref_Unit_Balance!$B$31:$B$1048576,0))
+INDEX(ref_Unit_Balance!$G$20:$G$23,MATCH(IFERROR(INDEX(ref_Unit_Balance!$D$31:$D$1048576,MATCH(B583,ref_Unit_Balance!$B$31:$B$1048576,0)),0),ref_Unit_Balance!$B$20:$B$23,0))*D583*ref_Unit_Balance!$C$25,0)</f>
        <v>1114</v>
      </c>
      <c r="F583" s="5">
        <f>INDEX(ref_Unit_Balance!$V$31:$V$106,MATCH(UnitGradeInfo!B583,ref_Unit_Balance!$B$31:$B$1048576,0))
+
INDEX(ref_Unit_Balance!$AB$31:$AB$106,MATCH(UnitGradeInfo!B583,ref_Unit_Balance!$B$31:$B$1048576,0))*(D583-1)</f>
        <v>5250</v>
      </c>
      <c r="G583" s="5">
        <f>INDEX(ref_Unit_Balance!$R$31:$R$106,MATCH(UnitGradeInfo!B583,ref_Unit_Balance!$B$31:$B$1048576,0))
+
INDEX(ref_Unit_Balance!$AA$31:$AA$106,MATCH(UnitGradeInfo!B583,ref_Unit_Balance!$B$31:$B$1048576,0))*(D583-1)</f>
        <v>220</v>
      </c>
      <c r="H583" s="39">
        <f>IF(INDEX(Unitinfo!D:D,MATCH(UnitGradeInfo!B583,Unitinfo!A:A,0))=1,50,5)</f>
        <v>50</v>
      </c>
      <c r="I583" s="5">
        <f>IF(INDEX(ref_Unit_Balance!$T$31:$T$106,MATCH(UnitGradeInfo!B583,ref_Unit_Balance!$B$31:$B$1048576,0))=0,1,INDEX(ref_Unit_Balance!$T$31:$T$106,MATCH(UnitGradeInfo!B583,ref_Unit_Balance!$B$31:$B$1048576,0)))</f>
        <v>5</v>
      </c>
      <c r="J583" s="5">
        <f>INDEX(ref_Unit_Balance!$S$31:$S$106,MATCH(UnitGradeInfo!B583,ref_Unit_Balance!$B$31:$B$1048576,0))</f>
        <v>800</v>
      </c>
      <c r="K583" s="5">
        <v>0</v>
      </c>
      <c r="L583" s="5">
        <f>INDEX(ref_Unit_Balance!$I$31:$I$106,MATCH(UnitGradeInfo!B583,ref_Unit_Balance!$B$31:$B$1048576,0))</f>
        <v>3</v>
      </c>
      <c r="M583" s="5">
        <f t="shared" si="64"/>
        <v>30</v>
      </c>
      <c r="N583" s="5">
        <f t="shared" si="65"/>
        <v>300</v>
      </c>
      <c r="O583" s="5">
        <f>(INDEX(Unitinfo!I:I,MATCH(B583,Unitinfo!A:A,0))+1)*2</f>
        <v>4</v>
      </c>
      <c r="P583" s="5">
        <v>0</v>
      </c>
      <c r="Q583" s="5">
        <v>0</v>
      </c>
      <c r="R583" s="19" t="s">
        <v>421</v>
      </c>
      <c r="S583" s="19" t="s">
        <v>421</v>
      </c>
      <c r="T583" s="5">
        <f t="shared" si="61"/>
        <v>2027</v>
      </c>
      <c r="U583" s="5">
        <f t="shared" si="62"/>
        <v>1</v>
      </c>
      <c r="V583" s="5">
        <v>0</v>
      </c>
      <c r="W583" s="5">
        <v>10</v>
      </c>
    </row>
    <row r="584" spans="1:23">
      <c r="A584" s="5">
        <f t="shared" si="60"/>
        <v>581</v>
      </c>
      <c r="B584" s="93">
        <f t="shared" si="63"/>
        <v>2027</v>
      </c>
      <c r="C584" s="20" t="str">
        <f>INDEX(Unitinfo!C:C,MATCH(UnitGradeInfo!B584,Unitinfo!A:A,0))</f>
        <v>(원거리)Golem_Fire</v>
      </c>
      <c r="D584" s="5">
        <f>COUNTIF($B$4:B584,B584)</f>
        <v>16</v>
      </c>
      <c r="E584" s="5">
        <f>ROUNDDOWN(INDEX(ref_Unit_Balance!$G$31:$G$106,MATCH(UnitGradeInfo!B584,ref_Unit_Balance!$B$31:$B$1048576,0))
+INDEX(ref_Unit_Balance!$G$20:$G$23,MATCH(IFERROR(INDEX(ref_Unit_Balance!$D$31:$D$1048576,MATCH(B584,ref_Unit_Balance!$B$31:$B$1048576,0)),0),ref_Unit_Balance!$B$20:$B$23,0))*D584*ref_Unit_Balance!$C$25,0)</f>
        <v>1177</v>
      </c>
      <c r="F584" s="5">
        <f>INDEX(ref_Unit_Balance!$V$31:$V$106,MATCH(UnitGradeInfo!B584,ref_Unit_Balance!$B$31:$B$1048576,0))
+
INDEX(ref_Unit_Balance!$AB$31:$AB$106,MATCH(UnitGradeInfo!B584,ref_Unit_Balance!$B$31:$B$1048576,0))*(D584-1)</f>
        <v>5450</v>
      </c>
      <c r="G584" s="5">
        <f>INDEX(ref_Unit_Balance!$R$31:$R$106,MATCH(UnitGradeInfo!B584,ref_Unit_Balance!$B$31:$B$1048576,0))
+
INDEX(ref_Unit_Balance!$AA$31:$AA$106,MATCH(UnitGradeInfo!B584,ref_Unit_Balance!$B$31:$B$1048576,0))*(D584-1)</f>
        <v>230</v>
      </c>
      <c r="H584" s="39">
        <f>IF(INDEX(Unitinfo!D:D,MATCH(UnitGradeInfo!B584,Unitinfo!A:A,0))=1,50,5)</f>
        <v>50</v>
      </c>
      <c r="I584" s="5">
        <f>IF(INDEX(ref_Unit_Balance!$T$31:$T$106,MATCH(UnitGradeInfo!B584,ref_Unit_Balance!$B$31:$B$1048576,0))=0,1,INDEX(ref_Unit_Balance!$T$31:$T$106,MATCH(UnitGradeInfo!B584,ref_Unit_Balance!$B$31:$B$1048576,0)))</f>
        <v>5</v>
      </c>
      <c r="J584" s="5">
        <f>INDEX(ref_Unit_Balance!$S$31:$S$106,MATCH(UnitGradeInfo!B584,ref_Unit_Balance!$B$31:$B$1048576,0))</f>
        <v>800</v>
      </c>
      <c r="K584" s="5">
        <v>0</v>
      </c>
      <c r="L584" s="5">
        <f>INDEX(ref_Unit_Balance!$I$31:$I$106,MATCH(UnitGradeInfo!B584,ref_Unit_Balance!$B$31:$B$1048576,0))</f>
        <v>3</v>
      </c>
      <c r="M584" s="5">
        <f t="shared" si="64"/>
        <v>32</v>
      </c>
      <c r="N584" s="5">
        <f t="shared" si="65"/>
        <v>320</v>
      </c>
      <c r="O584" s="5">
        <f>(INDEX(Unitinfo!I:I,MATCH(B584,Unitinfo!A:A,0))+1)*2</f>
        <v>4</v>
      </c>
      <c r="P584" s="5">
        <v>0</v>
      </c>
      <c r="Q584" s="5">
        <v>0</v>
      </c>
      <c r="R584" s="19" t="s">
        <v>421</v>
      </c>
      <c r="S584" s="19" t="s">
        <v>421</v>
      </c>
      <c r="T584" s="5">
        <f t="shared" si="61"/>
        <v>2027</v>
      </c>
      <c r="U584" s="5">
        <f t="shared" si="62"/>
        <v>1</v>
      </c>
      <c r="V584" s="5">
        <v>0</v>
      </c>
      <c r="W584" s="5">
        <v>10</v>
      </c>
    </row>
    <row r="585" spans="1:23">
      <c r="A585" s="5">
        <f t="shared" si="60"/>
        <v>582</v>
      </c>
      <c r="B585" s="93">
        <f t="shared" si="63"/>
        <v>2027</v>
      </c>
      <c r="C585" s="20" t="str">
        <f>INDEX(Unitinfo!C:C,MATCH(UnitGradeInfo!B585,Unitinfo!A:A,0))</f>
        <v>(원거리)Golem_Fire</v>
      </c>
      <c r="D585" s="5">
        <f>COUNTIF($B$4:B585,B585)</f>
        <v>17</v>
      </c>
      <c r="E585" s="5">
        <f>ROUNDDOWN(INDEX(ref_Unit_Balance!$G$31:$G$106,MATCH(UnitGradeInfo!B585,ref_Unit_Balance!$B$31:$B$1048576,0))
+INDEX(ref_Unit_Balance!$G$20:$G$23,MATCH(IFERROR(INDEX(ref_Unit_Balance!$D$31:$D$1048576,MATCH(B585,ref_Unit_Balance!$B$31:$B$1048576,0)),0),ref_Unit_Balance!$B$20:$B$23,0))*D585*ref_Unit_Balance!$C$25,0)</f>
        <v>1239</v>
      </c>
      <c r="F585" s="5">
        <f>INDEX(ref_Unit_Balance!$V$31:$V$106,MATCH(UnitGradeInfo!B585,ref_Unit_Balance!$B$31:$B$1048576,0))
+
INDEX(ref_Unit_Balance!$AB$31:$AB$106,MATCH(UnitGradeInfo!B585,ref_Unit_Balance!$B$31:$B$1048576,0))*(D585-1)</f>
        <v>5650</v>
      </c>
      <c r="G585" s="5">
        <f>INDEX(ref_Unit_Balance!$R$31:$R$106,MATCH(UnitGradeInfo!B585,ref_Unit_Balance!$B$31:$B$1048576,0))
+
INDEX(ref_Unit_Balance!$AA$31:$AA$106,MATCH(UnitGradeInfo!B585,ref_Unit_Balance!$B$31:$B$1048576,0))*(D585-1)</f>
        <v>240</v>
      </c>
      <c r="H585" s="39">
        <f>IF(INDEX(Unitinfo!D:D,MATCH(UnitGradeInfo!B585,Unitinfo!A:A,0))=1,50,5)</f>
        <v>50</v>
      </c>
      <c r="I585" s="5">
        <f>IF(INDEX(ref_Unit_Balance!$T$31:$T$106,MATCH(UnitGradeInfo!B585,ref_Unit_Balance!$B$31:$B$1048576,0))=0,1,INDEX(ref_Unit_Balance!$T$31:$T$106,MATCH(UnitGradeInfo!B585,ref_Unit_Balance!$B$31:$B$1048576,0)))</f>
        <v>5</v>
      </c>
      <c r="J585" s="5">
        <f>INDEX(ref_Unit_Balance!$S$31:$S$106,MATCH(UnitGradeInfo!B585,ref_Unit_Balance!$B$31:$B$1048576,0))</f>
        <v>800</v>
      </c>
      <c r="K585" s="5">
        <v>0</v>
      </c>
      <c r="L585" s="5">
        <f>INDEX(ref_Unit_Balance!$I$31:$I$106,MATCH(UnitGradeInfo!B585,ref_Unit_Balance!$B$31:$B$1048576,0))</f>
        <v>3</v>
      </c>
      <c r="M585" s="5">
        <f t="shared" si="64"/>
        <v>34</v>
      </c>
      <c r="N585" s="5">
        <f t="shared" si="65"/>
        <v>340</v>
      </c>
      <c r="O585" s="5">
        <f>(INDEX(Unitinfo!I:I,MATCH(B585,Unitinfo!A:A,0))+1)*2</f>
        <v>4</v>
      </c>
      <c r="P585" s="5">
        <v>0</v>
      </c>
      <c r="Q585" s="5">
        <v>0</v>
      </c>
      <c r="R585" s="19" t="s">
        <v>421</v>
      </c>
      <c r="S585" s="19" t="s">
        <v>421</v>
      </c>
      <c r="T585" s="5">
        <f t="shared" si="61"/>
        <v>2027</v>
      </c>
      <c r="U585" s="5">
        <f t="shared" si="62"/>
        <v>1</v>
      </c>
      <c r="V585" s="5">
        <v>0</v>
      </c>
      <c r="W585" s="5">
        <v>10</v>
      </c>
    </row>
    <row r="586" spans="1:23">
      <c r="A586" s="5">
        <f t="shared" si="60"/>
        <v>583</v>
      </c>
      <c r="B586" s="93">
        <f t="shared" si="63"/>
        <v>2027</v>
      </c>
      <c r="C586" s="20" t="str">
        <f>INDEX(Unitinfo!C:C,MATCH(UnitGradeInfo!B586,Unitinfo!A:A,0))</f>
        <v>(원거리)Golem_Fire</v>
      </c>
      <c r="D586" s="5">
        <f>COUNTIF($B$4:B586,B586)</f>
        <v>18</v>
      </c>
      <c r="E586" s="5">
        <f>ROUNDDOWN(INDEX(ref_Unit_Balance!$G$31:$G$106,MATCH(UnitGradeInfo!B586,ref_Unit_Balance!$B$31:$B$1048576,0))
+INDEX(ref_Unit_Balance!$G$20:$G$23,MATCH(IFERROR(INDEX(ref_Unit_Balance!$D$31:$D$1048576,MATCH(B586,ref_Unit_Balance!$B$31:$B$1048576,0)),0),ref_Unit_Balance!$B$20:$B$23,0))*D586*ref_Unit_Balance!$C$25,0)</f>
        <v>1302</v>
      </c>
      <c r="F586" s="5">
        <f>INDEX(ref_Unit_Balance!$V$31:$V$106,MATCH(UnitGradeInfo!B586,ref_Unit_Balance!$B$31:$B$1048576,0))
+
INDEX(ref_Unit_Balance!$AB$31:$AB$106,MATCH(UnitGradeInfo!B586,ref_Unit_Balance!$B$31:$B$1048576,0))*(D586-1)</f>
        <v>5850</v>
      </c>
      <c r="G586" s="5">
        <f>INDEX(ref_Unit_Balance!$R$31:$R$106,MATCH(UnitGradeInfo!B586,ref_Unit_Balance!$B$31:$B$1048576,0))
+
INDEX(ref_Unit_Balance!$AA$31:$AA$106,MATCH(UnitGradeInfo!B586,ref_Unit_Balance!$B$31:$B$1048576,0))*(D586-1)</f>
        <v>250</v>
      </c>
      <c r="H586" s="39">
        <f>IF(INDEX(Unitinfo!D:D,MATCH(UnitGradeInfo!B586,Unitinfo!A:A,0))=1,50,5)</f>
        <v>50</v>
      </c>
      <c r="I586" s="5">
        <f>IF(INDEX(ref_Unit_Balance!$T$31:$T$106,MATCH(UnitGradeInfo!B586,ref_Unit_Balance!$B$31:$B$1048576,0))=0,1,INDEX(ref_Unit_Balance!$T$31:$T$106,MATCH(UnitGradeInfo!B586,ref_Unit_Balance!$B$31:$B$1048576,0)))</f>
        <v>5</v>
      </c>
      <c r="J586" s="5">
        <f>INDEX(ref_Unit_Balance!$S$31:$S$106,MATCH(UnitGradeInfo!B586,ref_Unit_Balance!$B$31:$B$1048576,0))</f>
        <v>800</v>
      </c>
      <c r="K586" s="5">
        <v>0</v>
      </c>
      <c r="L586" s="5">
        <f>INDEX(ref_Unit_Balance!$I$31:$I$106,MATCH(UnitGradeInfo!B586,ref_Unit_Balance!$B$31:$B$1048576,0))</f>
        <v>3</v>
      </c>
      <c r="M586" s="5">
        <f t="shared" si="64"/>
        <v>36</v>
      </c>
      <c r="N586" s="5">
        <f t="shared" si="65"/>
        <v>360</v>
      </c>
      <c r="O586" s="5">
        <f>(INDEX(Unitinfo!I:I,MATCH(B586,Unitinfo!A:A,0))+1)*2</f>
        <v>4</v>
      </c>
      <c r="P586" s="5">
        <v>0</v>
      </c>
      <c r="Q586" s="5">
        <v>0</v>
      </c>
      <c r="R586" s="19" t="s">
        <v>421</v>
      </c>
      <c r="S586" s="19" t="s">
        <v>421</v>
      </c>
      <c r="T586" s="5">
        <f t="shared" si="61"/>
        <v>2027</v>
      </c>
      <c r="U586" s="5">
        <f t="shared" si="62"/>
        <v>1</v>
      </c>
      <c r="V586" s="5">
        <v>0</v>
      </c>
      <c r="W586" s="5">
        <v>10</v>
      </c>
    </row>
    <row r="587" spans="1:23">
      <c r="A587" s="5">
        <f t="shared" si="60"/>
        <v>584</v>
      </c>
      <c r="B587" s="93">
        <f t="shared" si="63"/>
        <v>2027</v>
      </c>
      <c r="C587" s="20" t="str">
        <f>INDEX(Unitinfo!C:C,MATCH(UnitGradeInfo!B587,Unitinfo!A:A,0))</f>
        <v>(원거리)Golem_Fire</v>
      </c>
      <c r="D587" s="5">
        <f>COUNTIF($B$4:B587,B587)</f>
        <v>19</v>
      </c>
      <c r="E587" s="5">
        <f>ROUNDDOWN(INDEX(ref_Unit_Balance!$G$31:$G$106,MATCH(UnitGradeInfo!B587,ref_Unit_Balance!$B$31:$B$1048576,0))
+INDEX(ref_Unit_Balance!$G$20:$G$23,MATCH(IFERROR(INDEX(ref_Unit_Balance!$D$31:$D$1048576,MATCH(B587,ref_Unit_Balance!$B$31:$B$1048576,0)),0),ref_Unit_Balance!$B$20:$B$23,0))*D587*ref_Unit_Balance!$C$25,0)</f>
        <v>1364</v>
      </c>
      <c r="F587" s="5">
        <f>INDEX(ref_Unit_Balance!$V$31:$V$106,MATCH(UnitGradeInfo!B587,ref_Unit_Balance!$B$31:$B$1048576,0))
+
INDEX(ref_Unit_Balance!$AB$31:$AB$106,MATCH(UnitGradeInfo!B587,ref_Unit_Balance!$B$31:$B$1048576,0))*(D587-1)</f>
        <v>6050</v>
      </c>
      <c r="G587" s="5">
        <f>INDEX(ref_Unit_Balance!$R$31:$R$106,MATCH(UnitGradeInfo!B587,ref_Unit_Balance!$B$31:$B$1048576,0))
+
INDEX(ref_Unit_Balance!$AA$31:$AA$106,MATCH(UnitGradeInfo!B587,ref_Unit_Balance!$B$31:$B$1048576,0))*(D587-1)</f>
        <v>260</v>
      </c>
      <c r="H587" s="39">
        <f>IF(INDEX(Unitinfo!D:D,MATCH(UnitGradeInfo!B587,Unitinfo!A:A,0))=1,50,5)</f>
        <v>50</v>
      </c>
      <c r="I587" s="5">
        <f>IF(INDEX(ref_Unit_Balance!$T$31:$T$106,MATCH(UnitGradeInfo!B587,ref_Unit_Balance!$B$31:$B$1048576,0))=0,1,INDEX(ref_Unit_Balance!$T$31:$T$106,MATCH(UnitGradeInfo!B587,ref_Unit_Balance!$B$31:$B$1048576,0)))</f>
        <v>5</v>
      </c>
      <c r="J587" s="5">
        <f>INDEX(ref_Unit_Balance!$S$31:$S$106,MATCH(UnitGradeInfo!B587,ref_Unit_Balance!$B$31:$B$1048576,0))</f>
        <v>800</v>
      </c>
      <c r="K587" s="5">
        <v>0</v>
      </c>
      <c r="L587" s="5">
        <f>INDEX(ref_Unit_Balance!$I$31:$I$106,MATCH(UnitGradeInfo!B587,ref_Unit_Balance!$B$31:$B$1048576,0))</f>
        <v>3</v>
      </c>
      <c r="M587" s="5">
        <f t="shared" si="64"/>
        <v>38</v>
      </c>
      <c r="N587" s="5">
        <f t="shared" si="65"/>
        <v>380</v>
      </c>
      <c r="O587" s="5">
        <f>(INDEX(Unitinfo!I:I,MATCH(B587,Unitinfo!A:A,0))+1)*2</f>
        <v>4</v>
      </c>
      <c r="P587" s="5">
        <v>0</v>
      </c>
      <c r="Q587" s="5">
        <v>0</v>
      </c>
      <c r="R587" s="19" t="s">
        <v>421</v>
      </c>
      <c r="S587" s="19" t="s">
        <v>421</v>
      </c>
      <c r="T587" s="5">
        <f t="shared" si="61"/>
        <v>2027</v>
      </c>
      <c r="U587" s="5">
        <f t="shared" si="62"/>
        <v>1</v>
      </c>
      <c r="V587" s="5">
        <v>0</v>
      </c>
      <c r="W587" s="5">
        <v>10</v>
      </c>
    </row>
    <row r="588" spans="1:23">
      <c r="A588" s="5">
        <f t="shared" si="60"/>
        <v>585</v>
      </c>
      <c r="B588" s="93">
        <f t="shared" si="63"/>
        <v>2027</v>
      </c>
      <c r="C588" s="20" t="str">
        <f>INDEX(Unitinfo!C:C,MATCH(UnitGradeInfo!B588,Unitinfo!A:A,0))</f>
        <v>(원거리)Golem_Fire</v>
      </c>
      <c r="D588" s="5">
        <f>COUNTIF($B$4:B588,B588)</f>
        <v>20</v>
      </c>
      <c r="E588" s="5">
        <f>ROUNDDOWN(INDEX(ref_Unit_Balance!$G$31:$G$106,MATCH(UnitGradeInfo!B588,ref_Unit_Balance!$B$31:$B$1048576,0))
+INDEX(ref_Unit_Balance!$G$20:$G$23,MATCH(IFERROR(INDEX(ref_Unit_Balance!$D$31:$D$1048576,MATCH(B588,ref_Unit_Balance!$B$31:$B$1048576,0)),0),ref_Unit_Balance!$B$20:$B$23,0))*D588*ref_Unit_Balance!$C$25,0)</f>
        <v>1427</v>
      </c>
      <c r="F588" s="5">
        <f>INDEX(ref_Unit_Balance!$V$31:$V$106,MATCH(UnitGradeInfo!B588,ref_Unit_Balance!$B$31:$B$1048576,0))
+
INDEX(ref_Unit_Balance!$AB$31:$AB$106,MATCH(UnitGradeInfo!B588,ref_Unit_Balance!$B$31:$B$1048576,0))*(D588-1)</f>
        <v>6250</v>
      </c>
      <c r="G588" s="5">
        <f>INDEX(ref_Unit_Balance!$R$31:$R$106,MATCH(UnitGradeInfo!B588,ref_Unit_Balance!$B$31:$B$1048576,0))
+
INDEX(ref_Unit_Balance!$AA$31:$AA$106,MATCH(UnitGradeInfo!B588,ref_Unit_Balance!$B$31:$B$1048576,0))*(D588-1)</f>
        <v>270</v>
      </c>
      <c r="H588" s="39">
        <f>IF(INDEX(Unitinfo!D:D,MATCH(UnitGradeInfo!B588,Unitinfo!A:A,0))=1,50,5)</f>
        <v>50</v>
      </c>
      <c r="I588" s="5">
        <f>IF(INDEX(ref_Unit_Balance!$T$31:$T$106,MATCH(UnitGradeInfo!B588,ref_Unit_Balance!$B$31:$B$1048576,0))=0,1,INDEX(ref_Unit_Balance!$T$31:$T$106,MATCH(UnitGradeInfo!B588,ref_Unit_Balance!$B$31:$B$1048576,0)))</f>
        <v>5</v>
      </c>
      <c r="J588" s="5">
        <f>INDEX(ref_Unit_Balance!$S$31:$S$106,MATCH(UnitGradeInfo!B588,ref_Unit_Balance!$B$31:$B$1048576,0))</f>
        <v>800</v>
      </c>
      <c r="K588" s="5">
        <v>0</v>
      </c>
      <c r="L588" s="5">
        <f>INDEX(ref_Unit_Balance!$I$31:$I$106,MATCH(UnitGradeInfo!B588,ref_Unit_Balance!$B$31:$B$1048576,0))</f>
        <v>3</v>
      </c>
      <c r="M588" s="5">
        <f t="shared" si="64"/>
        <v>40</v>
      </c>
      <c r="N588" s="5">
        <f t="shared" si="65"/>
        <v>400</v>
      </c>
      <c r="O588" s="5">
        <f>(INDEX(Unitinfo!I:I,MATCH(B588,Unitinfo!A:A,0))+1)*2</f>
        <v>4</v>
      </c>
      <c r="P588" s="5">
        <v>0</v>
      </c>
      <c r="Q588" s="5">
        <v>0</v>
      </c>
      <c r="R588" s="19" t="s">
        <v>421</v>
      </c>
      <c r="S588" s="19" t="s">
        <v>421</v>
      </c>
      <c r="T588" s="5">
        <f t="shared" si="61"/>
        <v>2027</v>
      </c>
      <c r="U588" s="5">
        <f t="shared" si="62"/>
        <v>1</v>
      </c>
      <c r="V588" s="5">
        <v>0</v>
      </c>
      <c r="W588" s="5">
        <v>10</v>
      </c>
    </row>
    <row r="589" spans="1:23">
      <c r="A589" s="5">
        <f t="shared" si="60"/>
        <v>586</v>
      </c>
      <c r="B589" s="93">
        <f t="shared" si="63"/>
        <v>2028</v>
      </c>
      <c r="C589" s="20" t="str">
        <f>INDEX(Unitinfo!C:C,MATCH(UnitGradeInfo!B589,Unitinfo!A:A,0))</f>
        <v>(원거리)Golem_Ice</v>
      </c>
      <c r="D589" s="5">
        <f>COUNTIF($B$4:B589,B589)</f>
        <v>1</v>
      </c>
      <c r="E589" s="5">
        <f>ROUNDDOWN(INDEX(ref_Unit_Balance!$G$31:$G$106,MATCH(UnitGradeInfo!B589,ref_Unit_Balance!$B$31:$B$1048576,0))
+INDEX(ref_Unit_Balance!$G$20:$G$23,MATCH(IFERROR(INDEX(ref_Unit_Balance!$D$31:$D$1048576,MATCH(B589,ref_Unit_Balance!$B$31:$B$1048576,0)),0),ref_Unit_Balance!$B$20:$B$23,0))*D589*ref_Unit_Balance!$C$25,0)</f>
        <v>239</v>
      </c>
      <c r="F589" s="5">
        <f>INDEX(ref_Unit_Balance!$V$31:$V$106,MATCH(UnitGradeInfo!B589,ref_Unit_Balance!$B$31:$B$1048576,0))
+
INDEX(ref_Unit_Balance!$AB$31:$AB$106,MATCH(UnitGradeInfo!B589,ref_Unit_Balance!$B$31:$B$1048576,0))*(D589-1)</f>
        <v>2450</v>
      </c>
      <c r="G589" s="5">
        <f>INDEX(ref_Unit_Balance!$R$31:$R$106,MATCH(UnitGradeInfo!B589,ref_Unit_Balance!$B$31:$B$1048576,0))
+
INDEX(ref_Unit_Balance!$AA$31:$AA$106,MATCH(UnitGradeInfo!B589,ref_Unit_Balance!$B$31:$B$1048576,0))*(D589-1)</f>
        <v>80</v>
      </c>
      <c r="H589" s="39">
        <f>IF(INDEX(Unitinfo!D:D,MATCH(UnitGradeInfo!B589,Unitinfo!A:A,0))=1,50,5)</f>
        <v>50</v>
      </c>
      <c r="I589" s="5">
        <f>IF(INDEX(ref_Unit_Balance!$T$31:$T$106,MATCH(UnitGradeInfo!B589,ref_Unit_Balance!$B$31:$B$1048576,0))=0,1,INDEX(ref_Unit_Balance!$T$31:$T$106,MATCH(UnitGradeInfo!B589,ref_Unit_Balance!$B$31:$B$1048576,0)))</f>
        <v>5</v>
      </c>
      <c r="J589" s="5">
        <f>INDEX(ref_Unit_Balance!$S$31:$S$106,MATCH(UnitGradeInfo!B589,ref_Unit_Balance!$B$31:$B$1048576,0))</f>
        <v>800</v>
      </c>
      <c r="K589" s="5">
        <v>0</v>
      </c>
      <c r="L589" s="5">
        <f>INDEX(ref_Unit_Balance!$I$31:$I$106,MATCH(UnitGradeInfo!B589,ref_Unit_Balance!$B$31:$B$1048576,0))</f>
        <v>3</v>
      </c>
      <c r="M589" s="5">
        <f t="shared" si="64"/>
        <v>2</v>
      </c>
      <c r="N589" s="5">
        <f t="shared" si="65"/>
        <v>20</v>
      </c>
      <c r="O589" s="5">
        <f>(INDEX(Unitinfo!I:I,MATCH(B589,Unitinfo!A:A,0))+1)*2</f>
        <v>4</v>
      </c>
      <c r="P589" s="5">
        <v>0</v>
      </c>
      <c r="Q589" s="5">
        <v>0</v>
      </c>
      <c r="R589" s="19" t="s">
        <v>421</v>
      </c>
      <c r="S589" s="19" t="s">
        <v>421</v>
      </c>
      <c r="T589" s="5">
        <f t="shared" si="61"/>
        <v>2028</v>
      </c>
      <c r="U589" s="5">
        <f t="shared" si="62"/>
        <v>1</v>
      </c>
      <c r="V589" s="5">
        <v>0</v>
      </c>
      <c r="W589" s="5">
        <v>10</v>
      </c>
    </row>
    <row r="590" spans="1:23">
      <c r="A590" s="5">
        <f t="shared" si="60"/>
        <v>587</v>
      </c>
      <c r="B590" s="93">
        <f t="shared" si="63"/>
        <v>2028</v>
      </c>
      <c r="C590" s="20" t="str">
        <f>INDEX(Unitinfo!C:C,MATCH(UnitGradeInfo!B590,Unitinfo!A:A,0))</f>
        <v>(원거리)Golem_Ice</v>
      </c>
      <c r="D590" s="5">
        <f>COUNTIF($B$4:B590,B590)</f>
        <v>2</v>
      </c>
      <c r="E590" s="5">
        <f>ROUNDDOWN(INDEX(ref_Unit_Balance!$G$31:$G$106,MATCH(UnitGradeInfo!B590,ref_Unit_Balance!$B$31:$B$1048576,0))
+INDEX(ref_Unit_Balance!$G$20:$G$23,MATCH(IFERROR(INDEX(ref_Unit_Balance!$D$31:$D$1048576,MATCH(B590,ref_Unit_Balance!$B$31:$B$1048576,0)),0),ref_Unit_Balance!$B$20:$B$23,0))*D590*ref_Unit_Balance!$C$25,0)</f>
        <v>302</v>
      </c>
      <c r="F590" s="5">
        <f>INDEX(ref_Unit_Balance!$V$31:$V$106,MATCH(UnitGradeInfo!B590,ref_Unit_Balance!$B$31:$B$1048576,0))
+
INDEX(ref_Unit_Balance!$AB$31:$AB$106,MATCH(UnitGradeInfo!B590,ref_Unit_Balance!$B$31:$B$1048576,0))*(D590-1)</f>
        <v>2650</v>
      </c>
      <c r="G590" s="5">
        <f>INDEX(ref_Unit_Balance!$R$31:$R$106,MATCH(UnitGradeInfo!B590,ref_Unit_Balance!$B$31:$B$1048576,0))
+
INDEX(ref_Unit_Balance!$AA$31:$AA$106,MATCH(UnitGradeInfo!B590,ref_Unit_Balance!$B$31:$B$1048576,0))*(D590-1)</f>
        <v>90</v>
      </c>
      <c r="H590" s="39">
        <f>IF(INDEX(Unitinfo!D:D,MATCH(UnitGradeInfo!B590,Unitinfo!A:A,0))=1,50,5)</f>
        <v>50</v>
      </c>
      <c r="I590" s="5">
        <f>IF(INDEX(ref_Unit_Balance!$T$31:$T$106,MATCH(UnitGradeInfo!B590,ref_Unit_Balance!$B$31:$B$1048576,0))=0,1,INDEX(ref_Unit_Balance!$T$31:$T$106,MATCH(UnitGradeInfo!B590,ref_Unit_Balance!$B$31:$B$1048576,0)))</f>
        <v>5</v>
      </c>
      <c r="J590" s="5">
        <f>INDEX(ref_Unit_Balance!$S$31:$S$106,MATCH(UnitGradeInfo!B590,ref_Unit_Balance!$B$31:$B$1048576,0))</f>
        <v>800</v>
      </c>
      <c r="K590" s="5">
        <v>0</v>
      </c>
      <c r="L590" s="5">
        <f>INDEX(ref_Unit_Balance!$I$31:$I$106,MATCH(UnitGradeInfo!B590,ref_Unit_Balance!$B$31:$B$1048576,0))</f>
        <v>3</v>
      </c>
      <c r="M590" s="5">
        <f t="shared" si="64"/>
        <v>4</v>
      </c>
      <c r="N590" s="5">
        <f t="shared" si="65"/>
        <v>40</v>
      </c>
      <c r="O590" s="5">
        <f>(INDEX(Unitinfo!I:I,MATCH(B590,Unitinfo!A:A,0))+1)*2</f>
        <v>4</v>
      </c>
      <c r="P590" s="5">
        <v>0</v>
      </c>
      <c r="Q590" s="5">
        <v>0</v>
      </c>
      <c r="R590" s="19" t="s">
        <v>421</v>
      </c>
      <c r="S590" s="19" t="s">
        <v>421</v>
      </c>
      <c r="T590" s="5">
        <f t="shared" si="61"/>
        <v>2028</v>
      </c>
      <c r="U590" s="5">
        <f t="shared" si="62"/>
        <v>1</v>
      </c>
      <c r="V590" s="5">
        <v>0</v>
      </c>
      <c r="W590" s="5">
        <v>10</v>
      </c>
    </row>
    <row r="591" spans="1:23">
      <c r="A591" s="5">
        <f t="shared" si="60"/>
        <v>588</v>
      </c>
      <c r="B591" s="93">
        <f t="shared" si="63"/>
        <v>2028</v>
      </c>
      <c r="C591" s="20" t="str">
        <f>INDEX(Unitinfo!C:C,MATCH(UnitGradeInfo!B591,Unitinfo!A:A,0))</f>
        <v>(원거리)Golem_Ice</v>
      </c>
      <c r="D591" s="5">
        <f>COUNTIF($B$4:B591,B591)</f>
        <v>3</v>
      </c>
      <c r="E591" s="5">
        <f>ROUNDDOWN(INDEX(ref_Unit_Balance!$G$31:$G$106,MATCH(UnitGradeInfo!B591,ref_Unit_Balance!$B$31:$B$1048576,0))
+INDEX(ref_Unit_Balance!$G$20:$G$23,MATCH(IFERROR(INDEX(ref_Unit_Balance!$D$31:$D$1048576,MATCH(B591,ref_Unit_Balance!$B$31:$B$1048576,0)),0),ref_Unit_Balance!$B$20:$B$23,0))*D591*ref_Unit_Balance!$C$25,0)</f>
        <v>364</v>
      </c>
      <c r="F591" s="5">
        <f>INDEX(ref_Unit_Balance!$V$31:$V$106,MATCH(UnitGradeInfo!B591,ref_Unit_Balance!$B$31:$B$1048576,0))
+
INDEX(ref_Unit_Balance!$AB$31:$AB$106,MATCH(UnitGradeInfo!B591,ref_Unit_Balance!$B$31:$B$1048576,0))*(D591-1)</f>
        <v>2850</v>
      </c>
      <c r="G591" s="5">
        <f>INDEX(ref_Unit_Balance!$R$31:$R$106,MATCH(UnitGradeInfo!B591,ref_Unit_Balance!$B$31:$B$1048576,0))
+
INDEX(ref_Unit_Balance!$AA$31:$AA$106,MATCH(UnitGradeInfo!B591,ref_Unit_Balance!$B$31:$B$1048576,0))*(D591-1)</f>
        <v>100</v>
      </c>
      <c r="H591" s="39">
        <f>IF(INDEX(Unitinfo!D:D,MATCH(UnitGradeInfo!B591,Unitinfo!A:A,0))=1,50,5)</f>
        <v>50</v>
      </c>
      <c r="I591" s="5">
        <f>IF(INDEX(ref_Unit_Balance!$T$31:$T$106,MATCH(UnitGradeInfo!B591,ref_Unit_Balance!$B$31:$B$1048576,0))=0,1,INDEX(ref_Unit_Balance!$T$31:$T$106,MATCH(UnitGradeInfo!B591,ref_Unit_Balance!$B$31:$B$1048576,0)))</f>
        <v>5</v>
      </c>
      <c r="J591" s="5">
        <f>INDEX(ref_Unit_Balance!$S$31:$S$106,MATCH(UnitGradeInfo!B591,ref_Unit_Balance!$B$31:$B$1048576,0))</f>
        <v>800</v>
      </c>
      <c r="K591" s="5">
        <v>0</v>
      </c>
      <c r="L591" s="5">
        <f>INDEX(ref_Unit_Balance!$I$31:$I$106,MATCH(UnitGradeInfo!B591,ref_Unit_Balance!$B$31:$B$1048576,0))</f>
        <v>3</v>
      </c>
      <c r="M591" s="5">
        <f t="shared" si="64"/>
        <v>6</v>
      </c>
      <c r="N591" s="5">
        <f t="shared" si="65"/>
        <v>60</v>
      </c>
      <c r="O591" s="5">
        <f>(INDEX(Unitinfo!I:I,MATCH(B591,Unitinfo!A:A,0))+1)*2</f>
        <v>4</v>
      </c>
      <c r="P591" s="5">
        <v>0</v>
      </c>
      <c r="Q591" s="5">
        <v>0</v>
      </c>
      <c r="R591" s="19" t="s">
        <v>421</v>
      </c>
      <c r="S591" s="19" t="s">
        <v>421</v>
      </c>
      <c r="T591" s="5">
        <f t="shared" si="61"/>
        <v>2028</v>
      </c>
      <c r="U591" s="5">
        <f t="shared" si="62"/>
        <v>1</v>
      </c>
      <c r="V591" s="5">
        <v>0</v>
      </c>
      <c r="W591" s="5">
        <v>10</v>
      </c>
    </row>
    <row r="592" spans="1:23">
      <c r="A592" s="5">
        <f t="shared" si="60"/>
        <v>589</v>
      </c>
      <c r="B592" s="93">
        <f t="shared" si="63"/>
        <v>2028</v>
      </c>
      <c r="C592" s="20" t="str">
        <f>INDEX(Unitinfo!C:C,MATCH(UnitGradeInfo!B592,Unitinfo!A:A,0))</f>
        <v>(원거리)Golem_Ice</v>
      </c>
      <c r="D592" s="5">
        <f>COUNTIF($B$4:B592,B592)</f>
        <v>4</v>
      </c>
      <c r="E592" s="5">
        <f>ROUNDDOWN(INDEX(ref_Unit_Balance!$G$31:$G$106,MATCH(UnitGradeInfo!B592,ref_Unit_Balance!$B$31:$B$1048576,0))
+INDEX(ref_Unit_Balance!$G$20:$G$23,MATCH(IFERROR(INDEX(ref_Unit_Balance!$D$31:$D$1048576,MATCH(B592,ref_Unit_Balance!$B$31:$B$1048576,0)),0),ref_Unit_Balance!$B$20:$B$23,0))*D592*ref_Unit_Balance!$C$25,0)</f>
        <v>427</v>
      </c>
      <c r="F592" s="5">
        <f>INDEX(ref_Unit_Balance!$V$31:$V$106,MATCH(UnitGradeInfo!B592,ref_Unit_Balance!$B$31:$B$1048576,0))
+
INDEX(ref_Unit_Balance!$AB$31:$AB$106,MATCH(UnitGradeInfo!B592,ref_Unit_Balance!$B$31:$B$1048576,0))*(D592-1)</f>
        <v>3050</v>
      </c>
      <c r="G592" s="5">
        <f>INDEX(ref_Unit_Balance!$R$31:$R$106,MATCH(UnitGradeInfo!B592,ref_Unit_Balance!$B$31:$B$1048576,0))
+
INDEX(ref_Unit_Balance!$AA$31:$AA$106,MATCH(UnitGradeInfo!B592,ref_Unit_Balance!$B$31:$B$1048576,0))*(D592-1)</f>
        <v>110</v>
      </c>
      <c r="H592" s="39">
        <f>IF(INDEX(Unitinfo!D:D,MATCH(UnitGradeInfo!B592,Unitinfo!A:A,0))=1,50,5)</f>
        <v>50</v>
      </c>
      <c r="I592" s="5">
        <f>IF(INDEX(ref_Unit_Balance!$T$31:$T$106,MATCH(UnitGradeInfo!B592,ref_Unit_Balance!$B$31:$B$1048576,0))=0,1,INDEX(ref_Unit_Balance!$T$31:$T$106,MATCH(UnitGradeInfo!B592,ref_Unit_Balance!$B$31:$B$1048576,0)))</f>
        <v>5</v>
      </c>
      <c r="J592" s="5">
        <f>INDEX(ref_Unit_Balance!$S$31:$S$106,MATCH(UnitGradeInfo!B592,ref_Unit_Balance!$B$31:$B$1048576,0))</f>
        <v>800</v>
      </c>
      <c r="K592" s="5">
        <v>0</v>
      </c>
      <c r="L592" s="5">
        <f>INDEX(ref_Unit_Balance!$I$31:$I$106,MATCH(UnitGradeInfo!B592,ref_Unit_Balance!$B$31:$B$1048576,0))</f>
        <v>3</v>
      </c>
      <c r="M592" s="5">
        <f t="shared" si="64"/>
        <v>8</v>
      </c>
      <c r="N592" s="5">
        <f t="shared" si="65"/>
        <v>80</v>
      </c>
      <c r="O592" s="5">
        <f>(INDEX(Unitinfo!I:I,MATCH(B592,Unitinfo!A:A,0))+1)*2</f>
        <v>4</v>
      </c>
      <c r="P592" s="5">
        <v>0</v>
      </c>
      <c r="Q592" s="5">
        <v>0</v>
      </c>
      <c r="R592" s="19" t="s">
        <v>421</v>
      </c>
      <c r="S592" s="19" t="s">
        <v>421</v>
      </c>
      <c r="T592" s="5">
        <f t="shared" si="61"/>
        <v>2028</v>
      </c>
      <c r="U592" s="5">
        <f t="shared" si="62"/>
        <v>1</v>
      </c>
      <c r="V592" s="5">
        <v>0</v>
      </c>
      <c r="W592" s="5">
        <v>10</v>
      </c>
    </row>
    <row r="593" spans="1:23">
      <c r="A593" s="5">
        <f t="shared" si="60"/>
        <v>590</v>
      </c>
      <c r="B593" s="93">
        <f t="shared" si="63"/>
        <v>2028</v>
      </c>
      <c r="C593" s="20" t="str">
        <f>INDEX(Unitinfo!C:C,MATCH(UnitGradeInfo!B593,Unitinfo!A:A,0))</f>
        <v>(원거리)Golem_Ice</v>
      </c>
      <c r="D593" s="5">
        <f>COUNTIF($B$4:B593,B593)</f>
        <v>5</v>
      </c>
      <c r="E593" s="5">
        <f>ROUNDDOWN(INDEX(ref_Unit_Balance!$G$31:$G$106,MATCH(UnitGradeInfo!B593,ref_Unit_Balance!$B$31:$B$1048576,0))
+INDEX(ref_Unit_Balance!$G$20:$G$23,MATCH(IFERROR(INDEX(ref_Unit_Balance!$D$31:$D$1048576,MATCH(B593,ref_Unit_Balance!$B$31:$B$1048576,0)),0),ref_Unit_Balance!$B$20:$B$23,0))*D593*ref_Unit_Balance!$C$25,0)</f>
        <v>489</v>
      </c>
      <c r="F593" s="5">
        <f>INDEX(ref_Unit_Balance!$V$31:$V$106,MATCH(UnitGradeInfo!B593,ref_Unit_Balance!$B$31:$B$1048576,0))
+
INDEX(ref_Unit_Balance!$AB$31:$AB$106,MATCH(UnitGradeInfo!B593,ref_Unit_Balance!$B$31:$B$1048576,0))*(D593-1)</f>
        <v>3250</v>
      </c>
      <c r="G593" s="5">
        <f>INDEX(ref_Unit_Balance!$R$31:$R$106,MATCH(UnitGradeInfo!B593,ref_Unit_Balance!$B$31:$B$1048576,0))
+
INDEX(ref_Unit_Balance!$AA$31:$AA$106,MATCH(UnitGradeInfo!B593,ref_Unit_Balance!$B$31:$B$1048576,0))*(D593-1)</f>
        <v>120</v>
      </c>
      <c r="H593" s="39">
        <f>IF(INDEX(Unitinfo!D:D,MATCH(UnitGradeInfo!B593,Unitinfo!A:A,0))=1,50,5)</f>
        <v>50</v>
      </c>
      <c r="I593" s="5">
        <f>IF(INDEX(ref_Unit_Balance!$T$31:$T$106,MATCH(UnitGradeInfo!B593,ref_Unit_Balance!$B$31:$B$1048576,0))=0,1,INDEX(ref_Unit_Balance!$T$31:$T$106,MATCH(UnitGradeInfo!B593,ref_Unit_Balance!$B$31:$B$1048576,0)))</f>
        <v>5</v>
      </c>
      <c r="J593" s="5">
        <f>INDEX(ref_Unit_Balance!$S$31:$S$106,MATCH(UnitGradeInfo!B593,ref_Unit_Balance!$B$31:$B$1048576,0))</f>
        <v>800</v>
      </c>
      <c r="K593" s="5">
        <v>0</v>
      </c>
      <c r="L593" s="5">
        <f>INDEX(ref_Unit_Balance!$I$31:$I$106,MATCH(UnitGradeInfo!B593,ref_Unit_Balance!$B$31:$B$1048576,0))</f>
        <v>3</v>
      </c>
      <c r="M593" s="5">
        <f t="shared" si="64"/>
        <v>10</v>
      </c>
      <c r="N593" s="5">
        <f t="shared" si="65"/>
        <v>100</v>
      </c>
      <c r="O593" s="5">
        <f>(INDEX(Unitinfo!I:I,MATCH(B593,Unitinfo!A:A,0))+1)*2</f>
        <v>4</v>
      </c>
      <c r="P593" s="5">
        <v>0</v>
      </c>
      <c r="Q593" s="5">
        <v>0</v>
      </c>
      <c r="R593" s="19" t="s">
        <v>421</v>
      </c>
      <c r="S593" s="19" t="s">
        <v>421</v>
      </c>
      <c r="T593" s="5">
        <f t="shared" si="61"/>
        <v>2028</v>
      </c>
      <c r="U593" s="5">
        <f t="shared" si="62"/>
        <v>1</v>
      </c>
      <c r="V593" s="5">
        <v>0</v>
      </c>
      <c r="W593" s="5">
        <v>10</v>
      </c>
    </row>
    <row r="594" spans="1:23">
      <c r="A594" s="5">
        <f t="shared" si="60"/>
        <v>591</v>
      </c>
      <c r="B594" s="93">
        <f t="shared" si="63"/>
        <v>2028</v>
      </c>
      <c r="C594" s="20" t="str">
        <f>INDEX(Unitinfo!C:C,MATCH(UnitGradeInfo!B594,Unitinfo!A:A,0))</f>
        <v>(원거리)Golem_Ice</v>
      </c>
      <c r="D594" s="5">
        <f>COUNTIF($B$4:B594,B594)</f>
        <v>6</v>
      </c>
      <c r="E594" s="5">
        <f>ROUNDDOWN(INDEX(ref_Unit_Balance!$G$31:$G$106,MATCH(UnitGradeInfo!B594,ref_Unit_Balance!$B$31:$B$1048576,0))
+INDEX(ref_Unit_Balance!$G$20:$G$23,MATCH(IFERROR(INDEX(ref_Unit_Balance!$D$31:$D$1048576,MATCH(B594,ref_Unit_Balance!$B$31:$B$1048576,0)),0),ref_Unit_Balance!$B$20:$B$23,0))*D594*ref_Unit_Balance!$C$25,0)</f>
        <v>552</v>
      </c>
      <c r="F594" s="5">
        <f>INDEX(ref_Unit_Balance!$V$31:$V$106,MATCH(UnitGradeInfo!B594,ref_Unit_Balance!$B$31:$B$1048576,0))
+
INDEX(ref_Unit_Balance!$AB$31:$AB$106,MATCH(UnitGradeInfo!B594,ref_Unit_Balance!$B$31:$B$1048576,0))*(D594-1)</f>
        <v>3450</v>
      </c>
      <c r="G594" s="5">
        <f>INDEX(ref_Unit_Balance!$R$31:$R$106,MATCH(UnitGradeInfo!B594,ref_Unit_Balance!$B$31:$B$1048576,0))
+
INDEX(ref_Unit_Balance!$AA$31:$AA$106,MATCH(UnitGradeInfo!B594,ref_Unit_Balance!$B$31:$B$1048576,0))*(D594-1)</f>
        <v>130</v>
      </c>
      <c r="H594" s="39">
        <f>IF(INDEX(Unitinfo!D:D,MATCH(UnitGradeInfo!B594,Unitinfo!A:A,0))=1,50,5)</f>
        <v>50</v>
      </c>
      <c r="I594" s="5">
        <f>IF(INDEX(ref_Unit_Balance!$T$31:$T$106,MATCH(UnitGradeInfo!B594,ref_Unit_Balance!$B$31:$B$1048576,0))=0,1,INDEX(ref_Unit_Balance!$T$31:$T$106,MATCH(UnitGradeInfo!B594,ref_Unit_Balance!$B$31:$B$1048576,0)))</f>
        <v>5</v>
      </c>
      <c r="J594" s="5">
        <f>INDEX(ref_Unit_Balance!$S$31:$S$106,MATCH(UnitGradeInfo!B594,ref_Unit_Balance!$B$31:$B$1048576,0))</f>
        <v>800</v>
      </c>
      <c r="K594" s="5">
        <v>0</v>
      </c>
      <c r="L594" s="5">
        <f>INDEX(ref_Unit_Balance!$I$31:$I$106,MATCH(UnitGradeInfo!B594,ref_Unit_Balance!$B$31:$B$1048576,0))</f>
        <v>3</v>
      </c>
      <c r="M594" s="5">
        <f t="shared" si="64"/>
        <v>12</v>
      </c>
      <c r="N594" s="5">
        <f t="shared" si="65"/>
        <v>120</v>
      </c>
      <c r="O594" s="5">
        <f>(INDEX(Unitinfo!I:I,MATCH(B594,Unitinfo!A:A,0))+1)*2</f>
        <v>4</v>
      </c>
      <c r="P594" s="5">
        <v>0</v>
      </c>
      <c r="Q594" s="5">
        <v>0</v>
      </c>
      <c r="R594" s="19" t="s">
        <v>421</v>
      </c>
      <c r="S594" s="19" t="s">
        <v>421</v>
      </c>
      <c r="T594" s="5">
        <f t="shared" si="61"/>
        <v>2028</v>
      </c>
      <c r="U594" s="5">
        <f t="shared" si="62"/>
        <v>1</v>
      </c>
      <c r="V594" s="5">
        <v>0</v>
      </c>
      <c r="W594" s="5">
        <v>10</v>
      </c>
    </row>
    <row r="595" spans="1:23">
      <c r="A595" s="5">
        <f t="shared" si="60"/>
        <v>592</v>
      </c>
      <c r="B595" s="93">
        <f t="shared" si="63"/>
        <v>2028</v>
      </c>
      <c r="C595" s="20" t="str">
        <f>INDEX(Unitinfo!C:C,MATCH(UnitGradeInfo!B595,Unitinfo!A:A,0))</f>
        <v>(원거리)Golem_Ice</v>
      </c>
      <c r="D595" s="5">
        <f>COUNTIF($B$4:B595,B595)</f>
        <v>7</v>
      </c>
      <c r="E595" s="5">
        <f>ROUNDDOWN(INDEX(ref_Unit_Balance!$G$31:$G$106,MATCH(UnitGradeInfo!B595,ref_Unit_Balance!$B$31:$B$1048576,0))
+INDEX(ref_Unit_Balance!$G$20:$G$23,MATCH(IFERROR(INDEX(ref_Unit_Balance!$D$31:$D$1048576,MATCH(B595,ref_Unit_Balance!$B$31:$B$1048576,0)),0),ref_Unit_Balance!$B$20:$B$23,0))*D595*ref_Unit_Balance!$C$25,0)</f>
        <v>614</v>
      </c>
      <c r="F595" s="5">
        <f>INDEX(ref_Unit_Balance!$V$31:$V$106,MATCH(UnitGradeInfo!B595,ref_Unit_Balance!$B$31:$B$1048576,0))
+
INDEX(ref_Unit_Balance!$AB$31:$AB$106,MATCH(UnitGradeInfo!B595,ref_Unit_Balance!$B$31:$B$1048576,0))*(D595-1)</f>
        <v>3650</v>
      </c>
      <c r="G595" s="5">
        <f>INDEX(ref_Unit_Balance!$R$31:$R$106,MATCH(UnitGradeInfo!B595,ref_Unit_Balance!$B$31:$B$1048576,0))
+
INDEX(ref_Unit_Balance!$AA$31:$AA$106,MATCH(UnitGradeInfo!B595,ref_Unit_Balance!$B$31:$B$1048576,0))*(D595-1)</f>
        <v>140</v>
      </c>
      <c r="H595" s="39">
        <f>IF(INDEX(Unitinfo!D:D,MATCH(UnitGradeInfo!B595,Unitinfo!A:A,0))=1,50,5)</f>
        <v>50</v>
      </c>
      <c r="I595" s="5">
        <f>IF(INDEX(ref_Unit_Balance!$T$31:$T$106,MATCH(UnitGradeInfo!B595,ref_Unit_Balance!$B$31:$B$1048576,0))=0,1,INDEX(ref_Unit_Balance!$T$31:$T$106,MATCH(UnitGradeInfo!B595,ref_Unit_Balance!$B$31:$B$1048576,0)))</f>
        <v>5</v>
      </c>
      <c r="J595" s="5">
        <f>INDEX(ref_Unit_Balance!$S$31:$S$106,MATCH(UnitGradeInfo!B595,ref_Unit_Balance!$B$31:$B$1048576,0))</f>
        <v>800</v>
      </c>
      <c r="K595" s="5">
        <v>0</v>
      </c>
      <c r="L595" s="5">
        <f>INDEX(ref_Unit_Balance!$I$31:$I$106,MATCH(UnitGradeInfo!B595,ref_Unit_Balance!$B$31:$B$1048576,0))</f>
        <v>3</v>
      </c>
      <c r="M595" s="5">
        <f t="shared" si="64"/>
        <v>14</v>
      </c>
      <c r="N595" s="5">
        <f t="shared" si="65"/>
        <v>140</v>
      </c>
      <c r="O595" s="5">
        <f>(INDEX(Unitinfo!I:I,MATCH(B595,Unitinfo!A:A,0))+1)*2</f>
        <v>4</v>
      </c>
      <c r="P595" s="5">
        <v>0</v>
      </c>
      <c r="Q595" s="5">
        <v>0</v>
      </c>
      <c r="R595" s="19" t="s">
        <v>421</v>
      </c>
      <c r="S595" s="19" t="s">
        <v>421</v>
      </c>
      <c r="T595" s="5">
        <f t="shared" si="61"/>
        <v>2028</v>
      </c>
      <c r="U595" s="5">
        <f t="shared" si="62"/>
        <v>1</v>
      </c>
      <c r="V595" s="5">
        <v>0</v>
      </c>
      <c r="W595" s="5">
        <v>10</v>
      </c>
    </row>
    <row r="596" spans="1:23">
      <c r="A596" s="5">
        <f t="shared" si="60"/>
        <v>593</v>
      </c>
      <c r="B596" s="93">
        <f t="shared" si="63"/>
        <v>2028</v>
      </c>
      <c r="C596" s="20" t="str">
        <f>INDEX(Unitinfo!C:C,MATCH(UnitGradeInfo!B596,Unitinfo!A:A,0))</f>
        <v>(원거리)Golem_Ice</v>
      </c>
      <c r="D596" s="5">
        <f>COUNTIF($B$4:B596,B596)</f>
        <v>8</v>
      </c>
      <c r="E596" s="5">
        <f>ROUNDDOWN(INDEX(ref_Unit_Balance!$G$31:$G$106,MATCH(UnitGradeInfo!B596,ref_Unit_Balance!$B$31:$B$1048576,0))
+INDEX(ref_Unit_Balance!$G$20:$G$23,MATCH(IFERROR(INDEX(ref_Unit_Balance!$D$31:$D$1048576,MATCH(B596,ref_Unit_Balance!$B$31:$B$1048576,0)),0),ref_Unit_Balance!$B$20:$B$23,0))*D596*ref_Unit_Balance!$C$25,0)</f>
        <v>677</v>
      </c>
      <c r="F596" s="5">
        <f>INDEX(ref_Unit_Balance!$V$31:$V$106,MATCH(UnitGradeInfo!B596,ref_Unit_Balance!$B$31:$B$1048576,0))
+
INDEX(ref_Unit_Balance!$AB$31:$AB$106,MATCH(UnitGradeInfo!B596,ref_Unit_Balance!$B$31:$B$1048576,0))*(D596-1)</f>
        <v>3850</v>
      </c>
      <c r="G596" s="5">
        <f>INDEX(ref_Unit_Balance!$R$31:$R$106,MATCH(UnitGradeInfo!B596,ref_Unit_Balance!$B$31:$B$1048576,0))
+
INDEX(ref_Unit_Balance!$AA$31:$AA$106,MATCH(UnitGradeInfo!B596,ref_Unit_Balance!$B$31:$B$1048576,0))*(D596-1)</f>
        <v>150</v>
      </c>
      <c r="H596" s="39">
        <f>IF(INDEX(Unitinfo!D:D,MATCH(UnitGradeInfo!B596,Unitinfo!A:A,0))=1,50,5)</f>
        <v>50</v>
      </c>
      <c r="I596" s="5">
        <f>IF(INDEX(ref_Unit_Balance!$T$31:$T$106,MATCH(UnitGradeInfo!B596,ref_Unit_Balance!$B$31:$B$1048576,0))=0,1,INDEX(ref_Unit_Balance!$T$31:$T$106,MATCH(UnitGradeInfo!B596,ref_Unit_Balance!$B$31:$B$1048576,0)))</f>
        <v>5</v>
      </c>
      <c r="J596" s="5">
        <f>INDEX(ref_Unit_Balance!$S$31:$S$106,MATCH(UnitGradeInfo!B596,ref_Unit_Balance!$B$31:$B$1048576,0))</f>
        <v>800</v>
      </c>
      <c r="K596" s="5">
        <v>0</v>
      </c>
      <c r="L596" s="5">
        <f>INDEX(ref_Unit_Balance!$I$31:$I$106,MATCH(UnitGradeInfo!B596,ref_Unit_Balance!$B$31:$B$1048576,0))</f>
        <v>3</v>
      </c>
      <c r="M596" s="5">
        <f t="shared" si="64"/>
        <v>16</v>
      </c>
      <c r="N596" s="5">
        <f t="shared" si="65"/>
        <v>160</v>
      </c>
      <c r="O596" s="5">
        <f>(INDEX(Unitinfo!I:I,MATCH(B596,Unitinfo!A:A,0))+1)*2</f>
        <v>4</v>
      </c>
      <c r="P596" s="5">
        <v>0</v>
      </c>
      <c r="Q596" s="5">
        <v>0</v>
      </c>
      <c r="R596" s="19" t="s">
        <v>421</v>
      </c>
      <c r="S596" s="19" t="s">
        <v>421</v>
      </c>
      <c r="T596" s="5">
        <f t="shared" si="61"/>
        <v>2028</v>
      </c>
      <c r="U596" s="5">
        <f t="shared" si="62"/>
        <v>1</v>
      </c>
      <c r="V596" s="5">
        <v>0</v>
      </c>
      <c r="W596" s="5">
        <v>10</v>
      </c>
    </row>
    <row r="597" spans="1:23">
      <c r="A597" s="5">
        <f t="shared" si="60"/>
        <v>594</v>
      </c>
      <c r="B597" s="93">
        <f t="shared" si="63"/>
        <v>2028</v>
      </c>
      <c r="C597" s="20" t="str">
        <f>INDEX(Unitinfo!C:C,MATCH(UnitGradeInfo!B597,Unitinfo!A:A,0))</f>
        <v>(원거리)Golem_Ice</v>
      </c>
      <c r="D597" s="5">
        <f>COUNTIF($B$4:B597,B597)</f>
        <v>9</v>
      </c>
      <c r="E597" s="5">
        <f>ROUNDDOWN(INDEX(ref_Unit_Balance!$G$31:$G$106,MATCH(UnitGradeInfo!B597,ref_Unit_Balance!$B$31:$B$1048576,0))
+INDEX(ref_Unit_Balance!$G$20:$G$23,MATCH(IFERROR(INDEX(ref_Unit_Balance!$D$31:$D$1048576,MATCH(B597,ref_Unit_Balance!$B$31:$B$1048576,0)),0),ref_Unit_Balance!$B$20:$B$23,0))*D597*ref_Unit_Balance!$C$25,0)</f>
        <v>739</v>
      </c>
      <c r="F597" s="5">
        <f>INDEX(ref_Unit_Balance!$V$31:$V$106,MATCH(UnitGradeInfo!B597,ref_Unit_Balance!$B$31:$B$1048576,0))
+
INDEX(ref_Unit_Balance!$AB$31:$AB$106,MATCH(UnitGradeInfo!B597,ref_Unit_Balance!$B$31:$B$1048576,0))*(D597-1)</f>
        <v>4050</v>
      </c>
      <c r="G597" s="5">
        <f>INDEX(ref_Unit_Balance!$R$31:$R$106,MATCH(UnitGradeInfo!B597,ref_Unit_Balance!$B$31:$B$1048576,0))
+
INDEX(ref_Unit_Balance!$AA$31:$AA$106,MATCH(UnitGradeInfo!B597,ref_Unit_Balance!$B$31:$B$1048576,0))*(D597-1)</f>
        <v>160</v>
      </c>
      <c r="H597" s="39">
        <f>IF(INDEX(Unitinfo!D:D,MATCH(UnitGradeInfo!B597,Unitinfo!A:A,0))=1,50,5)</f>
        <v>50</v>
      </c>
      <c r="I597" s="5">
        <f>IF(INDEX(ref_Unit_Balance!$T$31:$T$106,MATCH(UnitGradeInfo!B597,ref_Unit_Balance!$B$31:$B$1048576,0))=0,1,INDEX(ref_Unit_Balance!$T$31:$T$106,MATCH(UnitGradeInfo!B597,ref_Unit_Balance!$B$31:$B$1048576,0)))</f>
        <v>5</v>
      </c>
      <c r="J597" s="5">
        <f>INDEX(ref_Unit_Balance!$S$31:$S$106,MATCH(UnitGradeInfo!B597,ref_Unit_Balance!$B$31:$B$1048576,0))</f>
        <v>800</v>
      </c>
      <c r="K597" s="5">
        <v>0</v>
      </c>
      <c r="L597" s="5">
        <f>INDEX(ref_Unit_Balance!$I$31:$I$106,MATCH(UnitGradeInfo!B597,ref_Unit_Balance!$B$31:$B$1048576,0))</f>
        <v>3</v>
      </c>
      <c r="M597" s="5">
        <f t="shared" si="64"/>
        <v>18</v>
      </c>
      <c r="N597" s="5">
        <f t="shared" si="65"/>
        <v>180</v>
      </c>
      <c r="O597" s="5">
        <f>(INDEX(Unitinfo!I:I,MATCH(B597,Unitinfo!A:A,0))+1)*2</f>
        <v>4</v>
      </c>
      <c r="P597" s="5">
        <v>0</v>
      </c>
      <c r="Q597" s="5">
        <v>0</v>
      </c>
      <c r="R597" s="19" t="s">
        <v>421</v>
      </c>
      <c r="S597" s="19" t="s">
        <v>421</v>
      </c>
      <c r="T597" s="5">
        <f t="shared" si="61"/>
        <v>2028</v>
      </c>
      <c r="U597" s="5">
        <f t="shared" si="62"/>
        <v>1</v>
      </c>
      <c r="V597" s="5">
        <v>0</v>
      </c>
      <c r="W597" s="5">
        <v>10</v>
      </c>
    </row>
    <row r="598" spans="1:23">
      <c r="A598" s="5">
        <f t="shared" si="60"/>
        <v>595</v>
      </c>
      <c r="B598" s="93">
        <f t="shared" si="63"/>
        <v>2028</v>
      </c>
      <c r="C598" s="20" t="str">
        <f>INDEX(Unitinfo!C:C,MATCH(UnitGradeInfo!B598,Unitinfo!A:A,0))</f>
        <v>(원거리)Golem_Ice</v>
      </c>
      <c r="D598" s="5">
        <f>COUNTIF($B$4:B598,B598)</f>
        <v>10</v>
      </c>
      <c r="E598" s="5">
        <f>ROUNDDOWN(INDEX(ref_Unit_Balance!$G$31:$G$106,MATCH(UnitGradeInfo!B598,ref_Unit_Balance!$B$31:$B$1048576,0))
+INDEX(ref_Unit_Balance!$G$20:$G$23,MATCH(IFERROR(INDEX(ref_Unit_Balance!$D$31:$D$1048576,MATCH(B598,ref_Unit_Balance!$B$31:$B$1048576,0)),0),ref_Unit_Balance!$B$20:$B$23,0))*D598*ref_Unit_Balance!$C$25,0)</f>
        <v>802</v>
      </c>
      <c r="F598" s="5">
        <f>INDEX(ref_Unit_Balance!$V$31:$V$106,MATCH(UnitGradeInfo!B598,ref_Unit_Balance!$B$31:$B$1048576,0))
+
INDEX(ref_Unit_Balance!$AB$31:$AB$106,MATCH(UnitGradeInfo!B598,ref_Unit_Balance!$B$31:$B$1048576,0))*(D598-1)</f>
        <v>4250</v>
      </c>
      <c r="G598" s="5">
        <f>INDEX(ref_Unit_Balance!$R$31:$R$106,MATCH(UnitGradeInfo!B598,ref_Unit_Balance!$B$31:$B$1048576,0))
+
INDEX(ref_Unit_Balance!$AA$31:$AA$106,MATCH(UnitGradeInfo!B598,ref_Unit_Balance!$B$31:$B$1048576,0))*(D598-1)</f>
        <v>170</v>
      </c>
      <c r="H598" s="39">
        <f>IF(INDEX(Unitinfo!D:D,MATCH(UnitGradeInfo!B598,Unitinfo!A:A,0))=1,50,5)</f>
        <v>50</v>
      </c>
      <c r="I598" s="5">
        <f>IF(INDEX(ref_Unit_Balance!$T$31:$T$106,MATCH(UnitGradeInfo!B598,ref_Unit_Balance!$B$31:$B$1048576,0))=0,1,INDEX(ref_Unit_Balance!$T$31:$T$106,MATCH(UnitGradeInfo!B598,ref_Unit_Balance!$B$31:$B$1048576,0)))</f>
        <v>5</v>
      </c>
      <c r="J598" s="5">
        <f>INDEX(ref_Unit_Balance!$S$31:$S$106,MATCH(UnitGradeInfo!B598,ref_Unit_Balance!$B$31:$B$1048576,0))</f>
        <v>800</v>
      </c>
      <c r="K598" s="5">
        <v>0</v>
      </c>
      <c r="L598" s="5">
        <f>INDEX(ref_Unit_Balance!$I$31:$I$106,MATCH(UnitGradeInfo!B598,ref_Unit_Balance!$B$31:$B$1048576,0))</f>
        <v>3</v>
      </c>
      <c r="M598" s="5">
        <f t="shared" si="64"/>
        <v>20</v>
      </c>
      <c r="N598" s="5">
        <f t="shared" si="65"/>
        <v>200</v>
      </c>
      <c r="O598" s="5">
        <f>(INDEX(Unitinfo!I:I,MATCH(B598,Unitinfo!A:A,0))+1)*2</f>
        <v>4</v>
      </c>
      <c r="P598" s="5">
        <v>0</v>
      </c>
      <c r="Q598" s="5">
        <v>0</v>
      </c>
      <c r="R598" s="19" t="s">
        <v>421</v>
      </c>
      <c r="S598" s="19" t="s">
        <v>421</v>
      </c>
      <c r="T598" s="5">
        <f t="shared" si="61"/>
        <v>2028</v>
      </c>
      <c r="U598" s="5">
        <f t="shared" si="62"/>
        <v>1</v>
      </c>
      <c r="V598" s="5">
        <v>0</v>
      </c>
      <c r="W598" s="5">
        <v>10</v>
      </c>
    </row>
    <row r="599" spans="1:23">
      <c r="A599" s="5">
        <f t="shared" si="60"/>
        <v>596</v>
      </c>
      <c r="B599" s="93">
        <f t="shared" si="63"/>
        <v>2028</v>
      </c>
      <c r="C599" s="20" t="str">
        <f>INDEX(Unitinfo!C:C,MATCH(UnitGradeInfo!B599,Unitinfo!A:A,0))</f>
        <v>(원거리)Golem_Ice</v>
      </c>
      <c r="D599" s="5">
        <f>COUNTIF($B$4:B599,B599)</f>
        <v>11</v>
      </c>
      <c r="E599" s="5">
        <f>ROUNDDOWN(INDEX(ref_Unit_Balance!$G$31:$G$106,MATCH(UnitGradeInfo!B599,ref_Unit_Balance!$B$31:$B$1048576,0))
+INDEX(ref_Unit_Balance!$G$20:$G$23,MATCH(IFERROR(INDEX(ref_Unit_Balance!$D$31:$D$1048576,MATCH(B599,ref_Unit_Balance!$B$31:$B$1048576,0)),0),ref_Unit_Balance!$B$20:$B$23,0))*D599*ref_Unit_Balance!$C$25,0)</f>
        <v>864</v>
      </c>
      <c r="F599" s="5">
        <f>INDEX(ref_Unit_Balance!$V$31:$V$106,MATCH(UnitGradeInfo!B599,ref_Unit_Balance!$B$31:$B$1048576,0))
+
INDEX(ref_Unit_Balance!$AB$31:$AB$106,MATCH(UnitGradeInfo!B599,ref_Unit_Balance!$B$31:$B$1048576,0))*(D599-1)</f>
        <v>4450</v>
      </c>
      <c r="G599" s="5">
        <f>INDEX(ref_Unit_Balance!$R$31:$R$106,MATCH(UnitGradeInfo!B599,ref_Unit_Balance!$B$31:$B$1048576,0))
+
INDEX(ref_Unit_Balance!$AA$31:$AA$106,MATCH(UnitGradeInfo!B599,ref_Unit_Balance!$B$31:$B$1048576,0))*(D599-1)</f>
        <v>180</v>
      </c>
      <c r="H599" s="39">
        <f>IF(INDEX(Unitinfo!D:D,MATCH(UnitGradeInfo!B599,Unitinfo!A:A,0))=1,50,5)</f>
        <v>50</v>
      </c>
      <c r="I599" s="5">
        <f>IF(INDEX(ref_Unit_Balance!$T$31:$T$106,MATCH(UnitGradeInfo!B599,ref_Unit_Balance!$B$31:$B$1048576,0))=0,1,INDEX(ref_Unit_Balance!$T$31:$T$106,MATCH(UnitGradeInfo!B599,ref_Unit_Balance!$B$31:$B$1048576,0)))</f>
        <v>5</v>
      </c>
      <c r="J599" s="5">
        <f>INDEX(ref_Unit_Balance!$S$31:$S$106,MATCH(UnitGradeInfo!B599,ref_Unit_Balance!$B$31:$B$1048576,0))</f>
        <v>800</v>
      </c>
      <c r="K599" s="5">
        <v>0</v>
      </c>
      <c r="L599" s="5">
        <f>INDEX(ref_Unit_Balance!$I$31:$I$106,MATCH(UnitGradeInfo!B599,ref_Unit_Balance!$B$31:$B$1048576,0))</f>
        <v>3</v>
      </c>
      <c r="M599" s="5">
        <f t="shared" si="64"/>
        <v>22</v>
      </c>
      <c r="N599" s="5">
        <f t="shared" si="65"/>
        <v>220</v>
      </c>
      <c r="O599" s="5">
        <f>(INDEX(Unitinfo!I:I,MATCH(B599,Unitinfo!A:A,0))+1)*2</f>
        <v>4</v>
      </c>
      <c r="P599" s="5">
        <v>0</v>
      </c>
      <c r="Q599" s="5">
        <v>0</v>
      </c>
      <c r="R599" s="19" t="s">
        <v>421</v>
      </c>
      <c r="S599" s="19" t="s">
        <v>421</v>
      </c>
      <c r="T599" s="5">
        <f t="shared" si="61"/>
        <v>2028</v>
      </c>
      <c r="U599" s="5">
        <f t="shared" si="62"/>
        <v>1</v>
      </c>
      <c r="V599" s="5">
        <v>0</v>
      </c>
      <c r="W599" s="5">
        <v>10</v>
      </c>
    </row>
    <row r="600" spans="1:23">
      <c r="A600" s="5">
        <f t="shared" si="60"/>
        <v>597</v>
      </c>
      <c r="B600" s="93">
        <f t="shared" si="63"/>
        <v>2028</v>
      </c>
      <c r="C600" s="20" t="str">
        <f>INDEX(Unitinfo!C:C,MATCH(UnitGradeInfo!B600,Unitinfo!A:A,0))</f>
        <v>(원거리)Golem_Ice</v>
      </c>
      <c r="D600" s="5">
        <f>COUNTIF($B$4:B600,B600)</f>
        <v>12</v>
      </c>
      <c r="E600" s="5">
        <f>ROUNDDOWN(INDEX(ref_Unit_Balance!$G$31:$G$106,MATCH(UnitGradeInfo!B600,ref_Unit_Balance!$B$31:$B$1048576,0))
+INDEX(ref_Unit_Balance!$G$20:$G$23,MATCH(IFERROR(INDEX(ref_Unit_Balance!$D$31:$D$1048576,MATCH(B600,ref_Unit_Balance!$B$31:$B$1048576,0)),0),ref_Unit_Balance!$B$20:$B$23,0))*D600*ref_Unit_Balance!$C$25,0)</f>
        <v>927</v>
      </c>
      <c r="F600" s="5">
        <f>INDEX(ref_Unit_Balance!$V$31:$V$106,MATCH(UnitGradeInfo!B600,ref_Unit_Balance!$B$31:$B$1048576,0))
+
INDEX(ref_Unit_Balance!$AB$31:$AB$106,MATCH(UnitGradeInfo!B600,ref_Unit_Balance!$B$31:$B$1048576,0))*(D600-1)</f>
        <v>4650</v>
      </c>
      <c r="G600" s="5">
        <f>INDEX(ref_Unit_Balance!$R$31:$R$106,MATCH(UnitGradeInfo!B600,ref_Unit_Balance!$B$31:$B$1048576,0))
+
INDEX(ref_Unit_Balance!$AA$31:$AA$106,MATCH(UnitGradeInfo!B600,ref_Unit_Balance!$B$31:$B$1048576,0))*(D600-1)</f>
        <v>190</v>
      </c>
      <c r="H600" s="39">
        <f>IF(INDEX(Unitinfo!D:D,MATCH(UnitGradeInfo!B600,Unitinfo!A:A,0))=1,50,5)</f>
        <v>50</v>
      </c>
      <c r="I600" s="5">
        <f>IF(INDEX(ref_Unit_Balance!$T$31:$T$106,MATCH(UnitGradeInfo!B600,ref_Unit_Balance!$B$31:$B$1048576,0))=0,1,INDEX(ref_Unit_Balance!$T$31:$T$106,MATCH(UnitGradeInfo!B600,ref_Unit_Balance!$B$31:$B$1048576,0)))</f>
        <v>5</v>
      </c>
      <c r="J600" s="5">
        <f>INDEX(ref_Unit_Balance!$S$31:$S$106,MATCH(UnitGradeInfo!B600,ref_Unit_Balance!$B$31:$B$1048576,0))</f>
        <v>800</v>
      </c>
      <c r="K600" s="5">
        <v>0</v>
      </c>
      <c r="L600" s="5">
        <f>INDEX(ref_Unit_Balance!$I$31:$I$106,MATCH(UnitGradeInfo!B600,ref_Unit_Balance!$B$31:$B$1048576,0))</f>
        <v>3</v>
      </c>
      <c r="M600" s="5">
        <f t="shared" si="64"/>
        <v>24</v>
      </c>
      <c r="N600" s="5">
        <f t="shared" si="65"/>
        <v>240</v>
      </c>
      <c r="O600" s="5">
        <f>(INDEX(Unitinfo!I:I,MATCH(B600,Unitinfo!A:A,0))+1)*2</f>
        <v>4</v>
      </c>
      <c r="P600" s="5">
        <v>0</v>
      </c>
      <c r="Q600" s="5">
        <v>0</v>
      </c>
      <c r="R600" s="19" t="s">
        <v>421</v>
      </c>
      <c r="S600" s="19" t="s">
        <v>421</v>
      </c>
      <c r="T600" s="5">
        <f t="shared" si="61"/>
        <v>2028</v>
      </c>
      <c r="U600" s="5">
        <f t="shared" si="62"/>
        <v>1</v>
      </c>
      <c r="V600" s="5">
        <v>0</v>
      </c>
      <c r="W600" s="5">
        <v>10</v>
      </c>
    </row>
    <row r="601" spans="1:23">
      <c r="A601" s="5">
        <f t="shared" si="60"/>
        <v>598</v>
      </c>
      <c r="B601" s="93">
        <f t="shared" si="63"/>
        <v>2028</v>
      </c>
      <c r="C601" s="20" t="str">
        <f>INDEX(Unitinfo!C:C,MATCH(UnitGradeInfo!B601,Unitinfo!A:A,0))</f>
        <v>(원거리)Golem_Ice</v>
      </c>
      <c r="D601" s="5">
        <f>COUNTIF($B$4:B601,B601)</f>
        <v>13</v>
      </c>
      <c r="E601" s="5">
        <f>ROUNDDOWN(INDEX(ref_Unit_Balance!$G$31:$G$106,MATCH(UnitGradeInfo!B601,ref_Unit_Balance!$B$31:$B$1048576,0))
+INDEX(ref_Unit_Balance!$G$20:$G$23,MATCH(IFERROR(INDEX(ref_Unit_Balance!$D$31:$D$1048576,MATCH(B601,ref_Unit_Balance!$B$31:$B$1048576,0)),0),ref_Unit_Balance!$B$20:$B$23,0))*D601*ref_Unit_Balance!$C$25,0)</f>
        <v>989</v>
      </c>
      <c r="F601" s="5">
        <f>INDEX(ref_Unit_Balance!$V$31:$V$106,MATCH(UnitGradeInfo!B601,ref_Unit_Balance!$B$31:$B$1048576,0))
+
INDEX(ref_Unit_Balance!$AB$31:$AB$106,MATCH(UnitGradeInfo!B601,ref_Unit_Balance!$B$31:$B$1048576,0))*(D601-1)</f>
        <v>4850</v>
      </c>
      <c r="G601" s="5">
        <f>INDEX(ref_Unit_Balance!$R$31:$R$106,MATCH(UnitGradeInfo!B601,ref_Unit_Balance!$B$31:$B$1048576,0))
+
INDEX(ref_Unit_Balance!$AA$31:$AA$106,MATCH(UnitGradeInfo!B601,ref_Unit_Balance!$B$31:$B$1048576,0))*(D601-1)</f>
        <v>200</v>
      </c>
      <c r="H601" s="39">
        <f>IF(INDEX(Unitinfo!D:D,MATCH(UnitGradeInfo!B601,Unitinfo!A:A,0))=1,50,5)</f>
        <v>50</v>
      </c>
      <c r="I601" s="5">
        <f>IF(INDEX(ref_Unit_Balance!$T$31:$T$106,MATCH(UnitGradeInfo!B601,ref_Unit_Balance!$B$31:$B$1048576,0))=0,1,INDEX(ref_Unit_Balance!$T$31:$T$106,MATCH(UnitGradeInfo!B601,ref_Unit_Balance!$B$31:$B$1048576,0)))</f>
        <v>5</v>
      </c>
      <c r="J601" s="5">
        <f>INDEX(ref_Unit_Balance!$S$31:$S$106,MATCH(UnitGradeInfo!B601,ref_Unit_Balance!$B$31:$B$1048576,0))</f>
        <v>800</v>
      </c>
      <c r="K601" s="5">
        <v>0</v>
      </c>
      <c r="L601" s="5">
        <f>INDEX(ref_Unit_Balance!$I$31:$I$106,MATCH(UnitGradeInfo!B601,ref_Unit_Balance!$B$31:$B$1048576,0))</f>
        <v>3</v>
      </c>
      <c r="M601" s="5">
        <f t="shared" si="64"/>
        <v>26</v>
      </c>
      <c r="N601" s="5">
        <f t="shared" si="65"/>
        <v>260</v>
      </c>
      <c r="O601" s="5">
        <f>(INDEX(Unitinfo!I:I,MATCH(B601,Unitinfo!A:A,0))+1)*2</f>
        <v>4</v>
      </c>
      <c r="P601" s="5">
        <v>0</v>
      </c>
      <c r="Q601" s="5">
        <v>0</v>
      </c>
      <c r="R601" s="19" t="s">
        <v>421</v>
      </c>
      <c r="S601" s="19" t="s">
        <v>421</v>
      </c>
      <c r="T601" s="5">
        <f t="shared" si="61"/>
        <v>2028</v>
      </c>
      <c r="U601" s="5">
        <f t="shared" si="62"/>
        <v>1</v>
      </c>
      <c r="V601" s="5">
        <v>0</v>
      </c>
      <c r="W601" s="5">
        <v>10</v>
      </c>
    </row>
    <row r="602" spans="1:23">
      <c r="A602" s="5">
        <f t="shared" si="60"/>
        <v>599</v>
      </c>
      <c r="B602" s="93">
        <f t="shared" si="63"/>
        <v>2028</v>
      </c>
      <c r="C602" s="20" t="str">
        <f>INDEX(Unitinfo!C:C,MATCH(UnitGradeInfo!B602,Unitinfo!A:A,0))</f>
        <v>(원거리)Golem_Ice</v>
      </c>
      <c r="D602" s="5">
        <f>COUNTIF($B$4:B602,B602)</f>
        <v>14</v>
      </c>
      <c r="E602" s="5">
        <f>ROUNDDOWN(INDEX(ref_Unit_Balance!$G$31:$G$106,MATCH(UnitGradeInfo!B602,ref_Unit_Balance!$B$31:$B$1048576,0))
+INDEX(ref_Unit_Balance!$G$20:$G$23,MATCH(IFERROR(INDEX(ref_Unit_Balance!$D$31:$D$1048576,MATCH(B602,ref_Unit_Balance!$B$31:$B$1048576,0)),0),ref_Unit_Balance!$B$20:$B$23,0))*D602*ref_Unit_Balance!$C$25,0)</f>
        <v>1052</v>
      </c>
      <c r="F602" s="5">
        <f>INDEX(ref_Unit_Balance!$V$31:$V$106,MATCH(UnitGradeInfo!B602,ref_Unit_Balance!$B$31:$B$1048576,0))
+
INDEX(ref_Unit_Balance!$AB$31:$AB$106,MATCH(UnitGradeInfo!B602,ref_Unit_Balance!$B$31:$B$1048576,0))*(D602-1)</f>
        <v>5050</v>
      </c>
      <c r="G602" s="5">
        <f>INDEX(ref_Unit_Balance!$R$31:$R$106,MATCH(UnitGradeInfo!B602,ref_Unit_Balance!$B$31:$B$1048576,0))
+
INDEX(ref_Unit_Balance!$AA$31:$AA$106,MATCH(UnitGradeInfo!B602,ref_Unit_Balance!$B$31:$B$1048576,0))*(D602-1)</f>
        <v>210</v>
      </c>
      <c r="H602" s="39">
        <f>IF(INDEX(Unitinfo!D:D,MATCH(UnitGradeInfo!B602,Unitinfo!A:A,0))=1,50,5)</f>
        <v>50</v>
      </c>
      <c r="I602" s="5">
        <f>IF(INDEX(ref_Unit_Balance!$T$31:$T$106,MATCH(UnitGradeInfo!B602,ref_Unit_Balance!$B$31:$B$1048576,0))=0,1,INDEX(ref_Unit_Balance!$T$31:$T$106,MATCH(UnitGradeInfo!B602,ref_Unit_Balance!$B$31:$B$1048576,0)))</f>
        <v>5</v>
      </c>
      <c r="J602" s="5">
        <f>INDEX(ref_Unit_Balance!$S$31:$S$106,MATCH(UnitGradeInfo!B602,ref_Unit_Balance!$B$31:$B$1048576,0))</f>
        <v>800</v>
      </c>
      <c r="K602" s="5">
        <v>0</v>
      </c>
      <c r="L602" s="5">
        <f>INDEX(ref_Unit_Balance!$I$31:$I$106,MATCH(UnitGradeInfo!B602,ref_Unit_Balance!$B$31:$B$1048576,0))</f>
        <v>3</v>
      </c>
      <c r="M602" s="5">
        <f t="shared" si="64"/>
        <v>28</v>
      </c>
      <c r="N602" s="5">
        <f t="shared" si="65"/>
        <v>280</v>
      </c>
      <c r="O602" s="5">
        <f>(INDEX(Unitinfo!I:I,MATCH(B602,Unitinfo!A:A,0))+1)*2</f>
        <v>4</v>
      </c>
      <c r="P602" s="5">
        <v>0</v>
      </c>
      <c r="Q602" s="5">
        <v>0</v>
      </c>
      <c r="R602" s="19" t="s">
        <v>421</v>
      </c>
      <c r="S602" s="19" t="s">
        <v>421</v>
      </c>
      <c r="T602" s="5">
        <f t="shared" si="61"/>
        <v>2028</v>
      </c>
      <c r="U602" s="5">
        <f t="shared" si="62"/>
        <v>1</v>
      </c>
      <c r="V602" s="5">
        <v>0</v>
      </c>
      <c r="W602" s="5">
        <v>10</v>
      </c>
    </row>
    <row r="603" spans="1:23">
      <c r="A603" s="5">
        <f t="shared" si="60"/>
        <v>600</v>
      </c>
      <c r="B603" s="93">
        <f t="shared" si="63"/>
        <v>2028</v>
      </c>
      <c r="C603" s="20" t="str">
        <f>INDEX(Unitinfo!C:C,MATCH(UnitGradeInfo!B603,Unitinfo!A:A,0))</f>
        <v>(원거리)Golem_Ice</v>
      </c>
      <c r="D603" s="5">
        <f>COUNTIF($B$4:B603,B603)</f>
        <v>15</v>
      </c>
      <c r="E603" s="5">
        <f>ROUNDDOWN(INDEX(ref_Unit_Balance!$G$31:$G$106,MATCH(UnitGradeInfo!B603,ref_Unit_Balance!$B$31:$B$1048576,0))
+INDEX(ref_Unit_Balance!$G$20:$G$23,MATCH(IFERROR(INDEX(ref_Unit_Balance!$D$31:$D$1048576,MATCH(B603,ref_Unit_Balance!$B$31:$B$1048576,0)),0),ref_Unit_Balance!$B$20:$B$23,0))*D603*ref_Unit_Balance!$C$25,0)</f>
        <v>1114</v>
      </c>
      <c r="F603" s="5">
        <f>INDEX(ref_Unit_Balance!$V$31:$V$106,MATCH(UnitGradeInfo!B603,ref_Unit_Balance!$B$31:$B$1048576,0))
+
INDEX(ref_Unit_Balance!$AB$31:$AB$106,MATCH(UnitGradeInfo!B603,ref_Unit_Balance!$B$31:$B$1048576,0))*(D603-1)</f>
        <v>5250</v>
      </c>
      <c r="G603" s="5">
        <f>INDEX(ref_Unit_Balance!$R$31:$R$106,MATCH(UnitGradeInfo!B603,ref_Unit_Balance!$B$31:$B$1048576,0))
+
INDEX(ref_Unit_Balance!$AA$31:$AA$106,MATCH(UnitGradeInfo!B603,ref_Unit_Balance!$B$31:$B$1048576,0))*(D603-1)</f>
        <v>220</v>
      </c>
      <c r="H603" s="39">
        <f>IF(INDEX(Unitinfo!D:D,MATCH(UnitGradeInfo!B603,Unitinfo!A:A,0))=1,50,5)</f>
        <v>50</v>
      </c>
      <c r="I603" s="5">
        <f>IF(INDEX(ref_Unit_Balance!$T$31:$T$106,MATCH(UnitGradeInfo!B603,ref_Unit_Balance!$B$31:$B$1048576,0))=0,1,INDEX(ref_Unit_Balance!$T$31:$T$106,MATCH(UnitGradeInfo!B603,ref_Unit_Balance!$B$31:$B$1048576,0)))</f>
        <v>5</v>
      </c>
      <c r="J603" s="5">
        <f>INDEX(ref_Unit_Balance!$S$31:$S$106,MATCH(UnitGradeInfo!B603,ref_Unit_Balance!$B$31:$B$1048576,0))</f>
        <v>800</v>
      </c>
      <c r="K603" s="5">
        <v>0</v>
      </c>
      <c r="L603" s="5">
        <f>INDEX(ref_Unit_Balance!$I$31:$I$106,MATCH(UnitGradeInfo!B603,ref_Unit_Balance!$B$31:$B$1048576,0))</f>
        <v>3</v>
      </c>
      <c r="M603" s="5">
        <f t="shared" si="64"/>
        <v>30</v>
      </c>
      <c r="N603" s="5">
        <f t="shared" si="65"/>
        <v>300</v>
      </c>
      <c r="O603" s="5">
        <f>(INDEX(Unitinfo!I:I,MATCH(B603,Unitinfo!A:A,0))+1)*2</f>
        <v>4</v>
      </c>
      <c r="P603" s="5">
        <v>0</v>
      </c>
      <c r="Q603" s="5">
        <v>0</v>
      </c>
      <c r="R603" s="19" t="s">
        <v>421</v>
      </c>
      <c r="S603" s="19" t="s">
        <v>421</v>
      </c>
      <c r="T603" s="5">
        <f t="shared" si="61"/>
        <v>2028</v>
      </c>
      <c r="U603" s="5">
        <f t="shared" si="62"/>
        <v>1</v>
      </c>
      <c r="V603" s="5">
        <v>0</v>
      </c>
      <c r="W603" s="5">
        <v>10</v>
      </c>
    </row>
    <row r="604" spans="1:23">
      <c r="A604" s="5">
        <f t="shared" si="60"/>
        <v>601</v>
      </c>
      <c r="B604" s="93">
        <f t="shared" si="63"/>
        <v>2028</v>
      </c>
      <c r="C604" s="20" t="str">
        <f>INDEX(Unitinfo!C:C,MATCH(UnitGradeInfo!B604,Unitinfo!A:A,0))</f>
        <v>(원거리)Golem_Ice</v>
      </c>
      <c r="D604" s="5">
        <f>COUNTIF($B$4:B604,B604)</f>
        <v>16</v>
      </c>
      <c r="E604" s="5">
        <f>ROUNDDOWN(INDEX(ref_Unit_Balance!$G$31:$G$106,MATCH(UnitGradeInfo!B604,ref_Unit_Balance!$B$31:$B$1048576,0))
+INDEX(ref_Unit_Balance!$G$20:$G$23,MATCH(IFERROR(INDEX(ref_Unit_Balance!$D$31:$D$1048576,MATCH(B604,ref_Unit_Balance!$B$31:$B$1048576,0)),0),ref_Unit_Balance!$B$20:$B$23,0))*D604*ref_Unit_Balance!$C$25,0)</f>
        <v>1177</v>
      </c>
      <c r="F604" s="5">
        <f>INDEX(ref_Unit_Balance!$V$31:$V$106,MATCH(UnitGradeInfo!B604,ref_Unit_Balance!$B$31:$B$1048576,0))
+
INDEX(ref_Unit_Balance!$AB$31:$AB$106,MATCH(UnitGradeInfo!B604,ref_Unit_Balance!$B$31:$B$1048576,0))*(D604-1)</f>
        <v>5450</v>
      </c>
      <c r="G604" s="5">
        <f>INDEX(ref_Unit_Balance!$R$31:$R$106,MATCH(UnitGradeInfo!B604,ref_Unit_Balance!$B$31:$B$1048576,0))
+
INDEX(ref_Unit_Balance!$AA$31:$AA$106,MATCH(UnitGradeInfo!B604,ref_Unit_Balance!$B$31:$B$1048576,0))*(D604-1)</f>
        <v>230</v>
      </c>
      <c r="H604" s="39">
        <f>IF(INDEX(Unitinfo!D:D,MATCH(UnitGradeInfo!B604,Unitinfo!A:A,0))=1,50,5)</f>
        <v>50</v>
      </c>
      <c r="I604" s="5">
        <f>IF(INDEX(ref_Unit_Balance!$T$31:$T$106,MATCH(UnitGradeInfo!B604,ref_Unit_Balance!$B$31:$B$1048576,0))=0,1,INDEX(ref_Unit_Balance!$T$31:$T$106,MATCH(UnitGradeInfo!B604,ref_Unit_Balance!$B$31:$B$1048576,0)))</f>
        <v>5</v>
      </c>
      <c r="J604" s="5">
        <f>INDEX(ref_Unit_Balance!$S$31:$S$106,MATCH(UnitGradeInfo!B604,ref_Unit_Balance!$B$31:$B$1048576,0))</f>
        <v>800</v>
      </c>
      <c r="K604" s="5">
        <v>0</v>
      </c>
      <c r="L604" s="5">
        <f>INDEX(ref_Unit_Balance!$I$31:$I$106,MATCH(UnitGradeInfo!B604,ref_Unit_Balance!$B$31:$B$1048576,0))</f>
        <v>3</v>
      </c>
      <c r="M604" s="5">
        <f t="shared" si="64"/>
        <v>32</v>
      </c>
      <c r="N604" s="5">
        <f t="shared" si="65"/>
        <v>320</v>
      </c>
      <c r="O604" s="5">
        <f>(INDEX(Unitinfo!I:I,MATCH(B604,Unitinfo!A:A,0))+1)*2</f>
        <v>4</v>
      </c>
      <c r="P604" s="5">
        <v>0</v>
      </c>
      <c r="Q604" s="5">
        <v>0</v>
      </c>
      <c r="R604" s="19" t="s">
        <v>421</v>
      </c>
      <c r="S604" s="19" t="s">
        <v>421</v>
      </c>
      <c r="T604" s="5">
        <f t="shared" si="61"/>
        <v>2028</v>
      </c>
      <c r="U604" s="5">
        <f t="shared" si="62"/>
        <v>1</v>
      </c>
      <c r="V604" s="5">
        <v>0</v>
      </c>
      <c r="W604" s="5">
        <v>10</v>
      </c>
    </row>
    <row r="605" spans="1:23">
      <c r="A605" s="5">
        <f t="shared" si="60"/>
        <v>602</v>
      </c>
      <c r="B605" s="93">
        <f t="shared" si="63"/>
        <v>2028</v>
      </c>
      <c r="C605" s="20" t="str">
        <f>INDEX(Unitinfo!C:C,MATCH(UnitGradeInfo!B605,Unitinfo!A:A,0))</f>
        <v>(원거리)Golem_Ice</v>
      </c>
      <c r="D605" s="5">
        <f>COUNTIF($B$4:B605,B605)</f>
        <v>17</v>
      </c>
      <c r="E605" s="5">
        <f>ROUNDDOWN(INDEX(ref_Unit_Balance!$G$31:$G$106,MATCH(UnitGradeInfo!B605,ref_Unit_Balance!$B$31:$B$1048576,0))
+INDEX(ref_Unit_Balance!$G$20:$G$23,MATCH(IFERROR(INDEX(ref_Unit_Balance!$D$31:$D$1048576,MATCH(B605,ref_Unit_Balance!$B$31:$B$1048576,0)),0),ref_Unit_Balance!$B$20:$B$23,0))*D605*ref_Unit_Balance!$C$25,0)</f>
        <v>1239</v>
      </c>
      <c r="F605" s="5">
        <f>INDEX(ref_Unit_Balance!$V$31:$V$106,MATCH(UnitGradeInfo!B605,ref_Unit_Balance!$B$31:$B$1048576,0))
+
INDEX(ref_Unit_Balance!$AB$31:$AB$106,MATCH(UnitGradeInfo!B605,ref_Unit_Balance!$B$31:$B$1048576,0))*(D605-1)</f>
        <v>5650</v>
      </c>
      <c r="G605" s="5">
        <f>INDEX(ref_Unit_Balance!$R$31:$R$106,MATCH(UnitGradeInfo!B605,ref_Unit_Balance!$B$31:$B$1048576,0))
+
INDEX(ref_Unit_Balance!$AA$31:$AA$106,MATCH(UnitGradeInfo!B605,ref_Unit_Balance!$B$31:$B$1048576,0))*(D605-1)</f>
        <v>240</v>
      </c>
      <c r="H605" s="39">
        <f>IF(INDEX(Unitinfo!D:D,MATCH(UnitGradeInfo!B605,Unitinfo!A:A,0))=1,50,5)</f>
        <v>50</v>
      </c>
      <c r="I605" s="5">
        <f>IF(INDEX(ref_Unit_Balance!$T$31:$T$106,MATCH(UnitGradeInfo!B605,ref_Unit_Balance!$B$31:$B$1048576,0))=0,1,INDEX(ref_Unit_Balance!$T$31:$T$106,MATCH(UnitGradeInfo!B605,ref_Unit_Balance!$B$31:$B$1048576,0)))</f>
        <v>5</v>
      </c>
      <c r="J605" s="5">
        <f>INDEX(ref_Unit_Balance!$S$31:$S$106,MATCH(UnitGradeInfo!B605,ref_Unit_Balance!$B$31:$B$1048576,0))</f>
        <v>800</v>
      </c>
      <c r="K605" s="5">
        <v>0</v>
      </c>
      <c r="L605" s="5">
        <f>INDEX(ref_Unit_Balance!$I$31:$I$106,MATCH(UnitGradeInfo!B605,ref_Unit_Balance!$B$31:$B$1048576,0))</f>
        <v>3</v>
      </c>
      <c r="M605" s="5">
        <f t="shared" si="64"/>
        <v>34</v>
      </c>
      <c r="N605" s="5">
        <f t="shared" si="65"/>
        <v>340</v>
      </c>
      <c r="O605" s="5">
        <f>(INDEX(Unitinfo!I:I,MATCH(B605,Unitinfo!A:A,0))+1)*2</f>
        <v>4</v>
      </c>
      <c r="P605" s="5">
        <v>0</v>
      </c>
      <c r="Q605" s="5">
        <v>0</v>
      </c>
      <c r="R605" s="19" t="s">
        <v>421</v>
      </c>
      <c r="S605" s="19" t="s">
        <v>421</v>
      </c>
      <c r="T605" s="5">
        <f t="shared" si="61"/>
        <v>2028</v>
      </c>
      <c r="U605" s="5">
        <f t="shared" si="62"/>
        <v>1</v>
      </c>
      <c r="V605" s="5">
        <v>0</v>
      </c>
      <c r="W605" s="5">
        <v>10</v>
      </c>
    </row>
    <row r="606" spans="1:23">
      <c r="A606" s="5">
        <f t="shared" si="60"/>
        <v>603</v>
      </c>
      <c r="B606" s="93">
        <f t="shared" si="63"/>
        <v>2028</v>
      </c>
      <c r="C606" s="20" t="str">
        <f>INDEX(Unitinfo!C:C,MATCH(UnitGradeInfo!B606,Unitinfo!A:A,0))</f>
        <v>(원거리)Golem_Ice</v>
      </c>
      <c r="D606" s="5">
        <f>COUNTIF($B$4:B606,B606)</f>
        <v>18</v>
      </c>
      <c r="E606" s="5">
        <f>ROUNDDOWN(INDEX(ref_Unit_Balance!$G$31:$G$106,MATCH(UnitGradeInfo!B606,ref_Unit_Balance!$B$31:$B$1048576,0))
+INDEX(ref_Unit_Balance!$G$20:$G$23,MATCH(IFERROR(INDEX(ref_Unit_Balance!$D$31:$D$1048576,MATCH(B606,ref_Unit_Balance!$B$31:$B$1048576,0)),0),ref_Unit_Balance!$B$20:$B$23,0))*D606*ref_Unit_Balance!$C$25,0)</f>
        <v>1302</v>
      </c>
      <c r="F606" s="5">
        <f>INDEX(ref_Unit_Balance!$V$31:$V$106,MATCH(UnitGradeInfo!B606,ref_Unit_Balance!$B$31:$B$1048576,0))
+
INDEX(ref_Unit_Balance!$AB$31:$AB$106,MATCH(UnitGradeInfo!B606,ref_Unit_Balance!$B$31:$B$1048576,0))*(D606-1)</f>
        <v>5850</v>
      </c>
      <c r="G606" s="5">
        <f>INDEX(ref_Unit_Balance!$R$31:$R$106,MATCH(UnitGradeInfo!B606,ref_Unit_Balance!$B$31:$B$1048576,0))
+
INDEX(ref_Unit_Balance!$AA$31:$AA$106,MATCH(UnitGradeInfo!B606,ref_Unit_Balance!$B$31:$B$1048576,0))*(D606-1)</f>
        <v>250</v>
      </c>
      <c r="H606" s="39">
        <f>IF(INDEX(Unitinfo!D:D,MATCH(UnitGradeInfo!B606,Unitinfo!A:A,0))=1,50,5)</f>
        <v>50</v>
      </c>
      <c r="I606" s="5">
        <f>IF(INDEX(ref_Unit_Balance!$T$31:$T$106,MATCH(UnitGradeInfo!B606,ref_Unit_Balance!$B$31:$B$1048576,0))=0,1,INDEX(ref_Unit_Balance!$T$31:$T$106,MATCH(UnitGradeInfo!B606,ref_Unit_Balance!$B$31:$B$1048576,0)))</f>
        <v>5</v>
      </c>
      <c r="J606" s="5">
        <f>INDEX(ref_Unit_Balance!$S$31:$S$106,MATCH(UnitGradeInfo!B606,ref_Unit_Balance!$B$31:$B$1048576,0))</f>
        <v>800</v>
      </c>
      <c r="K606" s="5">
        <v>0</v>
      </c>
      <c r="L606" s="5">
        <f>INDEX(ref_Unit_Balance!$I$31:$I$106,MATCH(UnitGradeInfo!B606,ref_Unit_Balance!$B$31:$B$1048576,0))</f>
        <v>3</v>
      </c>
      <c r="M606" s="5">
        <f t="shared" si="64"/>
        <v>36</v>
      </c>
      <c r="N606" s="5">
        <f t="shared" si="65"/>
        <v>360</v>
      </c>
      <c r="O606" s="5">
        <f>(INDEX(Unitinfo!I:I,MATCH(B606,Unitinfo!A:A,0))+1)*2</f>
        <v>4</v>
      </c>
      <c r="P606" s="5">
        <v>0</v>
      </c>
      <c r="Q606" s="5">
        <v>0</v>
      </c>
      <c r="R606" s="19" t="s">
        <v>421</v>
      </c>
      <c r="S606" s="19" t="s">
        <v>421</v>
      </c>
      <c r="T606" s="5">
        <f t="shared" si="61"/>
        <v>2028</v>
      </c>
      <c r="U606" s="5">
        <f t="shared" si="62"/>
        <v>1</v>
      </c>
      <c r="V606" s="5">
        <v>0</v>
      </c>
      <c r="W606" s="5">
        <v>10</v>
      </c>
    </row>
    <row r="607" spans="1:23">
      <c r="A607" s="5">
        <f t="shared" si="60"/>
        <v>604</v>
      </c>
      <c r="B607" s="93">
        <f t="shared" si="63"/>
        <v>2028</v>
      </c>
      <c r="C607" s="20" t="str">
        <f>INDEX(Unitinfo!C:C,MATCH(UnitGradeInfo!B607,Unitinfo!A:A,0))</f>
        <v>(원거리)Golem_Ice</v>
      </c>
      <c r="D607" s="5">
        <f>COUNTIF($B$4:B607,B607)</f>
        <v>19</v>
      </c>
      <c r="E607" s="5">
        <f>ROUNDDOWN(INDEX(ref_Unit_Balance!$G$31:$G$106,MATCH(UnitGradeInfo!B607,ref_Unit_Balance!$B$31:$B$1048576,0))
+INDEX(ref_Unit_Balance!$G$20:$G$23,MATCH(IFERROR(INDEX(ref_Unit_Balance!$D$31:$D$1048576,MATCH(B607,ref_Unit_Balance!$B$31:$B$1048576,0)),0),ref_Unit_Balance!$B$20:$B$23,0))*D607*ref_Unit_Balance!$C$25,0)</f>
        <v>1364</v>
      </c>
      <c r="F607" s="5">
        <f>INDEX(ref_Unit_Balance!$V$31:$V$106,MATCH(UnitGradeInfo!B607,ref_Unit_Balance!$B$31:$B$1048576,0))
+
INDEX(ref_Unit_Balance!$AB$31:$AB$106,MATCH(UnitGradeInfo!B607,ref_Unit_Balance!$B$31:$B$1048576,0))*(D607-1)</f>
        <v>6050</v>
      </c>
      <c r="G607" s="5">
        <f>INDEX(ref_Unit_Balance!$R$31:$R$106,MATCH(UnitGradeInfo!B607,ref_Unit_Balance!$B$31:$B$1048576,0))
+
INDEX(ref_Unit_Balance!$AA$31:$AA$106,MATCH(UnitGradeInfo!B607,ref_Unit_Balance!$B$31:$B$1048576,0))*(D607-1)</f>
        <v>260</v>
      </c>
      <c r="H607" s="39">
        <f>IF(INDEX(Unitinfo!D:D,MATCH(UnitGradeInfo!B607,Unitinfo!A:A,0))=1,50,5)</f>
        <v>50</v>
      </c>
      <c r="I607" s="5">
        <f>IF(INDEX(ref_Unit_Balance!$T$31:$T$106,MATCH(UnitGradeInfo!B607,ref_Unit_Balance!$B$31:$B$1048576,0))=0,1,INDEX(ref_Unit_Balance!$T$31:$T$106,MATCH(UnitGradeInfo!B607,ref_Unit_Balance!$B$31:$B$1048576,0)))</f>
        <v>5</v>
      </c>
      <c r="J607" s="5">
        <f>INDEX(ref_Unit_Balance!$S$31:$S$106,MATCH(UnitGradeInfo!B607,ref_Unit_Balance!$B$31:$B$1048576,0))</f>
        <v>800</v>
      </c>
      <c r="K607" s="5">
        <v>0</v>
      </c>
      <c r="L607" s="5">
        <f>INDEX(ref_Unit_Balance!$I$31:$I$106,MATCH(UnitGradeInfo!B607,ref_Unit_Balance!$B$31:$B$1048576,0))</f>
        <v>3</v>
      </c>
      <c r="M607" s="5">
        <f t="shared" si="64"/>
        <v>38</v>
      </c>
      <c r="N607" s="5">
        <f t="shared" si="65"/>
        <v>380</v>
      </c>
      <c r="O607" s="5">
        <f>(INDEX(Unitinfo!I:I,MATCH(B607,Unitinfo!A:A,0))+1)*2</f>
        <v>4</v>
      </c>
      <c r="P607" s="5">
        <v>0</v>
      </c>
      <c r="Q607" s="5">
        <v>0</v>
      </c>
      <c r="R607" s="19" t="s">
        <v>421</v>
      </c>
      <c r="S607" s="19" t="s">
        <v>421</v>
      </c>
      <c r="T607" s="5">
        <f t="shared" si="61"/>
        <v>2028</v>
      </c>
      <c r="U607" s="5">
        <f t="shared" si="62"/>
        <v>1</v>
      </c>
      <c r="V607" s="5">
        <v>0</v>
      </c>
      <c r="W607" s="5">
        <v>10</v>
      </c>
    </row>
    <row r="608" spans="1:23">
      <c r="A608" s="5">
        <f t="shared" si="60"/>
        <v>605</v>
      </c>
      <c r="B608" s="93">
        <f t="shared" si="63"/>
        <v>2028</v>
      </c>
      <c r="C608" s="20" t="str">
        <f>INDEX(Unitinfo!C:C,MATCH(UnitGradeInfo!B608,Unitinfo!A:A,0))</f>
        <v>(원거리)Golem_Ice</v>
      </c>
      <c r="D608" s="5">
        <f>COUNTIF($B$4:B608,B608)</f>
        <v>20</v>
      </c>
      <c r="E608" s="5">
        <f>ROUNDDOWN(INDEX(ref_Unit_Balance!$G$31:$G$106,MATCH(UnitGradeInfo!B608,ref_Unit_Balance!$B$31:$B$1048576,0))
+INDEX(ref_Unit_Balance!$G$20:$G$23,MATCH(IFERROR(INDEX(ref_Unit_Balance!$D$31:$D$1048576,MATCH(B608,ref_Unit_Balance!$B$31:$B$1048576,0)),0),ref_Unit_Balance!$B$20:$B$23,0))*D608*ref_Unit_Balance!$C$25,0)</f>
        <v>1427</v>
      </c>
      <c r="F608" s="5">
        <f>INDEX(ref_Unit_Balance!$V$31:$V$106,MATCH(UnitGradeInfo!B608,ref_Unit_Balance!$B$31:$B$1048576,0))
+
INDEX(ref_Unit_Balance!$AB$31:$AB$106,MATCH(UnitGradeInfo!B608,ref_Unit_Balance!$B$31:$B$1048576,0))*(D608-1)</f>
        <v>6250</v>
      </c>
      <c r="G608" s="5">
        <f>INDEX(ref_Unit_Balance!$R$31:$R$106,MATCH(UnitGradeInfo!B608,ref_Unit_Balance!$B$31:$B$1048576,0))
+
INDEX(ref_Unit_Balance!$AA$31:$AA$106,MATCH(UnitGradeInfo!B608,ref_Unit_Balance!$B$31:$B$1048576,0))*(D608-1)</f>
        <v>270</v>
      </c>
      <c r="H608" s="39">
        <f>IF(INDEX(Unitinfo!D:D,MATCH(UnitGradeInfo!B608,Unitinfo!A:A,0))=1,50,5)</f>
        <v>50</v>
      </c>
      <c r="I608" s="5">
        <f>IF(INDEX(ref_Unit_Balance!$T$31:$T$106,MATCH(UnitGradeInfo!B608,ref_Unit_Balance!$B$31:$B$1048576,0))=0,1,INDEX(ref_Unit_Balance!$T$31:$T$106,MATCH(UnitGradeInfo!B608,ref_Unit_Balance!$B$31:$B$1048576,0)))</f>
        <v>5</v>
      </c>
      <c r="J608" s="5">
        <f>INDEX(ref_Unit_Balance!$S$31:$S$106,MATCH(UnitGradeInfo!B608,ref_Unit_Balance!$B$31:$B$1048576,0))</f>
        <v>800</v>
      </c>
      <c r="K608" s="5">
        <v>0</v>
      </c>
      <c r="L608" s="5">
        <f>INDEX(ref_Unit_Balance!$I$31:$I$106,MATCH(UnitGradeInfo!B608,ref_Unit_Balance!$B$31:$B$1048576,0))</f>
        <v>3</v>
      </c>
      <c r="M608" s="5">
        <f t="shared" si="64"/>
        <v>40</v>
      </c>
      <c r="N608" s="5">
        <f t="shared" si="65"/>
        <v>400</v>
      </c>
      <c r="O608" s="5">
        <f>(INDEX(Unitinfo!I:I,MATCH(B608,Unitinfo!A:A,0))+1)*2</f>
        <v>4</v>
      </c>
      <c r="P608" s="5">
        <v>0</v>
      </c>
      <c r="Q608" s="5">
        <v>0</v>
      </c>
      <c r="R608" s="19" t="s">
        <v>421</v>
      </c>
      <c r="S608" s="19" t="s">
        <v>421</v>
      </c>
      <c r="T608" s="5">
        <f t="shared" si="61"/>
        <v>2028</v>
      </c>
      <c r="U608" s="5">
        <f t="shared" si="62"/>
        <v>1</v>
      </c>
      <c r="V608" s="5">
        <v>0</v>
      </c>
      <c r="W608" s="5">
        <v>10</v>
      </c>
    </row>
    <row r="609" spans="1:23">
      <c r="A609" s="5">
        <f t="shared" si="60"/>
        <v>606</v>
      </c>
      <c r="B609" s="93">
        <f t="shared" si="63"/>
        <v>2029</v>
      </c>
      <c r="C609" s="20" t="str">
        <f>INDEX(Unitinfo!C:C,MATCH(UnitGradeInfo!B609,Unitinfo!A:A,0))</f>
        <v>(근거리)Armor_Skeleton_Sword</v>
      </c>
      <c r="D609" s="5">
        <f>COUNTIF($B$4:B609,B609)</f>
        <v>1</v>
      </c>
      <c r="E609" s="5">
        <f>ROUNDDOWN(INDEX(ref_Unit_Balance!$G$31:$G$106,MATCH(UnitGradeInfo!B609,ref_Unit_Balance!$B$31:$B$1048576,0))
+INDEX(ref_Unit_Balance!$G$20:$G$23,MATCH(IFERROR(INDEX(ref_Unit_Balance!$D$31:$D$1048576,MATCH(B609,ref_Unit_Balance!$B$31:$B$1048576,0)),0),ref_Unit_Balance!$B$20:$B$23,0))*D609*ref_Unit_Balance!$C$25,0)</f>
        <v>237</v>
      </c>
      <c r="F609" s="5">
        <f>INDEX(ref_Unit_Balance!$V$31:$V$106,MATCH(UnitGradeInfo!B609,ref_Unit_Balance!$B$31:$B$1048576,0))
+
INDEX(ref_Unit_Balance!$AB$31:$AB$106,MATCH(UnitGradeInfo!B609,ref_Unit_Balance!$B$31:$B$1048576,0))*(D609-1)</f>
        <v>1400</v>
      </c>
      <c r="G609" s="5">
        <f>INDEX(ref_Unit_Balance!$R$31:$R$106,MATCH(UnitGradeInfo!B609,ref_Unit_Balance!$B$31:$B$1048576,0))
+
INDEX(ref_Unit_Balance!$AA$31:$AA$106,MATCH(UnitGradeInfo!B609,ref_Unit_Balance!$B$31:$B$1048576,0))*(D609-1)</f>
        <v>189</v>
      </c>
      <c r="H609" s="39">
        <f>IF(INDEX(Unitinfo!D:D,MATCH(UnitGradeInfo!B609,Unitinfo!A:A,0))=1,50,5)</f>
        <v>5</v>
      </c>
      <c r="I609" s="5">
        <f>IF(INDEX(ref_Unit_Balance!$T$31:$T$106,MATCH(UnitGradeInfo!B609,ref_Unit_Balance!$B$31:$B$1048576,0))=0,1,INDEX(ref_Unit_Balance!$T$31:$T$106,MATCH(UnitGradeInfo!B609,ref_Unit_Balance!$B$31:$B$1048576,0)))</f>
        <v>5</v>
      </c>
      <c r="J609" s="5">
        <f>INDEX(ref_Unit_Balance!$S$31:$S$106,MATCH(UnitGradeInfo!B609,ref_Unit_Balance!$B$31:$B$1048576,0))</f>
        <v>900</v>
      </c>
      <c r="K609" s="5">
        <v>0</v>
      </c>
      <c r="L609" s="5">
        <f>INDEX(ref_Unit_Balance!$I$31:$I$106,MATCH(UnitGradeInfo!B609,ref_Unit_Balance!$B$31:$B$1048576,0))</f>
        <v>5</v>
      </c>
      <c r="M609" s="5">
        <f t="shared" si="64"/>
        <v>2</v>
      </c>
      <c r="N609" s="5">
        <f t="shared" si="65"/>
        <v>20</v>
      </c>
      <c r="O609" s="5">
        <f>(INDEX(Unitinfo!I:I,MATCH(B609,Unitinfo!A:A,0))+1)*2</f>
        <v>4</v>
      </c>
      <c r="P609" s="5">
        <v>0</v>
      </c>
      <c r="Q609" s="5">
        <v>0</v>
      </c>
      <c r="R609" s="19" t="s">
        <v>421</v>
      </c>
      <c r="S609" s="19" t="s">
        <v>421</v>
      </c>
      <c r="T609" s="5">
        <f t="shared" si="61"/>
        <v>2029</v>
      </c>
      <c r="U609" s="5">
        <f t="shared" si="62"/>
        <v>1</v>
      </c>
      <c r="V609" s="5">
        <v>0</v>
      </c>
      <c r="W609" s="5">
        <v>10</v>
      </c>
    </row>
    <row r="610" spans="1:23">
      <c r="A610" s="5">
        <f t="shared" si="60"/>
        <v>607</v>
      </c>
      <c r="B610" s="93">
        <f t="shared" si="63"/>
        <v>2029</v>
      </c>
      <c r="C610" s="20" t="str">
        <f>INDEX(Unitinfo!C:C,MATCH(UnitGradeInfo!B610,Unitinfo!A:A,0))</f>
        <v>(근거리)Armor_Skeleton_Sword</v>
      </c>
      <c r="D610" s="5">
        <f>COUNTIF($B$4:B610,B610)</f>
        <v>2</v>
      </c>
      <c r="E610" s="5">
        <f>ROUNDDOWN(INDEX(ref_Unit_Balance!$G$31:$G$106,MATCH(UnitGradeInfo!B610,ref_Unit_Balance!$B$31:$B$1048576,0))
+INDEX(ref_Unit_Balance!$G$20:$G$23,MATCH(IFERROR(INDEX(ref_Unit_Balance!$D$31:$D$1048576,MATCH(B610,ref_Unit_Balance!$B$31:$B$1048576,0)),0),ref_Unit_Balance!$B$20:$B$23,0))*D610*ref_Unit_Balance!$C$25,0)</f>
        <v>300</v>
      </c>
      <c r="F610" s="5">
        <f>INDEX(ref_Unit_Balance!$V$31:$V$106,MATCH(UnitGradeInfo!B610,ref_Unit_Balance!$B$31:$B$1048576,0))
+
INDEX(ref_Unit_Balance!$AB$31:$AB$106,MATCH(UnitGradeInfo!B610,ref_Unit_Balance!$B$31:$B$1048576,0))*(D610-1)</f>
        <v>1600</v>
      </c>
      <c r="G610" s="5">
        <f>INDEX(ref_Unit_Balance!$R$31:$R$106,MATCH(UnitGradeInfo!B610,ref_Unit_Balance!$B$31:$B$1048576,0))
+
INDEX(ref_Unit_Balance!$AA$31:$AA$106,MATCH(UnitGradeInfo!B610,ref_Unit_Balance!$B$31:$B$1048576,0))*(D610-1)</f>
        <v>195</v>
      </c>
      <c r="H610" s="39">
        <f>IF(INDEX(Unitinfo!D:D,MATCH(UnitGradeInfo!B610,Unitinfo!A:A,0))=1,50,5)</f>
        <v>5</v>
      </c>
      <c r="I610" s="5">
        <f>IF(INDEX(ref_Unit_Balance!$T$31:$T$106,MATCH(UnitGradeInfo!B610,ref_Unit_Balance!$B$31:$B$1048576,0))=0,1,INDEX(ref_Unit_Balance!$T$31:$T$106,MATCH(UnitGradeInfo!B610,ref_Unit_Balance!$B$31:$B$1048576,0)))</f>
        <v>5</v>
      </c>
      <c r="J610" s="5">
        <f>INDEX(ref_Unit_Balance!$S$31:$S$106,MATCH(UnitGradeInfo!B610,ref_Unit_Balance!$B$31:$B$1048576,0))</f>
        <v>900</v>
      </c>
      <c r="K610" s="5">
        <v>0</v>
      </c>
      <c r="L610" s="5">
        <f>INDEX(ref_Unit_Balance!$I$31:$I$106,MATCH(UnitGradeInfo!B610,ref_Unit_Balance!$B$31:$B$1048576,0))</f>
        <v>5</v>
      </c>
      <c r="M610" s="5">
        <f t="shared" si="64"/>
        <v>4</v>
      </c>
      <c r="N610" s="5">
        <f t="shared" si="65"/>
        <v>40</v>
      </c>
      <c r="O610" s="5">
        <f>(INDEX(Unitinfo!I:I,MATCH(B610,Unitinfo!A:A,0))+1)*2</f>
        <v>4</v>
      </c>
      <c r="P610" s="5">
        <v>0</v>
      </c>
      <c r="Q610" s="5">
        <v>0</v>
      </c>
      <c r="R610" s="19" t="s">
        <v>421</v>
      </c>
      <c r="S610" s="19" t="s">
        <v>421</v>
      </c>
      <c r="T610" s="5">
        <f t="shared" si="61"/>
        <v>2029</v>
      </c>
      <c r="U610" s="5">
        <f t="shared" si="62"/>
        <v>1</v>
      </c>
      <c r="V610" s="5">
        <v>0</v>
      </c>
      <c r="W610" s="5">
        <v>10</v>
      </c>
    </row>
    <row r="611" spans="1:23">
      <c r="A611" s="5">
        <f t="shared" si="60"/>
        <v>608</v>
      </c>
      <c r="B611" s="93">
        <f t="shared" si="63"/>
        <v>2029</v>
      </c>
      <c r="C611" s="20" t="str">
        <f>INDEX(Unitinfo!C:C,MATCH(UnitGradeInfo!B611,Unitinfo!A:A,0))</f>
        <v>(근거리)Armor_Skeleton_Sword</v>
      </c>
      <c r="D611" s="5">
        <f>COUNTIF($B$4:B611,B611)</f>
        <v>3</v>
      </c>
      <c r="E611" s="5">
        <f>ROUNDDOWN(INDEX(ref_Unit_Balance!$G$31:$G$106,MATCH(UnitGradeInfo!B611,ref_Unit_Balance!$B$31:$B$1048576,0))
+INDEX(ref_Unit_Balance!$G$20:$G$23,MATCH(IFERROR(INDEX(ref_Unit_Balance!$D$31:$D$1048576,MATCH(B611,ref_Unit_Balance!$B$31:$B$1048576,0)),0),ref_Unit_Balance!$B$20:$B$23,0))*D611*ref_Unit_Balance!$C$25,0)</f>
        <v>362</v>
      </c>
      <c r="F611" s="5">
        <f>INDEX(ref_Unit_Balance!$V$31:$V$106,MATCH(UnitGradeInfo!B611,ref_Unit_Balance!$B$31:$B$1048576,0))
+
INDEX(ref_Unit_Balance!$AB$31:$AB$106,MATCH(UnitGradeInfo!B611,ref_Unit_Balance!$B$31:$B$1048576,0))*(D611-1)</f>
        <v>1800</v>
      </c>
      <c r="G611" s="5">
        <f>INDEX(ref_Unit_Balance!$R$31:$R$106,MATCH(UnitGradeInfo!B611,ref_Unit_Balance!$B$31:$B$1048576,0))
+
INDEX(ref_Unit_Balance!$AA$31:$AA$106,MATCH(UnitGradeInfo!B611,ref_Unit_Balance!$B$31:$B$1048576,0))*(D611-1)</f>
        <v>201</v>
      </c>
      <c r="H611" s="39">
        <f>IF(INDEX(Unitinfo!D:D,MATCH(UnitGradeInfo!B611,Unitinfo!A:A,0))=1,50,5)</f>
        <v>5</v>
      </c>
      <c r="I611" s="5">
        <f>IF(INDEX(ref_Unit_Balance!$T$31:$T$106,MATCH(UnitGradeInfo!B611,ref_Unit_Balance!$B$31:$B$1048576,0))=0,1,INDEX(ref_Unit_Balance!$T$31:$T$106,MATCH(UnitGradeInfo!B611,ref_Unit_Balance!$B$31:$B$1048576,0)))</f>
        <v>5</v>
      </c>
      <c r="J611" s="5">
        <f>INDEX(ref_Unit_Balance!$S$31:$S$106,MATCH(UnitGradeInfo!B611,ref_Unit_Balance!$B$31:$B$1048576,0))</f>
        <v>900</v>
      </c>
      <c r="K611" s="5">
        <v>0</v>
      </c>
      <c r="L611" s="5">
        <f>INDEX(ref_Unit_Balance!$I$31:$I$106,MATCH(UnitGradeInfo!B611,ref_Unit_Balance!$B$31:$B$1048576,0))</f>
        <v>5</v>
      </c>
      <c r="M611" s="5">
        <f t="shared" si="64"/>
        <v>6</v>
      </c>
      <c r="N611" s="5">
        <f t="shared" si="65"/>
        <v>60</v>
      </c>
      <c r="O611" s="5">
        <f>(INDEX(Unitinfo!I:I,MATCH(B611,Unitinfo!A:A,0))+1)*2</f>
        <v>4</v>
      </c>
      <c r="P611" s="5">
        <v>0</v>
      </c>
      <c r="Q611" s="5">
        <v>0</v>
      </c>
      <c r="R611" s="19" t="s">
        <v>421</v>
      </c>
      <c r="S611" s="19" t="s">
        <v>421</v>
      </c>
      <c r="T611" s="5">
        <f t="shared" si="61"/>
        <v>2029</v>
      </c>
      <c r="U611" s="5">
        <f t="shared" si="62"/>
        <v>1</v>
      </c>
      <c r="V611" s="5">
        <v>0</v>
      </c>
      <c r="W611" s="5">
        <v>10</v>
      </c>
    </row>
    <row r="612" spans="1:23">
      <c r="A612" s="5">
        <f t="shared" si="60"/>
        <v>609</v>
      </c>
      <c r="B612" s="93">
        <f t="shared" si="63"/>
        <v>2029</v>
      </c>
      <c r="C612" s="20" t="str">
        <f>INDEX(Unitinfo!C:C,MATCH(UnitGradeInfo!B612,Unitinfo!A:A,0))</f>
        <v>(근거리)Armor_Skeleton_Sword</v>
      </c>
      <c r="D612" s="5">
        <f>COUNTIF($B$4:B612,B612)</f>
        <v>4</v>
      </c>
      <c r="E612" s="5">
        <f>ROUNDDOWN(INDEX(ref_Unit_Balance!$G$31:$G$106,MATCH(UnitGradeInfo!B612,ref_Unit_Balance!$B$31:$B$1048576,0))
+INDEX(ref_Unit_Balance!$G$20:$G$23,MATCH(IFERROR(INDEX(ref_Unit_Balance!$D$31:$D$1048576,MATCH(B612,ref_Unit_Balance!$B$31:$B$1048576,0)),0),ref_Unit_Balance!$B$20:$B$23,0))*D612*ref_Unit_Balance!$C$25,0)</f>
        <v>425</v>
      </c>
      <c r="F612" s="5">
        <f>INDEX(ref_Unit_Balance!$V$31:$V$106,MATCH(UnitGradeInfo!B612,ref_Unit_Balance!$B$31:$B$1048576,0))
+
INDEX(ref_Unit_Balance!$AB$31:$AB$106,MATCH(UnitGradeInfo!B612,ref_Unit_Balance!$B$31:$B$1048576,0))*(D612-1)</f>
        <v>2000</v>
      </c>
      <c r="G612" s="5">
        <f>INDEX(ref_Unit_Balance!$R$31:$R$106,MATCH(UnitGradeInfo!B612,ref_Unit_Balance!$B$31:$B$1048576,0))
+
INDEX(ref_Unit_Balance!$AA$31:$AA$106,MATCH(UnitGradeInfo!B612,ref_Unit_Balance!$B$31:$B$1048576,0))*(D612-1)</f>
        <v>207</v>
      </c>
      <c r="H612" s="39">
        <f>IF(INDEX(Unitinfo!D:D,MATCH(UnitGradeInfo!B612,Unitinfo!A:A,0))=1,50,5)</f>
        <v>5</v>
      </c>
      <c r="I612" s="5">
        <f>IF(INDEX(ref_Unit_Balance!$T$31:$T$106,MATCH(UnitGradeInfo!B612,ref_Unit_Balance!$B$31:$B$1048576,0))=0,1,INDEX(ref_Unit_Balance!$T$31:$T$106,MATCH(UnitGradeInfo!B612,ref_Unit_Balance!$B$31:$B$1048576,0)))</f>
        <v>5</v>
      </c>
      <c r="J612" s="5">
        <f>INDEX(ref_Unit_Balance!$S$31:$S$106,MATCH(UnitGradeInfo!B612,ref_Unit_Balance!$B$31:$B$1048576,0))</f>
        <v>900</v>
      </c>
      <c r="K612" s="5">
        <v>0</v>
      </c>
      <c r="L612" s="5">
        <f>INDEX(ref_Unit_Balance!$I$31:$I$106,MATCH(UnitGradeInfo!B612,ref_Unit_Balance!$B$31:$B$1048576,0))</f>
        <v>5</v>
      </c>
      <c r="M612" s="5">
        <f t="shared" si="64"/>
        <v>8</v>
      </c>
      <c r="N612" s="5">
        <f t="shared" si="65"/>
        <v>80</v>
      </c>
      <c r="O612" s="5">
        <f>(INDEX(Unitinfo!I:I,MATCH(B612,Unitinfo!A:A,0))+1)*2</f>
        <v>4</v>
      </c>
      <c r="P612" s="5">
        <v>0</v>
      </c>
      <c r="Q612" s="5">
        <v>0</v>
      </c>
      <c r="R612" s="19" t="s">
        <v>421</v>
      </c>
      <c r="S612" s="19" t="s">
        <v>421</v>
      </c>
      <c r="T612" s="5">
        <f t="shared" si="61"/>
        <v>2029</v>
      </c>
      <c r="U612" s="5">
        <f t="shared" si="62"/>
        <v>1</v>
      </c>
      <c r="V612" s="5">
        <v>0</v>
      </c>
      <c r="W612" s="5">
        <v>10</v>
      </c>
    </row>
    <row r="613" spans="1:23">
      <c r="A613" s="5">
        <f t="shared" si="60"/>
        <v>610</v>
      </c>
      <c r="B613" s="93">
        <f t="shared" si="63"/>
        <v>2029</v>
      </c>
      <c r="C613" s="20" t="str">
        <f>INDEX(Unitinfo!C:C,MATCH(UnitGradeInfo!B613,Unitinfo!A:A,0))</f>
        <v>(근거리)Armor_Skeleton_Sword</v>
      </c>
      <c r="D613" s="5">
        <f>COUNTIF($B$4:B613,B613)</f>
        <v>5</v>
      </c>
      <c r="E613" s="5">
        <f>ROUNDDOWN(INDEX(ref_Unit_Balance!$G$31:$G$106,MATCH(UnitGradeInfo!B613,ref_Unit_Balance!$B$31:$B$1048576,0))
+INDEX(ref_Unit_Balance!$G$20:$G$23,MATCH(IFERROR(INDEX(ref_Unit_Balance!$D$31:$D$1048576,MATCH(B613,ref_Unit_Balance!$B$31:$B$1048576,0)),0),ref_Unit_Balance!$B$20:$B$23,0))*D613*ref_Unit_Balance!$C$25,0)</f>
        <v>487</v>
      </c>
      <c r="F613" s="5">
        <f>INDEX(ref_Unit_Balance!$V$31:$V$106,MATCH(UnitGradeInfo!B613,ref_Unit_Balance!$B$31:$B$1048576,0))
+
INDEX(ref_Unit_Balance!$AB$31:$AB$106,MATCH(UnitGradeInfo!B613,ref_Unit_Balance!$B$31:$B$1048576,0))*(D613-1)</f>
        <v>2200</v>
      </c>
      <c r="G613" s="5">
        <f>INDEX(ref_Unit_Balance!$R$31:$R$106,MATCH(UnitGradeInfo!B613,ref_Unit_Balance!$B$31:$B$1048576,0))
+
INDEX(ref_Unit_Balance!$AA$31:$AA$106,MATCH(UnitGradeInfo!B613,ref_Unit_Balance!$B$31:$B$1048576,0))*(D613-1)</f>
        <v>213</v>
      </c>
      <c r="H613" s="39">
        <f>IF(INDEX(Unitinfo!D:D,MATCH(UnitGradeInfo!B613,Unitinfo!A:A,0))=1,50,5)</f>
        <v>5</v>
      </c>
      <c r="I613" s="5">
        <f>IF(INDEX(ref_Unit_Balance!$T$31:$T$106,MATCH(UnitGradeInfo!B613,ref_Unit_Balance!$B$31:$B$1048576,0))=0,1,INDEX(ref_Unit_Balance!$T$31:$T$106,MATCH(UnitGradeInfo!B613,ref_Unit_Balance!$B$31:$B$1048576,0)))</f>
        <v>5</v>
      </c>
      <c r="J613" s="5">
        <f>INDEX(ref_Unit_Balance!$S$31:$S$106,MATCH(UnitGradeInfo!B613,ref_Unit_Balance!$B$31:$B$1048576,0))</f>
        <v>900</v>
      </c>
      <c r="K613" s="5">
        <v>0</v>
      </c>
      <c r="L613" s="5">
        <f>INDEX(ref_Unit_Balance!$I$31:$I$106,MATCH(UnitGradeInfo!B613,ref_Unit_Balance!$B$31:$B$1048576,0))</f>
        <v>5</v>
      </c>
      <c r="M613" s="5">
        <f t="shared" si="64"/>
        <v>10</v>
      </c>
      <c r="N613" s="5">
        <f t="shared" si="65"/>
        <v>100</v>
      </c>
      <c r="O613" s="5">
        <f>(INDEX(Unitinfo!I:I,MATCH(B613,Unitinfo!A:A,0))+1)*2</f>
        <v>4</v>
      </c>
      <c r="P613" s="5">
        <v>0</v>
      </c>
      <c r="Q613" s="5">
        <v>0</v>
      </c>
      <c r="R613" s="19" t="s">
        <v>421</v>
      </c>
      <c r="S613" s="19" t="s">
        <v>421</v>
      </c>
      <c r="T613" s="5">
        <f t="shared" si="61"/>
        <v>2029</v>
      </c>
      <c r="U613" s="5">
        <f t="shared" si="62"/>
        <v>1</v>
      </c>
      <c r="V613" s="5">
        <v>0</v>
      </c>
      <c r="W613" s="5">
        <v>10</v>
      </c>
    </row>
    <row r="614" spans="1:23">
      <c r="A614" s="5">
        <f t="shared" si="60"/>
        <v>611</v>
      </c>
      <c r="B614" s="93">
        <f t="shared" si="63"/>
        <v>2029</v>
      </c>
      <c r="C614" s="20" t="str">
        <f>INDEX(Unitinfo!C:C,MATCH(UnitGradeInfo!B614,Unitinfo!A:A,0))</f>
        <v>(근거리)Armor_Skeleton_Sword</v>
      </c>
      <c r="D614" s="5">
        <f>COUNTIF($B$4:B614,B614)</f>
        <v>6</v>
      </c>
      <c r="E614" s="5">
        <f>ROUNDDOWN(INDEX(ref_Unit_Balance!$G$31:$G$106,MATCH(UnitGradeInfo!B614,ref_Unit_Balance!$B$31:$B$1048576,0))
+INDEX(ref_Unit_Balance!$G$20:$G$23,MATCH(IFERROR(INDEX(ref_Unit_Balance!$D$31:$D$1048576,MATCH(B614,ref_Unit_Balance!$B$31:$B$1048576,0)),0),ref_Unit_Balance!$B$20:$B$23,0))*D614*ref_Unit_Balance!$C$25,0)</f>
        <v>550</v>
      </c>
      <c r="F614" s="5">
        <f>INDEX(ref_Unit_Balance!$V$31:$V$106,MATCH(UnitGradeInfo!B614,ref_Unit_Balance!$B$31:$B$1048576,0))
+
INDEX(ref_Unit_Balance!$AB$31:$AB$106,MATCH(UnitGradeInfo!B614,ref_Unit_Balance!$B$31:$B$1048576,0))*(D614-1)</f>
        <v>2400</v>
      </c>
      <c r="G614" s="5">
        <f>INDEX(ref_Unit_Balance!$R$31:$R$106,MATCH(UnitGradeInfo!B614,ref_Unit_Balance!$B$31:$B$1048576,0))
+
INDEX(ref_Unit_Balance!$AA$31:$AA$106,MATCH(UnitGradeInfo!B614,ref_Unit_Balance!$B$31:$B$1048576,0))*(D614-1)</f>
        <v>219</v>
      </c>
      <c r="H614" s="39">
        <f>IF(INDEX(Unitinfo!D:D,MATCH(UnitGradeInfo!B614,Unitinfo!A:A,0))=1,50,5)</f>
        <v>5</v>
      </c>
      <c r="I614" s="5">
        <f>IF(INDEX(ref_Unit_Balance!$T$31:$T$106,MATCH(UnitGradeInfo!B614,ref_Unit_Balance!$B$31:$B$1048576,0))=0,1,INDEX(ref_Unit_Balance!$T$31:$T$106,MATCH(UnitGradeInfo!B614,ref_Unit_Balance!$B$31:$B$1048576,0)))</f>
        <v>5</v>
      </c>
      <c r="J614" s="5">
        <f>INDEX(ref_Unit_Balance!$S$31:$S$106,MATCH(UnitGradeInfo!B614,ref_Unit_Balance!$B$31:$B$1048576,0))</f>
        <v>900</v>
      </c>
      <c r="K614" s="5">
        <v>0</v>
      </c>
      <c r="L614" s="5">
        <f>INDEX(ref_Unit_Balance!$I$31:$I$106,MATCH(UnitGradeInfo!B614,ref_Unit_Balance!$B$31:$B$1048576,0))</f>
        <v>5</v>
      </c>
      <c r="M614" s="5">
        <f t="shared" si="64"/>
        <v>12</v>
      </c>
      <c r="N614" s="5">
        <f t="shared" si="65"/>
        <v>120</v>
      </c>
      <c r="O614" s="5">
        <f>(INDEX(Unitinfo!I:I,MATCH(B614,Unitinfo!A:A,0))+1)*2</f>
        <v>4</v>
      </c>
      <c r="P614" s="5">
        <v>0</v>
      </c>
      <c r="Q614" s="5">
        <v>0</v>
      </c>
      <c r="R614" s="19" t="s">
        <v>421</v>
      </c>
      <c r="S614" s="19" t="s">
        <v>421</v>
      </c>
      <c r="T614" s="5">
        <f t="shared" si="61"/>
        <v>2029</v>
      </c>
      <c r="U614" s="5">
        <f t="shared" si="62"/>
        <v>1</v>
      </c>
      <c r="V614" s="5">
        <v>0</v>
      </c>
      <c r="W614" s="5">
        <v>10</v>
      </c>
    </row>
    <row r="615" spans="1:23">
      <c r="A615" s="5">
        <f t="shared" si="60"/>
        <v>612</v>
      </c>
      <c r="B615" s="93">
        <f t="shared" si="63"/>
        <v>2029</v>
      </c>
      <c r="C615" s="20" t="str">
        <f>INDEX(Unitinfo!C:C,MATCH(UnitGradeInfo!B615,Unitinfo!A:A,0))</f>
        <v>(근거리)Armor_Skeleton_Sword</v>
      </c>
      <c r="D615" s="5">
        <f>COUNTIF($B$4:B615,B615)</f>
        <v>7</v>
      </c>
      <c r="E615" s="5">
        <f>ROUNDDOWN(INDEX(ref_Unit_Balance!$G$31:$G$106,MATCH(UnitGradeInfo!B615,ref_Unit_Balance!$B$31:$B$1048576,0))
+INDEX(ref_Unit_Balance!$G$20:$G$23,MATCH(IFERROR(INDEX(ref_Unit_Balance!$D$31:$D$1048576,MATCH(B615,ref_Unit_Balance!$B$31:$B$1048576,0)),0),ref_Unit_Balance!$B$20:$B$23,0))*D615*ref_Unit_Balance!$C$25,0)</f>
        <v>612</v>
      </c>
      <c r="F615" s="5">
        <f>INDEX(ref_Unit_Balance!$V$31:$V$106,MATCH(UnitGradeInfo!B615,ref_Unit_Balance!$B$31:$B$1048576,0))
+
INDEX(ref_Unit_Balance!$AB$31:$AB$106,MATCH(UnitGradeInfo!B615,ref_Unit_Balance!$B$31:$B$1048576,0))*(D615-1)</f>
        <v>2600</v>
      </c>
      <c r="G615" s="5">
        <f>INDEX(ref_Unit_Balance!$R$31:$R$106,MATCH(UnitGradeInfo!B615,ref_Unit_Balance!$B$31:$B$1048576,0))
+
INDEX(ref_Unit_Balance!$AA$31:$AA$106,MATCH(UnitGradeInfo!B615,ref_Unit_Balance!$B$31:$B$1048576,0))*(D615-1)</f>
        <v>225</v>
      </c>
      <c r="H615" s="39">
        <f>IF(INDEX(Unitinfo!D:D,MATCH(UnitGradeInfo!B615,Unitinfo!A:A,0))=1,50,5)</f>
        <v>5</v>
      </c>
      <c r="I615" s="5">
        <f>IF(INDEX(ref_Unit_Balance!$T$31:$T$106,MATCH(UnitGradeInfo!B615,ref_Unit_Balance!$B$31:$B$1048576,0))=0,1,INDEX(ref_Unit_Balance!$T$31:$T$106,MATCH(UnitGradeInfo!B615,ref_Unit_Balance!$B$31:$B$1048576,0)))</f>
        <v>5</v>
      </c>
      <c r="J615" s="5">
        <f>INDEX(ref_Unit_Balance!$S$31:$S$106,MATCH(UnitGradeInfo!B615,ref_Unit_Balance!$B$31:$B$1048576,0))</f>
        <v>900</v>
      </c>
      <c r="K615" s="5">
        <v>0</v>
      </c>
      <c r="L615" s="5">
        <f>INDEX(ref_Unit_Balance!$I$31:$I$106,MATCH(UnitGradeInfo!B615,ref_Unit_Balance!$B$31:$B$1048576,0))</f>
        <v>5</v>
      </c>
      <c r="M615" s="5">
        <f t="shared" si="64"/>
        <v>14</v>
      </c>
      <c r="N615" s="5">
        <f t="shared" si="65"/>
        <v>140</v>
      </c>
      <c r="O615" s="5">
        <f>(INDEX(Unitinfo!I:I,MATCH(B615,Unitinfo!A:A,0))+1)*2</f>
        <v>4</v>
      </c>
      <c r="P615" s="5">
        <v>0</v>
      </c>
      <c r="Q615" s="5">
        <v>0</v>
      </c>
      <c r="R615" s="19" t="s">
        <v>421</v>
      </c>
      <c r="S615" s="19" t="s">
        <v>421</v>
      </c>
      <c r="T615" s="5">
        <f t="shared" si="61"/>
        <v>2029</v>
      </c>
      <c r="U615" s="5">
        <f t="shared" si="62"/>
        <v>1</v>
      </c>
      <c r="V615" s="5">
        <v>0</v>
      </c>
      <c r="W615" s="5">
        <v>10</v>
      </c>
    </row>
    <row r="616" spans="1:23">
      <c r="A616" s="5">
        <f t="shared" ref="A616:A669" si="66">A615+1</f>
        <v>613</v>
      </c>
      <c r="B616" s="93">
        <f t="shared" si="63"/>
        <v>2029</v>
      </c>
      <c r="C616" s="20" t="str">
        <f>INDEX(Unitinfo!C:C,MATCH(UnitGradeInfo!B616,Unitinfo!A:A,0))</f>
        <v>(근거리)Armor_Skeleton_Sword</v>
      </c>
      <c r="D616" s="5">
        <f>COUNTIF($B$4:B616,B616)</f>
        <v>8</v>
      </c>
      <c r="E616" s="5">
        <f>ROUNDDOWN(INDEX(ref_Unit_Balance!$G$31:$G$106,MATCH(UnitGradeInfo!B616,ref_Unit_Balance!$B$31:$B$1048576,0))
+INDEX(ref_Unit_Balance!$G$20:$G$23,MATCH(IFERROR(INDEX(ref_Unit_Balance!$D$31:$D$1048576,MATCH(B616,ref_Unit_Balance!$B$31:$B$1048576,0)),0),ref_Unit_Balance!$B$20:$B$23,0))*D616*ref_Unit_Balance!$C$25,0)</f>
        <v>675</v>
      </c>
      <c r="F616" s="5">
        <f>INDEX(ref_Unit_Balance!$V$31:$V$106,MATCH(UnitGradeInfo!B616,ref_Unit_Balance!$B$31:$B$1048576,0))
+
INDEX(ref_Unit_Balance!$AB$31:$AB$106,MATCH(UnitGradeInfo!B616,ref_Unit_Balance!$B$31:$B$1048576,0))*(D616-1)</f>
        <v>2800</v>
      </c>
      <c r="G616" s="5">
        <f>INDEX(ref_Unit_Balance!$R$31:$R$106,MATCH(UnitGradeInfo!B616,ref_Unit_Balance!$B$31:$B$1048576,0))
+
INDEX(ref_Unit_Balance!$AA$31:$AA$106,MATCH(UnitGradeInfo!B616,ref_Unit_Balance!$B$31:$B$1048576,0))*(D616-1)</f>
        <v>231</v>
      </c>
      <c r="H616" s="39">
        <f>IF(INDEX(Unitinfo!D:D,MATCH(UnitGradeInfo!B616,Unitinfo!A:A,0))=1,50,5)</f>
        <v>5</v>
      </c>
      <c r="I616" s="5">
        <f>IF(INDEX(ref_Unit_Balance!$T$31:$T$106,MATCH(UnitGradeInfo!B616,ref_Unit_Balance!$B$31:$B$1048576,0))=0,1,INDEX(ref_Unit_Balance!$T$31:$T$106,MATCH(UnitGradeInfo!B616,ref_Unit_Balance!$B$31:$B$1048576,0)))</f>
        <v>5</v>
      </c>
      <c r="J616" s="5">
        <f>INDEX(ref_Unit_Balance!$S$31:$S$106,MATCH(UnitGradeInfo!B616,ref_Unit_Balance!$B$31:$B$1048576,0))</f>
        <v>900</v>
      </c>
      <c r="K616" s="5">
        <v>0</v>
      </c>
      <c r="L616" s="5">
        <f>INDEX(ref_Unit_Balance!$I$31:$I$106,MATCH(UnitGradeInfo!B616,ref_Unit_Balance!$B$31:$B$1048576,0))</f>
        <v>5</v>
      </c>
      <c r="M616" s="5">
        <f t="shared" si="64"/>
        <v>16</v>
      </c>
      <c r="N616" s="5">
        <f t="shared" si="65"/>
        <v>160</v>
      </c>
      <c r="O616" s="5">
        <f>(INDEX(Unitinfo!I:I,MATCH(B616,Unitinfo!A:A,0))+1)*2</f>
        <v>4</v>
      </c>
      <c r="P616" s="5">
        <v>0</v>
      </c>
      <c r="Q616" s="5">
        <v>0</v>
      </c>
      <c r="R616" s="19" t="s">
        <v>421</v>
      </c>
      <c r="S616" s="19" t="s">
        <v>421</v>
      </c>
      <c r="T616" s="5">
        <f t="shared" si="61"/>
        <v>2029</v>
      </c>
      <c r="U616" s="5">
        <f t="shared" si="62"/>
        <v>1</v>
      </c>
      <c r="V616" s="5">
        <v>0</v>
      </c>
      <c r="W616" s="5">
        <v>10</v>
      </c>
    </row>
    <row r="617" spans="1:23">
      <c r="A617" s="5">
        <f t="shared" si="66"/>
        <v>614</v>
      </c>
      <c r="B617" s="93">
        <f t="shared" si="63"/>
        <v>2029</v>
      </c>
      <c r="C617" s="20" t="str">
        <f>INDEX(Unitinfo!C:C,MATCH(UnitGradeInfo!B617,Unitinfo!A:A,0))</f>
        <v>(근거리)Armor_Skeleton_Sword</v>
      </c>
      <c r="D617" s="5">
        <f>COUNTIF($B$4:B617,B617)</f>
        <v>9</v>
      </c>
      <c r="E617" s="5">
        <f>ROUNDDOWN(INDEX(ref_Unit_Balance!$G$31:$G$106,MATCH(UnitGradeInfo!B617,ref_Unit_Balance!$B$31:$B$1048576,0))
+INDEX(ref_Unit_Balance!$G$20:$G$23,MATCH(IFERROR(INDEX(ref_Unit_Balance!$D$31:$D$1048576,MATCH(B617,ref_Unit_Balance!$B$31:$B$1048576,0)),0),ref_Unit_Balance!$B$20:$B$23,0))*D617*ref_Unit_Balance!$C$25,0)</f>
        <v>737</v>
      </c>
      <c r="F617" s="5">
        <f>INDEX(ref_Unit_Balance!$V$31:$V$106,MATCH(UnitGradeInfo!B617,ref_Unit_Balance!$B$31:$B$1048576,0))
+
INDEX(ref_Unit_Balance!$AB$31:$AB$106,MATCH(UnitGradeInfo!B617,ref_Unit_Balance!$B$31:$B$1048576,0))*(D617-1)</f>
        <v>3000</v>
      </c>
      <c r="G617" s="5">
        <f>INDEX(ref_Unit_Balance!$R$31:$R$106,MATCH(UnitGradeInfo!B617,ref_Unit_Balance!$B$31:$B$1048576,0))
+
INDEX(ref_Unit_Balance!$AA$31:$AA$106,MATCH(UnitGradeInfo!B617,ref_Unit_Balance!$B$31:$B$1048576,0))*(D617-1)</f>
        <v>237</v>
      </c>
      <c r="H617" s="39">
        <f>IF(INDEX(Unitinfo!D:D,MATCH(UnitGradeInfo!B617,Unitinfo!A:A,0))=1,50,5)</f>
        <v>5</v>
      </c>
      <c r="I617" s="5">
        <f>IF(INDEX(ref_Unit_Balance!$T$31:$T$106,MATCH(UnitGradeInfo!B617,ref_Unit_Balance!$B$31:$B$1048576,0))=0,1,INDEX(ref_Unit_Balance!$T$31:$T$106,MATCH(UnitGradeInfo!B617,ref_Unit_Balance!$B$31:$B$1048576,0)))</f>
        <v>5</v>
      </c>
      <c r="J617" s="5">
        <f>INDEX(ref_Unit_Balance!$S$31:$S$106,MATCH(UnitGradeInfo!B617,ref_Unit_Balance!$B$31:$B$1048576,0))</f>
        <v>900</v>
      </c>
      <c r="K617" s="5">
        <v>0</v>
      </c>
      <c r="L617" s="5">
        <f>INDEX(ref_Unit_Balance!$I$31:$I$106,MATCH(UnitGradeInfo!B617,ref_Unit_Balance!$B$31:$B$1048576,0))</f>
        <v>5</v>
      </c>
      <c r="M617" s="5">
        <f t="shared" si="64"/>
        <v>18</v>
      </c>
      <c r="N617" s="5">
        <f t="shared" si="65"/>
        <v>180</v>
      </c>
      <c r="O617" s="5">
        <f>(INDEX(Unitinfo!I:I,MATCH(B617,Unitinfo!A:A,0))+1)*2</f>
        <v>4</v>
      </c>
      <c r="P617" s="5">
        <v>0</v>
      </c>
      <c r="Q617" s="5">
        <v>0</v>
      </c>
      <c r="R617" s="19" t="s">
        <v>421</v>
      </c>
      <c r="S617" s="19" t="s">
        <v>421</v>
      </c>
      <c r="T617" s="5">
        <f t="shared" si="61"/>
        <v>2029</v>
      </c>
      <c r="U617" s="5">
        <f t="shared" si="62"/>
        <v>1</v>
      </c>
      <c r="V617" s="5">
        <v>0</v>
      </c>
      <c r="W617" s="5">
        <v>10</v>
      </c>
    </row>
    <row r="618" spans="1:23">
      <c r="A618" s="5">
        <f t="shared" si="66"/>
        <v>615</v>
      </c>
      <c r="B618" s="93">
        <f t="shared" si="63"/>
        <v>2029</v>
      </c>
      <c r="C618" s="20" t="str">
        <f>INDEX(Unitinfo!C:C,MATCH(UnitGradeInfo!B618,Unitinfo!A:A,0))</f>
        <v>(근거리)Armor_Skeleton_Sword</v>
      </c>
      <c r="D618" s="5">
        <f>COUNTIF($B$4:B618,B618)</f>
        <v>10</v>
      </c>
      <c r="E618" s="5">
        <f>ROUNDDOWN(INDEX(ref_Unit_Balance!$G$31:$G$106,MATCH(UnitGradeInfo!B618,ref_Unit_Balance!$B$31:$B$1048576,0))
+INDEX(ref_Unit_Balance!$G$20:$G$23,MATCH(IFERROR(INDEX(ref_Unit_Balance!$D$31:$D$1048576,MATCH(B618,ref_Unit_Balance!$B$31:$B$1048576,0)),0),ref_Unit_Balance!$B$20:$B$23,0))*D618*ref_Unit_Balance!$C$25,0)</f>
        <v>800</v>
      </c>
      <c r="F618" s="5">
        <f>INDEX(ref_Unit_Balance!$V$31:$V$106,MATCH(UnitGradeInfo!B618,ref_Unit_Balance!$B$31:$B$1048576,0))
+
INDEX(ref_Unit_Balance!$AB$31:$AB$106,MATCH(UnitGradeInfo!B618,ref_Unit_Balance!$B$31:$B$1048576,0))*(D618-1)</f>
        <v>3200</v>
      </c>
      <c r="G618" s="5">
        <f>INDEX(ref_Unit_Balance!$R$31:$R$106,MATCH(UnitGradeInfo!B618,ref_Unit_Balance!$B$31:$B$1048576,0))
+
INDEX(ref_Unit_Balance!$AA$31:$AA$106,MATCH(UnitGradeInfo!B618,ref_Unit_Balance!$B$31:$B$1048576,0))*(D618-1)</f>
        <v>243</v>
      </c>
      <c r="H618" s="39">
        <f>IF(INDEX(Unitinfo!D:D,MATCH(UnitGradeInfo!B618,Unitinfo!A:A,0))=1,50,5)</f>
        <v>5</v>
      </c>
      <c r="I618" s="5">
        <f>IF(INDEX(ref_Unit_Balance!$T$31:$T$106,MATCH(UnitGradeInfo!B618,ref_Unit_Balance!$B$31:$B$1048576,0))=0,1,INDEX(ref_Unit_Balance!$T$31:$T$106,MATCH(UnitGradeInfo!B618,ref_Unit_Balance!$B$31:$B$1048576,0)))</f>
        <v>5</v>
      </c>
      <c r="J618" s="5">
        <f>INDEX(ref_Unit_Balance!$S$31:$S$106,MATCH(UnitGradeInfo!B618,ref_Unit_Balance!$B$31:$B$1048576,0))</f>
        <v>900</v>
      </c>
      <c r="K618" s="5">
        <v>0</v>
      </c>
      <c r="L618" s="5">
        <f>INDEX(ref_Unit_Balance!$I$31:$I$106,MATCH(UnitGradeInfo!B618,ref_Unit_Balance!$B$31:$B$1048576,0))</f>
        <v>5</v>
      </c>
      <c r="M618" s="5">
        <f t="shared" si="64"/>
        <v>20</v>
      </c>
      <c r="N618" s="5">
        <f t="shared" si="65"/>
        <v>200</v>
      </c>
      <c r="O618" s="5">
        <f>(INDEX(Unitinfo!I:I,MATCH(B618,Unitinfo!A:A,0))+1)*2</f>
        <v>4</v>
      </c>
      <c r="P618" s="5">
        <v>0</v>
      </c>
      <c r="Q618" s="5">
        <v>0</v>
      </c>
      <c r="R618" s="19" t="s">
        <v>421</v>
      </c>
      <c r="S618" s="19" t="s">
        <v>421</v>
      </c>
      <c r="T618" s="5">
        <f t="shared" si="61"/>
        <v>2029</v>
      </c>
      <c r="U618" s="5">
        <f t="shared" si="62"/>
        <v>1</v>
      </c>
      <c r="V618" s="5">
        <v>0</v>
      </c>
      <c r="W618" s="5">
        <v>10</v>
      </c>
    </row>
    <row r="619" spans="1:23">
      <c r="A619" s="5">
        <f t="shared" si="66"/>
        <v>616</v>
      </c>
      <c r="B619" s="93">
        <f t="shared" si="63"/>
        <v>2029</v>
      </c>
      <c r="C619" s="20" t="str">
        <f>INDEX(Unitinfo!C:C,MATCH(UnitGradeInfo!B619,Unitinfo!A:A,0))</f>
        <v>(근거리)Armor_Skeleton_Sword</v>
      </c>
      <c r="D619" s="5">
        <f>COUNTIF($B$4:B619,B619)</f>
        <v>11</v>
      </c>
      <c r="E619" s="5">
        <f>ROUNDDOWN(INDEX(ref_Unit_Balance!$G$31:$G$106,MATCH(UnitGradeInfo!B619,ref_Unit_Balance!$B$31:$B$1048576,0))
+INDEX(ref_Unit_Balance!$G$20:$G$23,MATCH(IFERROR(INDEX(ref_Unit_Balance!$D$31:$D$1048576,MATCH(B619,ref_Unit_Balance!$B$31:$B$1048576,0)),0),ref_Unit_Balance!$B$20:$B$23,0))*D619*ref_Unit_Balance!$C$25,0)</f>
        <v>862</v>
      </c>
      <c r="F619" s="5">
        <f>INDEX(ref_Unit_Balance!$V$31:$V$106,MATCH(UnitGradeInfo!B619,ref_Unit_Balance!$B$31:$B$1048576,0))
+
INDEX(ref_Unit_Balance!$AB$31:$AB$106,MATCH(UnitGradeInfo!B619,ref_Unit_Balance!$B$31:$B$1048576,0))*(D619-1)</f>
        <v>3400</v>
      </c>
      <c r="G619" s="5">
        <f>INDEX(ref_Unit_Balance!$R$31:$R$106,MATCH(UnitGradeInfo!B619,ref_Unit_Balance!$B$31:$B$1048576,0))
+
INDEX(ref_Unit_Balance!$AA$31:$AA$106,MATCH(UnitGradeInfo!B619,ref_Unit_Balance!$B$31:$B$1048576,0))*(D619-1)</f>
        <v>249</v>
      </c>
      <c r="H619" s="39">
        <f>IF(INDEX(Unitinfo!D:D,MATCH(UnitGradeInfo!B619,Unitinfo!A:A,0))=1,50,5)</f>
        <v>5</v>
      </c>
      <c r="I619" s="5">
        <f>IF(INDEX(ref_Unit_Balance!$T$31:$T$106,MATCH(UnitGradeInfo!B619,ref_Unit_Balance!$B$31:$B$1048576,0))=0,1,INDEX(ref_Unit_Balance!$T$31:$T$106,MATCH(UnitGradeInfo!B619,ref_Unit_Balance!$B$31:$B$1048576,0)))</f>
        <v>5</v>
      </c>
      <c r="J619" s="5">
        <f>INDEX(ref_Unit_Balance!$S$31:$S$106,MATCH(UnitGradeInfo!B619,ref_Unit_Balance!$B$31:$B$1048576,0))</f>
        <v>900</v>
      </c>
      <c r="K619" s="5">
        <v>0</v>
      </c>
      <c r="L619" s="5">
        <f>INDEX(ref_Unit_Balance!$I$31:$I$106,MATCH(UnitGradeInfo!B619,ref_Unit_Balance!$B$31:$B$1048576,0))</f>
        <v>5</v>
      </c>
      <c r="M619" s="5">
        <f t="shared" si="64"/>
        <v>22</v>
      </c>
      <c r="N619" s="5">
        <f t="shared" si="65"/>
        <v>220</v>
      </c>
      <c r="O619" s="5">
        <f>(INDEX(Unitinfo!I:I,MATCH(B619,Unitinfo!A:A,0))+1)*2</f>
        <v>4</v>
      </c>
      <c r="P619" s="5">
        <v>0</v>
      </c>
      <c r="Q619" s="5">
        <v>0</v>
      </c>
      <c r="R619" s="19" t="s">
        <v>421</v>
      </c>
      <c r="S619" s="19" t="s">
        <v>421</v>
      </c>
      <c r="T619" s="5">
        <f t="shared" si="61"/>
        <v>2029</v>
      </c>
      <c r="U619" s="5">
        <f t="shared" si="62"/>
        <v>1</v>
      </c>
      <c r="V619" s="5">
        <v>0</v>
      </c>
      <c r="W619" s="5">
        <v>10</v>
      </c>
    </row>
    <row r="620" spans="1:23">
      <c r="A620" s="5">
        <f t="shared" si="66"/>
        <v>617</v>
      </c>
      <c r="B620" s="93">
        <f t="shared" si="63"/>
        <v>2029</v>
      </c>
      <c r="C620" s="20" t="str">
        <f>INDEX(Unitinfo!C:C,MATCH(UnitGradeInfo!B620,Unitinfo!A:A,0))</f>
        <v>(근거리)Armor_Skeleton_Sword</v>
      </c>
      <c r="D620" s="5">
        <f>COUNTIF($B$4:B620,B620)</f>
        <v>12</v>
      </c>
      <c r="E620" s="5">
        <f>ROUNDDOWN(INDEX(ref_Unit_Balance!$G$31:$G$106,MATCH(UnitGradeInfo!B620,ref_Unit_Balance!$B$31:$B$1048576,0))
+INDEX(ref_Unit_Balance!$G$20:$G$23,MATCH(IFERROR(INDEX(ref_Unit_Balance!$D$31:$D$1048576,MATCH(B620,ref_Unit_Balance!$B$31:$B$1048576,0)),0),ref_Unit_Balance!$B$20:$B$23,0))*D620*ref_Unit_Balance!$C$25,0)</f>
        <v>925</v>
      </c>
      <c r="F620" s="5">
        <f>INDEX(ref_Unit_Balance!$V$31:$V$106,MATCH(UnitGradeInfo!B620,ref_Unit_Balance!$B$31:$B$1048576,0))
+
INDEX(ref_Unit_Balance!$AB$31:$AB$106,MATCH(UnitGradeInfo!B620,ref_Unit_Balance!$B$31:$B$1048576,0))*(D620-1)</f>
        <v>3600</v>
      </c>
      <c r="G620" s="5">
        <f>INDEX(ref_Unit_Balance!$R$31:$R$106,MATCH(UnitGradeInfo!B620,ref_Unit_Balance!$B$31:$B$1048576,0))
+
INDEX(ref_Unit_Balance!$AA$31:$AA$106,MATCH(UnitGradeInfo!B620,ref_Unit_Balance!$B$31:$B$1048576,0))*(D620-1)</f>
        <v>255</v>
      </c>
      <c r="H620" s="39">
        <f>IF(INDEX(Unitinfo!D:D,MATCH(UnitGradeInfo!B620,Unitinfo!A:A,0))=1,50,5)</f>
        <v>5</v>
      </c>
      <c r="I620" s="5">
        <f>IF(INDEX(ref_Unit_Balance!$T$31:$T$106,MATCH(UnitGradeInfo!B620,ref_Unit_Balance!$B$31:$B$1048576,0))=0,1,INDEX(ref_Unit_Balance!$T$31:$T$106,MATCH(UnitGradeInfo!B620,ref_Unit_Balance!$B$31:$B$1048576,0)))</f>
        <v>5</v>
      </c>
      <c r="J620" s="5">
        <f>INDEX(ref_Unit_Balance!$S$31:$S$106,MATCH(UnitGradeInfo!B620,ref_Unit_Balance!$B$31:$B$1048576,0))</f>
        <v>900</v>
      </c>
      <c r="K620" s="5">
        <v>0</v>
      </c>
      <c r="L620" s="5">
        <f>INDEX(ref_Unit_Balance!$I$31:$I$106,MATCH(UnitGradeInfo!B620,ref_Unit_Balance!$B$31:$B$1048576,0))</f>
        <v>5</v>
      </c>
      <c r="M620" s="5">
        <f t="shared" si="64"/>
        <v>24</v>
      </c>
      <c r="N620" s="5">
        <f t="shared" si="65"/>
        <v>240</v>
      </c>
      <c r="O620" s="5">
        <f>(INDEX(Unitinfo!I:I,MATCH(B620,Unitinfo!A:A,0))+1)*2</f>
        <v>4</v>
      </c>
      <c r="P620" s="5">
        <v>0</v>
      </c>
      <c r="Q620" s="5">
        <v>0</v>
      </c>
      <c r="R620" s="19" t="s">
        <v>421</v>
      </c>
      <c r="S620" s="19" t="s">
        <v>421</v>
      </c>
      <c r="T620" s="5">
        <f t="shared" si="61"/>
        <v>2029</v>
      </c>
      <c r="U620" s="5">
        <f t="shared" si="62"/>
        <v>1</v>
      </c>
      <c r="V620" s="5">
        <v>0</v>
      </c>
      <c r="W620" s="5">
        <v>10</v>
      </c>
    </row>
    <row r="621" spans="1:23">
      <c r="A621" s="5">
        <f t="shared" si="66"/>
        <v>618</v>
      </c>
      <c r="B621" s="93">
        <f t="shared" si="63"/>
        <v>2029</v>
      </c>
      <c r="C621" s="20" t="str">
        <f>INDEX(Unitinfo!C:C,MATCH(UnitGradeInfo!B621,Unitinfo!A:A,0))</f>
        <v>(근거리)Armor_Skeleton_Sword</v>
      </c>
      <c r="D621" s="5">
        <f>COUNTIF($B$4:B621,B621)</f>
        <v>13</v>
      </c>
      <c r="E621" s="5">
        <f>ROUNDDOWN(INDEX(ref_Unit_Balance!$G$31:$G$106,MATCH(UnitGradeInfo!B621,ref_Unit_Balance!$B$31:$B$1048576,0))
+INDEX(ref_Unit_Balance!$G$20:$G$23,MATCH(IFERROR(INDEX(ref_Unit_Balance!$D$31:$D$1048576,MATCH(B621,ref_Unit_Balance!$B$31:$B$1048576,0)),0),ref_Unit_Balance!$B$20:$B$23,0))*D621*ref_Unit_Balance!$C$25,0)</f>
        <v>987</v>
      </c>
      <c r="F621" s="5">
        <f>INDEX(ref_Unit_Balance!$V$31:$V$106,MATCH(UnitGradeInfo!B621,ref_Unit_Balance!$B$31:$B$1048576,0))
+
INDEX(ref_Unit_Balance!$AB$31:$AB$106,MATCH(UnitGradeInfo!B621,ref_Unit_Balance!$B$31:$B$1048576,0))*(D621-1)</f>
        <v>3800</v>
      </c>
      <c r="G621" s="5">
        <f>INDEX(ref_Unit_Balance!$R$31:$R$106,MATCH(UnitGradeInfo!B621,ref_Unit_Balance!$B$31:$B$1048576,0))
+
INDEX(ref_Unit_Balance!$AA$31:$AA$106,MATCH(UnitGradeInfo!B621,ref_Unit_Balance!$B$31:$B$1048576,0))*(D621-1)</f>
        <v>261</v>
      </c>
      <c r="H621" s="39">
        <f>IF(INDEX(Unitinfo!D:D,MATCH(UnitGradeInfo!B621,Unitinfo!A:A,0))=1,50,5)</f>
        <v>5</v>
      </c>
      <c r="I621" s="5">
        <f>IF(INDEX(ref_Unit_Balance!$T$31:$T$106,MATCH(UnitGradeInfo!B621,ref_Unit_Balance!$B$31:$B$1048576,0))=0,1,INDEX(ref_Unit_Balance!$T$31:$T$106,MATCH(UnitGradeInfo!B621,ref_Unit_Balance!$B$31:$B$1048576,0)))</f>
        <v>5</v>
      </c>
      <c r="J621" s="5">
        <f>INDEX(ref_Unit_Balance!$S$31:$S$106,MATCH(UnitGradeInfo!B621,ref_Unit_Balance!$B$31:$B$1048576,0))</f>
        <v>900</v>
      </c>
      <c r="K621" s="5">
        <v>0</v>
      </c>
      <c r="L621" s="5">
        <f>INDEX(ref_Unit_Balance!$I$31:$I$106,MATCH(UnitGradeInfo!B621,ref_Unit_Balance!$B$31:$B$1048576,0))</f>
        <v>5</v>
      </c>
      <c r="M621" s="5">
        <f t="shared" si="64"/>
        <v>26</v>
      </c>
      <c r="N621" s="5">
        <f t="shared" si="65"/>
        <v>260</v>
      </c>
      <c r="O621" s="5">
        <f>(INDEX(Unitinfo!I:I,MATCH(B621,Unitinfo!A:A,0))+1)*2</f>
        <v>4</v>
      </c>
      <c r="P621" s="5">
        <v>0</v>
      </c>
      <c r="Q621" s="5">
        <v>0</v>
      </c>
      <c r="R621" s="19" t="s">
        <v>421</v>
      </c>
      <c r="S621" s="19" t="s">
        <v>421</v>
      </c>
      <c r="T621" s="5">
        <f t="shared" si="61"/>
        <v>2029</v>
      </c>
      <c r="U621" s="5">
        <f t="shared" si="62"/>
        <v>1</v>
      </c>
      <c r="V621" s="5">
        <v>0</v>
      </c>
      <c r="W621" s="5">
        <v>10</v>
      </c>
    </row>
    <row r="622" spans="1:23">
      <c r="A622" s="5">
        <f t="shared" si="66"/>
        <v>619</v>
      </c>
      <c r="B622" s="93">
        <f t="shared" si="63"/>
        <v>2029</v>
      </c>
      <c r="C622" s="20" t="str">
        <f>INDEX(Unitinfo!C:C,MATCH(UnitGradeInfo!B622,Unitinfo!A:A,0))</f>
        <v>(근거리)Armor_Skeleton_Sword</v>
      </c>
      <c r="D622" s="5">
        <f>COUNTIF($B$4:B622,B622)</f>
        <v>14</v>
      </c>
      <c r="E622" s="5">
        <f>ROUNDDOWN(INDEX(ref_Unit_Balance!$G$31:$G$106,MATCH(UnitGradeInfo!B622,ref_Unit_Balance!$B$31:$B$1048576,0))
+INDEX(ref_Unit_Balance!$G$20:$G$23,MATCH(IFERROR(INDEX(ref_Unit_Balance!$D$31:$D$1048576,MATCH(B622,ref_Unit_Balance!$B$31:$B$1048576,0)),0),ref_Unit_Balance!$B$20:$B$23,0))*D622*ref_Unit_Balance!$C$25,0)</f>
        <v>1050</v>
      </c>
      <c r="F622" s="5">
        <f>INDEX(ref_Unit_Balance!$V$31:$V$106,MATCH(UnitGradeInfo!B622,ref_Unit_Balance!$B$31:$B$1048576,0))
+
INDEX(ref_Unit_Balance!$AB$31:$AB$106,MATCH(UnitGradeInfo!B622,ref_Unit_Balance!$B$31:$B$1048576,0))*(D622-1)</f>
        <v>4000</v>
      </c>
      <c r="G622" s="5">
        <f>INDEX(ref_Unit_Balance!$R$31:$R$106,MATCH(UnitGradeInfo!B622,ref_Unit_Balance!$B$31:$B$1048576,0))
+
INDEX(ref_Unit_Balance!$AA$31:$AA$106,MATCH(UnitGradeInfo!B622,ref_Unit_Balance!$B$31:$B$1048576,0))*(D622-1)</f>
        <v>267</v>
      </c>
      <c r="H622" s="39">
        <f>IF(INDEX(Unitinfo!D:D,MATCH(UnitGradeInfo!B622,Unitinfo!A:A,0))=1,50,5)</f>
        <v>5</v>
      </c>
      <c r="I622" s="5">
        <f>IF(INDEX(ref_Unit_Balance!$T$31:$T$106,MATCH(UnitGradeInfo!B622,ref_Unit_Balance!$B$31:$B$1048576,0))=0,1,INDEX(ref_Unit_Balance!$T$31:$T$106,MATCH(UnitGradeInfo!B622,ref_Unit_Balance!$B$31:$B$1048576,0)))</f>
        <v>5</v>
      </c>
      <c r="J622" s="5">
        <f>INDEX(ref_Unit_Balance!$S$31:$S$106,MATCH(UnitGradeInfo!B622,ref_Unit_Balance!$B$31:$B$1048576,0))</f>
        <v>900</v>
      </c>
      <c r="K622" s="5">
        <v>0</v>
      </c>
      <c r="L622" s="5">
        <f>INDEX(ref_Unit_Balance!$I$31:$I$106,MATCH(UnitGradeInfo!B622,ref_Unit_Balance!$B$31:$B$1048576,0))</f>
        <v>5</v>
      </c>
      <c r="M622" s="5">
        <f t="shared" si="64"/>
        <v>28</v>
      </c>
      <c r="N622" s="5">
        <f t="shared" si="65"/>
        <v>280</v>
      </c>
      <c r="O622" s="5">
        <f>(INDEX(Unitinfo!I:I,MATCH(B622,Unitinfo!A:A,0))+1)*2</f>
        <v>4</v>
      </c>
      <c r="P622" s="5">
        <v>0</v>
      </c>
      <c r="Q622" s="5">
        <v>0</v>
      </c>
      <c r="R622" s="19" t="s">
        <v>421</v>
      </c>
      <c r="S622" s="19" t="s">
        <v>421</v>
      </c>
      <c r="T622" s="5">
        <f t="shared" si="61"/>
        <v>2029</v>
      </c>
      <c r="U622" s="5">
        <f t="shared" si="62"/>
        <v>1</v>
      </c>
      <c r="V622" s="5">
        <v>0</v>
      </c>
      <c r="W622" s="5">
        <v>10</v>
      </c>
    </row>
    <row r="623" spans="1:23">
      <c r="A623" s="5">
        <f t="shared" si="66"/>
        <v>620</v>
      </c>
      <c r="B623" s="93">
        <f t="shared" si="63"/>
        <v>2029</v>
      </c>
      <c r="C623" s="20" t="str">
        <f>INDEX(Unitinfo!C:C,MATCH(UnitGradeInfo!B623,Unitinfo!A:A,0))</f>
        <v>(근거리)Armor_Skeleton_Sword</v>
      </c>
      <c r="D623" s="5">
        <f>COUNTIF($B$4:B623,B623)</f>
        <v>15</v>
      </c>
      <c r="E623" s="5">
        <f>ROUNDDOWN(INDEX(ref_Unit_Balance!$G$31:$G$106,MATCH(UnitGradeInfo!B623,ref_Unit_Balance!$B$31:$B$1048576,0))
+INDEX(ref_Unit_Balance!$G$20:$G$23,MATCH(IFERROR(INDEX(ref_Unit_Balance!$D$31:$D$1048576,MATCH(B623,ref_Unit_Balance!$B$31:$B$1048576,0)),0),ref_Unit_Balance!$B$20:$B$23,0))*D623*ref_Unit_Balance!$C$25,0)</f>
        <v>1112</v>
      </c>
      <c r="F623" s="5">
        <f>INDEX(ref_Unit_Balance!$V$31:$V$106,MATCH(UnitGradeInfo!B623,ref_Unit_Balance!$B$31:$B$1048576,0))
+
INDEX(ref_Unit_Balance!$AB$31:$AB$106,MATCH(UnitGradeInfo!B623,ref_Unit_Balance!$B$31:$B$1048576,0))*(D623-1)</f>
        <v>4200</v>
      </c>
      <c r="G623" s="5">
        <f>INDEX(ref_Unit_Balance!$R$31:$R$106,MATCH(UnitGradeInfo!B623,ref_Unit_Balance!$B$31:$B$1048576,0))
+
INDEX(ref_Unit_Balance!$AA$31:$AA$106,MATCH(UnitGradeInfo!B623,ref_Unit_Balance!$B$31:$B$1048576,0))*(D623-1)</f>
        <v>273</v>
      </c>
      <c r="H623" s="39">
        <f>IF(INDEX(Unitinfo!D:D,MATCH(UnitGradeInfo!B623,Unitinfo!A:A,0))=1,50,5)</f>
        <v>5</v>
      </c>
      <c r="I623" s="5">
        <f>IF(INDEX(ref_Unit_Balance!$T$31:$T$106,MATCH(UnitGradeInfo!B623,ref_Unit_Balance!$B$31:$B$1048576,0))=0,1,INDEX(ref_Unit_Balance!$T$31:$T$106,MATCH(UnitGradeInfo!B623,ref_Unit_Balance!$B$31:$B$1048576,0)))</f>
        <v>5</v>
      </c>
      <c r="J623" s="5">
        <f>INDEX(ref_Unit_Balance!$S$31:$S$106,MATCH(UnitGradeInfo!B623,ref_Unit_Balance!$B$31:$B$1048576,0))</f>
        <v>900</v>
      </c>
      <c r="K623" s="5">
        <v>0</v>
      </c>
      <c r="L623" s="5">
        <f>INDEX(ref_Unit_Balance!$I$31:$I$106,MATCH(UnitGradeInfo!B623,ref_Unit_Balance!$B$31:$B$1048576,0))</f>
        <v>5</v>
      </c>
      <c r="M623" s="5">
        <f t="shared" si="64"/>
        <v>30</v>
      </c>
      <c r="N623" s="5">
        <f t="shared" si="65"/>
        <v>300</v>
      </c>
      <c r="O623" s="5">
        <f>(INDEX(Unitinfo!I:I,MATCH(B623,Unitinfo!A:A,0))+1)*2</f>
        <v>4</v>
      </c>
      <c r="P623" s="5">
        <v>0</v>
      </c>
      <c r="Q623" s="5">
        <v>0</v>
      </c>
      <c r="R623" s="19" t="s">
        <v>421</v>
      </c>
      <c r="S623" s="19" t="s">
        <v>421</v>
      </c>
      <c r="T623" s="5">
        <f t="shared" si="61"/>
        <v>2029</v>
      </c>
      <c r="U623" s="5">
        <f t="shared" si="62"/>
        <v>1</v>
      </c>
      <c r="V623" s="5">
        <v>0</v>
      </c>
      <c r="W623" s="5">
        <v>10</v>
      </c>
    </row>
    <row r="624" spans="1:23">
      <c r="A624" s="5">
        <f t="shared" si="66"/>
        <v>621</v>
      </c>
      <c r="B624" s="93">
        <f t="shared" si="63"/>
        <v>2029</v>
      </c>
      <c r="C624" s="20" t="str">
        <f>INDEX(Unitinfo!C:C,MATCH(UnitGradeInfo!B624,Unitinfo!A:A,0))</f>
        <v>(근거리)Armor_Skeleton_Sword</v>
      </c>
      <c r="D624" s="5">
        <f>COUNTIF($B$4:B624,B624)</f>
        <v>16</v>
      </c>
      <c r="E624" s="5">
        <f>ROUNDDOWN(INDEX(ref_Unit_Balance!$G$31:$G$106,MATCH(UnitGradeInfo!B624,ref_Unit_Balance!$B$31:$B$1048576,0))
+INDEX(ref_Unit_Balance!$G$20:$G$23,MATCH(IFERROR(INDEX(ref_Unit_Balance!$D$31:$D$1048576,MATCH(B624,ref_Unit_Balance!$B$31:$B$1048576,0)),0),ref_Unit_Balance!$B$20:$B$23,0))*D624*ref_Unit_Balance!$C$25,0)</f>
        <v>1175</v>
      </c>
      <c r="F624" s="5">
        <f>INDEX(ref_Unit_Balance!$V$31:$V$106,MATCH(UnitGradeInfo!B624,ref_Unit_Balance!$B$31:$B$1048576,0))
+
INDEX(ref_Unit_Balance!$AB$31:$AB$106,MATCH(UnitGradeInfo!B624,ref_Unit_Balance!$B$31:$B$1048576,0))*(D624-1)</f>
        <v>4400</v>
      </c>
      <c r="G624" s="5">
        <f>INDEX(ref_Unit_Balance!$R$31:$R$106,MATCH(UnitGradeInfo!B624,ref_Unit_Balance!$B$31:$B$1048576,0))
+
INDEX(ref_Unit_Balance!$AA$31:$AA$106,MATCH(UnitGradeInfo!B624,ref_Unit_Balance!$B$31:$B$1048576,0))*(D624-1)</f>
        <v>279</v>
      </c>
      <c r="H624" s="39">
        <f>IF(INDEX(Unitinfo!D:D,MATCH(UnitGradeInfo!B624,Unitinfo!A:A,0))=1,50,5)</f>
        <v>5</v>
      </c>
      <c r="I624" s="5">
        <f>IF(INDEX(ref_Unit_Balance!$T$31:$T$106,MATCH(UnitGradeInfo!B624,ref_Unit_Balance!$B$31:$B$1048576,0))=0,1,INDEX(ref_Unit_Balance!$T$31:$T$106,MATCH(UnitGradeInfo!B624,ref_Unit_Balance!$B$31:$B$1048576,0)))</f>
        <v>5</v>
      </c>
      <c r="J624" s="5">
        <f>INDEX(ref_Unit_Balance!$S$31:$S$106,MATCH(UnitGradeInfo!B624,ref_Unit_Balance!$B$31:$B$1048576,0))</f>
        <v>900</v>
      </c>
      <c r="K624" s="5">
        <v>0</v>
      </c>
      <c r="L624" s="5">
        <f>INDEX(ref_Unit_Balance!$I$31:$I$106,MATCH(UnitGradeInfo!B624,ref_Unit_Balance!$B$31:$B$1048576,0))</f>
        <v>5</v>
      </c>
      <c r="M624" s="5">
        <f t="shared" si="64"/>
        <v>32</v>
      </c>
      <c r="N624" s="5">
        <f t="shared" si="65"/>
        <v>320</v>
      </c>
      <c r="O624" s="5">
        <f>(INDEX(Unitinfo!I:I,MATCH(B624,Unitinfo!A:A,0))+1)*2</f>
        <v>4</v>
      </c>
      <c r="P624" s="5">
        <v>0</v>
      </c>
      <c r="Q624" s="5">
        <v>0</v>
      </c>
      <c r="R624" s="19" t="s">
        <v>421</v>
      </c>
      <c r="S624" s="19" t="s">
        <v>421</v>
      </c>
      <c r="T624" s="5">
        <f t="shared" si="61"/>
        <v>2029</v>
      </c>
      <c r="U624" s="5">
        <f t="shared" si="62"/>
        <v>1</v>
      </c>
      <c r="V624" s="5">
        <v>0</v>
      </c>
      <c r="W624" s="5">
        <v>10</v>
      </c>
    </row>
    <row r="625" spans="1:23">
      <c r="A625" s="5">
        <f t="shared" si="66"/>
        <v>622</v>
      </c>
      <c r="B625" s="93">
        <f t="shared" si="63"/>
        <v>2029</v>
      </c>
      <c r="C625" s="20" t="str">
        <f>INDEX(Unitinfo!C:C,MATCH(UnitGradeInfo!B625,Unitinfo!A:A,0))</f>
        <v>(근거리)Armor_Skeleton_Sword</v>
      </c>
      <c r="D625" s="5">
        <f>COUNTIF($B$4:B625,B625)</f>
        <v>17</v>
      </c>
      <c r="E625" s="5">
        <f>ROUNDDOWN(INDEX(ref_Unit_Balance!$G$31:$G$106,MATCH(UnitGradeInfo!B625,ref_Unit_Balance!$B$31:$B$1048576,0))
+INDEX(ref_Unit_Balance!$G$20:$G$23,MATCH(IFERROR(INDEX(ref_Unit_Balance!$D$31:$D$1048576,MATCH(B625,ref_Unit_Balance!$B$31:$B$1048576,0)),0),ref_Unit_Balance!$B$20:$B$23,0))*D625*ref_Unit_Balance!$C$25,0)</f>
        <v>1237</v>
      </c>
      <c r="F625" s="5">
        <f>INDEX(ref_Unit_Balance!$V$31:$V$106,MATCH(UnitGradeInfo!B625,ref_Unit_Balance!$B$31:$B$1048576,0))
+
INDEX(ref_Unit_Balance!$AB$31:$AB$106,MATCH(UnitGradeInfo!B625,ref_Unit_Balance!$B$31:$B$1048576,0))*(D625-1)</f>
        <v>4600</v>
      </c>
      <c r="G625" s="5">
        <f>INDEX(ref_Unit_Balance!$R$31:$R$106,MATCH(UnitGradeInfo!B625,ref_Unit_Balance!$B$31:$B$1048576,0))
+
INDEX(ref_Unit_Balance!$AA$31:$AA$106,MATCH(UnitGradeInfo!B625,ref_Unit_Balance!$B$31:$B$1048576,0))*(D625-1)</f>
        <v>285</v>
      </c>
      <c r="H625" s="39">
        <f>IF(INDEX(Unitinfo!D:D,MATCH(UnitGradeInfo!B625,Unitinfo!A:A,0))=1,50,5)</f>
        <v>5</v>
      </c>
      <c r="I625" s="5">
        <f>IF(INDEX(ref_Unit_Balance!$T$31:$T$106,MATCH(UnitGradeInfo!B625,ref_Unit_Balance!$B$31:$B$1048576,0))=0,1,INDEX(ref_Unit_Balance!$T$31:$T$106,MATCH(UnitGradeInfo!B625,ref_Unit_Balance!$B$31:$B$1048576,0)))</f>
        <v>5</v>
      </c>
      <c r="J625" s="5">
        <f>INDEX(ref_Unit_Balance!$S$31:$S$106,MATCH(UnitGradeInfo!B625,ref_Unit_Balance!$B$31:$B$1048576,0))</f>
        <v>900</v>
      </c>
      <c r="K625" s="5">
        <v>0</v>
      </c>
      <c r="L625" s="5">
        <f>INDEX(ref_Unit_Balance!$I$31:$I$106,MATCH(UnitGradeInfo!B625,ref_Unit_Balance!$B$31:$B$1048576,0))</f>
        <v>5</v>
      </c>
      <c r="M625" s="5">
        <f t="shared" si="64"/>
        <v>34</v>
      </c>
      <c r="N625" s="5">
        <f t="shared" si="65"/>
        <v>340</v>
      </c>
      <c r="O625" s="5">
        <f>(INDEX(Unitinfo!I:I,MATCH(B625,Unitinfo!A:A,0))+1)*2</f>
        <v>4</v>
      </c>
      <c r="P625" s="5">
        <v>0</v>
      </c>
      <c r="Q625" s="5">
        <v>0</v>
      </c>
      <c r="R625" s="19" t="s">
        <v>421</v>
      </c>
      <c r="S625" s="19" t="s">
        <v>421</v>
      </c>
      <c r="T625" s="5">
        <f t="shared" ref="T625:T668" si="67">B625</f>
        <v>2029</v>
      </c>
      <c r="U625" s="5">
        <f t="shared" ref="U625:U668" si="68">IF(B625&gt;10000,0,1)</f>
        <v>1</v>
      </c>
      <c r="V625" s="5">
        <v>0</v>
      </c>
      <c r="W625" s="5">
        <v>10</v>
      </c>
    </row>
    <row r="626" spans="1:23">
      <c r="A626" s="5">
        <f t="shared" si="66"/>
        <v>623</v>
      </c>
      <c r="B626" s="93">
        <f t="shared" ref="B626:B668" si="69">QUOTIENT(A626-45-1,20)+2001</f>
        <v>2029</v>
      </c>
      <c r="C626" s="20" t="str">
        <f>INDEX(Unitinfo!C:C,MATCH(UnitGradeInfo!B626,Unitinfo!A:A,0))</f>
        <v>(근거리)Armor_Skeleton_Sword</v>
      </c>
      <c r="D626" s="5">
        <f>COUNTIF($B$4:B626,B626)</f>
        <v>18</v>
      </c>
      <c r="E626" s="5">
        <f>ROUNDDOWN(INDEX(ref_Unit_Balance!$G$31:$G$106,MATCH(UnitGradeInfo!B626,ref_Unit_Balance!$B$31:$B$1048576,0))
+INDEX(ref_Unit_Balance!$G$20:$G$23,MATCH(IFERROR(INDEX(ref_Unit_Balance!$D$31:$D$1048576,MATCH(B626,ref_Unit_Balance!$B$31:$B$1048576,0)),0),ref_Unit_Balance!$B$20:$B$23,0))*D626*ref_Unit_Balance!$C$25,0)</f>
        <v>1300</v>
      </c>
      <c r="F626" s="5">
        <f>INDEX(ref_Unit_Balance!$V$31:$V$106,MATCH(UnitGradeInfo!B626,ref_Unit_Balance!$B$31:$B$1048576,0))
+
INDEX(ref_Unit_Balance!$AB$31:$AB$106,MATCH(UnitGradeInfo!B626,ref_Unit_Balance!$B$31:$B$1048576,0))*(D626-1)</f>
        <v>4800</v>
      </c>
      <c r="G626" s="5">
        <f>INDEX(ref_Unit_Balance!$R$31:$R$106,MATCH(UnitGradeInfo!B626,ref_Unit_Balance!$B$31:$B$1048576,0))
+
INDEX(ref_Unit_Balance!$AA$31:$AA$106,MATCH(UnitGradeInfo!B626,ref_Unit_Balance!$B$31:$B$1048576,0))*(D626-1)</f>
        <v>291</v>
      </c>
      <c r="H626" s="39">
        <f>IF(INDEX(Unitinfo!D:D,MATCH(UnitGradeInfo!B626,Unitinfo!A:A,0))=1,50,5)</f>
        <v>5</v>
      </c>
      <c r="I626" s="5">
        <f>IF(INDEX(ref_Unit_Balance!$T$31:$T$106,MATCH(UnitGradeInfo!B626,ref_Unit_Balance!$B$31:$B$1048576,0))=0,1,INDEX(ref_Unit_Balance!$T$31:$T$106,MATCH(UnitGradeInfo!B626,ref_Unit_Balance!$B$31:$B$1048576,0)))</f>
        <v>5</v>
      </c>
      <c r="J626" s="5">
        <f>INDEX(ref_Unit_Balance!$S$31:$S$106,MATCH(UnitGradeInfo!B626,ref_Unit_Balance!$B$31:$B$1048576,0))</f>
        <v>900</v>
      </c>
      <c r="K626" s="5">
        <v>0</v>
      </c>
      <c r="L626" s="5">
        <f>INDEX(ref_Unit_Balance!$I$31:$I$106,MATCH(UnitGradeInfo!B626,ref_Unit_Balance!$B$31:$B$1048576,0))</f>
        <v>5</v>
      </c>
      <c r="M626" s="5">
        <f t="shared" si="64"/>
        <v>36</v>
      </c>
      <c r="N626" s="5">
        <f t="shared" si="65"/>
        <v>360</v>
      </c>
      <c r="O626" s="5">
        <f>(INDEX(Unitinfo!I:I,MATCH(B626,Unitinfo!A:A,0))+1)*2</f>
        <v>4</v>
      </c>
      <c r="P626" s="5">
        <v>0</v>
      </c>
      <c r="Q626" s="5">
        <v>0</v>
      </c>
      <c r="R626" s="19" t="s">
        <v>421</v>
      </c>
      <c r="S626" s="19" t="s">
        <v>421</v>
      </c>
      <c r="T626" s="5">
        <f t="shared" si="67"/>
        <v>2029</v>
      </c>
      <c r="U626" s="5">
        <f t="shared" si="68"/>
        <v>1</v>
      </c>
      <c r="V626" s="5">
        <v>0</v>
      </c>
      <c r="W626" s="5">
        <v>10</v>
      </c>
    </row>
    <row r="627" spans="1:23">
      <c r="A627" s="5">
        <f t="shared" si="66"/>
        <v>624</v>
      </c>
      <c r="B627" s="93">
        <f t="shared" si="69"/>
        <v>2029</v>
      </c>
      <c r="C627" s="20" t="str">
        <f>INDEX(Unitinfo!C:C,MATCH(UnitGradeInfo!B627,Unitinfo!A:A,0))</f>
        <v>(근거리)Armor_Skeleton_Sword</v>
      </c>
      <c r="D627" s="5">
        <f>COUNTIF($B$4:B627,B627)</f>
        <v>19</v>
      </c>
      <c r="E627" s="5">
        <f>ROUNDDOWN(INDEX(ref_Unit_Balance!$G$31:$G$106,MATCH(UnitGradeInfo!B627,ref_Unit_Balance!$B$31:$B$1048576,0))
+INDEX(ref_Unit_Balance!$G$20:$G$23,MATCH(IFERROR(INDEX(ref_Unit_Balance!$D$31:$D$1048576,MATCH(B627,ref_Unit_Balance!$B$31:$B$1048576,0)),0),ref_Unit_Balance!$B$20:$B$23,0))*D627*ref_Unit_Balance!$C$25,0)</f>
        <v>1362</v>
      </c>
      <c r="F627" s="5">
        <f>INDEX(ref_Unit_Balance!$V$31:$V$106,MATCH(UnitGradeInfo!B627,ref_Unit_Balance!$B$31:$B$1048576,0))
+
INDEX(ref_Unit_Balance!$AB$31:$AB$106,MATCH(UnitGradeInfo!B627,ref_Unit_Balance!$B$31:$B$1048576,0))*(D627-1)</f>
        <v>5000</v>
      </c>
      <c r="G627" s="5">
        <f>INDEX(ref_Unit_Balance!$R$31:$R$106,MATCH(UnitGradeInfo!B627,ref_Unit_Balance!$B$31:$B$1048576,0))
+
INDEX(ref_Unit_Balance!$AA$31:$AA$106,MATCH(UnitGradeInfo!B627,ref_Unit_Balance!$B$31:$B$1048576,0))*(D627-1)</f>
        <v>297</v>
      </c>
      <c r="H627" s="39">
        <f>IF(INDEX(Unitinfo!D:D,MATCH(UnitGradeInfo!B627,Unitinfo!A:A,0))=1,50,5)</f>
        <v>5</v>
      </c>
      <c r="I627" s="5">
        <f>IF(INDEX(ref_Unit_Balance!$T$31:$T$106,MATCH(UnitGradeInfo!B627,ref_Unit_Balance!$B$31:$B$1048576,0))=0,1,INDEX(ref_Unit_Balance!$T$31:$T$106,MATCH(UnitGradeInfo!B627,ref_Unit_Balance!$B$31:$B$1048576,0)))</f>
        <v>5</v>
      </c>
      <c r="J627" s="5">
        <f>INDEX(ref_Unit_Balance!$S$31:$S$106,MATCH(UnitGradeInfo!B627,ref_Unit_Balance!$B$31:$B$1048576,0))</f>
        <v>900</v>
      </c>
      <c r="K627" s="5">
        <v>0</v>
      </c>
      <c r="L627" s="5">
        <f>INDEX(ref_Unit_Balance!$I$31:$I$106,MATCH(UnitGradeInfo!B627,ref_Unit_Balance!$B$31:$B$1048576,0))</f>
        <v>5</v>
      </c>
      <c r="M627" s="5">
        <f t="shared" si="64"/>
        <v>38</v>
      </c>
      <c r="N627" s="5">
        <f t="shared" si="65"/>
        <v>380</v>
      </c>
      <c r="O627" s="5">
        <f>(INDEX(Unitinfo!I:I,MATCH(B627,Unitinfo!A:A,0))+1)*2</f>
        <v>4</v>
      </c>
      <c r="P627" s="5">
        <v>0</v>
      </c>
      <c r="Q627" s="5">
        <v>0</v>
      </c>
      <c r="R627" s="19" t="s">
        <v>421</v>
      </c>
      <c r="S627" s="19" t="s">
        <v>421</v>
      </c>
      <c r="T627" s="5">
        <f t="shared" si="67"/>
        <v>2029</v>
      </c>
      <c r="U627" s="5">
        <f t="shared" si="68"/>
        <v>1</v>
      </c>
      <c r="V627" s="5">
        <v>0</v>
      </c>
      <c r="W627" s="5">
        <v>10</v>
      </c>
    </row>
    <row r="628" spans="1:23">
      <c r="A628" s="5">
        <f t="shared" si="66"/>
        <v>625</v>
      </c>
      <c r="B628" s="93">
        <f t="shared" si="69"/>
        <v>2029</v>
      </c>
      <c r="C628" s="20" t="str">
        <f>INDEX(Unitinfo!C:C,MATCH(UnitGradeInfo!B628,Unitinfo!A:A,0))</f>
        <v>(근거리)Armor_Skeleton_Sword</v>
      </c>
      <c r="D628" s="5">
        <f>COUNTIF($B$4:B628,B628)</f>
        <v>20</v>
      </c>
      <c r="E628" s="5">
        <f>ROUNDDOWN(INDEX(ref_Unit_Balance!$G$31:$G$106,MATCH(UnitGradeInfo!B628,ref_Unit_Balance!$B$31:$B$1048576,0))
+INDEX(ref_Unit_Balance!$G$20:$G$23,MATCH(IFERROR(INDEX(ref_Unit_Balance!$D$31:$D$1048576,MATCH(B628,ref_Unit_Balance!$B$31:$B$1048576,0)),0),ref_Unit_Balance!$B$20:$B$23,0))*D628*ref_Unit_Balance!$C$25,0)</f>
        <v>1425</v>
      </c>
      <c r="F628" s="5">
        <f>INDEX(ref_Unit_Balance!$V$31:$V$106,MATCH(UnitGradeInfo!B628,ref_Unit_Balance!$B$31:$B$1048576,0))
+
INDEX(ref_Unit_Balance!$AB$31:$AB$106,MATCH(UnitGradeInfo!B628,ref_Unit_Balance!$B$31:$B$1048576,0))*(D628-1)</f>
        <v>5200</v>
      </c>
      <c r="G628" s="5">
        <f>INDEX(ref_Unit_Balance!$R$31:$R$106,MATCH(UnitGradeInfo!B628,ref_Unit_Balance!$B$31:$B$1048576,0))
+
INDEX(ref_Unit_Balance!$AA$31:$AA$106,MATCH(UnitGradeInfo!B628,ref_Unit_Balance!$B$31:$B$1048576,0))*(D628-1)</f>
        <v>303</v>
      </c>
      <c r="H628" s="39">
        <f>IF(INDEX(Unitinfo!D:D,MATCH(UnitGradeInfo!B628,Unitinfo!A:A,0))=1,50,5)</f>
        <v>5</v>
      </c>
      <c r="I628" s="5">
        <f>IF(INDEX(ref_Unit_Balance!$T$31:$T$106,MATCH(UnitGradeInfo!B628,ref_Unit_Balance!$B$31:$B$1048576,0))=0,1,INDEX(ref_Unit_Balance!$T$31:$T$106,MATCH(UnitGradeInfo!B628,ref_Unit_Balance!$B$31:$B$1048576,0)))</f>
        <v>5</v>
      </c>
      <c r="J628" s="5">
        <f>INDEX(ref_Unit_Balance!$S$31:$S$106,MATCH(UnitGradeInfo!B628,ref_Unit_Balance!$B$31:$B$1048576,0))</f>
        <v>900</v>
      </c>
      <c r="K628" s="5">
        <v>0</v>
      </c>
      <c r="L628" s="5">
        <f>INDEX(ref_Unit_Balance!$I$31:$I$106,MATCH(UnitGradeInfo!B628,ref_Unit_Balance!$B$31:$B$1048576,0))</f>
        <v>5</v>
      </c>
      <c r="M628" s="5">
        <f t="shared" si="64"/>
        <v>40</v>
      </c>
      <c r="N628" s="5">
        <f t="shared" si="65"/>
        <v>400</v>
      </c>
      <c r="O628" s="5">
        <f>(INDEX(Unitinfo!I:I,MATCH(B628,Unitinfo!A:A,0))+1)*2</f>
        <v>4</v>
      </c>
      <c r="P628" s="5">
        <v>0</v>
      </c>
      <c r="Q628" s="5">
        <v>0</v>
      </c>
      <c r="R628" s="19" t="s">
        <v>421</v>
      </c>
      <c r="S628" s="19" t="s">
        <v>421</v>
      </c>
      <c r="T628" s="5">
        <f t="shared" si="67"/>
        <v>2029</v>
      </c>
      <c r="U628" s="5">
        <f t="shared" si="68"/>
        <v>1</v>
      </c>
      <c r="V628" s="5">
        <v>0</v>
      </c>
      <c r="W628" s="5">
        <v>10</v>
      </c>
    </row>
    <row r="629" spans="1:23">
      <c r="A629" s="5">
        <f t="shared" si="66"/>
        <v>626</v>
      </c>
      <c r="B629" s="93">
        <f t="shared" si="69"/>
        <v>2030</v>
      </c>
      <c r="C629" s="20" t="str">
        <f>INDEX(Unitinfo!C:C,MATCH(UnitGradeInfo!B629,Unitinfo!A:A,0))</f>
        <v>(원거리)Armor_Skeleton_Archer</v>
      </c>
      <c r="D629" s="5">
        <f>COUNTIF($B$4:B629,B629)</f>
        <v>1</v>
      </c>
      <c r="E629" s="5">
        <f>ROUNDDOWN(INDEX(ref_Unit_Balance!$G$31:$G$106,MATCH(UnitGradeInfo!B629,ref_Unit_Balance!$B$31:$B$1048576,0))
+INDEX(ref_Unit_Balance!$G$20:$G$23,MATCH(IFERROR(INDEX(ref_Unit_Balance!$D$31:$D$1048576,MATCH(B629,ref_Unit_Balance!$B$31:$B$1048576,0)),0),ref_Unit_Balance!$B$20:$B$23,0))*D629*ref_Unit_Balance!$C$25,0)</f>
        <v>238</v>
      </c>
      <c r="F629" s="5">
        <f>INDEX(ref_Unit_Balance!$V$31:$V$106,MATCH(UnitGradeInfo!B629,ref_Unit_Balance!$B$31:$B$1048576,0))
+
INDEX(ref_Unit_Balance!$AB$31:$AB$106,MATCH(UnitGradeInfo!B629,ref_Unit_Balance!$B$31:$B$1048576,0))*(D629-1)</f>
        <v>1050</v>
      </c>
      <c r="G629" s="5">
        <f>INDEX(ref_Unit_Balance!$R$31:$R$106,MATCH(UnitGradeInfo!B629,ref_Unit_Balance!$B$31:$B$1048576,0))
+
INDEX(ref_Unit_Balance!$AA$31:$AA$106,MATCH(UnitGradeInfo!B629,ref_Unit_Balance!$B$31:$B$1048576,0))*(D629-1)</f>
        <v>144</v>
      </c>
      <c r="H629" s="39">
        <f>IF(INDEX(Unitinfo!D:D,MATCH(UnitGradeInfo!B629,Unitinfo!A:A,0))=1,50,5)</f>
        <v>50</v>
      </c>
      <c r="I629" s="5">
        <f>IF(INDEX(ref_Unit_Balance!$T$31:$T$106,MATCH(UnitGradeInfo!B629,ref_Unit_Balance!$B$31:$B$1048576,0))=0,1,INDEX(ref_Unit_Balance!$T$31:$T$106,MATCH(UnitGradeInfo!B629,ref_Unit_Balance!$B$31:$B$1048576,0)))</f>
        <v>5</v>
      </c>
      <c r="J629" s="5">
        <f>INDEX(ref_Unit_Balance!$S$31:$S$106,MATCH(UnitGradeInfo!B629,ref_Unit_Balance!$B$31:$B$1048576,0))</f>
        <v>800</v>
      </c>
      <c r="K629" s="5">
        <v>0</v>
      </c>
      <c r="L629" s="5">
        <f>INDEX(ref_Unit_Balance!$I$31:$I$106,MATCH(UnitGradeInfo!B629,ref_Unit_Balance!$B$31:$B$1048576,0))</f>
        <v>4</v>
      </c>
      <c r="M629" s="5">
        <f t="shared" si="64"/>
        <v>2</v>
      </c>
      <c r="N629" s="5">
        <f t="shared" si="65"/>
        <v>20</v>
      </c>
      <c r="O629" s="5">
        <f>(INDEX(Unitinfo!I:I,MATCH(B629,Unitinfo!A:A,0))+1)*2</f>
        <v>4</v>
      </c>
      <c r="P629" s="5">
        <v>0</v>
      </c>
      <c r="Q629" s="5">
        <v>0</v>
      </c>
      <c r="R629" s="19" t="s">
        <v>421</v>
      </c>
      <c r="S629" s="19" t="s">
        <v>421</v>
      </c>
      <c r="T629" s="5">
        <f t="shared" si="67"/>
        <v>2030</v>
      </c>
      <c r="U629" s="5">
        <f t="shared" si="68"/>
        <v>1</v>
      </c>
      <c r="V629" s="5">
        <v>0</v>
      </c>
      <c r="W629" s="5">
        <v>10</v>
      </c>
    </row>
    <row r="630" spans="1:23">
      <c r="A630" s="5">
        <f t="shared" si="66"/>
        <v>627</v>
      </c>
      <c r="B630" s="93">
        <f t="shared" si="69"/>
        <v>2030</v>
      </c>
      <c r="C630" s="20" t="str">
        <f>INDEX(Unitinfo!C:C,MATCH(UnitGradeInfo!B630,Unitinfo!A:A,0))</f>
        <v>(원거리)Armor_Skeleton_Archer</v>
      </c>
      <c r="D630" s="5">
        <f>COUNTIF($B$4:B630,B630)</f>
        <v>2</v>
      </c>
      <c r="E630" s="5">
        <f>ROUNDDOWN(INDEX(ref_Unit_Balance!$G$31:$G$106,MATCH(UnitGradeInfo!B630,ref_Unit_Balance!$B$31:$B$1048576,0))
+INDEX(ref_Unit_Balance!$G$20:$G$23,MATCH(IFERROR(INDEX(ref_Unit_Balance!$D$31:$D$1048576,MATCH(B630,ref_Unit_Balance!$B$31:$B$1048576,0)),0),ref_Unit_Balance!$B$20:$B$23,0))*D630*ref_Unit_Balance!$C$25,0)</f>
        <v>301</v>
      </c>
      <c r="F630" s="5">
        <f>INDEX(ref_Unit_Balance!$V$31:$V$106,MATCH(UnitGradeInfo!B630,ref_Unit_Balance!$B$31:$B$1048576,0))
+
INDEX(ref_Unit_Balance!$AB$31:$AB$106,MATCH(UnitGradeInfo!B630,ref_Unit_Balance!$B$31:$B$1048576,0))*(D630-1)</f>
        <v>1200</v>
      </c>
      <c r="G630" s="5">
        <f>INDEX(ref_Unit_Balance!$R$31:$R$106,MATCH(UnitGradeInfo!B630,ref_Unit_Balance!$B$31:$B$1048576,0))
+
INDEX(ref_Unit_Balance!$AA$31:$AA$106,MATCH(UnitGradeInfo!B630,ref_Unit_Balance!$B$31:$B$1048576,0))*(D630-1)</f>
        <v>150</v>
      </c>
      <c r="H630" s="39">
        <f>IF(INDEX(Unitinfo!D:D,MATCH(UnitGradeInfo!B630,Unitinfo!A:A,0))=1,50,5)</f>
        <v>50</v>
      </c>
      <c r="I630" s="5">
        <f>IF(INDEX(ref_Unit_Balance!$T$31:$T$106,MATCH(UnitGradeInfo!B630,ref_Unit_Balance!$B$31:$B$1048576,0))=0,1,INDEX(ref_Unit_Balance!$T$31:$T$106,MATCH(UnitGradeInfo!B630,ref_Unit_Balance!$B$31:$B$1048576,0)))</f>
        <v>5</v>
      </c>
      <c r="J630" s="5">
        <f>INDEX(ref_Unit_Balance!$S$31:$S$106,MATCH(UnitGradeInfo!B630,ref_Unit_Balance!$B$31:$B$1048576,0))</f>
        <v>800</v>
      </c>
      <c r="K630" s="5">
        <v>0</v>
      </c>
      <c r="L630" s="5">
        <f>INDEX(ref_Unit_Balance!$I$31:$I$106,MATCH(UnitGradeInfo!B630,ref_Unit_Balance!$B$31:$B$1048576,0))</f>
        <v>4</v>
      </c>
      <c r="M630" s="5">
        <f t="shared" si="64"/>
        <v>4</v>
      </c>
      <c r="N630" s="5">
        <f t="shared" si="65"/>
        <v>40</v>
      </c>
      <c r="O630" s="5">
        <f>(INDEX(Unitinfo!I:I,MATCH(B630,Unitinfo!A:A,0))+1)*2</f>
        <v>4</v>
      </c>
      <c r="P630" s="5">
        <v>0</v>
      </c>
      <c r="Q630" s="5">
        <v>0</v>
      </c>
      <c r="R630" s="19" t="s">
        <v>421</v>
      </c>
      <c r="S630" s="19" t="s">
        <v>421</v>
      </c>
      <c r="T630" s="5">
        <f t="shared" si="67"/>
        <v>2030</v>
      </c>
      <c r="U630" s="5">
        <f t="shared" si="68"/>
        <v>1</v>
      </c>
      <c r="V630" s="5">
        <v>0</v>
      </c>
      <c r="W630" s="5">
        <v>10</v>
      </c>
    </row>
    <row r="631" spans="1:23">
      <c r="A631" s="5">
        <f t="shared" si="66"/>
        <v>628</v>
      </c>
      <c r="B631" s="93">
        <f t="shared" si="69"/>
        <v>2030</v>
      </c>
      <c r="C631" s="20" t="str">
        <f>INDEX(Unitinfo!C:C,MATCH(UnitGradeInfo!B631,Unitinfo!A:A,0))</f>
        <v>(원거리)Armor_Skeleton_Archer</v>
      </c>
      <c r="D631" s="5">
        <f>COUNTIF($B$4:B631,B631)</f>
        <v>3</v>
      </c>
      <c r="E631" s="5">
        <f>ROUNDDOWN(INDEX(ref_Unit_Balance!$G$31:$G$106,MATCH(UnitGradeInfo!B631,ref_Unit_Balance!$B$31:$B$1048576,0))
+INDEX(ref_Unit_Balance!$G$20:$G$23,MATCH(IFERROR(INDEX(ref_Unit_Balance!$D$31:$D$1048576,MATCH(B631,ref_Unit_Balance!$B$31:$B$1048576,0)),0),ref_Unit_Balance!$B$20:$B$23,0))*D631*ref_Unit_Balance!$C$25,0)</f>
        <v>363</v>
      </c>
      <c r="F631" s="5">
        <f>INDEX(ref_Unit_Balance!$V$31:$V$106,MATCH(UnitGradeInfo!B631,ref_Unit_Balance!$B$31:$B$1048576,0))
+
INDEX(ref_Unit_Balance!$AB$31:$AB$106,MATCH(UnitGradeInfo!B631,ref_Unit_Balance!$B$31:$B$1048576,0))*(D631-1)</f>
        <v>1350</v>
      </c>
      <c r="G631" s="5">
        <f>INDEX(ref_Unit_Balance!$R$31:$R$106,MATCH(UnitGradeInfo!B631,ref_Unit_Balance!$B$31:$B$1048576,0))
+
INDEX(ref_Unit_Balance!$AA$31:$AA$106,MATCH(UnitGradeInfo!B631,ref_Unit_Balance!$B$31:$B$1048576,0))*(D631-1)</f>
        <v>156</v>
      </c>
      <c r="H631" s="39">
        <f>IF(INDEX(Unitinfo!D:D,MATCH(UnitGradeInfo!B631,Unitinfo!A:A,0))=1,50,5)</f>
        <v>50</v>
      </c>
      <c r="I631" s="5">
        <f>IF(INDEX(ref_Unit_Balance!$T$31:$T$106,MATCH(UnitGradeInfo!B631,ref_Unit_Balance!$B$31:$B$1048576,0))=0,1,INDEX(ref_Unit_Balance!$T$31:$T$106,MATCH(UnitGradeInfo!B631,ref_Unit_Balance!$B$31:$B$1048576,0)))</f>
        <v>5</v>
      </c>
      <c r="J631" s="5">
        <f>INDEX(ref_Unit_Balance!$S$31:$S$106,MATCH(UnitGradeInfo!B631,ref_Unit_Balance!$B$31:$B$1048576,0))</f>
        <v>800</v>
      </c>
      <c r="K631" s="5">
        <v>0</v>
      </c>
      <c r="L631" s="5">
        <f>INDEX(ref_Unit_Balance!$I$31:$I$106,MATCH(UnitGradeInfo!B631,ref_Unit_Balance!$B$31:$B$1048576,0))</f>
        <v>4</v>
      </c>
      <c r="M631" s="5">
        <f t="shared" si="64"/>
        <v>6</v>
      </c>
      <c r="N631" s="5">
        <f t="shared" si="65"/>
        <v>60</v>
      </c>
      <c r="O631" s="5">
        <f>(INDEX(Unitinfo!I:I,MATCH(B631,Unitinfo!A:A,0))+1)*2</f>
        <v>4</v>
      </c>
      <c r="P631" s="5">
        <v>0</v>
      </c>
      <c r="Q631" s="5">
        <v>0</v>
      </c>
      <c r="R631" s="19" t="s">
        <v>421</v>
      </c>
      <c r="S631" s="19" t="s">
        <v>421</v>
      </c>
      <c r="T631" s="5">
        <f t="shared" si="67"/>
        <v>2030</v>
      </c>
      <c r="U631" s="5">
        <f t="shared" si="68"/>
        <v>1</v>
      </c>
      <c r="V631" s="5">
        <v>0</v>
      </c>
      <c r="W631" s="5">
        <v>10</v>
      </c>
    </row>
    <row r="632" spans="1:23">
      <c r="A632" s="5">
        <f t="shared" si="66"/>
        <v>629</v>
      </c>
      <c r="B632" s="93">
        <f t="shared" si="69"/>
        <v>2030</v>
      </c>
      <c r="C632" s="20" t="str">
        <f>INDEX(Unitinfo!C:C,MATCH(UnitGradeInfo!B632,Unitinfo!A:A,0))</f>
        <v>(원거리)Armor_Skeleton_Archer</v>
      </c>
      <c r="D632" s="5">
        <f>COUNTIF($B$4:B632,B632)</f>
        <v>4</v>
      </c>
      <c r="E632" s="5">
        <f>ROUNDDOWN(INDEX(ref_Unit_Balance!$G$31:$G$106,MATCH(UnitGradeInfo!B632,ref_Unit_Balance!$B$31:$B$1048576,0))
+INDEX(ref_Unit_Balance!$G$20:$G$23,MATCH(IFERROR(INDEX(ref_Unit_Balance!$D$31:$D$1048576,MATCH(B632,ref_Unit_Balance!$B$31:$B$1048576,0)),0),ref_Unit_Balance!$B$20:$B$23,0))*D632*ref_Unit_Balance!$C$25,0)</f>
        <v>426</v>
      </c>
      <c r="F632" s="5">
        <f>INDEX(ref_Unit_Balance!$V$31:$V$106,MATCH(UnitGradeInfo!B632,ref_Unit_Balance!$B$31:$B$1048576,0))
+
INDEX(ref_Unit_Balance!$AB$31:$AB$106,MATCH(UnitGradeInfo!B632,ref_Unit_Balance!$B$31:$B$1048576,0))*(D632-1)</f>
        <v>1500</v>
      </c>
      <c r="G632" s="5">
        <f>INDEX(ref_Unit_Balance!$R$31:$R$106,MATCH(UnitGradeInfo!B632,ref_Unit_Balance!$B$31:$B$1048576,0))
+
INDEX(ref_Unit_Balance!$AA$31:$AA$106,MATCH(UnitGradeInfo!B632,ref_Unit_Balance!$B$31:$B$1048576,0))*(D632-1)</f>
        <v>162</v>
      </c>
      <c r="H632" s="39">
        <f>IF(INDEX(Unitinfo!D:D,MATCH(UnitGradeInfo!B632,Unitinfo!A:A,0))=1,50,5)</f>
        <v>50</v>
      </c>
      <c r="I632" s="5">
        <f>IF(INDEX(ref_Unit_Balance!$T$31:$T$106,MATCH(UnitGradeInfo!B632,ref_Unit_Balance!$B$31:$B$1048576,0))=0,1,INDEX(ref_Unit_Balance!$T$31:$T$106,MATCH(UnitGradeInfo!B632,ref_Unit_Balance!$B$31:$B$1048576,0)))</f>
        <v>5</v>
      </c>
      <c r="J632" s="5">
        <f>INDEX(ref_Unit_Balance!$S$31:$S$106,MATCH(UnitGradeInfo!B632,ref_Unit_Balance!$B$31:$B$1048576,0))</f>
        <v>800</v>
      </c>
      <c r="K632" s="5">
        <v>0</v>
      </c>
      <c r="L632" s="5">
        <f>INDEX(ref_Unit_Balance!$I$31:$I$106,MATCH(UnitGradeInfo!B632,ref_Unit_Balance!$B$31:$B$1048576,0))</f>
        <v>4</v>
      </c>
      <c r="M632" s="5">
        <f t="shared" si="64"/>
        <v>8</v>
      </c>
      <c r="N632" s="5">
        <f t="shared" si="65"/>
        <v>80</v>
      </c>
      <c r="O632" s="5">
        <f>(INDEX(Unitinfo!I:I,MATCH(B632,Unitinfo!A:A,0))+1)*2</f>
        <v>4</v>
      </c>
      <c r="P632" s="5">
        <v>0</v>
      </c>
      <c r="Q632" s="5">
        <v>0</v>
      </c>
      <c r="R632" s="19" t="s">
        <v>421</v>
      </c>
      <c r="S632" s="19" t="s">
        <v>421</v>
      </c>
      <c r="T632" s="5">
        <f t="shared" si="67"/>
        <v>2030</v>
      </c>
      <c r="U632" s="5">
        <f t="shared" si="68"/>
        <v>1</v>
      </c>
      <c r="V632" s="5">
        <v>0</v>
      </c>
      <c r="W632" s="5">
        <v>10</v>
      </c>
    </row>
    <row r="633" spans="1:23">
      <c r="A633" s="5">
        <f t="shared" si="66"/>
        <v>630</v>
      </c>
      <c r="B633" s="93">
        <f t="shared" si="69"/>
        <v>2030</v>
      </c>
      <c r="C633" s="20" t="str">
        <f>INDEX(Unitinfo!C:C,MATCH(UnitGradeInfo!B633,Unitinfo!A:A,0))</f>
        <v>(원거리)Armor_Skeleton_Archer</v>
      </c>
      <c r="D633" s="5">
        <f>COUNTIF($B$4:B633,B633)</f>
        <v>5</v>
      </c>
      <c r="E633" s="5">
        <f>ROUNDDOWN(INDEX(ref_Unit_Balance!$G$31:$G$106,MATCH(UnitGradeInfo!B633,ref_Unit_Balance!$B$31:$B$1048576,0))
+INDEX(ref_Unit_Balance!$G$20:$G$23,MATCH(IFERROR(INDEX(ref_Unit_Balance!$D$31:$D$1048576,MATCH(B633,ref_Unit_Balance!$B$31:$B$1048576,0)),0),ref_Unit_Balance!$B$20:$B$23,0))*D633*ref_Unit_Balance!$C$25,0)</f>
        <v>488</v>
      </c>
      <c r="F633" s="5">
        <f>INDEX(ref_Unit_Balance!$V$31:$V$106,MATCH(UnitGradeInfo!B633,ref_Unit_Balance!$B$31:$B$1048576,0))
+
INDEX(ref_Unit_Balance!$AB$31:$AB$106,MATCH(UnitGradeInfo!B633,ref_Unit_Balance!$B$31:$B$1048576,0))*(D633-1)</f>
        <v>1650</v>
      </c>
      <c r="G633" s="5">
        <f>INDEX(ref_Unit_Balance!$R$31:$R$106,MATCH(UnitGradeInfo!B633,ref_Unit_Balance!$B$31:$B$1048576,0))
+
INDEX(ref_Unit_Balance!$AA$31:$AA$106,MATCH(UnitGradeInfo!B633,ref_Unit_Balance!$B$31:$B$1048576,0))*(D633-1)</f>
        <v>168</v>
      </c>
      <c r="H633" s="39">
        <f>IF(INDEX(Unitinfo!D:D,MATCH(UnitGradeInfo!B633,Unitinfo!A:A,0))=1,50,5)</f>
        <v>50</v>
      </c>
      <c r="I633" s="5">
        <f>IF(INDEX(ref_Unit_Balance!$T$31:$T$106,MATCH(UnitGradeInfo!B633,ref_Unit_Balance!$B$31:$B$1048576,0))=0,1,INDEX(ref_Unit_Balance!$T$31:$T$106,MATCH(UnitGradeInfo!B633,ref_Unit_Balance!$B$31:$B$1048576,0)))</f>
        <v>5</v>
      </c>
      <c r="J633" s="5">
        <f>INDEX(ref_Unit_Balance!$S$31:$S$106,MATCH(UnitGradeInfo!B633,ref_Unit_Balance!$B$31:$B$1048576,0))</f>
        <v>800</v>
      </c>
      <c r="K633" s="5">
        <v>0</v>
      </c>
      <c r="L633" s="5">
        <f>INDEX(ref_Unit_Balance!$I$31:$I$106,MATCH(UnitGradeInfo!B633,ref_Unit_Balance!$B$31:$B$1048576,0))</f>
        <v>4</v>
      </c>
      <c r="M633" s="5">
        <f t="shared" si="64"/>
        <v>10</v>
      </c>
      <c r="N633" s="5">
        <f t="shared" si="65"/>
        <v>100</v>
      </c>
      <c r="O633" s="5">
        <f>(INDEX(Unitinfo!I:I,MATCH(B633,Unitinfo!A:A,0))+1)*2</f>
        <v>4</v>
      </c>
      <c r="P633" s="5">
        <v>0</v>
      </c>
      <c r="Q633" s="5">
        <v>0</v>
      </c>
      <c r="R633" s="19" t="s">
        <v>421</v>
      </c>
      <c r="S633" s="19" t="s">
        <v>421</v>
      </c>
      <c r="T633" s="5">
        <f t="shared" si="67"/>
        <v>2030</v>
      </c>
      <c r="U633" s="5">
        <f t="shared" si="68"/>
        <v>1</v>
      </c>
      <c r="V633" s="5">
        <v>0</v>
      </c>
      <c r="W633" s="5">
        <v>10</v>
      </c>
    </row>
    <row r="634" spans="1:23">
      <c r="A634" s="5">
        <f t="shared" si="66"/>
        <v>631</v>
      </c>
      <c r="B634" s="93">
        <f t="shared" si="69"/>
        <v>2030</v>
      </c>
      <c r="C634" s="20" t="str">
        <f>INDEX(Unitinfo!C:C,MATCH(UnitGradeInfo!B634,Unitinfo!A:A,0))</f>
        <v>(원거리)Armor_Skeleton_Archer</v>
      </c>
      <c r="D634" s="5">
        <f>COUNTIF($B$4:B634,B634)</f>
        <v>6</v>
      </c>
      <c r="E634" s="5">
        <f>ROUNDDOWN(INDEX(ref_Unit_Balance!$G$31:$G$106,MATCH(UnitGradeInfo!B634,ref_Unit_Balance!$B$31:$B$1048576,0))
+INDEX(ref_Unit_Balance!$G$20:$G$23,MATCH(IFERROR(INDEX(ref_Unit_Balance!$D$31:$D$1048576,MATCH(B634,ref_Unit_Balance!$B$31:$B$1048576,0)),0),ref_Unit_Balance!$B$20:$B$23,0))*D634*ref_Unit_Balance!$C$25,0)</f>
        <v>551</v>
      </c>
      <c r="F634" s="5">
        <f>INDEX(ref_Unit_Balance!$V$31:$V$106,MATCH(UnitGradeInfo!B634,ref_Unit_Balance!$B$31:$B$1048576,0))
+
INDEX(ref_Unit_Balance!$AB$31:$AB$106,MATCH(UnitGradeInfo!B634,ref_Unit_Balance!$B$31:$B$1048576,0))*(D634-1)</f>
        <v>1800</v>
      </c>
      <c r="G634" s="5">
        <f>INDEX(ref_Unit_Balance!$R$31:$R$106,MATCH(UnitGradeInfo!B634,ref_Unit_Balance!$B$31:$B$1048576,0))
+
INDEX(ref_Unit_Balance!$AA$31:$AA$106,MATCH(UnitGradeInfo!B634,ref_Unit_Balance!$B$31:$B$1048576,0))*(D634-1)</f>
        <v>174</v>
      </c>
      <c r="H634" s="39">
        <f>IF(INDEX(Unitinfo!D:D,MATCH(UnitGradeInfo!B634,Unitinfo!A:A,0))=1,50,5)</f>
        <v>50</v>
      </c>
      <c r="I634" s="5">
        <f>IF(INDEX(ref_Unit_Balance!$T$31:$T$106,MATCH(UnitGradeInfo!B634,ref_Unit_Balance!$B$31:$B$1048576,0))=0,1,INDEX(ref_Unit_Balance!$T$31:$T$106,MATCH(UnitGradeInfo!B634,ref_Unit_Balance!$B$31:$B$1048576,0)))</f>
        <v>5</v>
      </c>
      <c r="J634" s="5">
        <f>INDEX(ref_Unit_Balance!$S$31:$S$106,MATCH(UnitGradeInfo!B634,ref_Unit_Balance!$B$31:$B$1048576,0))</f>
        <v>800</v>
      </c>
      <c r="K634" s="5">
        <v>0</v>
      </c>
      <c r="L634" s="5">
        <f>INDEX(ref_Unit_Balance!$I$31:$I$106,MATCH(UnitGradeInfo!B634,ref_Unit_Balance!$B$31:$B$1048576,0))</f>
        <v>4</v>
      </c>
      <c r="M634" s="5">
        <f t="shared" si="64"/>
        <v>12</v>
      </c>
      <c r="N634" s="5">
        <f t="shared" si="65"/>
        <v>120</v>
      </c>
      <c r="O634" s="5">
        <f>(INDEX(Unitinfo!I:I,MATCH(B634,Unitinfo!A:A,0))+1)*2</f>
        <v>4</v>
      </c>
      <c r="P634" s="5">
        <v>0</v>
      </c>
      <c r="Q634" s="5">
        <v>0</v>
      </c>
      <c r="R634" s="19" t="s">
        <v>421</v>
      </c>
      <c r="S634" s="19" t="s">
        <v>421</v>
      </c>
      <c r="T634" s="5">
        <f t="shared" si="67"/>
        <v>2030</v>
      </c>
      <c r="U634" s="5">
        <f t="shared" si="68"/>
        <v>1</v>
      </c>
      <c r="V634" s="5">
        <v>0</v>
      </c>
      <c r="W634" s="5">
        <v>10</v>
      </c>
    </row>
    <row r="635" spans="1:23">
      <c r="A635" s="5">
        <f t="shared" si="66"/>
        <v>632</v>
      </c>
      <c r="B635" s="93">
        <f t="shared" si="69"/>
        <v>2030</v>
      </c>
      <c r="C635" s="20" t="str">
        <f>INDEX(Unitinfo!C:C,MATCH(UnitGradeInfo!B635,Unitinfo!A:A,0))</f>
        <v>(원거리)Armor_Skeleton_Archer</v>
      </c>
      <c r="D635" s="5">
        <f>COUNTIF($B$4:B635,B635)</f>
        <v>7</v>
      </c>
      <c r="E635" s="5">
        <f>ROUNDDOWN(INDEX(ref_Unit_Balance!$G$31:$G$106,MATCH(UnitGradeInfo!B635,ref_Unit_Balance!$B$31:$B$1048576,0))
+INDEX(ref_Unit_Balance!$G$20:$G$23,MATCH(IFERROR(INDEX(ref_Unit_Balance!$D$31:$D$1048576,MATCH(B635,ref_Unit_Balance!$B$31:$B$1048576,0)),0),ref_Unit_Balance!$B$20:$B$23,0))*D635*ref_Unit_Balance!$C$25,0)</f>
        <v>613</v>
      </c>
      <c r="F635" s="5">
        <f>INDEX(ref_Unit_Balance!$V$31:$V$106,MATCH(UnitGradeInfo!B635,ref_Unit_Balance!$B$31:$B$1048576,0))
+
INDEX(ref_Unit_Balance!$AB$31:$AB$106,MATCH(UnitGradeInfo!B635,ref_Unit_Balance!$B$31:$B$1048576,0))*(D635-1)</f>
        <v>1950</v>
      </c>
      <c r="G635" s="5">
        <f>INDEX(ref_Unit_Balance!$R$31:$R$106,MATCH(UnitGradeInfo!B635,ref_Unit_Balance!$B$31:$B$1048576,0))
+
INDEX(ref_Unit_Balance!$AA$31:$AA$106,MATCH(UnitGradeInfo!B635,ref_Unit_Balance!$B$31:$B$1048576,0))*(D635-1)</f>
        <v>180</v>
      </c>
      <c r="H635" s="39">
        <f>IF(INDEX(Unitinfo!D:D,MATCH(UnitGradeInfo!B635,Unitinfo!A:A,0))=1,50,5)</f>
        <v>50</v>
      </c>
      <c r="I635" s="5">
        <f>IF(INDEX(ref_Unit_Balance!$T$31:$T$106,MATCH(UnitGradeInfo!B635,ref_Unit_Balance!$B$31:$B$1048576,0))=0,1,INDEX(ref_Unit_Balance!$T$31:$T$106,MATCH(UnitGradeInfo!B635,ref_Unit_Balance!$B$31:$B$1048576,0)))</f>
        <v>5</v>
      </c>
      <c r="J635" s="5">
        <f>INDEX(ref_Unit_Balance!$S$31:$S$106,MATCH(UnitGradeInfo!B635,ref_Unit_Balance!$B$31:$B$1048576,0))</f>
        <v>800</v>
      </c>
      <c r="K635" s="5">
        <v>0</v>
      </c>
      <c r="L635" s="5">
        <f>INDEX(ref_Unit_Balance!$I$31:$I$106,MATCH(UnitGradeInfo!B635,ref_Unit_Balance!$B$31:$B$1048576,0))</f>
        <v>4</v>
      </c>
      <c r="M635" s="5">
        <f t="shared" si="64"/>
        <v>14</v>
      </c>
      <c r="N635" s="5">
        <f t="shared" si="65"/>
        <v>140</v>
      </c>
      <c r="O635" s="5">
        <f>(INDEX(Unitinfo!I:I,MATCH(B635,Unitinfo!A:A,0))+1)*2</f>
        <v>4</v>
      </c>
      <c r="P635" s="5">
        <v>0</v>
      </c>
      <c r="Q635" s="5">
        <v>0</v>
      </c>
      <c r="R635" s="19" t="s">
        <v>421</v>
      </c>
      <c r="S635" s="19" t="s">
        <v>421</v>
      </c>
      <c r="T635" s="5">
        <f t="shared" si="67"/>
        <v>2030</v>
      </c>
      <c r="U635" s="5">
        <f t="shared" si="68"/>
        <v>1</v>
      </c>
      <c r="V635" s="5">
        <v>0</v>
      </c>
      <c r="W635" s="5">
        <v>10</v>
      </c>
    </row>
    <row r="636" spans="1:23">
      <c r="A636" s="5">
        <f t="shared" si="66"/>
        <v>633</v>
      </c>
      <c r="B636" s="93">
        <f t="shared" si="69"/>
        <v>2030</v>
      </c>
      <c r="C636" s="20" t="str">
        <f>INDEX(Unitinfo!C:C,MATCH(UnitGradeInfo!B636,Unitinfo!A:A,0))</f>
        <v>(원거리)Armor_Skeleton_Archer</v>
      </c>
      <c r="D636" s="5">
        <f>COUNTIF($B$4:B636,B636)</f>
        <v>8</v>
      </c>
      <c r="E636" s="5">
        <f>ROUNDDOWN(INDEX(ref_Unit_Balance!$G$31:$G$106,MATCH(UnitGradeInfo!B636,ref_Unit_Balance!$B$31:$B$1048576,0))
+INDEX(ref_Unit_Balance!$G$20:$G$23,MATCH(IFERROR(INDEX(ref_Unit_Balance!$D$31:$D$1048576,MATCH(B636,ref_Unit_Balance!$B$31:$B$1048576,0)),0),ref_Unit_Balance!$B$20:$B$23,0))*D636*ref_Unit_Balance!$C$25,0)</f>
        <v>676</v>
      </c>
      <c r="F636" s="5">
        <f>INDEX(ref_Unit_Balance!$V$31:$V$106,MATCH(UnitGradeInfo!B636,ref_Unit_Balance!$B$31:$B$1048576,0))
+
INDEX(ref_Unit_Balance!$AB$31:$AB$106,MATCH(UnitGradeInfo!B636,ref_Unit_Balance!$B$31:$B$1048576,0))*(D636-1)</f>
        <v>2100</v>
      </c>
      <c r="G636" s="5">
        <f>INDEX(ref_Unit_Balance!$R$31:$R$106,MATCH(UnitGradeInfo!B636,ref_Unit_Balance!$B$31:$B$1048576,0))
+
INDEX(ref_Unit_Balance!$AA$31:$AA$106,MATCH(UnitGradeInfo!B636,ref_Unit_Balance!$B$31:$B$1048576,0))*(D636-1)</f>
        <v>186</v>
      </c>
      <c r="H636" s="39">
        <f>IF(INDEX(Unitinfo!D:D,MATCH(UnitGradeInfo!B636,Unitinfo!A:A,0))=1,50,5)</f>
        <v>50</v>
      </c>
      <c r="I636" s="5">
        <f>IF(INDEX(ref_Unit_Balance!$T$31:$T$106,MATCH(UnitGradeInfo!B636,ref_Unit_Balance!$B$31:$B$1048576,0))=0,1,INDEX(ref_Unit_Balance!$T$31:$T$106,MATCH(UnitGradeInfo!B636,ref_Unit_Balance!$B$31:$B$1048576,0)))</f>
        <v>5</v>
      </c>
      <c r="J636" s="5">
        <f>INDEX(ref_Unit_Balance!$S$31:$S$106,MATCH(UnitGradeInfo!B636,ref_Unit_Balance!$B$31:$B$1048576,0))</f>
        <v>800</v>
      </c>
      <c r="K636" s="5">
        <v>0</v>
      </c>
      <c r="L636" s="5">
        <f>INDEX(ref_Unit_Balance!$I$31:$I$106,MATCH(UnitGradeInfo!B636,ref_Unit_Balance!$B$31:$B$1048576,0))</f>
        <v>4</v>
      </c>
      <c r="M636" s="5">
        <f t="shared" si="64"/>
        <v>16</v>
      </c>
      <c r="N636" s="5">
        <f t="shared" si="65"/>
        <v>160</v>
      </c>
      <c r="O636" s="5">
        <f>(INDEX(Unitinfo!I:I,MATCH(B636,Unitinfo!A:A,0))+1)*2</f>
        <v>4</v>
      </c>
      <c r="P636" s="5">
        <v>0</v>
      </c>
      <c r="Q636" s="5">
        <v>0</v>
      </c>
      <c r="R636" s="19" t="s">
        <v>421</v>
      </c>
      <c r="S636" s="19" t="s">
        <v>421</v>
      </c>
      <c r="T636" s="5">
        <f t="shared" si="67"/>
        <v>2030</v>
      </c>
      <c r="U636" s="5">
        <f t="shared" si="68"/>
        <v>1</v>
      </c>
      <c r="V636" s="5">
        <v>0</v>
      </c>
      <c r="W636" s="5">
        <v>10</v>
      </c>
    </row>
    <row r="637" spans="1:23">
      <c r="A637" s="5">
        <f t="shared" si="66"/>
        <v>634</v>
      </c>
      <c r="B637" s="93">
        <f t="shared" si="69"/>
        <v>2030</v>
      </c>
      <c r="C637" s="20" t="str">
        <f>INDEX(Unitinfo!C:C,MATCH(UnitGradeInfo!B637,Unitinfo!A:A,0))</f>
        <v>(원거리)Armor_Skeleton_Archer</v>
      </c>
      <c r="D637" s="5">
        <f>COUNTIF($B$4:B637,B637)</f>
        <v>9</v>
      </c>
      <c r="E637" s="5">
        <f>ROUNDDOWN(INDEX(ref_Unit_Balance!$G$31:$G$106,MATCH(UnitGradeInfo!B637,ref_Unit_Balance!$B$31:$B$1048576,0))
+INDEX(ref_Unit_Balance!$G$20:$G$23,MATCH(IFERROR(INDEX(ref_Unit_Balance!$D$31:$D$1048576,MATCH(B637,ref_Unit_Balance!$B$31:$B$1048576,0)),0),ref_Unit_Balance!$B$20:$B$23,0))*D637*ref_Unit_Balance!$C$25,0)</f>
        <v>738</v>
      </c>
      <c r="F637" s="5">
        <f>INDEX(ref_Unit_Balance!$V$31:$V$106,MATCH(UnitGradeInfo!B637,ref_Unit_Balance!$B$31:$B$1048576,0))
+
INDEX(ref_Unit_Balance!$AB$31:$AB$106,MATCH(UnitGradeInfo!B637,ref_Unit_Balance!$B$31:$B$1048576,0))*(D637-1)</f>
        <v>2250</v>
      </c>
      <c r="G637" s="5">
        <f>INDEX(ref_Unit_Balance!$R$31:$R$106,MATCH(UnitGradeInfo!B637,ref_Unit_Balance!$B$31:$B$1048576,0))
+
INDEX(ref_Unit_Balance!$AA$31:$AA$106,MATCH(UnitGradeInfo!B637,ref_Unit_Balance!$B$31:$B$1048576,0))*(D637-1)</f>
        <v>192</v>
      </c>
      <c r="H637" s="39">
        <f>IF(INDEX(Unitinfo!D:D,MATCH(UnitGradeInfo!B637,Unitinfo!A:A,0))=1,50,5)</f>
        <v>50</v>
      </c>
      <c r="I637" s="5">
        <f>IF(INDEX(ref_Unit_Balance!$T$31:$T$106,MATCH(UnitGradeInfo!B637,ref_Unit_Balance!$B$31:$B$1048576,0))=0,1,INDEX(ref_Unit_Balance!$T$31:$T$106,MATCH(UnitGradeInfo!B637,ref_Unit_Balance!$B$31:$B$1048576,0)))</f>
        <v>5</v>
      </c>
      <c r="J637" s="5">
        <f>INDEX(ref_Unit_Balance!$S$31:$S$106,MATCH(UnitGradeInfo!B637,ref_Unit_Balance!$B$31:$B$1048576,0))</f>
        <v>800</v>
      </c>
      <c r="K637" s="5">
        <v>0</v>
      </c>
      <c r="L637" s="5">
        <f>INDEX(ref_Unit_Balance!$I$31:$I$106,MATCH(UnitGradeInfo!B637,ref_Unit_Balance!$B$31:$B$1048576,0))</f>
        <v>4</v>
      </c>
      <c r="M637" s="5">
        <f t="shared" si="64"/>
        <v>18</v>
      </c>
      <c r="N637" s="5">
        <f t="shared" si="65"/>
        <v>180</v>
      </c>
      <c r="O637" s="5">
        <f>(INDEX(Unitinfo!I:I,MATCH(B637,Unitinfo!A:A,0))+1)*2</f>
        <v>4</v>
      </c>
      <c r="P637" s="5">
        <v>0</v>
      </c>
      <c r="Q637" s="5">
        <v>0</v>
      </c>
      <c r="R637" s="19" t="s">
        <v>421</v>
      </c>
      <c r="S637" s="19" t="s">
        <v>421</v>
      </c>
      <c r="T637" s="5">
        <f t="shared" si="67"/>
        <v>2030</v>
      </c>
      <c r="U637" s="5">
        <f t="shared" si="68"/>
        <v>1</v>
      </c>
      <c r="V637" s="5">
        <v>0</v>
      </c>
      <c r="W637" s="5">
        <v>10</v>
      </c>
    </row>
    <row r="638" spans="1:23">
      <c r="A638" s="5">
        <f t="shared" si="66"/>
        <v>635</v>
      </c>
      <c r="B638" s="93">
        <f t="shared" si="69"/>
        <v>2030</v>
      </c>
      <c r="C638" s="20" t="str">
        <f>INDEX(Unitinfo!C:C,MATCH(UnitGradeInfo!B638,Unitinfo!A:A,0))</f>
        <v>(원거리)Armor_Skeleton_Archer</v>
      </c>
      <c r="D638" s="5">
        <f>COUNTIF($B$4:B638,B638)</f>
        <v>10</v>
      </c>
      <c r="E638" s="5">
        <f>ROUNDDOWN(INDEX(ref_Unit_Balance!$G$31:$G$106,MATCH(UnitGradeInfo!B638,ref_Unit_Balance!$B$31:$B$1048576,0))
+INDEX(ref_Unit_Balance!$G$20:$G$23,MATCH(IFERROR(INDEX(ref_Unit_Balance!$D$31:$D$1048576,MATCH(B638,ref_Unit_Balance!$B$31:$B$1048576,0)),0),ref_Unit_Balance!$B$20:$B$23,0))*D638*ref_Unit_Balance!$C$25,0)</f>
        <v>801</v>
      </c>
      <c r="F638" s="5">
        <f>INDEX(ref_Unit_Balance!$V$31:$V$106,MATCH(UnitGradeInfo!B638,ref_Unit_Balance!$B$31:$B$1048576,0))
+
INDEX(ref_Unit_Balance!$AB$31:$AB$106,MATCH(UnitGradeInfo!B638,ref_Unit_Balance!$B$31:$B$1048576,0))*(D638-1)</f>
        <v>2400</v>
      </c>
      <c r="G638" s="5">
        <f>INDEX(ref_Unit_Balance!$R$31:$R$106,MATCH(UnitGradeInfo!B638,ref_Unit_Balance!$B$31:$B$1048576,0))
+
INDEX(ref_Unit_Balance!$AA$31:$AA$106,MATCH(UnitGradeInfo!B638,ref_Unit_Balance!$B$31:$B$1048576,0))*(D638-1)</f>
        <v>198</v>
      </c>
      <c r="H638" s="39">
        <f>IF(INDEX(Unitinfo!D:D,MATCH(UnitGradeInfo!B638,Unitinfo!A:A,0))=1,50,5)</f>
        <v>50</v>
      </c>
      <c r="I638" s="5">
        <f>IF(INDEX(ref_Unit_Balance!$T$31:$T$106,MATCH(UnitGradeInfo!B638,ref_Unit_Balance!$B$31:$B$1048576,0))=0,1,INDEX(ref_Unit_Balance!$T$31:$T$106,MATCH(UnitGradeInfo!B638,ref_Unit_Balance!$B$31:$B$1048576,0)))</f>
        <v>5</v>
      </c>
      <c r="J638" s="5">
        <f>INDEX(ref_Unit_Balance!$S$31:$S$106,MATCH(UnitGradeInfo!B638,ref_Unit_Balance!$B$31:$B$1048576,0))</f>
        <v>800</v>
      </c>
      <c r="K638" s="5">
        <v>0</v>
      </c>
      <c r="L638" s="5">
        <f>INDEX(ref_Unit_Balance!$I$31:$I$106,MATCH(UnitGradeInfo!B638,ref_Unit_Balance!$B$31:$B$1048576,0))</f>
        <v>4</v>
      </c>
      <c r="M638" s="5">
        <f t="shared" si="64"/>
        <v>20</v>
      </c>
      <c r="N638" s="5">
        <f t="shared" si="65"/>
        <v>200</v>
      </c>
      <c r="O638" s="5">
        <f>(INDEX(Unitinfo!I:I,MATCH(B638,Unitinfo!A:A,0))+1)*2</f>
        <v>4</v>
      </c>
      <c r="P638" s="5">
        <v>0</v>
      </c>
      <c r="Q638" s="5">
        <v>0</v>
      </c>
      <c r="R638" s="19" t="s">
        <v>421</v>
      </c>
      <c r="S638" s="19" t="s">
        <v>421</v>
      </c>
      <c r="T638" s="5">
        <f t="shared" si="67"/>
        <v>2030</v>
      </c>
      <c r="U638" s="5">
        <f t="shared" si="68"/>
        <v>1</v>
      </c>
      <c r="V638" s="5">
        <v>0</v>
      </c>
      <c r="W638" s="5">
        <v>10</v>
      </c>
    </row>
    <row r="639" spans="1:23">
      <c r="A639" s="5">
        <f t="shared" si="66"/>
        <v>636</v>
      </c>
      <c r="B639" s="93">
        <f t="shared" si="69"/>
        <v>2030</v>
      </c>
      <c r="C639" s="20" t="str">
        <f>INDEX(Unitinfo!C:C,MATCH(UnitGradeInfo!B639,Unitinfo!A:A,0))</f>
        <v>(원거리)Armor_Skeleton_Archer</v>
      </c>
      <c r="D639" s="5">
        <f>COUNTIF($B$4:B639,B639)</f>
        <v>11</v>
      </c>
      <c r="E639" s="5">
        <f>ROUNDDOWN(INDEX(ref_Unit_Balance!$G$31:$G$106,MATCH(UnitGradeInfo!B639,ref_Unit_Balance!$B$31:$B$1048576,0))
+INDEX(ref_Unit_Balance!$G$20:$G$23,MATCH(IFERROR(INDEX(ref_Unit_Balance!$D$31:$D$1048576,MATCH(B639,ref_Unit_Balance!$B$31:$B$1048576,0)),0),ref_Unit_Balance!$B$20:$B$23,0))*D639*ref_Unit_Balance!$C$25,0)</f>
        <v>863</v>
      </c>
      <c r="F639" s="5">
        <f>INDEX(ref_Unit_Balance!$V$31:$V$106,MATCH(UnitGradeInfo!B639,ref_Unit_Balance!$B$31:$B$1048576,0))
+
INDEX(ref_Unit_Balance!$AB$31:$AB$106,MATCH(UnitGradeInfo!B639,ref_Unit_Balance!$B$31:$B$1048576,0))*(D639-1)</f>
        <v>2550</v>
      </c>
      <c r="G639" s="5">
        <f>INDEX(ref_Unit_Balance!$R$31:$R$106,MATCH(UnitGradeInfo!B639,ref_Unit_Balance!$B$31:$B$1048576,0))
+
INDEX(ref_Unit_Balance!$AA$31:$AA$106,MATCH(UnitGradeInfo!B639,ref_Unit_Balance!$B$31:$B$1048576,0))*(D639-1)</f>
        <v>204</v>
      </c>
      <c r="H639" s="39">
        <f>IF(INDEX(Unitinfo!D:D,MATCH(UnitGradeInfo!B639,Unitinfo!A:A,0))=1,50,5)</f>
        <v>50</v>
      </c>
      <c r="I639" s="5">
        <f>IF(INDEX(ref_Unit_Balance!$T$31:$T$106,MATCH(UnitGradeInfo!B639,ref_Unit_Balance!$B$31:$B$1048576,0))=0,1,INDEX(ref_Unit_Balance!$T$31:$T$106,MATCH(UnitGradeInfo!B639,ref_Unit_Balance!$B$31:$B$1048576,0)))</f>
        <v>5</v>
      </c>
      <c r="J639" s="5">
        <f>INDEX(ref_Unit_Balance!$S$31:$S$106,MATCH(UnitGradeInfo!B639,ref_Unit_Balance!$B$31:$B$1048576,0))</f>
        <v>800</v>
      </c>
      <c r="K639" s="5">
        <v>0</v>
      </c>
      <c r="L639" s="5">
        <f>INDEX(ref_Unit_Balance!$I$31:$I$106,MATCH(UnitGradeInfo!B639,ref_Unit_Balance!$B$31:$B$1048576,0))</f>
        <v>4</v>
      </c>
      <c r="M639" s="5">
        <f t="shared" si="64"/>
        <v>22</v>
      </c>
      <c r="N639" s="5">
        <f t="shared" si="65"/>
        <v>220</v>
      </c>
      <c r="O639" s="5">
        <f>(INDEX(Unitinfo!I:I,MATCH(B639,Unitinfo!A:A,0))+1)*2</f>
        <v>4</v>
      </c>
      <c r="P639" s="5">
        <v>0</v>
      </c>
      <c r="Q639" s="5">
        <v>0</v>
      </c>
      <c r="R639" s="19" t="s">
        <v>421</v>
      </c>
      <c r="S639" s="19" t="s">
        <v>421</v>
      </c>
      <c r="T639" s="5">
        <f t="shared" si="67"/>
        <v>2030</v>
      </c>
      <c r="U639" s="5">
        <f t="shared" si="68"/>
        <v>1</v>
      </c>
      <c r="V639" s="5">
        <v>0</v>
      </c>
      <c r="W639" s="5">
        <v>10</v>
      </c>
    </row>
    <row r="640" spans="1:23">
      <c r="A640" s="5">
        <f t="shared" si="66"/>
        <v>637</v>
      </c>
      <c r="B640" s="93">
        <f t="shared" si="69"/>
        <v>2030</v>
      </c>
      <c r="C640" s="20" t="str">
        <f>INDEX(Unitinfo!C:C,MATCH(UnitGradeInfo!B640,Unitinfo!A:A,0))</f>
        <v>(원거리)Armor_Skeleton_Archer</v>
      </c>
      <c r="D640" s="5">
        <f>COUNTIF($B$4:B640,B640)</f>
        <v>12</v>
      </c>
      <c r="E640" s="5">
        <f>ROUNDDOWN(INDEX(ref_Unit_Balance!$G$31:$G$106,MATCH(UnitGradeInfo!B640,ref_Unit_Balance!$B$31:$B$1048576,0))
+INDEX(ref_Unit_Balance!$G$20:$G$23,MATCH(IFERROR(INDEX(ref_Unit_Balance!$D$31:$D$1048576,MATCH(B640,ref_Unit_Balance!$B$31:$B$1048576,0)),0),ref_Unit_Balance!$B$20:$B$23,0))*D640*ref_Unit_Balance!$C$25,0)</f>
        <v>926</v>
      </c>
      <c r="F640" s="5">
        <f>INDEX(ref_Unit_Balance!$V$31:$V$106,MATCH(UnitGradeInfo!B640,ref_Unit_Balance!$B$31:$B$1048576,0))
+
INDEX(ref_Unit_Balance!$AB$31:$AB$106,MATCH(UnitGradeInfo!B640,ref_Unit_Balance!$B$31:$B$1048576,0))*(D640-1)</f>
        <v>2700</v>
      </c>
      <c r="G640" s="5">
        <f>INDEX(ref_Unit_Balance!$R$31:$R$106,MATCH(UnitGradeInfo!B640,ref_Unit_Balance!$B$31:$B$1048576,0))
+
INDEX(ref_Unit_Balance!$AA$31:$AA$106,MATCH(UnitGradeInfo!B640,ref_Unit_Balance!$B$31:$B$1048576,0))*(D640-1)</f>
        <v>210</v>
      </c>
      <c r="H640" s="39">
        <f>IF(INDEX(Unitinfo!D:D,MATCH(UnitGradeInfo!B640,Unitinfo!A:A,0))=1,50,5)</f>
        <v>50</v>
      </c>
      <c r="I640" s="5">
        <f>IF(INDEX(ref_Unit_Balance!$T$31:$T$106,MATCH(UnitGradeInfo!B640,ref_Unit_Balance!$B$31:$B$1048576,0))=0,1,INDEX(ref_Unit_Balance!$T$31:$T$106,MATCH(UnitGradeInfo!B640,ref_Unit_Balance!$B$31:$B$1048576,0)))</f>
        <v>5</v>
      </c>
      <c r="J640" s="5">
        <f>INDEX(ref_Unit_Balance!$S$31:$S$106,MATCH(UnitGradeInfo!B640,ref_Unit_Balance!$B$31:$B$1048576,0))</f>
        <v>800</v>
      </c>
      <c r="K640" s="5">
        <v>0</v>
      </c>
      <c r="L640" s="5">
        <f>INDEX(ref_Unit_Balance!$I$31:$I$106,MATCH(UnitGradeInfo!B640,ref_Unit_Balance!$B$31:$B$1048576,0))</f>
        <v>4</v>
      </c>
      <c r="M640" s="5">
        <f t="shared" si="64"/>
        <v>24</v>
      </c>
      <c r="N640" s="5">
        <f t="shared" si="65"/>
        <v>240</v>
      </c>
      <c r="O640" s="5">
        <f>(INDEX(Unitinfo!I:I,MATCH(B640,Unitinfo!A:A,0))+1)*2</f>
        <v>4</v>
      </c>
      <c r="P640" s="5">
        <v>0</v>
      </c>
      <c r="Q640" s="5">
        <v>0</v>
      </c>
      <c r="R640" s="19" t="s">
        <v>421</v>
      </c>
      <c r="S640" s="19" t="s">
        <v>421</v>
      </c>
      <c r="T640" s="5">
        <f t="shared" si="67"/>
        <v>2030</v>
      </c>
      <c r="U640" s="5">
        <f t="shared" si="68"/>
        <v>1</v>
      </c>
      <c r="V640" s="5">
        <v>0</v>
      </c>
      <c r="W640" s="5">
        <v>10</v>
      </c>
    </row>
    <row r="641" spans="1:23">
      <c r="A641" s="5">
        <f t="shared" si="66"/>
        <v>638</v>
      </c>
      <c r="B641" s="93">
        <f t="shared" si="69"/>
        <v>2030</v>
      </c>
      <c r="C641" s="20" t="str">
        <f>INDEX(Unitinfo!C:C,MATCH(UnitGradeInfo!B641,Unitinfo!A:A,0))</f>
        <v>(원거리)Armor_Skeleton_Archer</v>
      </c>
      <c r="D641" s="5">
        <f>COUNTIF($B$4:B641,B641)</f>
        <v>13</v>
      </c>
      <c r="E641" s="5">
        <f>ROUNDDOWN(INDEX(ref_Unit_Balance!$G$31:$G$106,MATCH(UnitGradeInfo!B641,ref_Unit_Balance!$B$31:$B$1048576,0))
+INDEX(ref_Unit_Balance!$G$20:$G$23,MATCH(IFERROR(INDEX(ref_Unit_Balance!$D$31:$D$1048576,MATCH(B641,ref_Unit_Balance!$B$31:$B$1048576,0)),0),ref_Unit_Balance!$B$20:$B$23,0))*D641*ref_Unit_Balance!$C$25,0)</f>
        <v>988</v>
      </c>
      <c r="F641" s="5">
        <f>INDEX(ref_Unit_Balance!$V$31:$V$106,MATCH(UnitGradeInfo!B641,ref_Unit_Balance!$B$31:$B$1048576,0))
+
INDEX(ref_Unit_Balance!$AB$31:$AB$106,MATCH(UnitGradeInfo!B641,ref_Unit_Balance!$B$31:$B$1048576,0))*(D641-1)</f>
        <v>2850</v>
      </c>
      <c r="G641" s="5">
        <f>INDEX(ref_Unit_Balance!$R$31:$R$106,MATCH(UnitGradeInfo!B641,ref_Unit_Balance!$B$31:$B$1048576,0))
+
INDEX(ref_Unit_Balance!$AA$31:$AA$106,MATCH(UnitGradeInfo!B641,ref_Unit_Balance!$B$31:$B$1048576,0))*(D641-1)</f>
        <v>216</v>
      </c>
      <c r="H641" s="39">
        <f>IF(INDEX(Unitinfo!D:D,MATCH(UnitGradeInfo!B641,Unitinfo!A:A,0))=1,50,5)</f>
        <v>50</v>
      </c>
      <c r="I641" s="5">
        <f>IF(INDEX(ref_Unit_Balance!$T$31:$T$106,MATCH(UnitGradeInfo!B641,ref_Unit_Balance!$B$31:$B$1048576,0))=0,1,INDEX(ref_Unit_Balance!$T$31:$T$106,MATCH(UnitGradeInfo!B641,ref_Unit_Balance!$B$31:$B$1048576,0)))</f>
        <v>5</v>
      </c>
      <c r="J641" s="5">
        <f>INDEX(ref_Unit_Balance!$S$31:$S$106,MATCH(UnitGradeInfo!B641,ref_Unit_Balance!$B$31:$B$1048576,0))</f>
        <v>800</v>
      </c>
      <c r="K641" s="5">
        <v>0</v>
      </c>
      <c r="L641" s="5">
        <f>INDEX(ref_Unit_Balance!$I$31:$I$106,MATCH(UnitGradeInfo!B641,ref_Unit_Balance!$B$31:$B$1048576,0))</f>
        <v>4</v>
      </c>
      <c r="M641" s="5">
        <f t="shared" si="64"/>
        <v>26</v>
      </c>
      <c r="N641" s="5">
        <f t="shared" si="65"/>
        <v>260</v>
      </c>
      <c r="O641" s="5">
        <f>(INDEX(Unitinfo!I:I,MATCH(B641,Unitinfo!A:A,0))+1)*2</f>
        <v>4</v>
      </c>
      <c r="P641" s="5">
        <v>0</v>
      </c>
      <c r="Q641" s="5">
        <v>0</v>
      </c>
      <c r="R641" s="19" t="s">
        <v>421</v>
      </c>
      <c r="S641" s="19" t="s">
        <v>421</v>
      </c>
      <c r="T641" s="5">
        <f t="shared" si="67"/>
        <v>2030</v>
      </c>
      <c r="U641" s="5">
        <f t="shared" si="68"/>
        <v>1</v>
      </c>
      <c r="V641" s="5">
        <v>0</v>
      </c>
      <c r="W641" s="5">
        <v>10</v>
      </c>
    </row>
    <row r="642" spans="1:23">
      <c r="A642" s="5">
        <f t="shared" si="66"/>
        <v>639</v>
      </c>
      <c r="B642" s="93">
        <f t="shared" si="69"/>
        <v>2030</v>
      </c>
      <c r="C642" s="20" t="str">
        <f>INDEX(Unitinfo!C:C,MATCH(UnitGradeInfo!B642,Unitinfo!A:A,0))</f>
        <v>(원거리)Armor_Skeleton_Archer</v>
      </c>
      <c r="D642" s="5">
        <f>COUNTIF($B$4:B642,B642)</f>
        <v>14</v>
      </c>
      <c r="E642" s="5">
        <f>ROUNDDOWN(INDEX(ref_Unit_Balance!$G$31:$G$106,MATCH(UnitGradeInfo!B642,ref_Unit_Balance!$B$31:$B$1048576,0))
+INDEX(ref_Unit_Balance!$G$20:$G$23,MATCH(IFERROR(INDEX(ref_Unit_Balance!$D$31:$D$1048576,MATCH(B642,ref_Unit_Balance!$B$31:$B$1048576,0)),0),ref_Unit_Balance!$B$20:$B$23,0))*D642*ref_Unit_Balance!$C$25,0)</f>
        <v>1051</v>
      </c>
      <c r="F642" s="5">
        <f>INDEX(ref_Unit_Balance!$V$31:$V$106,MATCH(UnitGradeInfo!B642,ref_Unit_Balance!$B$31:$B$1048576,0))
+
INDEX(ref_Unit_Balance!$AB$31:$AB$106,MATCH(UnitGradeInfo!B642,ref_Unit_Balance!$B$31:$B$1048576,0))*(D642-1)</f>
        <v>3000</v>
      </c>
      <c r="G642" s="5">
        <f>INDEX(ref_Unit_Balance!$R$31:$R$106,MATCH(UnitGradeInfo!B642,ref_Unit_Balance!$B$31:$B$1048576,0))
+
INDEX(ref_Unit_Balance!$AA$31:$AA$106,MATCH(UnitGradeInfo!B642,ref_Unit_Balance!$B$31:$B$1048576,0))*(D642-1)</f>
        <v>222</v>
      </c>
      <c r="H642" s="39">
        <f>IF(INDEX(Unitinfo!D:D,MATCH(UnitGradeInfo!B642,Unitinfo!A:A,0))=1,50,5)</f>
        <v>50</v>
      </c>
      <c r="I642" s="5">
        <f>IF(INDEX(ref_Unit_Balance!$T$31:$T$106,MATCH(UnitGradeInfo!B642,ref_Unit_Balance!$B$31:$B$1048576,0))=0,1,INDEX(ref_Unit_Balance!$T$31:$T$106,MATCH(UnitGradeInfo!B642,ref_Unit_Balance!$B$31:$B$1048576,0)))</f>
        <v>5</v>
      </c>
      <c r="J642" s="5">
        <f>INDEX(ref_Unit_Balance!$S$31:$S$106,MATCH(UnitGradeInfo!B642,ref_Unit_Balance!$B$31:$B$1048576,0))</f>
        <v>800</v>
      </c>
      <c r="K642" s="5">
        <v>0</v>
      </c>
      <c r="L642" s="5">
        <f>INDEX(ref_Unit_Balance!$I$31:$I$106,MATCH(UnitGradeInfo!B642,ref_Unit_Balance!$B$31:$B$1048576,0))</f>
        <v>4</v>
      </c>
      <c r="M642" s="5">
        <f t="shared" si="64"/>
        <v>28</v>
      </c>
      <c r="N642" s="5">
        <f t="shared" si="65"/>
        <v>280</v>
      </c>
      <c r="O642" s="5">
        <f>(INDEX(Unitinfo!I:I,MATCH(B642,Unitinfo!A:A,0))+1)*2</f>
        <v>4</v>
      </c>
      <c r="P642" s="5">
        <v>0</v>
      </c>
      <c r="Q642" s="5">
        <v>0</v>
      </c>
      <c r="R642" s="19" t="s">
        <v>421</v>
      </c>
      <c r="S642" s="19" t="s">
        <v>421</v>
      </c>
      <c r="T642" s="5">
        <f t="shared" si="67"/>
        <v>2030</v>
      </c>
      <c r="U642" s="5">
        <f t="shared" si="68"/>
        <v>1</v>
      </c>
      <c r="V642" s="5">
        <v>0</v>
      </c>
      <c r="W642" s="5">
        <v>10</v>
      </c>
    </row>
    <row r="643" spans="1:23">
      <c r="A643" s="5">
        <f t="shared" si="66"/>
        <v>640</v>
      </c>
      <c r="B643" s="93">
        <f t="shared" si="69"/>
        <v>2030</v>
      </c>
      <c r="C643" s="20" t="str">
        <f>INDEX(Unitinfo!C:C,MATCH(UnitGradeInfo!B643,Unitinfo!A:A,0))</f>
        <v>(원거리)Armor_Skeleton_Archer</v>
      </c>
      <c r="D643" s="5">
        <f>COUNTIF($B$4:B643,B643)</f>
        <v>15</v>
      </c>
      <c r="E643" s="5">
        <f>ROUNDDOWN(INDEX(ref_Unit_Balance!$G$31:$G$106,MATCH(UnitGradeInfo!B643,ref_Unit_Balance!$B$31:$B$1048576,0))
+INDEX(ref_Unit_Balance!$G$20:$G$23,MATCH(IFERROR(INDEX(ref_Unit_Balance!$D$31:$D$1048576,MATCH(B643,ref_Unit_Balance!$B$31:$B$1048576,0)),0),ref_Unit_Balance!$B$20:$B$23,0))*D643*ref_Unit_Balance!$C$25,0)</f>
        <v>1113</v>
      </c>
      <c r="F643" s="5">
        <f>INDEX(ref_Unit_Balance!$V$31:$V$106,MATCH(UnitGradeInfo!B643,ref_Unit_Balance!$B$31:$B$1048576,0))
+
INDEX(ref_Unit_Balance!$AB$31:$AB$106,MATCH(UnitGradeInfo!B643,ref_Unit_Balance!$B$31:$B$1048576,0))*(D643-1)</f>
        <v>3150</v>
      </c>
      <c r="G643" s="5">
        <f>INDEX(ref_Unit_Balance!$R$31:$R$106,MATCH(UnitGradeInfo!B643,ref_Unit_Balance!$B$31:$B$1048576,0))
+
INDEX(ref_Unit_Balance!$AA$31:$AA$106,MATCH(UnitGradeInfo!B643,ref_Unit_Balance!$B$31:$B$1048576,0))*(D643-1)</f>
        <v>228</v>
      </c>
      <c r="H643" s="39">
        <f>IF(INDEX(Unitinfo!D:D,MATCH(UnitGradeInfo!B643,Unitinfo!A:A,0))=1,50,5)</f>
        <v>50</v>
      </c>
      <c r="I643" s="5">
        <f>IF(INDEX(ref_Unit_Balance!$T$31:$T$106,MATCH(UnitGradeInfo!B643,ref_Unit_Balance!$B$31:$B$1048576,0))=0,1,INDEX(ref_Unit_Balance!$T$31:$T$106,MATCH(UnitGradeInfo!B643,ref_Unit_Balance!$B$31:$B$1048576,0)))</f>
        <v>5</v>
      </c>
      <c r="J643" s="5">
        <f>INDEX(ref_Unit_Balance!$S$31:$S$106,MATCH(UnitGradeInfo!B643,ref_Unit_Balance!$B$31:$B$1048576,0))</f>
        <v>800</v>
      </c>
      <c r="K643" s="5">
        <v>0</v>
      </c>
      <c r="L643" s="5">
        <f>INDEX(ref_Unit_Balance!$I$31:$I$106,MATCH(UnitGradeInfo!B643,ref_Unit_Balance!$B$31:$B$1048576,0))</f>
        <v>4</v>
      </c>
      <c r="M643" s="5">
        <f t="shared" si="64"/>
        <v>30</v>
      </c>
      <c r="N643" s="5">
        <f t="shared" si="65"/>
        <v>300</v>
      </c>
      <c r="O643" s="5">
        <f>(INDEX(Unitinfo!I:I,MATCH(B643,Unitinfo!A:A,0))+1)*2</f>
        <v>4</v>
      </c>
      <c r="P643" s="5">
        <v>0</v>
      </c>
      <c r="Q643" s="5">
        <v>0</v>
      </c>
      <c r="R643" s="19" t="s">
        <v>421</v>
      </c>
      <c r="S643" s="19" t="s">
        <v>421</v>
      </c>
      <c r="T643" s="5">
        <f t="shared" si="67"/>
        <v>2030</v>
      </c>
      <c r="U643" s="5">
        <f t="shared" si="68"/>
        <v>1</v>
      </c>
      <c r="V643" s="5">
        <v>0</v>
      </c>
      <c r="W643" s="5">
        <v>10</v>
      </c>
    </row>
    <row r="644" spans="1:23">
      <c r="A644" s="5">
        <f t="shared" si="66"/>
        <v>641</v>
      </c>
      <c r="B644" s="93">
        <f t="shared" si="69"/>
        <v>2030</v>
      </c>
      <c r="C644" s="20" t="str">
        <f>INDEX(Unitinfo!C:C,MATCH(UnitGradeInfo!B644,Unitinfo!A:A,0))</f>
        <v>(원거리)Armor_Skeleton_Archer</v>
      </c>
      <c r="D644" s="5">
        <f>COUNTIF($B$4:B644,B644)</f>
        <v>16</v>
      </c>
      <c r="E644" s="5">
        <f>ROUNDDOWN(INDEX(ref_Unit_Balance!$G$31:$G$106,MATCH(UnitGradeInfo!B644,ref_Unit_Balance!$B$31:$B$1048576,0))
+INDEX(ref_Unit_Balance!$G$20:$G$23,MATCH(IFERROR(INDEX(ref_Unit_Balance!$D$31:$D$1048576,MATCH(B644,ref_Unit_Balance!$B$31:$B$1048576,0)),0),ref_Unit_Balance!$B$20:$B$23,0))*D644*ref_Unit_Balance!$C$25,0)</f>
        <v>1176</v>
      </c>
      <c r="F644" s="5">
        <f>INDEX(ref_Unit_Balance!$V$31:$V$106,MATCH(UnitGradeInfo!B644,ref_Unit_Balance!$B$31:$B$1048576,0))
+
INDEX(ref_Unit_Balance!$AB$31:$AB$106,MATCH(UnitGradeInfo!B644,ref_Unit_Balance!$B$31:$B$1048576,0))*(D644-1)</f>
        <v>3300</v>
      </c>
      <c r="G644" s="5">
        <f>INDEX(ref_Unit_Balance!$R$31:$R$106,MATCH(UnitGradeInfo!B644,ref_Unit_Balance!$B$31:$B$1048576,0))
+
INDEX(ref_Unit_Balance!$AA$31:$AA$106,MATCH(UnitGradeInfo!B644,ref_Unit_Balance!$B$31:$B$1048576,0))*(D644-1)</f>
        <v>234</v>
      </c>
      <c r="H644" s="39">
        <f>IF(INDEX(Unitinfo!D:D,MATCH(UnitGradeInfo!B644,Unitinfo!A:A,0))=1,50,5)</f>
        <v>50</v>
      </c>
      <c r="I644" s="5">
        <f>IF(INDEX(ref_Unit_Balance!$T$31:$T$106,MATCH(UnitGradeInfo!B644,ref_Unit_Balance!$B$31:$B$1048576,0))=0,1,INDEX(ref_Unit_Balance!$T$31:$T$106,MATCH(UnitGradeInfo!B644,ref_Unit_Balance!$B$31:$B$1048576,0)))</f>
        <v>5</v>
      </c>
      <c r="J644" s="5">
        <f>INDEX(ref_Unit_Balance!$S$31:$S$106,MATCH(UnitGradeInfo!B644,ref_Unit_Balance!$B$31:$B$1048576,0))</f>
        <v>800</v>
      </c>
      <c r="K644" s="5">
        <v>0</v>
      </c>
      <c r="L644" s="5">
        <f>INDEX(ref_Unit_Balance!$I$31:$I$106,MATCH(UnitGradeInfo!B644,ref_Unit_Balance!$B$31:$B$1048576,0))</f>
        <v>4</v>
      </c>
      <c r="M644" s="5">
        <f t="shared" si="64"/>
        <v>32</v>
      </c>
      <c r="N644" s="5">
        <f t="shared" si="65"/>
        <v>320</v>
      </c>
      <c r="O644" s="5">
        <f>(INDEX(Unitinfo!I:I,MATCH(B644,Unitinfo!A:A,0))+1)*2</f>
        <v>4</v>
      </c>
      <c r="P644" s="5">
        <v>0</v>
      </c>
      <c r="Q644" s="5">
        <v>0</v>
      </c>
      <c r="R644" s="19" t="s">
        <v>421</v>
      </c>
      <c r="S644" s="19" t="s">
        <v>421</v>
      </c>
      <c r="T644" s="5">
        <f t="shared" si="67"/>
        <v>2030</v>
      </c>
      <c r="U644" s="5">
        <f t="shared" si="68"/>
        <v>1</v>
      </c>
      <c r="V644" s="5">
        <v>0</v>
      </c>
      <c r="W644" s="5">
        <v>10</v>
      </c>
    </row>
    <row r="645" spans="1:23">
      <c r="A645" s="5">
        <f t="shared" si="66"/>
        <v>642</v>
      </c>
      <c r="B645" s="93">
        <f t="shared" si="69"/>
        <v>2030</v>
      </c>
      <c r="C645" s="20" t="str">
        <f>INDEX(Unitinfo!C:C,MATCH(UnitGradeInfo!B645,Unitinfo!A:A,0))</f>
        <v>(원거리)Armor_Skeleton_Archer</v>
      </c>
      <c r="D645" s="5">
        <f>COUNTIF($B$4:B645,B645)</f>
        <v>17</v>
      </c>
      <c r="E645" s="5">
        <f>ROUNDDOWN(INDEX(ref_Unit_Balance!$G$31:$G$106,MATCH(UnitGradeInfo!B645,ref_Unit_Balance!$B$31:$B$1048576,0))
+INDEX(ref_Unit_Balance!$G$20:$G$23,MATCH(IFERROR(INDEX(ref_Unit_Balance!$D$31:$D$1048576,MATCH(B645,ref_Unit_Balance!$B$31:$B$1048576,0)),0),ref_Unit_Balance!$B$20:$B$23,0))*D645*ref_Unit_Balance!$C$25,0)</f>
        <v>1238</v>
      </c>
      <c r="F645" s="5">
        <f>INDEX(ref_Unit_Balance!$V$31:$V$106,MATCH(UnitGradeInfo!B645,ref_Unit_Balance!$B$31:$B$1048576,0))
+
INDEX(ref_Unit_Balance!$AB$31:$AB$106,MATCH(UnitGradeInfo!B645,ref_Unit_Balance!$B$31:$B$1048576,0))*(D645-1)</f>
        <v>3450</v>
      </c>
      <c r="G645" s="5">
        <f>INDEX(ref_Unit_Balance!$R$31:$R$106,MATCH(UnitGradeInfo!B645,ref_Unit_Balance!$B$31:$B$1048576,0))
+
INDEX(ref_Unit_Balance!$AA$31:$AA$106,MATCH(UnitGradeInfo!B645,ref_Unit_Balance!$B$31:$B$1048576,0))*(D645-1)</f>
        <v>240</v>
      </c>
      <c r="H645" s="39">
        <f>IF(INDEX(Unitinfo!D:D,MATCH(UnitGradeInfo!B645,Unitinfo!A:A,0))=1,50,5)</f>
        <v>50</v>
      </c>
      <c r="I645" s="5">
        <f>IF(INDEX(ref_Unit_Balance!$T$31:$T$106,MATCH(UnitGradeInfo!B645,ref_Unit_Balance!$B$31:$B$1048576,0))=0,1,INDEX(ref_Unit_Balance!$T$31:$T$106,MATCH(UnitGradeInfo!B645,ref_Unit_Balance!$B$31:$B$1048576,0)))</f>
        <v>5</v>
      </c>
      <c r="J645" s="5">
        <f>INDEX(ref_Unit_Balance!$S$31:$S$106,MATCH(UnitGradeInfo!B645,ref_Unit_Balance!$B$31:$B$1048576,0))</f>
        <v>800</v>
      </c>
      <c r="K645" s="5">
        <v>0</v>
      </c>
      <c r="L645" s="5">
        <f>INDEX(ref_Unit_Balance!$I$31:$I$106,MATCH(UnitGradeInfo!B645,ref_Unit_Balance!$B$31:$B$1048576,0))</f>
        <v>4</v>
      </c>
      <c r="M645" s="5">
        <f t="shared" ref="M645:M668" si="70">D645*2</f>
        <v>34</v>
      </c>
      <c r="N645" s="5">
        <f t="shared" ref="N645:N668" si="71">D645*20</f>
        <v>340</v>
      </c>
      <c r="O645" s="5">
        <f>(INDEX(Unitinfo!I:I,MATCH(B645,Unitinfo!A:A,0))+1)*2</f>
        <v>4</v>
      </c>
      <c r="P645" s="5">
        <v>0</v>
      </c>
      <c r="Q645" s="5">
        <v>0</v>
      </c>
      <c r="R645" s="19" t="s">
        <v>421</v>
      </c>
      <c r="S645" s="19" t="s">
        <v>421</v>
      </c>
      <c r="T645" s="5">
        <f t="shared" si="67"/>
        <v>2030</v>
      </c>
      <c r="U645" s="5">
        <f t="shared" si="68"/>
        <v>1</v>
      </c>
      <c r="V645" s="5">
        <v>0</v>
      </c>
      <c r="W645" s="5">
        <v>10</v>
      </c>
    </row>
    <row r="646" spans="1:23">
      <c r="A646" s="5">
        <f t="shared" si="66"/>
        <v>643</v>
      </c>
      <c r="B646" s="93">
        <f t="shared" si="69"/>
        <v>2030</v>
      </c>
      <c r="C646" s="20" t="str">
        <f>INDEX(Unitinfo!C:C,MATCH(UnitGradeInfo!B646,Unitinfo!A:A,0))</f>
        <v>(원거리)Armor_Skeleton_Archer</v>
      </c>
      <c r="D646" s="5">
        <f>COUNTIF($B$4:B646,B646)</f>
        <v>18</v>
      </c>
      <c r="E646" s="5">
        <f>ROUNDDOWN(INDEX(ref_Unit_Balance!$G$31:$G$106,MATCH(UnitGradeInfo!B646,ref_Unit_Balance!$B$31:$B$1048576,0))
+INDEX(ref_Unit_Balance!$G$20:$G$23,MATCH(IFERROR(INDEX(ref_Unit_Balance!$D$31:$D$1048576,MATCH(B646,ref_Unit_Balance!$B$31:$B$1048576,0)),0),ref_Unit_Balance!$B$20:$B$23,0))*D646*ref_Unit_Balance!$C$25,0)</f>
        <v>1301</v>
      </c>
      <c r="F646" s="5">
        <f>INDEX(ref_Unit_Balance!$V$31:$V$106,MATCH(UnitGradeInfo!B646,ref_Unit_Balance!$B$31:$B$1048576,0))
+
INDEX(ref_Unit_Balance!$AB$31:$AB$106,MATCH(UnitGradeInfo!B646,ref_Unit_Balance!$B$31:$B$1048576,0))*(D646-1)</f>
        <v>3600</v>
      </c>
      <c r="G646" s="5">
        <f>INDEX(ref_Unit_Balance!$R$31:$R$106,MATCH(UnitGradeInfo!B646,ref_Unit_Balance!$B$31:$B$1048576,0))
+
INDEX(ref_Unit_Balance!$AA$31:$AA$106,MATCH(UnitGradeInfo!B646,ref_Unit_Balance!$B$31:$B$1048576,0))*(D646-1)</f>
        <v>246</v>
      </c>
      <c r="H646" s="39">
        <f>IF(INDEX(Unitinfo!D:D,MATCH(UnitGradeInfo!B646,Unitinfo!A:A,0))=1,50,5)</f>
        <v>50</v>
      </c>
      <c r="I646" s="5">
        <f>IF(INDEX(ref_Unit_Balance!$T$31:$T$106,MATCH(UnitGradeInfo!B646,ref_Unit_Balance!$B$31:$B$1048576,0))=0,1,INDEX(ref_Unit_Balance!$T$31:$T$106,MATCH(UnitGradeInfo!B646,ref_Unit_Balance!$B$31:$B$1048576,0)))</f>
        <v>5</v>
      </c>
      <c r="J646" s="5">
        <f>INDEX(ref_Unit_Balance!$S$31:$S$106,MATCH(UnitGradeInfo!B646,ref_Unit_Balance!$B$31:$B$1048576,0))</f>
        <v>800</v>
      </c>
      <c r="K646" s="5">
        <v>0</v>
      </c>
      <c r="L646" s="5">
        <f>INDEX(ref_Unit_Balance!$I$31:$I$106,MATCH(UnitGradeInfo!B646,ref_Unit_Balance!$B$31:$B$1048576,0))</f>
        <v>4</v>
      </c>
      <c r="M646" s="5">
        <f t="shared" si="70"/>
        <v>36</v>
      </c>
      <c r="N646" s="5">
        <f t="shared" si="71"/>
        <v>360</v>
      </c>
      <c r="O646" s="5">
        <f>(INDEX(Unitinfo!I:I,MATCH(B646,Unitinfo!A:A,0))+1)*2</f>
        <v>4</v>
      </c>
      <c r="P646" s="5">
        <v>0</v>
      </c>
      <c r="Q646" s="5">
        <v>0</v>
      </c>
      <c r="R646" s="19" t="s">
        <v>421</v>
      </c>
      <c r="S646" s="19" t="s">
        <v>421</v>
      </c>
      <c r="T646" s="5">
        <f t="shared" si="67"/>
        <v>2030</v>
      </c>
      <c r="U646" s="5">
        <f t="shared" si="68"/>
        <v>1</v>
      </c>
      <c r="V646" s="5">
        <v>0</v>
      </c>
      <c r="W646" s="5">
        <v>10</v>
      </c>
    </row>
    <row r="647" spans="1:23">
      <c r="A647" s="5">
        <f t="shared" si="66"/>
        <v>644</v>
      </c>
      <c r="B647" s="93">
        <f t="shared" si="69"/>
        <v>2030</v>
      </c>
      <c r="C647" s="20" t="str">
        <f>INDEX(Unitinfo!C:C,MATCH(UnitGradeInfo!B647,Unitinfo!A:A,0))</f>
        <v>(원거리)Armor_Skeleton_Archer</v>
      </c>
      <c r="D647" s="5">
        <f>COUNTIF($B$4:B647,B647)</f>
        <v>19</v>
      </c>
      <c r="E647" s="5">
        <f>ROUNDDOWN(INDEX(ref_Unit_Balance!$G$31:$G$106,MATCH(UnitGradeInfo!B647,ref_Unit_Balance!$B$31:$B$1048576,0))
+INDEX(ref_Unit_Balance!$G$20:$G$23,MATCH(IFERROR(INDEX(ref_Unit_Balance!$D$31:$D$1048576,MATCH(B647,ref_Unit_Balance!$B$31:$B$1048576,0)),0),ref_Unit_Balance!$B$20:$B$23,0))*D647*ref_Unit_Balance!$C$25,0)</f>
        <v>1363</v>
      </c>
      <c r="F647" s="5">
        <f>INDEX(ref_Unit_Balance!$V$31:$V$106,MATCH(UnitGradeInfo!B647,ref_Unit_Balance!$B$31:$B$1048576,0))
+
INDEX(ref_Unit_Balance!$AB$31:$AB$106,MATCH(UnitGradeInfo!B647,ref_Unit_Balance!$B$31:$B$1048576,0))*(D647-1)</f>
        <v>3750</v>
      </c>
      <c r="G647" s="5">
        <f>INDEX(ref_Unit_Balance!$R$31:$R$106,MATCH(UnitGradeInfo!B647,ref_Unit_Balance!$B$31:$B$1048576,0))
+
INDEX(ref_Unit_Balance!$AA$31:$AA$106,MATCH(UnitGradeInfo!B647,ref_Unit_Balance!$B$31:$B$1048576,0))*(D647-1)</f>
        <v>252</v>
      </c>
      <c r="H647" s="39">
        <f>IF(INDEX(Unitinfo!D:D,MATCH(UnitGradeInfo!B647,Unitinfo!A:A,0))=1,50,5)</f>
        <v>50</v>
      </c>
      <c r="I647" s="5">
        <f>IF(INDEX(ref_Unit_Balance!$T$31:$T$106,MATCH(UnitGradeInfo!B647,ref_Unit_Balance!$B$31:$B$1048576,0))=0,1,INDEX(ref_Unit_Balance!$T$31:$T$106,MATCH(UnitGradeInfo!B647,ref_Unit_Balance!$B$31:$B$1048576,0)))</f>
        <v>5</v>
      </c>
      <c r="J647" s="5">
        <f>INDEX(ref_Unit_Balance!$S$31:$S$106,MATCH(UnitGradeInfo!B647,ref_Unit_Balance!$B$31:$B$1048576,0))</f>
        <v>800</v>
      </c>
      <c r="K647" s="5">
        <v>0</v>
      </c>
      <c r="L647" s="5">
        <f>INDEX(ref_Unit_Balance!$I$31:$I$106,MATCH(UnitGradeInfo!B647,ref_Unit_Balance!$B$31:$B$1048576,0))</f>
        <v>4</v>
      </c>
      <c r="M647" s="5">
        <f t="shared" si="70"/>
        <v>38</v>
      </c>
      <c r="N647" s="5">
        <f t="shared" si="71"/>
        <v>380</v>
      </c>
      <c r="O647" s="5">
        <f>(INDEX(Unitinfo!I:I,MATCH(B647,Unitinfo!A:A,0))+1)*2</f>
        <v>4</v>
      </c>
      <c r="P647" s="5">
        <v>0</v>
      </c>
      <c r="Q647" s="5">
        <v>0</v>
      </c>
      <c r="R647" s="19" t="s">
        <v>421</v>
      </c>
      <c r="S647" s="19" t="s">
        <v>421</v>
      </c>
      <c r="T647" s="5">
        <f t="shared" si="67"/>
        <v>2030</v>
      </c>
      <c r="U647" s="5">
        <f t="shared" si="68"/>
        <v>1</v>
      </c>
      <c r="V647" s="5">
        <v>0</v>
      </c>
      <c r="W647" s="5">
        <v>10</v>
      </c>
    </row>
    <row r="648" spans="1:23">
      <c r="A648" s="5">
        <f t="shared" si="66"/>
        <v>645</v>
      </c>
      <c r="B648" s="93">
        <f t="shared" si="69"/>
        <v>2030</v>
      </c>
      <c r="C648" s="20" t="str">
        <f>INDEX(Unitinfo!C:C,MATCH(UnitGradeInfo!B648,Unitinfo!A:A,0))</f>
        <v>(원거리)Armor_Skeleton_Archer</v>
      </c>
      <c r="D648" s="5">
        <f>COUNTIF($B$4:B648,B648)</f>
        <v>20</v>
      </c>
      <c r="E648" s="5">
        <f>ROUNDDOWN(INDEX(ref_Unit_Balance!$G$31:$G$106,MATCH(UnitGradeInfo!B648,ref_Unit_Balance!$B$31:$B$1048576,0))
+INDEX(ref_Unit_Balance!$G$20:$G$23,MATCH(IFERROR(INDEX(ref_Unit_Balance!$D$31:$D$1048576,MATCH(B648,ref_Unit_Balance!$B$31:$B$1048576,0)),0),ref_Unit_Balance!$B$20:$B$23,0))*D648*ref_Unit_Balance!$C$25,0)</f>
        <v>1426</v>
      </c>
      <c r="F648" s="5">
        <f>INDEX(ref_Unit_Balance!$V$31:$V$106,MATCH(UnitGradeInfo!B648,ref_Unit_Balance!$B$31:$B$1048576,0))
+
INDEX(ref_Unit_Balance!$AB$31:$AB$106,MATCH(UnitGradeInfo!B648,ref_Unit_Balance!$B$31:$B$1048576,0))*(D648-1)</f>
        <v>3900</v>
      </c>
      <c r="G648" s="5">
        <f>INDEX(ref_Unit_Balance!$R$31:$R$106,MATCH(UnitGradeInfo!B648,ref_Unit_Balance!$B$31:$B$1048576,0))
+
INDEX(ref_Unit_Balance!$AA$31:$AA$106,MATCH(UnitGradeInfo!B648,ref_Unit_Balance!$B$31:$B$1048576,0))*(D648-1)</f>
        <v>258</v>
      </c>
      <c r="H648" s="39">
        <f>IF(INDEX(Unitinfo!D:D,MATCH(UnitGradeInfo!B648,Unitinfo!A:A,0))=1,50,5)</f>
        <v>50</v>
      </c>
      <c r="I648" s="5">
        <f>IF(INDEX(ref_Unit_Balance!$T$31:$T$106,MATCH(UnitGradeInfo!B648,ref_Unit_Balance!$B$31:$B$1048576,0))=0,1,INDEX(ref_Unit_Balance!$T$31:$T$106,MATCH(UnitGradeInfo!B648,ref_Unit_Balance!$B$31:$B$1048576,0)))</f>
        <v>5</v>
      </c>
      <c r="J648" s="5">
        <f>INDEX(ref_Unit_Balance!$S$31:$S$106,MATCH(UnitGradeInfo!B648,ref_Unit_Balance!$B$31:$B$1048576,0))</f>
        <v>800</v>
      </c>
      <c r="K648" s="5">
        <v>0</v>
      </c>
      <c r="L648" s="5">
        <f>INDEX(ref_Unit_Balance!$I$31:$I$106,MATCH(UnitGradeInfo!B648,ref_Unit_Balance!$B$31:$B$1048576,0))</f>
        <v>4</v>
      </c>
      <c r="M648" s="5">
        <f t="shared" si="70"/>
        <v>40</v>
      </c>
      <c r="N648" s="5">
        <f t="shared" si="71"/>
        <v>400</v>
      </c>
      <c r="O648" s="5">
        <f>(INDEX(Unitinfo!I:I,MATCH(B648,Unitinfo!A:A,0))+1)*2</f>
        <v>4</v>
      </c>
      <c r="P648" s="5">
        <v>0</v>
      </c>
      <c r="Q648" s="5">
        <v>0</v>
      </c>
      <c r="R648" s="19" t="s">
        <v>421</v>
      </c>
      <c r="S648" s="19" t="s">
        <v>421</v>
      </c>
      <c r="T648" s="5">
        <f t="shared" si="67"/>
        <v>2030</v>
      </c>
      <c r="U648" s="5">
        <f t="shared" si="68"/>
        <v>1</v>
      </c>
      <c r="V648" s="5">
        <v>0</v>
      </c>
      <c r="W648" s="5">
        <v>10</v>
      </c>
    </row>
    <row r="649" spans="1:23">
      <c r="A649" s="5">
        <f t="shared" si="66"/>
        <v>646</v>
      </c>
      <c r="B649" s="93">
        <f t="shared" si="69"/>
        <v>2031</v>
      </c>
      <c r="C649" s="20" t="str">
        <f>INDEX(Unitinfo!C:C,MATCH(UnitGradeInfo!B649,Unitinfo!A:A,0))</f>
        <v>(원거리)Armor_Skeleton_Witch</v>
      </c>
      <c r="D649" s="5">
        <f>COUNTIF($B$4:B649,B649)</f>
        <v>1</v>
      </c>
      <c r="E649" s="5">
        <f>ROUNDDOWN(INDEX(ref_Unit_Balance!$G$31:$G$106,MATCH(UnitGradeInfo!B649,ref_Unit_Balance!$B$31:$B$1048576,0))
+INDEX(ref_Unit_Balance!$G$20:$G$23,MATCH(IFERROR(INDEX(ref_Unit_Balance!$D$31:$D$1048576,MATCH(B649,ref_Unit_Balance!$B$31:$B$1048576,0)),0),ref_Unit_Balance!$B$20:$B$23,0))*D649*ref_Unit_Balance!$C$25,0)</f>
        <v>239</v>
      </c>
      <c r="F649" s="5">
        <f>INDEX(ref_Unit_Balance!$V$31:$V$106,MATCH(UnitGradeInfo!B649,ref_Unit_Balance!$B$31:$B$1048576,0))
+
INDEX(ref_Unit_Balance!$AB$31:$AB$106,MATCH(UnitGradeInfo!B649,ref_Unit_Balance!$B$31:$B$1048576,0))*(D649-1)</f>
        <v>1750</v>
      </c>
      <c r="G649" s="5">
        <f>INDEX(ref_Unit_Balance!$R$31:$R$106,MATCH(UnitGradeInfo!B649,ref_Unit_Balance!$B$31:$B$1048576,0))
+
INDEX(ref_Unit_Balance!$AA$31:$AA$106,MATCH(UnitGradeInfo!B649,ref_Unit_Balance!$B$31:$B$1048576,0))*(D649-1)</f>
        <v>209</v>
      </c>
      <c r="H649" s="39">
        <f>IF(INDEX(Unitinfo!D:D,MATCH(UnitGradeInfo!B649,Unitinfo!A:A,0))=1,50,5)</f>
        <v>50</v>
      </c>
      <c r="I649" s="5">
        <f>IF(INDEX(ref_Unit_Balance!$T$31:$T$106,MATCH(UnitGradeInfo!B649,ref_Unit_Balance!$B$31:$B$1048576,0))=0,1,INDEX(ref_Unit_Balance!$T$31:$T$106,MATCH(UnitGradeInfo!B649,ref_Unit_Balance!$B$31:$B$1048576,0)))</f>
        <v>5</v>
      </c>
      <c r="J649" s="5">
        <f>INDEX(ref_Unit_Balance!$S$31:$S$106,MATCH(UnitGradeInfo!B649,ref_Unit_Balance!$B$31:$B$1048576,0))</f>
        <v>1100</v>
      </c>
      <c r="K649" s="5">
        <v>0</v>
      </c>
      <c r="L649" s="5">
        <f>INDEX(ref_Unit_Balance!$I$31:$I$106,MATCH(UnitGradeInfo!B649,ref_Unit_Balance!$B$31:$B$1048576,0))</f>
        <v>3</v>
      </c>
      <c r="M649" s="5">
        <f t="shared" si="70"/>
        <v>2</v>
      </c>
      <c r="N649" s="5">
        <f t="shared" si="71"/>
        <v>20</v>
      </c>
      <c r="O649" s="5">
        <f>(INDEX(Unitinfo!I:I,MATCH(B649,Unitinfo!A:A,0))+1)*2</f>
        <v>4</v>
      </c>
      <c r="P649" s="5">
        <v>0</v>
      </c>
      <c r="Q649" s="5">
        <v>0</v>
      </c>
      <c r="R649" s="19" t="s">
        <v>421</v>
      </c>
      <c r="S649" s="19" t="s">
        <v>421</v>
      </c>
      <c r="T649" s="5">
        <f t="shared" si="67"/>
        <v>2031</v>
      </c>
      <c r="U649" s="5">
        <f t="shared" si="68"/>
        <v>1</v>
      </c>
      <c r="V649" s="5">
        <v>0</v>
      </c>
      <c r="W649" s="5">
        <v>10</v>
      </c>
    </row>
    <row r="650" spans="1:23">
      <c r="A650" s="5">
        <f t="shared" si="66"/>
        <v>647</v>
      </c>
      <c r="B650" s="93">
        <f t="shared" si="69"/>
        <v>2031</v>
      </c>
      <c r="C650" s="20" t="str">
        <f>INDEX(Unitinfo!C:C,MATCH(UnitGradeInfo!B650,Unitinfo!A:A,0))</f>
        <v>(원거리)Armor_Skeleton_Witch</v>
      </c>
      <c r="D650" s="5">
        <f>COUNTIF($B$4:B650,B650)</f>
        <v>2</v>
      </c>
      <c r="E650" s="5">
        <f>ROUNDDOWN(INDEX(ref_Unit_Balance!$G$31:$G$106,MATCH(UnitGradeInfo!B650,ref_Unit_Balance!$B$31:$B$1048576,0))
+INDEX(ref_Unit_Balance!$G$20:$G$23,MATCH(IFERROR(INDEX(ref_Unit_Balance!$D$31:$D$1048576,MATCH(B650,ref_Unit_Balance!$B$31:$B$1048576,0)),0),ref_Unit_Balance!$B$20:$B$23,0))*D650*ref_Unit_Balance!$C$25,0)</f>
        <v>302</v>
      </c>
      <c r="F650" s="5">
        <f>INDEX(ref_Unit_Balance!$V$31:$V$106,MATCH(UnitGradeInfo!B650,ref_Unit_Balance!$B$31:$B$1048576,0))
+
INDEX(ref_Unit_Balance!$AB$31:$AB$106,MATCH(UnitGradeInfo!B650,ref_Unit_Balance!$B$31:$B$1048576,0))*(D650-1)</f>
        <v>1950</v>
      </c>
      <c r="G650" s="5">
        <f>INDEX(ref_Unit_Balance!$R$31:$R$106,MATCH(UnitGradeInfo!B650,ref_Unit_Balance!$B$31:$B$1048576,0))
+
INDEX(ref_Unit_Balance!$AA$31:$AA$106,MATCH(UnitGradeInfo!B650,ref_Unit_Balance!$B$31:$B$1048576,0))*(D650-1)</f>
        <v>223</v>
      </c>
      <c r="H650" s="39">
        <f>IF(INDEX(Unitinfo!D:D,MATCH(UnitGradeInfo!B650,Unitinfo!A:A,0))=1,50,5)</f>
        <v>50</v>
      </c>
      <c r="I650" s="5">
        <f>IF(INDEX(ref_Unit_Balance!$T$31:$T$106,MATCH(UnitGradeInfo!B650,ref_Unit_Balance!$B$31:$B$1048576,0))=0,1,INDEX(ref_Unit_Balance!$T$31:$T$106,MATCH(UnitGradeInfo!B650,ref_Unit_Balance!$B$31:$B$1048576,0)))</f>
        <v>5</v>
      </c>
      <c r="J650" s="5">
        <f>INDEX(ref_Unit_Balance!$S$31:$S$106,MATCH(UnitGradeInfo!B650,ref_Unit_Balance!$B$31:$B$1048576,0))</f>
        <v>1100</v>
      </c>
      <c r="K650" s="5">
        <v>0</v>
      </c>
      <c r="L650" s="5">
        <f>INDEX(ref_Unit_Balance!$I$31:$I$106,MATCH(UnitGradeInfo!B650,ref_Unit_Balance!$B$31:$B$1048576,0))</f>
        <v>3</v>
      </c>
      <c r="M650" s="5">
        <f t="shared" si="70"/>
        <v>4</v>
      </c>
      <c r="N650" s="5">
        <f t="shared" si="71"/>
        <v>40</v>
      </c>
      <c r="O650" s="5">
        <f>(INDEX(Unitinfo!I:I,MATCH(B650,Unitinfo!A:A,0))+1)*2</f>
        <v>4</v>
      </c>
      <c r="P650" s="5">
        <v>0</v>
      </c>
      <c r="Q650" s="5">
        <v>0</v>
      </c>
      <c r="R650" s="19" t="s">
        <v>421</v>
      </c>
      <c r="S650" s="19" t="s">
        <v>421</v>
      </c>
      <c r="T650" s="5">
        <f t="shared" si="67"/>
        <v>2031</v>
      </c>
      <c r="U650" s="5">
        <f t="shared" si="68"/>
        <v>1</v>
      </c>
      <c r="V650" s="5">
        <v>0</v>
      </c>
      <c r="W650" s="5">
        <v>10</v>
      </c>
    </row>
    <row r="651" spans="1:23">
      <c r="A651" s="5">
        <f t="shared" si="66"/>
        <v>648</v>
      </c>
      <c r="B651" s="93">
        <f t="shared" si="69"/>
        <v>2031</v>
      </c>
      <c r="C651" s="20" t="str">
        <f>INDEX(Unitinfo!C:C,MATCH(UnitGradeInfo!B651,Unitinfo!A:A,0))</f>
        <v>(원거리)Armor_Skeleton_Witch</v>
      </c>
      <c r="D651" s="5">
        <f>COUNTIF($B$4:B651,B651)</f>
        <v>3</v>
      </c>
      <c r="E651" s="5">
        <f>ROUNDDOWN(INDEX(ref_Unit_Balance!$G$31:$G$106,MATCH(UnitGradeInfo!B651,ref_Unit_Balance!$B$31:$B$1048576,0))
+INDEX(ref_Unit_Balance!$G$20:$G$23,MATCH(IFERROR(INDEX(ref_Unit_Balance!$D$31:$D$1048576,MATCH(B651,ref_Unit_Balance!$B$31:$B$1048576,0)),0),ref_Unit_Balance!$B$20:$B$23,0))*D651*ref_Unit_Balance!$C$25,0)</f>
        <v>364</v>
      </c>
      <c r="F651" s="5">
        <f>INDEX(ref_Unit_Balance!$V$31:$V$106,MATCH(UnitGradeInfo!B651,ref_Unit_Balance!$B$31:$B$1048576,0))
+
INDEX(ref_Unit_Balance!$AB$31:$AB$106,MATCH(UnitGradeInfo!B651,ref_Unit_Balance!$B$31:$B$1048576,0))*(D651-1)</f>
        <v>2150</v>
      </c>
      <c r="G651" s="5">
        <f>INDEX(ref_Unit_Balance!$R$31:$R$106,MATCH(UnitGradeInfo!B651,ref_Unit_Balance!$B$31:$B$1048576,0))
+
INDEX(ref_Unit_Balance!$AA$31:$AA$106,MATCH(UnitGradeInfo!B651,ref_Unit_Balance!$B$31:$B$1048576,0))*(D651-1)</f>
        <v>237</v>
      </c>
      <c r="H651" s="39">
        <f>IF(INDEX(Unitinfo!D:D,MATCH(UnitGradeInfo!B651,Unitinfo!A:A,0))=1,50,5)</f>
        <v>50</v>
      </c>
      <c r="I651" s="5">
        <f>IF(INDEX(ref_Unit_Balance!$T$31:$T$106,MATCH(UnitGradeInfo!B651,ref_Unit_Balance!$B$31:$B$1048576,0))=0,1,INDEX(ref_Unit_Balance!$T$31:$T$106,MATCH(UnitGradeInfo!B651,ref_Unit_Balance!$B$31:$B$1048576,0)))</f>
        <v>5</v>
      </c>
      <c r="J651" s="5">
        <f>INDEX(ref_Unit_Balance!$S$31:$S$106,MATCH(UnitGradeInfo!B651,ref_Unit_Balance!$B$31:$B$1048576,0))</f>
        <v>1100</v>
      </c>
      <c r="K651" s="5">
        <v>0</v>
      </c>
      <c r="L651" s="5">
        <f>INDEX(ref_Unit_Balance!$I$31:$I$106,MATCH(UnitGradeInfo!B651,ref_Unit_Balance!$B$31:$B$1048576,0))</f>
        <v>3</v>
      </c>
      <c r="M651" s="5">
        <f t="shared" si="70"/>
        <v>6</v>
      </c>
      <c r="N651" s="5">
        <f t="shared" si="71"/>
        <v>60</v>
      </c>
      <c r="O651" s="5">
        <f>(INDEX(Unitinfo!I:I,MATCH(B651,Unitinfo!A:A,0))+1)*2</f>
        <v>4</v>
      </c>
      <c r="P651" s="5">
        <v>0</v>
      </c>
      <c r="Q651" s="5">
        <v>0</v>
      </c>
      <c r="R651" s="19" t="s">
        <v>421</v>
      </c>
      <c r="S651" s="19" t="s">
        <v>421</v>
      </c>
      <c r="T651" s="5">
        <f t="shared" si="67"/>
        <v>2031</v>
      </c>
      <c r="U651" s="5">
        <f t="shared" si="68"/>
        <v>1</v>
      </c>
      <c r="V651" s="5">
        <v>0</v>
      </c>
      <c r="W651" s="5">
        <v>10</v>
      </c>
    </row>
    <row r="652" spans="1:23">
      <c r="A652" s="5">
        <f t="shared" si="66"/>
        <v>649</v>
      </c>
      <c r="B652" s="93">
        <f t="shared" si="69"/>
        <v>2031</v>
      </c>
      <c r="C652" s="20" t="str">
        <f>INDEX(Unitinfo!C:C,MATCH(UnitGradeInfo!B652,Unitinfo!A:A,0))</f>
        <v>(원거리)Armor_Skeleton_Witch</v>
      </c>
      <c r="D652" s="5">
        <f>COUNTIF($B$4:B652,B652)</f>
        <v>4</v>
      </c>
      <c r="E652" s="5">
        <f>ROUNDDOWN(INDEX(ref_Unit_Balance!$G$31:$G$106,MATCH(UnitGradeInfo!B652,ref_Unit_Balance!$B$31:$B$1048576,0))
+INDEX(ref_Unit_Balance!$G$20:$G$23,MATCH(IFERROR(INDEX(ref_Unit_Balance!$D$31:$D$1048576,MATCH(B652,ref_Unit_Balance!$B$31:$B$1048576,0)),0),ref_Unit_Balance!$B$20:$B$23,0))*D652*ref_Unit_Balance!$C$25,0)</f>
        <v>427</v>
      </c>
      <c r="F652" s="5">
        <f>INDEX(ref_Unit_Balance!$V$31:$V$106,MATCH(UnitGradeInfo!B652,ref_Unit_Balance!$B$31:$B$1048576,0))
+
INDEX(ref_Unit_Balance!$AB$31:$AB$106,MATCH(UnitGradeInfo!B652,ref_Unit_Balance!$B$31:$B$1048576,0))*(D652-1)</f>
        <v>2350</v>
      </c>
      <c r="G652" s="5">
        <f>INDEX(ref_Unit_Balance!$R$31:$R$106,MATCH(UnitGradeInfo!B652,ref_Unit_Balance!$B$31:$B$1048576,0))
+
INDEX(ref_Unit_Balance!$AA$31:$AA$106,MATCH(UnitGradeInfo!B652,ref_Unit_Balance!$B$31:$B$1048576,0))*(D652-1)</f>
        <v>251</v>
      </c>
      <c r="H652" s="39">
        <f>IF(INDEX(Unitinfo!D:D,MATCH(UnitGradeInfo!B652,Unitinfo!A:A,0))=1,50,5)</f>
        <v>50</v>
      </c>
      <c r="I652" s="5">
        <f>IF(INDEX(ref_Unit_Balance!$T$31:$T$106,MATCH(UnitGradeInfo!B652,ref_Unit_Balance!$B$31:$B$1048576,0))=0,1,INDEX(ref_Unit_Balance!$T$31:$T$106,MATCH(UnitGradeInfo!B652,ref_Unit_Balance!$B$31:$B$1048576,0)))</f>
        <v>5</v>
      </c>
      <c r="J652" s="5">
        <f>INDEX(ref_Unit_Balance!$S$31:$S$106,MATCH(UnitGradeInfo!B652,ref_Unit_Balance!$B$31:$B$1048576,0))</f>
        <v>1100</v>
      </c>
      <c r="K652" s="5">
        <v>0</v>
      </c>
      <c r="L652" s="5">
        <f>INDEX(ref_Unit_Balance!$I$31:$I$106,MATCH(UnitGradeInfo!B652,ref_Unit_Balance!$B$31:$B$1048576,0))</f>
        <v>3</v>
      </c>
      <c r="M652" s="5">
        <f t="shared" si="70"/>
        <v>8</v>
      </c>
      <c r="N652" s="5">
        <f t="shared" si="71"/>
        <v>80</v>
      </c>
      <c r="O652" s="5">
        <f>(INDEX(Unitinfo!I:I,MATCH(B652,Unitinfo!A:A,0))+1)*2</f>
        <v>4</v>
      </c>
      <c r="P652" s="5">
        <v>0</v>
      </c>
      <c r="Q652" s="5">
        <v>0</v>
      </c>
      <c r="R652" s="19" t="s">
        <v>421</v>
      </c>
      <c r="S652" s="19" t="s">
        <v>421</v>
      </c>
      <c r="T652" s="5">
        <f t="shared" si="67"/>
        <v>2031</v>
      </c>
      <c r="U652" s="5">
        <f t="shared" si="68"/>
        <v>1</v>
      </c>
      <c r="V652" s="5">
        <v>0</v>
      </c>
      <c r="W652" s="5">
        <v>10</v>
      </c>
    </row>
    <row r="653" spans="1:23">
      <c r="A653" s="5">
        <f t="shared" si="66"/>
        <v>650</v>
      </c>
      <c r="B653" s="93">
        <f t="shared" si="69"/>
        <v>2031</v>
      </c>
      <c r="C653" s="20" t="str">
        <f>INDEX(Unitinfo!C:C,MATCH(UnitGradeInfo!B653,Unitinfo!A:A,0))</f>
        <v>(원거리)Armor_Skeleton_Witch</v>
      </c>
      <c r="D653" s="5">
        <f>COUNTIF($B$4:B653,B653)</f>
        <v>5</v>
      </c>
      <c r="E653" s="5">
        <f>ROUNDDOWN(INDEX(ref_Unit_Balance!$G$31:$G$106,MATCH(UnitGradeInfo!B653,ref_Unit_Balance!$B$31:$B$1048576,0))
+INDEX(ref_Unit_Balance!$G$20:$G$23,MATCH(IFERROR(INDEX(ref_Unit_Balance!$D$31:$D$1048576,MATCH(B653,ref_Unit_Balance!$B$31:$B$1048576,0)),0),ref_Unit_Balance!$B$20:$B$23,0))*D653*ref_Unit_Balance!$C$25,0)</f>
        <v>489</v>
      </c>
      <c r="F653" s="5">
        <f>INDEX(ref_Unit_Balance!$V$31:$V$106,MATCH(UnitGradeInfo!B653,ref_Unit_Balance!$B$31:$B$1048576,0))
+
INDEX(ref_Unit_Balance!$AB$31:$AB$106,MATCH(UnitGradeInfo!B653,ref_Unit_Balance!$B$31:$B$1048576,0))*(D653-1)</f>
        <v>2550</v>
      </c>
      <c r="G653" s="5">
        <f>INDEX(ref_Unit_Balance!$R$31:$R$106,MATCH(UnitGradeInfo!B653,ref_Unit_Balance!$B$31:$B$1048576,0))
+
INDEX(ref_Unit_Balance!$AA$31:$AA$106,MATCH(UnitGradeInfo!B653,ref_Unit_Balance!$B$31:$B$1048576,0))*(D653-1)</f>
        <v>265</v>
      </c>
      <c r="H653" s="39">
        <f>IF(INDEX(Unitinfo!D:D,MATCH(UnitGradeInfo!B653,Unitinfo!A:A,0))=1,50,5)</f>
        <v>50</v>
      </c>
      <c r="I653" s="5">
        <f>IF(INDEX(ref_Unit_Balance!$T$31:$T$106,MATCH(UnitGradeInfo!B653,ref_Unit_Balance!$B$31:$B$1048576,0))=0,1,INDEX(ref_Unit_Balance!$T$31:$T$106,MATCH(UnitGradeInfo!B653,ref_Unit_Balance!$B$31:$B$1048576,0)))</f>
        <v>5</v>
      </c>
      <c r="J653" s="5">
        <f>INDEX(ref_Unit_Balance!$S$31:$S$106,MATCH(UnitGradeInfo!B653,ref_Unit_Balance!$B$31:$B$1048576,0))</f>
        <v>1100</v>
      </c>
      <c r="K653" s="5">
        <v>0</v>
      </c>
      <c r="L653" s="5">
        <f>INDEX(ref_Unit_Balance!$I$31:$I$106,MATCH(UnitGradeInfo!B653,ref_Unit_Balance!$B$31:$B$1048576,0))</f>
        <v>3</v>
      </c>
      <c r="M653" s="5">
        <f t="shared" si="70"/>
        <v>10</v>
      </c>
      <c r="N653" s="5">
        <f t="shared" si="71"/>
        <v>100</v>
      </c>
      <c r="O653" s="5">
        <f>(INDEX(Unitinfo!I:I,MATCH(B653,Unitinfo!A:A,0))+1)*2</f>
        <v>4</v>
      </c>
      <c r="P653" s="5">
        <v>0</v>
      </c>
      <c r="Q653" s="5">
        <v>0</v>
      </c>
      <c r="R653" s="19" t="s">
        <v>421</v>
      </c>
      <c r="S653" s="19" t="s">
        <v>421</v>
      </c>
      <c r="T653" s="5">
        <f t="shared" si="67"/>
        <v>2031</v>
      </c>
      <c r="U653" s="5">
        <f t="shared" si="68"/>
        <v>1</v>
      </c>
      <c r="V653" s="5">
        <v>0</v>
      </c>
      <c r="W653" s="5">
        <v>10</v>
      </c>
    </row>
    <row r="654" spans="1:23">
      <c r="A654" s="5">
        <f t="shared" si="66"/>
        <v>651</v>
      </c>
      <c r="B654" s="93">
        <f t="shared" si="69"/>
        <v>2031</v>
      </c>
      <c r="C654" s="20" t="str">
        <f>INDEX(Unitinfo!C:C,MATCH(UnitGradeInfo!B654,Unitinfo!A:A,0))</f>
        <v>(원거리)Armor_Skeleton_Witch</v>
      </c>
      <c r="D654" s="5">
        <f>COUNTIF($B$4:B654,B654)</f>
        <v>6</v>
      </c>
      <c r="E654" s="5">
        <f>ROUNDDOWN(INDEX(ref_Unit_Balance!$G$31:$G$106,MATCH(UnitGradeInfo!B654,ref_Unit_Balance!$B$31:$B$1048576,0))
+INDEX(ref_Unit_Balance!$G$20:$G$23,MATCH(IFERROR(INDEX(ref_Unit_Balance!$D$31:$D$1048576,MATCH(B654,ref_Unit_Balance!$B$31:$B$1048576,0)),0),ref_Unit_Balance!$B$20:$B$23,0))*D654*ref_Unit_Balance!$C$25,0)</f>
        <v>552</v>
      </c>
      <c r="F654" s="5">
        <f>INDEX(ref_Unit_Balance!$V$31:$V$106,MATCH(UnitGradeInfo!B654,ref_Unit_Balance!$B$31:$B$1048576,0))
+
INDEX(ref_Unit_Balance!$AB$31:$AB$106,MATCH(UnitGradeInfo!B654,ref_Unit_Balance!$B$31:$B$1048576,0))*(D654-1)</f>
        <v>2750</v>
      </c>
      <c r="G654" s="5">
        <f>INDEX(ref_Unit_Balance!$R$31:$R$106,MATCH(UnitGradeInfo!B654,ref_Unit_Balance!$B$31:$B$1048576,0))
+
INDEX(ref_Unit_Balance!$AA$31:$AA$106,MATCH(UnitGradeInfo!B654,ref_Unit_Balance!$B$31:$B$1048576,0))*(D654-1)</f>
        <v>279</v>
      </c>
      <c r="H654" s="39">
        <f>IF(INDEX(Unitinfo!D:D,MATCH(UnitGradeInfo!B654,Unitinfo!A:A,0))=1,50,5)</f>
        <v>50</v>
      </c>
      <c r="I654" s="5">
        <f>IF(INDEX(ref_Unit_Balance!$T$31:$T$106,MATCH(UnitGradeInfo!B654,ref_Unit_Balance!$B$31:$B$1048576,0))=0,1,INDEX(ref_Unit_Balance!$T$31:$T$106,MATCH(UnitGradeInfo!B654,ref_Unit_Balance!$B$31:$B$1048576,0)))</f>
        <v>5</v>
      </c>
      <c r="J654" s="5">
        <f>INDEX(ref_Unit_Balance!$S$31:$S$106,MATCH(UnitGradeInfo!B654,ref_Unit_Balance!$B$31:$B$1048576,0))</f>
        <v>1100</v>
      </c>
      <c r="K654" s="5">
        <v>0</v>
      </c>
      <c r="L654" s="5">
        <f>INDEX(ref_Unit_Balance!$I$31:$I$106,MATCH(UnitGradeInfo!B654,ref_Unit_Balance!$B$31:$B$1048576,0))</f>
        <v>3</v>
      </c>
      <c r="M654" s="5">
        <f t="shared" si="70"/>
        <v>12</v>
      </c>
      <c r="N654" s="5">
        <f t="shared" si="71"/>
        <v>120</v>
      </c>
      <c r="O654" s="5">
        <f>(INDEX(Unitinfo!I:I,MATCH(B654,Unitinfo!A:A,0))+1)*2</f>
        <v>4</v>
      </c>
      <c r="P654" s="5">
        <v>0</v>
      </c>
      <c r="Q654" s="5">
        <v>0</v>
      </c>
      <c r="R654" s="19" t="s">
        <v>421</v>
      </c>
      <c r="S654" s="19" t="s">
        <v>421</v>
      </c>
      <c r="T654" s="5">
        <f t="shared" si="67"/>
        <v>2031</v>
      </c>
      <c r="U654" s="5">
        <f t="shared" si="68"/>
        <v>1</v>
      </c>
      <c r="V654" s="5">
        <v>0</v>
      </c>
      <c r="W654" s="5">
        <v>10</v>
      </c>
    </row>
    <row r="655" spans="1:23">
      <c r="A655" s="5">
        <f t="shared" si="66"/>
        <v>652</v>
      </c>
      <c r="B655" s="93">
        <f t="shared" si="69"/>
        <v>2031</v>
      </c>
      <c r="C655" s="20" t="str">
        <f>INDEX(Unitinfo!C:C,MATCH(UnitGradeInfo!B655,Unitinfo!A:A,0))</f>
        <v>(원거리)Armor_Skeleton_Witch</v>
      </c>
      <c r="D655" s="5">
        <f>COUNTIF($B$4:B655,B655)</f>
        <v>7</v>
      </c>
      <c r="E655" s="5">
        <f>ROUNDDOWN(INDEX(ref_Unit_Balance!$G$31:$G$106,MATCH(UnitGradeInfo!B655,ref_Unit_Balance!$B$31:$B$1048576,0))
+INDEX(ref_Unit_Balance!$G$20:$G$23,MATCH(IFERROR(INDEX(ref_Unit_Balance!$D$31:$D$1048576,MATCH(B655,ref_Unit_Balance!$B$31:$B$1048576,0)),0),ref_Unit_Balance!$B$20:$B$23,0))*D655*ref_Unit_Balance!$C$25,0)</f>
        <v>614</v>
      </c>
      <c r="F655" s="5">
        <f>INDEX(ref_Unit_Balance!$V$31:$V$106,MATCH(UnitGradeInfo!B655,ref_Unit_Balance!$B$31:$B$1048576,0))
+
INDEX(ref_Unit_Balance!$AB$31:$AB$106,MATCH(UnitGradeInfo!B655,ref_Unit_Balance!$B$31:$B$1048576,0))*(D655-1)</f>
        <v>2950</v>
      </c>
      <c r="G655" s="5">
        <f>INDEX(ref_Unit_Balance!$R$31:$R$106,MATCH(UnitGradeInfo!B655,ref_Unit_Balance!$B$31:$B$1048576,0))
+
INDEX(ref_Unit_Balance!$AA$31:$AA$106,MATCH(UnitGradeInfo!B655,ref_Unit_Balance!$B$31:$B$1048576,0))*(D655-1)</f>
        <v>293</v>
      </c>
      <c r="H655" s="39">
        <f>IF(INDEX(Unitinfo!D:D,MATCH(UnitGradeInfo!B655,Unitinfo!A:A,0))=1,50,5)</f>
        <v>50</v>
      </c>
      <c r="I655" s="5">
        <f>IF(INDEX(ref_Unit_Balance!$T$31:$T$106,MATCH(UnitGradeInfo!B655,ref_Unit_Balance!$B$31:$B$1048576,0))=0,1,INDEX(ref_Unit_Balance!$T$31:$T$106,MATCH(UnitGradeInfo!B655,ref_Unit_Balance!$B$31:$B$1048576,0)))</f>
        <v>5</v>
      </c>
      <c r="J655" s="5">
        <f>INDEX(ref_Unit_Balance!$S$31:$S$106,MATCH(UnitGradeInfo!B655,ref_Unit_Balance!$B$31:$B$1048576,0))</f>
        <v>1100</v>
      </c>
      <c r="K655" s="5">
        <v>0</v>
      </c>
      <c r="L655" s="5">
        <f>INDEX(ref_Unit_Balance!$I$31:$I$106,MATCH(UnitGradeInfo!B655,ref_Unit_Balance!$B$31:$B$1048576,0))</f>
        <v>3</v>
      </c>
      <c r="M655" s="5">
        <f t="shared" si="70"/>
        <v>14</v>
      </c>
      <c r="N655" s="5">
        <f t="shared" si="71"/>
        <v>140</v>
      </c>
      <c r="O655" s="5">
        <f>(INDEX(Unitinfo!I:I,MATCH(B655,Unitinfo!A:A,0))+1)*2</f>
        <v>4</v>
      </c>
      <c r="P655" s="5">
        <v>0</v>
      </c>
      <c r="Q655" s="5">
        <v>0</v>
      </c>
      <c r="R655" s="19" t="s">
        <v>421</v>
      </c>
      <c r="S655" s="19" t="s">
        <v>421</v>
      </c>
      <c r="T655" s="5">
        <f t="shared" si="67"/>
        <v>2031</v>
      </c>
      <c r="U655" s="5">
        <f t="shared" si="68"/>
        <v>1</v>
      </c>
      <c r="V655" s="5">
        <v>0</v>
      </c>
      <c r="W655" s="5">
        <v>10</v>
      </c>
    </row>
    <row r="656" spans="1:23">
      <c r="A656" s="5">
        <f t="shared" si="66"/>
        <v>653</v>
      </c>
      <c r="B656" s="93">
        <f t="shared" si="69"/>
        <v>2031</v>
      </c>
      <c r="C656" s="20" t="str">
        <f>INDEX(Unitinfo!C:C,MATCH(UnitGradeInfo!B656,Unitinfo!A:A,0))</f>
        <v>(원거리)Armor_Skeleton_Witch</v>
      </c>
      <c r="D656" s="5">
        <f>COUNTIF($B$4:B656,B656)</f>
        <v>8</v>
      </c>
      <c r="E656" s="5">
        <f>ROUNDDOWN(INDEX(ref_Unit_Balance!$G$31:$G$106,MATCH(UnitGradeInfo!B656,ref_Unit_Balance!$B$31:$B$1048576,0))
+INDEX(ref_Unit_Balance!$G$20:$G$23,MATCH(IFERROR(INDEX(ref_Unit_Balance!$D$31:$D$1048576,MATCH(B656,ref_Unit_Balance!$B$31:$B$1048576,0)),0),ref_Unit_Balance!$B$20:$B$23,0))*D656*ref_Unit_Balance!$C$25,0)</f>
        <v>677</v>
      </c>
      <c r="F656" s="5">
        <f>INDEX(ref_Unit_Balance!$V$31:$V$106,MATCH(UnitGradeInfo!B656,ref_Unit_Balance!$B$31:$B$1048576,0))
+
INDEX(ref_Unit_Balance!$AB$31:$AB$106,MATCH(UnitGradeInfo!B656,ref_Unit_Balance!$B$31:$B$1048576,0))*(D656-1)</f>
        <v>3150</v>
      </c>
      <c r="G656" s="5">
        <f>INDEX(ref_Unit_Balance!$R$31:$R$106,MATCH(UnitGradeInfo!B656,ref_Unit_Balance!$B$31:$B$1048576,0))
+
INDEX(ref_Unit_Balance!$AA$31:$AA$106,MATCH(UnitGradeInfo!B656,ref_Unit_Balance!$B$31:$B$1048576,0))*(D656-1)</f>
        <v>307</v>
      </c>
      <c r="H656" s="39">
        <f>IF(INDEX(Unitinfo!D:D,MATCH(UnitGradeInfo!B656,Unitinfo!A:A,0))=1,50,5)</f>
        <v>50</v>
      </c>
      <c r="I656" s="5">
        <f>IF(INDEX(ref_Unit_Balance!$T$31:$T$106,MATCH(UnitGradeInfo!B656,ref_Unit_Balance!$B$31:$B$1048576,0))=0,1,INDEX(ref_Unit_Balance!$T$31:$T$106,MATCH(UnitGradeInfo!B656,ref_Unit_Balance!$B$31:$B$1048576,0)))</f>
        <v>5</v>
      </c>
      <c r="J656" s="5">
        <f>INDEX(ref_Unit_Balance!$S$31:$S$106,MATCH(UnitGradeInfo!B656,ref_Unit_Balance!$B$31:$B$1048576,0))</f>
        <v>1100</v>
      </c>
      <c r="K656" s="5">
        <v>0</v>
      </c>
      <c r="L656" s="5">
        <f>INDEX(ref_Unit_Balance!$I$31:$I$106,MATCH(UnitGradeInfo!B656,ref_Unit_Balance!$B$31:$B$1048576,0))</f>
        <v>3</v>
      </c>
      <c r="M656" s="5">
        <f t="shared" si="70"/>
        <v>16</v>
      </c>
      <c r="N656" s="5">
        <f t="shared" si="71"/>
        <v>160</v>
      </c>
      <c r="O656" s="5">
        <f>(INDEX(Unitinfo!I:I,MATCH(B656,Unitinfo!A:A,0))+1)*2</f>
        <v>4</v>
      </c>
      <c r="P656" s="5">
        <v>0</v>
      </c>
      <c r="Q656" s="5">
        <v>0</v>
      </c>
      <c r="R656" s="19" t="s">
        <v>421</v>
      </c>
      <c r="S656" s="19" t="s">
        <v>421</v>
      </c>
      <c r="T656" s="5">
        <f t="shared" si="67"/>
        <v>2031</v>
      </c>
      <c r="U656" s="5">
        <f t="shared" si="68"/>
        <v>1</v>
      </c>
      <c r="V656" s="5">
        <v>0</v>
      </c>
      <c r="W656" s="5">
        <v>10</v>
      </c>
    </row>
    <row r="657" spans="1:23">
      <c r="A657" s="5">
        <f t="shared" si="66"/>
        <v>654</v>
      </c>
      <c r="B657" s="93">
        <f t="shared" si="69"/>
        <v>2031</v>
      </c>
      <c r="C657" s="20" t="str">
        <f>INDEX(Unitinfo!C:C,MATCH(UnitGradeInfo!B657,Unitinfo!A:A,0))</f>
        <v>(원거리)Armor_Skeleton_Witch</v>
      </c>
      <c r="D657" s="5">
        <f>COUNTIF($B$4:B657,B657)</f>
        <v>9</v>
      </c>
      <c r="E657" s="5">
        <f>ROUNDDOWN(INDEX(ref_Unit_Balance!$G$31:$G$106,MATCH(UnitGradeInfo!B657,ref_Unit_Balance!$B$31:$B$1048576,0))
+INDEX(ref_Unit_Balance!$G$20:$G$23,MATCH(IFERROR(INDEX(ref_Unit_Balance!$D$31:$D$1048576,MATCH(B657,ref_Unit_Balance!$B$31:$B$1048576,0)),0),ref_Unit_Balance!$B$20:$B$23,0))*D657*ref_Unit_Balance!$C$25,0)</f>
        <v>739</v>
      </c>
      <c r="F657" s="5">
        <f>INDEX(ref_Unit_Balance!$V$31:$V$106,MATCH(UnitGradeInfo!B657,ref_Unit_Balance!$B$31:$B$1048576,0))
+
INDEX(ref_Unit_Balance!$AB$31:$AB$106,MATCH(UnitGradeInfo!B657,ref_Unit_Balance!$B$31:$B$1048576,0))*(D657-1)</f>
        <v>3350</v>
      </c>
      <c r="G657" s="5">
        <f>INDEX(ref_Unit_Balance!$R$31:$R$106,MATCH(UnitGradeInfo!B657,ref_Unit_Balance!$B$31:$B$1048576,0))
+
INDEX(ref_Unit_Balance!$AA$31:$AA$106,MATCH(UnitGradeInfo!B657,ref_Unit_Balance!$B$31:$B$1048576,0))*(D657-1)</f>
        <v>321</v>
      </c>
      <c r="H657" s="39">
        <f>IF(INDEX(Unitinfo!D:D,MATCH(UnitGradeInfo!B657,Unitinfo!A:A,0))=1,50,5)</f>
        <v>50</v>
      </c>
      <c r="I657" s="5">
        <f>IF(INDEX(ref_Unit_Balance!$T$31:$T$106,MATCH(UnitGradeInfo!B657,ref_Unit_Balance!$B$31:$B$1048576,0))=0,1,INDEX(ref_Unit_Balance!$T$31:$T$106,MATCH(UnitGradeInfo!B657,ref_Unit_Balance!$B$31:$B$1048576,0)))</f>
        <v>5</v>
      </c>
      <c r="J657" s="5">
        <f>INDEX(ref_Unit_Balance!$S$31:$S$106,MATCH(UnitGradeInfo!B657,ref_Unit_Balance!$B$31:$B$1048576,0))</f>
        <v>1100</v>
      </c>
      <c r="K657" s="5">
        <v>0</v>
      </c>
      <c r="L657" s="5">
        <f>INDEX(ref_Unit_Balance!$I$31:$I$106,MATCH(UnitGradeInfo!B657,ref_Unit_Balance!$B$31:$B$1048576,0))</f>
        <v>3</v>
      </c>
      <c r="M657" s="5">
        <f t="shared" si="70"/>
        <v>18</v>
      </c>
      <c r="N657" s="5">
        <f t="shared" si="71"/>
        <v>180</v>
      </c>
      <c r="O657" s="5">
        <f>(INDEX(Unitinfo!I:I,MATCH(B657,Unitinfo!A:A,0))+1)*2</f>
        <v>4</v>
      </c>
      <c r="P657" s="5">
        <v>0</v>
      </c>
      <c r="Q657" s="5">
        <v>0</v>
      </c>
      <c r="R657" s="19" t="s">
        <v>421</v>
      </c>
      <c r="S657" s="19" t="s">
        <v>421</v>
      </c>
      <c r="T657" s="5">
        <f t="shared" si="67"/>
        <v>2031</v>
      </c>
      <c r="U657" s="5">
        <f t="shared" si="68"/>
        <v>1</v>
      </c>
      <c r="V657" s="5">
        <v>0</v>
      </c>
      <c r="W657" s="5">
        <v>10</v>
      </c>
    </row>
    <row r="658" spans="1:23">
      <c r="A658" s="5">
        <f t="shared" si="66"/>
        <v>655</v>
      </c>
      <c r="B658" s="93">
        <f t="shared" si="69"/>
        <v>2031</v>
      </c>
      <c r="C658" s="20" t="str">
        <f>INDEX(Unitinfo!C:C,MATCH(UnitGradeInfo!B658,Unitinfo!A:A,0))</f>
        <v>(원거리)Armor_Skeleton_Witch</v>
      </c>
      <c r="D658" s="5">
        <f>COUNTIF($B$4:B658,B658)</f>
        <v>10</v>
      </c>
      <c r="E658" s="5">
        <f>ROUNDDOWN(INDEX(ref_Unit_Balance!$G$31:$G$106,MATCH(UnitGradeInfo!B658,ref_Unit_Balance!$B$31:$B$1048576,0))
+INDEX(ref_Unit_Balance!$G$20:$G$23,MATCH(IFERROR(INDEX(ref_Unit_Balance!$D$31:$D$1048576,MATCH(B658,ref_Unit_Balance!$B$31:$B$1048576,0)),0),ref_Unit_Balance!$B$20:$B$23,0))*D658*ref_Unit_Balance!$C$25,0)</f>
        <v>802</v>
      </c>
      <c r="F658" s="5">
        <f>INDEX(ref_Unit_Balance!$V$31:$V$106,MATCH(UnitGradeInfo!B658,ref_Unit_Balance!$B$31:$B$1048576,0))
+
INDEX(ref_Unit_Balance!$AB$31:$AB$106,MATCH(UnitGradeInfo!B658,ref_Unit_Balance!$B$31:$B$1048576,0))*(D658-1)</f>
        <v>3550</v>
      </c>
      <c r="G658" s="5">
        <f>INDEX(ref_Unit_Balance!$R$31:$R$106,MATCH(UnitGradeInfo!B658,ref_Unit_Balance!$B$31:$B$1048576,0))
+
INDEX(ref_Unit_Balance!$AA$31:$AA$106,MATCH(UnitGradeInfo!B658,ref_Unit_Balance!$B$31:$B$1048576,0))*(D658-1)</f>
        <v>335</v>
      </c>
      <c r="H658" s="39">
        <f>IF(INDEX(Unitinfo!D:D,MATCH(UnitGradeInfo!B658,Unitinfo!A:A,0))=1,50,5)</f>
        <v>50</v>
      </c>
      <c r="I658" s="5">
        <f>IF(INDEX(ref_Unit_Balance!$T$31:$T$106,MATCH(UnitGradeInfo!B658,ref_Unit_Balance!$B$31:$B$1048576,0))=0,1,INDEX(ref_Unit_Balance!$T$31:$T$106,MATCH(UnitGradeInfo!B658,ref_Unit_Balance!$B$31:$B$1048576,0)))</f>
        <v>5</v>
      </c>
      <c r="J658" s="5">
        <f>INDEX(ref_Unit_Balance!$S$31:$S$106,MATCH(UnitGradeInfo!B658,ref_Unit_Balance!$B$31:$B$1048576,0))</f>
        <v>1100</v>
      </c>
      <c r="K658" s="5">
        <v>0</v>
      </c>
      <c r="L658" s="5">
        <f>INDEX(ref_Unit_Balance!$I$31:$I$106,MATCH(UnitGradeInfo!B658,ref_Unit_Balance!$B$31:$B$1048576,0))</f>
        <v>3</v>
      </c>
      <c r="M658" s="5">
        <f t="shared" si="70"/>
        <v>20</v>
      </c>
      <c r="N658" s="5">
        <f t="shared" si="71"/>
        <v>200</v>
      </c>
      <c r="O658" s="5">
        <f>(INDEX(Unitinfo!I:I,MATCH(B658,Unitinfo!A:A,0))+1)*2</f>
        <v>4</v>
      </c>
      <c r="P658" s="5">
        <v>0</v>
      </c>
      <c r="Q658" s="5">
        <v>0</v>
      </c>
      <c r="R658" s="19" t="s">
        <v>421</v>
      </c>
      <c r="S658" s="19" t="s">
        <v>421</v>
      </c>
      <c r="T658" s="5">
        <f t="shared" si="67"/>
        <v>2031</v>
      </c>
      <c r="U658" s="5">
        <f t="shared" si="68"/>
        <v>1</v>
      </c>
      <c r="V658" s="5">
        <v>0</v>
      </c>
      <c r="W658" s="5">
        <v>10</v>
      </c>
    </row>
    <row r="659" spans="1:23">
      <c r="A659" s="5">
        <f t="shared" si="66"/>
        <v>656</v>
      </c>
      <c r="B659" s="93">
        <f t="shared" si="69"/>
        <v>2031</v>
      </c>
      <c r="C659" s="20" t="str">
        <f>INDEX(Unitinfo!C:C,MATCH(UnitGradeInfo!B659,Unitinfo!A:A,0))</f>
        <v>(원거리)Armor_Skeleton_Witch</v>
      </c>
      <c r="D659" s="5">
        <f>COUNTIF($B$4:B659,B659)</f>
        <v>11</v>
      </c>
      <c r="E659" s="5">
        <f>ROUNDDOWN(INDEX(ref_Unit_Balance!$G$31:$G$106,MATCH(UnitGradeInfo!B659,ref_Unit_Balance!$B$31:$B$1048576,0))
+INDEX(ref_Unit_Balance!$G$20:$G$23,MATCH(IFERROR(INDEX(ref_Unit_Balance!$D$31:$D$1048576,MATCH(B659,ref_Unit_Balance!$B$31:$B$1048576,0)),0),ref_Unit_Balance!$B$20:$B$23,0))*D659*ref_Unit_Balance!$C$25,0)</f>
        <v>864</v>
      </c>
      <c r="F659" s="5">
        <f>INDEX(ref_Unit_Balance!$V$31:$V$106,MATCH(UnitGradeInfo!B659,ref_Unit_Balance!$B$31:$B$1048576,0))
+
INDEX(ref_Unit_Balance!$AB$31:$AB$106,MATCH(UnitGradeInfo!B659,ref_Unit_Balance!$B$31:$B$1048576,0))*(D659-1)</f>
        <v>3750</v>
      </c>
      <c r="G659" s="5">
        <f>INDEX(ref_Unit_Balance!$R$31:$R$106,MATCH(UnitGradeInfo!B659,ref_Unit_Balance!$B$31:$B$1048576,0))
+
INDEX(ref_Unit_Balance!$AA$31:$AA$106,MATCH(UnitGradeInfo!B659,ref_Unit_Balance!$B$31:$B$1048576,0))*(D659-1)</f>
        <v>349</v>
      </c>
      <c r="H659" s="39">
        <f>IF(INDEX(Unitinfo!D:D,MATCH(UnitGradeInfo!B659,Unitinfo!A:A,0))=1,50,5)</f>
        <v>50</v>
      </c>
      <c r="I659" s="5">
        <f>IF(INDEX(ref_Unit_Balance!$T$31:$T$106,MATCH(UnitGradeInfo!B659,ref_Unit_Balance!$B$31:$B$1048576,0))=0,1,INDEX(ref_Unit_Balance!$T$31:$T$106,MATCH(UnitGradeInfo!B659,ref_Unit_Balance!$B$31:$B$1048576,0)))</f>
        <v>5</v>
      </c>
      <c r="J659" s="5">
        <f>INDEX(ref_Unit_Balance!$S$31:$S$106,MATCH(UnitGradeInfo!B659,ref_Unit_Balance!$B$31:$B$1048576,0))</f>
        <v>1100</v>
      </c>
      <c r="K659" s="5">
        <v>0</v>
      </c>
      <c r="L659" s="5">
        <f>INDEX(ref_Unit_Balance!$I$31:$I$106,MATCH(UnitGradeInfo!B659,ref_Unit_Balance!$B$31:$B$1048576,0))</f>
        <v>3</v>
      </c>
      <c r="M659" s="5">
        <f t="shared" si="70"/>
        <v>22</v>
      </c>
      <c r="N659" s="5">
        <f t="shared" si="71"/>
        <v>220</v>
      </c>
      <c r="O659" s="5">
        <f>(INDEX(Unitinfo!I:I,MATCH(B659,Unitinfo!A:A,0))+1)*2</f>
        <v>4</v>
      </c>
      <c r="P659" s="5">
        <v>0</v>
      </c>
      <c r="Q659" s="5">
        <v>0</v>
      </c>
      <c r="R659" s="19" t="s">
        <v>421</v>
      </c>
      <c r="S659" s="19" t="s">
        <v>421</v>
      </c>
      <c r="T659" s="5">
        <f t="shared" si="67"/>
        <v>2031</v>
      </c>
      <c r="U659" s="5">
        <f t="shared" si="68"/>
        <v>1</v>
      </c>
      <c r="V659" s="5">
        <v>0</v>
      </c>
      <c r="W659" s="5">
        <v>10</v>
      </c>
    </row>
    <row r="660" spans="1:23">
      <c r="A660" s="5">
        <f t="shared" si="66"/>
        <v>657</v>
      </c>
      <c r="B660" s="93">
        <f t="shared" si="69"/>
        <v>2031</v>
      </c>
      <c r="C660" s="20" t="str">
        <f>INDEX(Unitinfo!C:C,MATCH(UnitGradeInfo!B660,Unitinfo!A:A,0))</f>
        <v>(원거리)Armor_Skeleton_Witch</v>
      </c>
      <c r="D660" s="5">
        <f>COUNTIF($B$4:B660,B660)</f>
        <v>12</v>
      </c>
      <c r="E660" s="5">
        <f>ROUNDDOWN(INDEX(ref_Unit_Balance!$G$31:$G$106,MATCH(UnitGradeInfo!B660,ref_Unit_Balance!$B$31:$B$1048576,0))
+INDEX(ref_Unit_Balance!$G$20:$G$23,MATCH(IFERROR(INDEX(ref_Unit_Balance!$D$31:$D$1048576,MATCH(B660,ref_Unit_Balance!$B$31:$B$1048576,0)),0),ref_Unit_Balance!$B$20:$B$23,0))*D660*ref_Unit_Balance!$C$25,0)</f>
        <v>927</v>
      </c>
      <c r="F660" s="5">
        <f>INDEX(ref_Unit_Balance!$V$31:$V$106,MATCH(UnitGradeInfo!B660,ref_Unit_Balance!$B$31:$B$1048576,0))
+
INDEX(ref_Unit_Balance!$AB$31:$AB$106,MATCH(UnitGradeInfo!B660,ref_Unit_Balance!$B$31:$B$1048576,0))*(D660-1)</f>
        <v>3950</v>
      </c>
      <c r="G660" s="5">
        <f>INDEX(ref_Unit_Balance!$R$31:$R$106,MATCH(UnitGradeInfo!B660,ref_Unit_Balance!$B$31:$B$1048576,0))
+
INDEX(ref_Unit_Balance!$AA$31:$AA$106,MATCH(UnitGradeInfo!B660,ref_Unit_Balance!$B$31:$B$1048576,0))*(D660-1)</f>
        <v>363</v>
      </c>
      <c r="H660" s="39">
        <f>IF(INDEX(Unitinfo!D:D,MATCH(UnitGradeInfo!B660,Unitinfo!A:A,0))=1,50,5)</f>
        <v>50</v>
      </c>
      <c r="I660" s="5">
        <f>IF(INDEX(ref_Unit_Balance!$T$31:$T$106,MATCH(UnitGradeInfo!B660,ref_Unit_Balance!$B$31:$B$1048576,0))=0,1,INDEX(ref_Unit_Balance!$T$31:$T$106,MATCH(UnitGradeInfo!B660,ref_Unit_Balance!$B$31:$B$1048576,0)))</f>
        <v>5</v>
      </c>
      <c r="J660" s="5">
        <f>INDEX(ref_Unit_Balance!$S$31:$S$106,MATCH(UnitGradeInfo!B660,ref_Unit_Balance!$B$31:$B$1048576,0))</f>
        <v>1100</v>
      </c>
      <c r="K660" s="5">
        <v>0</v>
      </c>
      <c r="L660" s="5">
        <f>INDEX(ref_Unit_Balance!$I$31:$I$106,MATCH(UnitGradeInfo!B660,ref_Unit_Balance!$B$31:$B$1048576,0))</f>
        <v>3</v>
      </c>
      <c r="M660" s="5">
        <f t="shared" si="70"/>
        <v>24</v>
      </c>
      <c r="N660" s="5">
        <f t="shared" si="71"/>
        <v>240</v>
      </c>
      <c r="O660" s="5">
        <f>(INDEX(Unitinfo!I:I,MATCH(B660,Unitinfo!A:A,0))+1)*2</f>
        <v>4</v>
      </c>
      <c r="P660" s="5">
        <v>0</v>
      </c>
      <c r="Q660" s="5">
        <v>0</v>
      </c>
      <c r="R660" s="19" t="s">
        <v>421</v>
      </c>
      <c r="S660" s="19" t="s">
        <v>421</v>
      </c>
      <c r="T660" s="5">
        <f t="shared" si="67"/>
        <v>2031</v>
      </c>
      <c r="U660" s="5">
        <f t="shared" si="68"/>
        <v>1</v>
      </c>
      <c r="V660" s="5">
        <v>0</v>
      </c>
      <c r="W660" s="5">
        <v>10</v>
      </c>
    </row>
    <row r="661" spans="1:23">
      <c r="A661" s="5">
        <f t="shared" si="66"/>
        <v>658</v>
      </c>
      <c r="B661" s="93">
        <f t="shared" si="69"/>
        <v>2031</v>
      </c>
      <c r="C661" s="20" t="str">
        <f>INDEX(Unitinfo!C:C,MATCH(UnitGradeInfo!B661,Unitinfo!A:A,0))</f>
        <v>(원거리)Armor_Skeleton_Witch</v>
      </c>
      <c r="D661" s="5">
        <f>COUNTIF($B$4:B661,B661)</f>
        <v>13</v>
      </c>
      <c r="E661" s="5">
        <f>ROUNDDOWN(INDEX(ref_Unit_Balance!$G$31:$G$106,MATCH(UnitGradeInfo!B661,ref_Unit_Balance!$B$31:$B$1048576,0))
+INDEX(ref_Unit_Balance!$G$20:$G$23,MATCH(IFERROR(INDEX(ref_Unit_Balance!$D$31:$D$1048576,MATCH(B661,ref_Unit_Balance!$B$31:$B$1048576,0)),0),ref_Unit_Balance!$B$20:$B$23,0))*D661*ref_Unit_Balance!$C$25,0)</f>
        <v>989</v>
      </c>
      <c r="F661" s="5">
        <f>INDEX(ref_Unit_Balance!$V$31:$V$106,MATCH(UnitGradeInfo!B661,ref_Unit_Balance!$B$31:$B$1048576,0))
+
INDEX(ref_Unit_Balance!$AB$31:$AB$106,MATCH(UnitGradeInfo!B661,ref_Unit_Balance!$B$31:$B$1048576,0))*(D661-1)</f>
        <v>4150</v>
      </c>
      <c r="G661" s="5">
        <f>INDEX(ref_Unit_Balance!$R$31:$R$106,MATCH(UnitGradeInfo!B661,ref_Unit_Balance!$B$31:$B$1048576,0))
+
INDEX(ref_Unit_Balance!$AA$31:$AA$106,MATCH(UnitGradeInfo!B661,ref_Unit_Balance!$B$31:$B$1048576,0))*(D661-1)</f>
        <v>377</v>
      </c>
      <c r="H661" s="39">
        <f>IF(INDEX(Unitinfo!D:D,MATCH(UnitGradeInfo!B661,Unitinfo!A:A,0))=1,50,5)</f>
        <v>50</v>
      </c>
      <c r="I661" s="5">
        <f>IF(INDEX(ref_Unit_Balance!$T$31:$T$106,MATCH(UnitGradeInfo!B661,ref_Unit_Balance!$B$31:$B$1048576,0))=0,1,INDEX(ref_Unit_Balance!$T$31:$T$106,MATCH(UnitGradeInfo!B661,ref_Unit_Balance!$B$31:$B$1048576,0)))</f>
        <v>5</v>
      </c>
      <c r="J661" s="5">
        <f>INDEX(ref_Unit_Balance!$S$31:$S$106,MATCH(UnitGradeInfo!B661,ref_Unit_Balance!$B$31:$B$1048576,0))</f>
        <v>1100</v>
      </c>
      <c r="K661" s="5">
        <v>0</v>
      </c>
      <c r="L661" s="5">
        <f>INDEX(ref_Unit_Balance!$I$31:$I$106,MATCH(UnitGradeInfo!B661,ref_Unit_Balance!$B$31:$B$1048576,0))</f>
        <v>3</v>
      </c>
      <c r="M661" s="5">
        <f t="shared" si="70"/>
        <v>26</v>
      </c>
      <c r="N661" s="5">
        <f t="shared" si="71"/>
        <v>260</v>
      </c>
      <c r="O661" s="5">
        <f>(INDEX(Unitinfo!I:I,MATCH(B661,Unitinfo!A:A,0))+1)*2</f>
        <v>4</v>
      </c>
      <c r="P661" s="5">
        <v>0</v>
      </c>
      <c r="Q661" s="5">
        <v>0</v>
      </c>
      <c r="R661" s="19" t="s">
        <v>421</v>
      </c>
      <c r="S661" s="19" t="s">
        <v>421</v>
      </c>
      <c r="T661" s="5">
        <f t="shared" si="67"/>
        <v>2031</v>
      </c>
      <c r="U661" s="5">
        <f t="shared" si="68"/>
        <v>1</v>
      </c>
      <c r="V661" s="5">
        <v>0</v>
      </c>
      <c r="W661" s="5">
        <v>10</v>
      </c>
    </row>
    <row r="662" spans="1:23">
      <c r="A662" s="5">
        <f t="shared" si="66"/>
        <v>659</v>
      </c>
      <c r="B662" s="93">
        <f t="shared" si="69"/>
        <v>2031</v>
      </c>
      <c r="C662" s="20" t="str">
        <f>INDEX(Unitinfo!C:C,MATCH(UnitGradeInfo!B662,Unitinfo!A:A,0))</f>
        <v>(원거리)Armor_Skeleton_Witch</v>
      </c>
      <c r="D662" s="5">
        <f>COUNTIF($B$4:B662,B662)</f>
        <v>14</v>
      </c>
      <c r="E662" s="5">
        <f>ROUNDDOWN(INDEX(ref_Unit_Balance!$G$31:$G$106,MATCH(UnitGradeInfo!B662,ref_Unit_Balance!$B$31:$B$1048576,0))
+INDEX(ref_Unit_Balance!$G$20:$G$23,MATCH(IFERROR(INDEX(ref_Unit_Balance!$D$31:$D$1048576,MATCH(B662,ref_Unit_Balance!$B$31:$B$1048576,0)),0),ref_Unit_Balance!$B$20:$B$23,0))*D662*ref_Unit_Balance!$C$25,0)</f>
        <v>1052</v>
      </c>
      <c r="F662" s="5">
        <f>INDEX(ref_Unit_Balance!$V$31:$V$106,MATCH(UnitGradeInfo!B662,ref_Unit_Balance!$B$31:$B$1048576,0))
+
INDEX(ref_Unit_Balance!$AB$31:$AB$106,MATCH(UnitGradeInfo!B662,ref_Unit_Balance!$B$31:$B$1048576,0))*(D662-1)</f>
        <v>4350</v>
      </c>
      <c r="G662" s="5">
        <f>INDEX(ref_Unit_Balance!$R$31:$R$106,MATCH(UnitGradeInfo!B662,ref_Unit_Balance!$B$31:$B$1048576,0))
+
INDEX(ref_Unit_Balance!$AA$31:$AA$106,MATCH(UnitGradeInfo!B662,ref_Unit_Balance!$B$31:$B$1048576,0))*(D662-1)</f>
        <v>391</v>
      </c>
      <c r="H662" s="39">
        <f>IF(INDEX(Unitinfo!D:D,MATCH(UnitGradeInfo!B662,Unitinfo!A:A,0))=1,50,5)</f>
        <v>50</v>
      </c>
      <c r="I662" s="5">
        <f>IF(INDEX(ref_Unit_Balance!$T$31:$T$106,MATCH(UnitGradeInfo!B662,ref_Unit_Balance!$B$31:$B$1048576,0))=0,1,INDEX(ref_Unit_Balance!$T$31:$T$106,MATCH(UnitGradeInfo!B662,ref_Unit_Balance!$B$31:$B$1048576,0)))</f>
        <v>5</v>
      </c>
      <c r="J662" s="5">
        <f>INDEX(ref_Unit_Balance!$S$31:$S$106,MATCH(UnitGradeInfo!B662,ref_Unit_Balance!$B$31:$B$1048576,0))</f>
        <v>1100</v>
      </c>
      <c r="K662" s="5">
        <v>0</v>
      </c>
      <c r="L662" s="5">
        <f>INDEX(ref_Unit_Balance!$I$31:$I$106,MATCH(UnitGradeInfo!B662,ref_Unit_Balance!$B$31:$B$1048576,0))</f>
        <v>3</v>
      </c>
      <c r="M662" s="5">
        <f t="shared" si="70"/>
        <v>28</v>
      </c>
      <c r="N662" s="5">
        <f t="shared" si="71"/>
        <v>280</v>
      </c>
      <c r="O662" s="5">
        <f>(INDEX(Unitinfo!I:I,MATCH(B662,Unitinfo!A:A,0))+1)*2</f>
        <v>4</v>
      </c>
      <c r="P662" s="5">
        <v>0</v>
      </c>
      <c r="Q662" s="5">
        <v>0</v>
      </c>
      <c r="R662" s="19" t="s">
        <v>421</v>
      </c>
      <c r="S662" s="19" t="s">
        <v>421</v>
      </c>
      <c r="T662" s="5">
        <f t="shared" si="67"/>
        <v>2031</v>
      </c>
      <c r="U662" s="5">
        <f t="shared" si="68"/>
        <v>1</v>
      </c>
      <c r="V662" s="5">
        <v>0</v>
      </c>
      <c r="W662" s="5">
        <v>10</v>
      </c>
    </row>
    <row r="663" spans="1:23">
      <c r="A663" s="5">
        <f t="shared" si="66"/>
        <v>660</v>
      </c>
      <c r="B663" s="93">
        <f t="shared" si="69"/>
        <v>2031</v>
      </c>
      <c r="C663" s="20" t="str">
        <f>INDEX(Unitinfo!C:C,MATCH(UnitGradeInfo!B663,Unitinfo!A:A,0))</f>
        <v>(원거리)Armor_Skeleton_Witch</v>
      </c>
      <c r="D663" s="5">
        <f>COUNTIF($B$4:B663,B663)</f>
        <v>15</v>
      </c>
      <c r="E663" s="5">
        <f>ROUNDDOWN(INDEX(ref_Unit_Balance!$G$31:$G$106,MATCH(UnitGradeInfo!B663,ref_Unit_Balance!$B$31:$B$1048576,0))
+INDEX(ref_Unit_Balance!$G$20:$G$23,MATCH(IFERROR(INDEX(ref_Unit_Balance!$D$31:$D$1048576,MATCH(B663,ref_Unit_Balance!$B$31:$B$1048576,0)),0),ref_Unit_Balance!$B$20:$B$23,0))*D663*ref_Unit_Balance!$C$25,0)</f>
        <v>1114</v>
      </c>
      <c r="F663" s="5">
        <f>INDEX(ref_Unit_Balance!$V$31:$V$106,MATCH(UnitGradeInfo!B663,ref_Unit_Balance!$B$31:$B$1048576,0))
+
INDEX(ref_Unit_Balance!$AB$31:$AB$106,MATCH(UnitGradeInfo!B663,ref_Unit_Balance!$B$31:$B$1048576,0))*(D663-1)</f>
        <v>4550</v>
      </c>
      <c r="G663" s="5">
        <f>INDEX(ref_Unit_Balance!$R$31:$R$106,MATCH(UnitGradeInfo!B663,ref_Unit_Balance!$B$31:$B$1048576,0))
+
INDEX(ref_Unit_Balance!$AA$31:$AA$106,MATCH(UnitGradeInfo!B663,ref_Unit_Balance!$B$31:$B$1048576,0))*(D663-1)</f>
        <v>405</v>
      </c>
      <c r="H663" s="39">
        <f>IF(INDEX(Unitinfo!D:D,MATCH(UnitGradeInfo!B663,Unitinfo!A:A,0))=1,50,5)</f>
        <v>50</v>
      </c>
      <c r="I663" s="5">
        <f>IF(INDEX(ref_Unit_Balance!$T$31:$T$106,MATCH(UnitGradeInfo!B663,ref_Unit_Balance!$B$31:$B$1048576,0))=0,1,INDEX(ref_Unit_Balance!$T$31:$T$106,MATCH(UnitGradeInfo!B663,ref_Unit_Balance!$B$31:$B$1048576,0)))</f>
        <v>5</v>
      </c>
      <c r="J663" s="5">
        <f>INDEX(ref_Unit_Balance!$S$31:$S$106,MATCH(UnitGradeInfo!B663,ref_Unit_Balance!$B$31:$B$1048576,0))</f>
        <v>1100</v>
      </c>
      <c r="K663" s="5">
        <v>0</v>
      </c>
      <c r="L663" s="5">
        <f>INDEX(ref_Unit_Balance!$I$31:$I$106,MATCH(UnitGradeInfo!B663,ref_Unit_Balance!$B$31:$B$1048576,0))</f>
        <v>3</v>
      </c>
      <c r="M663" s="5">
        <f t="shared" si="70"/>
        <v>30</v>
      </c>
      <c r="N663" s="5">
        <f t="shared" si="71"/>
        <v>300</v>
      </c>
      <c r="O663" s="5">
        <f>(INDEX(Unitinfo!I:I,MATCH(B663,Unitinfo!A:A,0))+1)*2</f>
        <v>4</v>
      </c>
      <c r="P663" s="5">
        <v>0</v>
      </c>
      <c r="Q663" s="5">
        <v>0</v>
      </c>
      <c r="R663" s="19" t="s">
        <v>421</v>
      </c>
      <c r="S663" s="19" t="s">
        <v>421</v>
      </c>
      <c r="T663" s="5">
        <f t="shared" si="67"/>
        <v>2031</v>
      </c>
      <c r="U663" s="5">
        <f t="shared" si="68"/>
        <v>1</v>
      </c>
      <c r="V663" s="5">
        <v>0</v>
      </c>
      <c r="W663" s="5">
        <v>10</v>
      </c>
    </row>
    <row r="664" spans="1:23">
      <c r="A664" s="5">
        <f t="shared" si="66"/>
        <v>661</v>
      </c>
      <c r="B664" s="93">
        <f t="shared" si="69"/>
        <v>2031</v>
      </c>
      <c r="C664" s="20" t="str">
        <f>INDEX(Unitinfo!C:C,MATCH(UnitGradeInfo!B664,Unitinfo!A:A,0))</f>
        <v>(원거리)Armor_Skeleton_Witch</v>
      </c>
      <c r="D664" s="5">
        <f>COUNTIF($B$4:B664,B664)</f>
        <v>16</v>
      </c>
      <c r="E664" s="5">
        <f>ROUNDDOWN(INDEX(ref_Unit_Balance!$G$31:$G$106,MATCH(UnitGradeInfo!B664,ref_Unit_Balance!$B$31:$B$1048576,0))
+INDEX(ref_Unit_Balance!$G$20:$G$23,MATCH(IFERROR(INDEX(ref_Unit_Balance!$D$31:$D$1048576,MATCH(B664,ref_Unit_Balance!$B$31:$B$1048576,0)),0),ref_Unit_Balance!$B$20:$B$23,0))*D664*ref_Unit_Balance!$C$25,0)</f>
        <v>1177</v>
      </c>
      <c r="F664" s="5">
        <f>INDEX(ref_Unit_Balance!$V$31:$V$106,MATCH(UnitGradeInfo!B664,ref_Unit_Balance!$B$31:$B$1048576,0))
+
INDEX(ref_Unit_Balance!$AB$31:$AB$106,MATCH(UnitGradeInfo!B664,ref_Unit_Balance!$B$31:$B$1048576,0))*(D664-1)</f>
        <v>4750</v>
      </c>
      <c r="G664" s="5">
        <f>INDEX(ref_Unit_Balance!$R$31:$R$106,MATCH(UnitGradeInfo!B664,ref_Unit_Balance!$B$31:$B$1048576,0))
+
INDEX(ref_Unit_Balance!$AA$31:$AA$106,MATCH(UnitGradeInfo!B664,ref_Unit_Balance!$B$31:$B$1048576,0))*(D664-1)</f>
        <v>419</v>
      </c>
      <c r="H664" s="39">
        <f>IF(INDEX(Unitinfo!D:D,MATCH(UnitGradeInfo!B664,Unitinfo!A:A,0))=1,50,5)</f>
        <v>50</v>
      </c>
      <c r="I664" s="5">
        <f>IF(INDEX(ref_Unit_Balance!$T$31:$T$106,MATCH(UnitGradeInfo!B664,ref_Unit_Balance!$B$31:$B$1048576,0))=0,1,INDEX(ref_Unit_Balance!$T$31:$T$106,MATCH(UnitGradeInfo!B664,ref_Unit_Balance!$B$31:$B$1048576,0)))</f>
        <v>5</v>
      </c>
      <c r="J664" s="5">
        <f>INDEX(ref_Unit_Balance!$S$31:$S$106,MATCH(UnitGradeInfo!B664,ref_Unit_Balance!$B$31:$B$1048576,0))</f>
        <v>1100</v>
      </c>
      <c r="K664" s="5">
        <v>0</v>
      </c>
      <c r="L664" s="5">
        <f>INDEX(ref_Unit_Balance!$I$31:$I$106,MATCH(UnitGradeInfo!B664,ref_Unit_Balance!$B$31:$B$1048576,0))</f>
        <v>3</v>
      </c>
      <c r="M664" s="5">
        <f t="shared" si="70"/>
        <v>32</v>
      </c>
      <c r="N664" s="5">
        <f t="shared" si="71"/>
        <v>320</v>
      </c>
      <c r="O664" s="5">
        <f>(INDEX(Unitinfo!I:I,MATCH(B664,Unitinfo!A:A,0))+1)*2</f>
        <v>4</v>
      </c>
      <c r="P664" s="5">
        <v>0</v>
      </c>
      <c r="Q664" s="5">
        <v>0</v>
      </c>
      <c r="R664" s="19" t="s">
        <v>421</v>
      </c>
      <c r="S664" s="19" t="s">
        <v>421</v>
      </c>
      <c r="T664" s="5">
        <f t="shared" si="67"/>
        <v>2031</v>
      </c>
      <c r="U664" s="5">
        <f t="shared" si="68"/>
        <v>1</v>
      </c>
      <c r="V664" s="5">
        <v>0</v>
      </c>
      <c r="W664" s="5">
        <v>10</v>
      </c>
    </row>
    <row r="665" spans="1:23">
      <c r="A665" s="5">
        <f t="shared" si="66"/>
        <v>662</v>
      </c>
      <c r="B665" s="93">
        <f t="shared" si="69"/>
        <v>2031</v>
      </c>
      <c r="C665" s="20" t="str">
        <f>INDEX(Unitinfo!C:C,MATCH(UnitGradeInfo!B665,Unitinfo!A:A,0))</f>
        <v>(원거리)Armor_Skeleton_Witch</v>
      </c>
      <c r="D665" s="5">
        <f>COUNTIF($B$4:B665,B665)</f>
        <v>17</v>
      </c>
      <c r="E665" s="5">
        <f>ROUNDDOWN(INDEX(ref_Unit_Balance!$G$31:$G$106,MATCH(UnitGradeInfo!B665,ref_Unit_Balance!$B$31:$B$1048576,0))
+INDEX(ref_Unit_Balance!$G$20:$G$23,MATCH(IFERROR(INDEX(ref_Unit_Balance!$D$31:$D$1048576,MATCH(B665,ref_Unit_Balance!$B$31:$B$1048576,0)),0),ref_Unit_Balance!$B$20:$B$23,0))*D665*ref_Unit_Balance!$C$25,0)</f>
        <v>1239</v>
      </c>
      <c r="F665" s="5">
        <f>INDEX(ref_Unit_Balance!$V$31:$V$106,MATCH(UnitGradeInfo!B665,ref_Unit_Balance!$B$31:$B$1048576,0))
+
INDEX(ref_Unit_Balance!$AB$31:$AB$106,MATCH(UnitGradeInfo!B665,ref_Unit_Balance!$B$31:$B$1048576,0))*(D665-1)</f>
        <v>4950</v>
      </c>
      <c r="G665" s="5">
        <f>INDEX(ref_Unit_Balance!$R$31:$R$106,MATCH(UnitGradeInfo!B665,ref_Unit_Balance!$B$31:$B$1048576,0))
+
INDEX(ref_Unit_Balance!$AA$31:$AA$106,MATCH(UnitGradeInfo!B665,ref_Unit_Balance!$B$31:$B$1048576,0))*(D665-1)</f>
        <v>433</v>
      </c>
      <c r="H665" s="39">
        <f>IF(INDEX(Unitinfo!D:D,MATCH(UnitGradeInfo!B665,Unitinfo!A:A,0))=1,50,5)</f>
        <v>50</v>
      </c>
      <c r="I665" s="5">
        <f>IF(INDEX(ref_Unit_Balance!$T$31:$T$106,MATCH(UnitGradeInfo!B665,ref_Unit_Balance!$B$31:$B$1048576,0))=0,1,INDEX(ref_Unit_Balance!$T$31:$T$106,MATCH(UnitGradeInfo!B665,ref_Unit_Balance!$B$31:$B$1048576,0)))</f>
        <v>5</v>
      </c>
      <c r="J665" s="5">
        <f>INDEX(ref_Unit_Balance!$S$31:$S$106,MATCH(UnitGradeInfo!B665,ref_Unit_Balance!$B$31:$B$1048576,0))</f>
        <v>1100</v>
      </c>
      <c r="K665" s="5">
        <v>0</v>
      </c>
      <c r="L665" s="5">
        <f>INDEX(ref_Unit_Balance!$I$31:$I$106,MATCH(UnitGradeInfo!B665,ref_Unit_Balance!$B$31:$B$1048576,0))</f>
        <v>3</v>
      </c>
      <c r="M665" s="5">
        <f t="shared" si="70"/>
        <v>34</v>
      </c>
      <c r="N665" s="5">
        <f t="shared" si="71"/>
        <v>340</v>
      </c>
      <c r="O665" s="5">
        <f>(INDEX(Unitinfo!I:I,MATCH(B665,Unitinfo!A:A,0))+1)*2</f>
        <v>4</v>
      </c>
      <c r="P665" s="5">
        <v>0</v>
      </c>
      <c r="Q665" s="5">
        <v>0</v>
      </c>
      <c r="R665" s="19" t="s">
        <v>421</v>
      </c>
      <c r="S665" s="19" t="s">
        <v>421</v>
      </c>
      <c r="T665" s="5">
        <f t="shared" si="67"/>
        <v>2031</v>
      </c>
      <c r="U665" s="5">
        <f t="shared" si="68"/>
        <v>1</v>
      </c>
      <c r="V665" s="5">
        <v>0</v>
      </c>
      <c r="W665" s="5">
        <v>10</v>
      </c>
    </row>
    <row r="666" spans="1:23">
      <c r="A666" s="5">
        <f t="shared" si="66"/>
        <v>663</v>
      </c>
      <c r="B666" s="93">
        <f t="shared" si="69"/>
        <v>2031</v>
      </c>
      <c r="C666" s="20" t="str">
        <f>INDEX(Unitinfo!C:C,MATCH(UnitGradeInfo!B666,Unitinfo!A:A,0))</f>
        <v>(원거리)Armor_Skeleton_Witch</v>
      </c>
      <c r="D666" s="5">
        <f>COUNTIF($B$4:B666,B666)</f>
        <v>18</v>
      </c>
      <c r="E666" s="5">
        <f>ROUNDDOWN(INDEX(ref_Unit_Balance!$G$31:$G$106,MATCH(UnitGradeInfo!B666,ref_Unit_Balance!$B$31:$B$1048576,0))
+INDEX(ref_Unit_Balance!$G$20:$G$23,MATCH(IFERROR(INDEX(ref_Unit_Balance!$D$31:$D$1048576,MATCH(B666,ref_Unit_Balance!$B$31:$B$1048576,0)),0),ref_Unit_Balance!$B$20:$B$23,0))*D666*ref_Unit_Balance!$C$25,0)</f>
        <v>1302</v>
      </c>
      <c r="F666" s="5">
        <f>INDEX(ref_Unit_Balance!$V$31:$V$106,MATCH(UnitGradeInfo!B666,ref_Unit_Balance!$B$31:$B$1048576,0))
+
INDEX(ref_Unit_Balance!$AB$31:$AB$106,MATCH(UnitGradeInfo!B666,ref_Unit_Balance!$B$31:$B$1048576,0))*(D666-1)</f>
        <v>5150</v>
      </c>
      <c r="G666" s="5">
        <f>INDEX(ref_Unit_Balance!$R$31:$R$106,MATCH(UnitGradeInfo!B666,ref_Unit_Balance!$B$31:$B$1048576,0))
+
INDEX(ref_Unit_Balance!$AA$31:$AA$106,MATCH(UnitGradeInfo!B666,ref_Unit_Balance!$B$31:$B$1048576,0))*(D666-1)</f>
        <v>447</v>
      </c>
      <c r="H666" s="39">
        <f>IF(INDEX(Unitinfo!D:D,MATCH(UnitGradeInfo!B666,Unitinfo!A:A,0))=1,50,5)</f>
        <v>50</v>
      </c>
      <c r="I666" s="5">
        <f>IF(INDEX(ref_Unit_Balance!$T$31:$T$106,MATCH(UnitGradeInfo!B666,ref_Unit_Balance!$B$31:$B$1048576,0))=0,1,INDEX(ref_Unit_Balance!$T$31:$T$106,MATCH(UnitGradeInfo!B666,ref_Unit_Balance!$B$31:$B$1048576,0)))</f>
        <v>5</v>
      </c>
      <c r="J666" s="5">
        <f>INDEX(ref_Unit_Balance!$S$31:$S$106,MATCH(UnitGradeInfo!B666,ref_Unit_Balance!$B$31:$B$1048576,0))</f>
        <v>1100</v>
      </c>
      <c r="K666" s="5">
        <v>0</v>
      </c>
      <c r="L666" s="5">
        <f>INDEX(ref_Unit_Balance!$I$31:$I$106,MATCH(UnitGradeInfo!B666,ref_Unit_Balance!$B$31:$B$1048576,0))</f>
        <v>3</v>
      </c>
      <c r="M666" s="5">
        <f t="shared" si="70"/>
        <v>36</v>
      </c>
      <c r="N666" s="5">
        <f t="shared" si="71"/>
        <v>360</v>
      </c>
      <c r="O666" s="5">
        <f>(INDEX(Unitinfo!I:I,MATCH(B666,Unitinfo!A:A,0))+1)*2</f>
        <v>4</v>
      </c>
      <c r="P666" s="5">
        <v>0</v>
      </c>
      <c r="Q666" s="5">
        <v>0</v>
      </c>
      <c r="R666" s="19" t="s">
        <v>421</v>
      </c>
      <c r="S666" s="19" t="s">
        <v>421</v>
      </c>
      <c r="T666" s="5">
        <f t="shared" si="67"/>
        <v>2031</v>
      </c>
      <c r="U666" s="5">
        <f t="shared" si="68"/>
        <v>1</v>
      </c>
      <c r="V666" s="5">
        <v>0</v>
      </c>
      <c r="W666" s="5">
        <v>10</v>
      </c>
    </row>
    <row r="667" spans="1:23">
      <c r="A667" s="5">
        <f t="shared" si="66"/>
        <v>664</v>
      </c>
      <c r="B667" s="93">
        <f t="shared" si="69"/>
        <v>2031</v>
      </c>
      <c r="C667" s="20" t="str">
        <f>INDEX(Unitinfo!C:C,MATCH(UnitGradeInfo!B667,Unitinfo!A:A,0))</f>
        <v>(원거리)Armor_Skeleton_Witch</v>
      </c>
      <c r="D667" s="5">
        <f>COUNTIF($B$4:B667,B667)</f>
        <v>19</v>
      </c>
      <c r="E667" s="5">
        <f>ROUNDDOWN(INDEX(ref_Unit_Balance!$G$31:$G$106,MATCH(UnitGradeInfo!B667,ref_Unit_Balance!$B$31:$B$1048576,0))
+INDEX(ref_Unit_Balance!$G$20:$G$23,MATCH(IFERROR(INDEX(ref_Unit_Balance!$D$31:$D$1048576,MATCH(B667,ref_Unit_Balance!$B$31:$B$1048576,0)),0),ref_Unit_Balance!$B$20:$B$23,0))*D667*ref_Unit_Balance!$C$25,0)</f>
        <v>1364</v>
      </c>
      <c r="F667" s="5">
        <f>INDEX(ref_Unit_Balance!$V$31:$V$106,MATCH(UnitGradeInfo!B667,ref_Unit_Balance!$B$31:$B$1048576,0))
+
INDEX(ref_Unit_Balance!$AB$31:$AB$106,MATCH(UnitGradeInfo!B667,ref_Unit_Balance!$B$31:$B$1048576,0))*(D667-1)</f>
        <v>5350</v>
      </c>
      <c r="G667" s="5">
        <f>INDEX(ref_Unit_Balance!$R$31:$R$106,MATCH(UnitGradeInfo!B667,ref_Unit_Balance!$B$31:$B$1048576,0))
+
INDEX(ref_Unit_Balance!$AA$31:$AA$106,MATCH(UnitGradeInfo!B667,ref_Unit_Balance!$B$31:$B$1048576,0))*(D667-1)</f>
        <v>461</v>
      </c>
      <c r="H667" s="39">
        <f>IF(INDEX(Unitinfo!D:D,MATCH(UnitGradeInfo!B667,Unitinfo!A:A,0))=1,50,5)</f>
        <v>50</v>
      </c>
      <c r="I667" s="5">
        <f>IF(INDEX(ref_Unit_Balance!$T$31:$T$106,MATCH(UnitGradeInfo!B667,ref_Unit_Balance!$B$31:$B$1048576,0))=0,1,INDEX(ref_Unit_Balance!$T$31:$T$106,MATCH(UnitGradeInfo!B667,ref_Unit_Balance!$B$31:$B$1048576,0)))</f>
        <v>5</v>
      </c>
      <c r="J667" s="5">
        <f>INDEX(ref_Unit_Balance!$S$31:$S$106,MATCH(UnitGradeInfo!B667,ref_Unit_Balance!$B$31:$B$1048576,0))</f>
        <v>1100</v>
      </c>
      <c r="K667" s="5">
        <v>0</v>
      </c>
      <c r="L667" s="5">
        <f>INDEX(ref_Unit_Balance!$I$31:$I$106,MATCH(UnitGradeInfo!B667,ref_Unit_Balance!$B$31:$B$1048576,0))</f>
        <v>3</v>
      </c>
      <c r="M667" s="5">
        <f t="shared" si="70"/>
        <v>38</v>
      </c>
      <c r="N667" s="5">
        <f t="shared" si="71"/>
        <v>380</v>
      </c>
      <c r="O667" s="5">
        <f>(INDEX(Unitinfo!I:I,MATCH(B667,Unitinfo!A:A,0))+1)*2</f>
        <v>4</v>
      </c>
      <c r="P667" s="5">
        <v>0</v>
      </c>
      <c r="Q667" s="5">
        <v>0</v>
      </c>
      <c r="R667" s="19" t="s">
        <v>421</v>
      </c>
      <c r="S667" s="19" t="s">
        <v>421</v>
      </c>
      <c r="T667" s="5">
        <f t="shared" si="67"/>
        <v>2031</v>
      </c>
      <c r="U667" s="5">
        <f t="shared" si="68"/>
        <v>1</v>
      </c>
      <c r="V667" s="5">
        <v>0</v>
      </c>
      <c r="W667" s="5">
        <v>10</v>
      </c>
    </row>
    <row r="668" spans="1:23">
      <c r="A668" s="5">
        <f t="shared" si="66"/>
        <v>665</v>
      </c>
      <c r="B668" s="93">
        <f t="shared" si="69"/>
        <v>2031</v>
      </c>
      <c r="C668" s="20" t="str">
        <f>INDEX(Unitinfo!C:C,MATCH(UnitGradeInfo!B668,Unitinfo!A:A,0))</f>
        <v>(원거리)Armor_Skeleton_Witch</v>
      </c>
      <c r="D668" s="5">
        <f>COUNTIF($B$4:B668,B668)</f>
        <v>20</v>
      </c>
      <c r="E668" s="5">
        <f>ROUNDDOWN(INDEX(ref_Unit_Balance!$G$31:$G$106,MATCH(UnitGradeInfo!B668,ref_Unit_Balance!$B$31:$B$1048576,0))
+INDEX(ref_Unit_Balance!$G$20:$G$23,MATCH(IFERROR(INDEX(ref_Unit_Balance!$D$31:$D$1048576,MATCH(B668,ref_Unit_Balance!$B$31:$B$1048576,0)),0),ref_Unit_Balance!$B$20:$B$23,0))*D668*ref_Unit_Balance!$C$25,0)</f>
        <v>1427</v>
      </c>
      <c r="F668" s="5">
        <f>INDEX(ref_Unit_Balance!$V$31:$V$106,MATCH(UnitGradeInfo!B668,ref_Unit_Balance!$B$31:$B$1048576,0))
+
INDEX(ref_Unit_Balance!$AB$31:$AB$106,MATCH(UnitGradeInfo!B668,ref_Unit_Balance!$B$31:$B$1048576,0))*(D668-1)</f>
        <v>5550</v>
      </c>
      <c r="G668" s="5">
        <f>INDEX(ref_Unit_Balance!$R$31:$R$106,MATCH(UnitGradeInfo!B668,ref_Unit_Balance!$B$31:$B$1048576,0))
+
INDEX(ref_Unit_Balance!$AA$31:$AA$106,MATCH(UnitGradeInfo!B668,ref_Unit_Balance!$B$31:$B$1048576,0))*(D668-1)</f>
        <v>475</v>
      </c>
      <c r="H668" s="39">
        <f>IF(INDEX(Unitinfo!D:D,MATCH(UnitGradeInfo!B668,Unitinfo!A:A,0))=1,50,5)</f>
        <v>50</v>
      </c>
      <c r="I668" s="5">
        <f>IF(INDEX(ref_Unit_Balance!$T$31:$T$106,MATCH(UnitGradeInfo!B668,ref_Unit_Balance!$B$31:$B$1048576,0))=0,1,INDEX(ref_Unit_Balance!$T$31:$T$106,MATCH(UnitGradeInfo!B668,ref_Unit_Balance!$B$31:$B$1048576,0)))</f>
        <v>5</v>
      </c>
      <c r="J668" s="5">
        <f>INDEX(ref_Unit_Balance!$S$31:$S$106,MATCH(UnitGradeInfo!B668,ref_Unit_Balance!$B$31:$B$1048576,0))</f>
        <v>1100</v>
      </c>
      <c r="K668" s="5">
        <v>0</v>
      </c>
      <c r="L668" s="5">
        <f>INDEX(ref_Unit_Balance!$I$31:$I$106,MATCH(UnitGradeInfo!B668,ref_Unit_Balance!$B$31:$B$1048576,0))</f>
        <v>3</v>
      </c>
      <c r="M668" s="5">
        <f t="shared" si="70"/>
        <v>40</v>
      </c>
      <c r="N668" s="5">
        <f t="shared" si="71"/>
        <v>400</v>
      </c>
      <c r="O668" s="5">
        <f>(INDEX(Unitinfo!I:I,MATCH(B668,Unitinfo!A:A,0))+1)*2</f>
        <v>4</v>
      </c>
      <c r="P668" s="5">
        <v>0</v>
      </c>
      <c r="Q668" s="5">
        <v>0</v>
      </c>
      <c r="R668" s="19" t="s">
        <v>421</v>
      </c>
      <c r="S668" s="19" t="s">
        <v>421</v>
      </c>
      <c r="T668" s="5">
        <f t="shared" si="67"/>
        <v>2031</v>
      </c>
      <c r="U668" s="5">
        <f t="shared" si="68"/>
        <v>1</v>
      </c>
      <c r="V668" s="5">
        <v>0</v>
      </c>
      <c r="W668" s="5">
        <v>10</v>
      </c>
    </row>
    <row r="669" spans="1:23">
      <c r="A669" s="5">
        <f t="shared" si="66"/>
        <v>666</v>
      </c>
      <c r="B669" s="93">
        <v>10001</v>
      </c>
      <c r="C669" s="20" t="str">
        <f>INDEX(Unitinfo!C:C,MATCH(UnitGradeInfo!B669,Unitinfo!A:A,0))</f>
        <v>User_01</v>
      </c>
      <c r="D669" s="5">
        <f>COUNTIF($B$4:B669,B669)</f>
        <v>1</v>
      </c>
      <c r="E669" s="5">
        <v>1</v>
      </c>
      <c r="F669" s="5">
        <v>100</v>
      </c>
      <c r="G669" s="5">
        <v>1</v>
      </c>
      <c r="H669" s="39">
        <f>IF(INDEX(Unitinfo!D:D,MATCH(UnitGradeInfo!B669,Unitinfo!A:A,0))=1,50,5)</f>
        <v>50</v>
      </c>
      <c r="I669" s="5">
        <v>1</v>
      </c>
      <c r="J669" s="5">
        <v>1000</v>
      </c>
      <c r="K669" s="5">
        <v>0</v>
      </c>
      <c r="L669" s="5">
        <v>3</v>
      </c>
      <c r="M669" s="5">
        <f t="shared" ref="M669" si="72">D669*2</f>
        <v>2</v>
      </c>
      <c r="N669" s="5">
        <f t="shared" ref="N669" si="73">D669*20</f>
        <v>20</v>
      </c>
      <c r="O669" s="5">
        <f>(INDEX(Unitinfo!I:I,MATCH(B669,Unitinfo!A:A,0))+1)*2</f>
        <v>2</v>
      </c>
      <c r="P669" s="5">
        <v>1</v>
      </c>
      <c r="Q669" s="5">
        <v>1</v>
      </c>
      <c r="R669" s="19" t="s">
        <v>628</v>
      </c>
      <c r="S669" s="19" t="s">
        <v>629</v>
      </c>
      <c r="T669" s="5">
        <f t="shared" ref="T669" si="74">B669</f>
        <v>10001</v>
      </c>
      <c r="U669" s="5">
        <f t="shared" ref="U669" si="75">IF(B669&gt;10000,0,1)</f>
        <v>0</v>
      </c>
      <c r="V669" s="5">
        <v>0</v>
      </c>
      <c r="W669" s="5">
        <v>10</v>
      </c>
    </row>
    <row r="670" spans="1:23">
      <c r="A670" s="5"/>
      <c r="B670" s="93"/>
    </row>
    <row r="671" spans="1:23">
      <c r="A671" s="5"/>
      <c r="B671" s="93"/>
    </row>
    <row r="672" spans="1:23">
      <c r="A672" s="5"/>
      <c r="B672" s="93"/>
    </row>
    <row r="673" spans="1:2">
      <c r="A673" s="5"/>
      <c r="B673" s="93"/>
    </row>
    <row r="674" spans="1:2">
      <c r="A674" s="5"/>
      <c r="B674" s="93"/>
    </row>
    <row r="675" spans="1:2">
      <c r="A675" s="5"/>
      <c r="B675" s="93"/>
    </row>
    <row r="676" spans="1:2">
      <c r="A676" s="5"/>
      <c r="B676" s="93"/>
    </row>
    <row r="677" spans="1:2">
      <c r="A677" s="5"/>
      <c r="B677" s="93"/>
    </row>
    <row r="678" spans="1:2">
      <c r="A678" s="5"/>
      <c r="B678" s="93"/>
    </row>
    <row r="679" spans="1:2">
      <c r="A679" s="5"/>
      <c r="B679" s="93"/>
    </row>
    <row r="680" spans="1:2">
      <c r="A680" s="5"/>
      <c r="B680" s="93"/>
    </row>
    <row r="681" spans="1:2">
      <c r="A681" s="5"/>
      <c r="B681" s="93"/>
    </row>
    <row r="682" spans="1:2">
      <c r="A682" s="5"/>
      <c r="B682" s="93"/>
    </row>
    <row r="683" spans="1:2">
      <c r="A683" s="5"/>
      <c r="B683" s="93"/>
    </row>
    <row r="684" spans="1:2">
      <c r="A684" s="5"/>
      <c r="B684" s="93"/>
    </row>
    <row r="685" spans="1:2">
      <c r="A685" s="5"/>
      <c r="B685" s="93"/>
    </row>
    <row r="686" spans="1:2">
      <c r="A686" s="5"/>
      <c r="B686" s="93"/>
    </row>
    <row r="687" spans="1:2">
      <c r="A687" s="5"/>
      <c r="B687" s="93"/>
    </row>
    <row r="688" spans="1:2">
      <c r="A688" s="5"/>
      <c r="B688" s="93"/>
    </row>
    <row r="689" spans="1:2">
      <c r="A689" s="5"/>
      <c r="B689" s="93"/>
    </row>
    <row r="690" spans="1:2">
      <c r="A690" s="5"/>
      <c r="B690" s="93"/>
    </row>
    <row r="691" spans="1:2">
      <c r="A691" s="5"/>
      <c r="B691" s="93"/>
    </row>
    <row r="692" spans="1:2">
      <c r="A692" s="5"/>
      <c r="B692" s="93"/>
    </row>
    <row r="693" spans="1:2">
      <c r="A693" s="5"/>
      <c r="B693" s="93"/>
    </row>
    <row r="694" spans="1:2">
      <c r="A694" s="5"/>
      <c r="B694" s="93"/>
    </row>
    <row r="695" spans="1:2">
      <c r="A695" s="5"/>
      <c r="B695" s="93"/>
    </row>
    <row r="696" spans="1:2">
      <c r="A696" s="5"/>
      <c r="B696" s="93"/>
    </row>
    <row r="697" spans="1:2">
      <c r="A697" s="5"/>
      <c r="B697" s="93"/>
    </row>
    <row r="698" spans="1:2">
      <c r="A698" s="5"/>
      <c r="B698" s="93"/>
    </row>
    <row r="699" spans="1:2">
      <c r="A699" s="5"/>
      <c r="B699" s="93"/>
    </row>
    <row r="700" spans="1:2">
      <c r="A700" s="5"/>
      <c r="B700" s="93"/>
    </row>
    <row r="701" spans="1:2">
      <c r="A701" s="5"/>
      <c r="B701" s="93"/>
    </row>
    <row r="702" spans="1:2">
      <c r="A702" s="5"/>
      <c r="B702" s="93"/>
    </row>
    <row r="703" spans="1:2">
      <c r="A703" s="5"/>
      <c r="B703" s="93"/>
    </row>
    <row r="704" spans="1:2">
      <c r="A704" s="5"/>
      <c r="B704" s="93"/>
    </row>
    <row r="705" spans="1:2">
      <c r="A705" s="5"/>
      <c r="B705" s="93"/>
    </row>
    <row r="706" spans="1:2">
      <c r="A706" s="5"/>
      <c r="B706" s="93"/>
    </row>
    <row r="707" spans="1:2">
      <c r="A707" s="5"/>
      <c r="B707" s="93"/>
    </row>
    <row r="708" spans="1:2">
      <c r="A708" s="5"/>
      <c r="B708" s="93"/>
    </row>
    <row r="709" spans="1:2">
      <c r="A709" s="5"/>
      <c r="B709" s="93"/>
    </row>
    <row r="710" spans="1:2">
      <c r="A710" s="5"/>
      <c r="B710" s="93"/>
    </row>
    <row r="711" spans="1:2">
      <c r="A711" s="5"/>
      <c r="B711" s="93"/>
    </row>
    <row r="712" spans="1:2">
      <c r="A712" s="5"/>
      <c r="B712" s="93"/>
    </row>
    <row r="713" spans="1:2">
      <c r="A713" s="5"/>
      <c r="B713" s="93"/>
    </row>
    <row r="714" spans="1:2">
      <c r="A714" s="5"/>
      <c r="B714" s="93"/>
    </row>
    <row r="715" spans="1:2">
      <c r="A715" s="5"/>
      <c r="B715" s="93"/>
    </row>
    <row r="716" spans="1:2">
      <c r="A716" s="5"/>
      <c r="B716" s="93"/>
    </row>
    <row r="717" spans="1:2">
      <c r="A717" s="5"/>
      <c r="B717" s="93"/>
    </row>
    <row r="718" spans="1:2">
      <c r="A718" s="5"/>
      <c r="B718" s="93"/>
    </row>
    <row r="719" spans="1:2">
      <c r="A719" s="5"/>
      <c r="B719" s="93"/>
    </row>
    <row r="720" spans="1:2">
      <c r="A720" s="5"/>
      <c r="B720" s="93"/>
    </row>
    <row r="721" spans="1:2">
      <c r="A721" s="5"/>
      <c r="B721" s="93"/>
    </row>
    <row r="722" spans="1:2">
      <c r="A722" s="5"/>
      <c r="B722" s="93"/>
    </row>
    <row r="723" spans="1:2">
      <c r="A723" s="5"/>
      <c r="B723" s="93"/>
    </row>
    <row r="724" spans="1:2">
      <c r="A724" s="5"/>
      <c r="B724" s="93"/>
    </row>
    <row r="725" spans="1:2">
      <c r="A725" s="5"/>
      <c r="B725" s="93"/>
    </row>
    <row r="726" spans="1:2">
      <c r="A726" s="5"/>
      <c r="B726" s="93"/>
    </row>
    <row r="727" spans="1:2">
      <c r="A727" s="5"/>
      <c r="B727" s="93"/>
    </row>
    <row r="728" spans="1:2">
      <c r="A728" s="5"/>
      <c r="B728" s="93"/>
    </row>
    <row r="729" spans="1:2">
      <c r="A729" s="5"/>
      <c r="B729" s="93"/>
    </row>
    <row r="730" spans="1:2">
      <c r="A730" s="5"/>
      <c r="B730" s="93"/>
    </row>
    <row r="731" spans="1:2">
      <c r="A731" s="5"/>
      <c r="B731" s="93"/>
    </row>
    <row r="732" spans="1:2">
      <c r="A732" s="5"/>
      <c r="B732" s="93"/>
    </row>
    <row r="733" spans="1:2">
      <c r="A733" s="5"/>
      <c r="B733" s="93"/>
    </row>
    <row r="734" spans="1:2">
      <c r="A734" s="5"/>
      <c r="B734" s="93"/>
    </row>
    <row r="735" spans="1:2">
      <c r="A735" s="5"/>
      <c r="B735" s="93"/>
    </row>
    <row r="736" spans="1:2">
      <c r="A736" s="5"/>
      <c r="B736" s="93"/>
    </row>
    <row r="737" spans="1:2">
      <c r="A737" s="5"/>
      <c r="B737" s="93"/>
    </row>
    <row r="738" spans="1:2">
      <c r="A738" s="5"/>
      <c r="B738" s="93"/>
    </row>
    <row r="739" spans="1:2">
      <c r="A739" s="5"/>
      <c r="B739" s="93"/>
    </row>
    <row r="740" spans="1:2">
      <c r="A740" s="5"/>
      <c r="B740" s="93"/>
    </row>
    <row r="741" spans="1:2">
      <c r="A741" s="5"/>
      <c r="B741" s="93"/>
    </row>
    <row r="742" spans="1:2">
      <c r="A742" s="5"/>
      <c r="B742" s="93"/>
    </row>
    <row r="743" spans="1:2">
      <c r="A743" s="5"/>
      <c r="B743" s="93"/>
    </row>
    <row r="744" spans="1:2">
      <c r="A744" s="5"/>
      <c r="B744" s="93"/>
    </row>
    <row r="745" spans="1:2">
      <c r="A745" s="5"/>
      <c r="B745" s="93"/>
    </row>
    <row r="746" spans="1:2">
      <c r="A746" s="5"/>
      <c r="B746" s="93"/>
    </row>
    <row r="747" spans="1:2">
      <c r="A747" s="5"/>
      <c r="B747" s="93"/>
    </row>
    <row r="748" spans="1:2">
      <c r="A748" s="5"/>
      <c r="B748" s="93"/>
    </row>
    <row r="749" spans="1:2">
      <c r="A749" s="5"/>
      <c r="B749" s="93"/>
    </row>
    <row r="750" spans="1:2">
      <c r="A750" s="5"/>
      <c r="B750" s="93"/>
    </row>
    <row r="751" spans="1:2">
      <c r="A751" s="5"/>
      <c r="B751" s="93"/>
    </row>
    <row r="752" spans="1:2">
      <c r="A752" s="5"/>
      <c r="B752" s="93"/>
    </row>
    <row r="753" spans="1:2">
      <c r="A753" s="5"/>
      <c r="B753" s="93"/>
    </row>
    <row r="754" spans="1:2">
      <c r="A754" s="5"/>
      <c r="B754" s="93"/>
    </row>
    <row r="755" spans="1:2">
      <c r="A755" s="5"/>
      <c r="B755" s="93"/>
    </row>
    <row r="756" spans="1:2">
      <c r="A756" s="5"/>
      <c r="B756" s="93"/>
    </row>
    <row r="757" spans="1:2">
      <c r="A757" s="5"/>
      <c r="B757" s="93"/>
    </row>
    <row r="758" spans="1:2">
      <c r="A758" s="5"/>
      <c r="B758" s="93"/>
    </row>
    <row r="759" spans="1:2">
      <c r="A759" s="5"/>
      <c r="B759" s="93"/>
    </row>
    <row r="760" spans="1:2">
      <c r="A760" s="5"/>
      <c r="B760" s="93"/>
    </row>
    <row r="761" spans="1:2">
      <c r="A761" s="5"/>
      <c r="B761" s="93"/>
    </row>
    <row r="762" spans="1:2">
      <c r="A762" s="5"/>
      <c r="B762" s="93"/>
    </row>
    <row r="763" spans="1:2">
      <c r="A763" s="5"/>
      <c r="B763" s="93"/>
    </row>
    <row r="764" spans="1:2">
      <c r="A764" s="5"/>
      <c r="B764" s="93"/>
    </row>
    <row r="765" spans="1:2">
      <c r="A765" s="5"/>
      <c r="B765" s="93"/>
    </row>
    <row r="766" spans="1:2">
      <c r="A766" s="5"/>
      <c r="B766" s="93"/>
    </row>
    <row r="767" spans="1:2">
      <c r="A767" s="5"/>
      <c r="B767" s="93"/>
    </row>
    <row r="768" spans="1:2">
      <c r="A768" s="5"/>
      <c r="B768" s="93"/>
    </row>
    <row r="769" spans="1:2">
      <c r="A769" s="5"/>
      <c r="B769" s="93"/>
    </row>
    <row r="770" spans="1:2">
      <c r="A770" s="5"/>
      <c r="B770" s="93"/>
    </row>
    <row r="771" spans="1:2">
      <c r="A771" s="5"/>
      <c r="B771" s="93"/>
    </row>
    <row r="772" spans="1:2">
      <c r="A772" s="5"/>
      <c r="B772" s="93"/>
    </row>
  </sheetData>
  <phoneticPr fontId="2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82858EB1-9C6F-44EC-850D-3E099D960ECC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H4:H46 H49:H669</xm:sqref>
        </x14:conditionalFormatting>
        <x14:conditionalFormatting xmlns:xm="http://schemas.microsoft.com/office/excel/2006/main">
          <x14:cfRule type="iconSet" priority="1" id="{53954ED9-7DB5-4E91-AD61-0720DDF75CB0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H47</xm:sqref>
        </x14:conditionalFormatting>
        <x14:conditionalFormatting xmlns:xm="http://schemas.microsoft.com/office/excel/2006/main">
          <x14:cfRule type="iconSet" priority="2" id="{082D0F14-6D67-4593-9541-4EDEF4262A8F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H48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1"/>
  </sheetPr>
  <dimension ref="A1:E158"/>
  <sheetViews>
    <sheetView zoomScale="85" zoomScaleNormal="85" workbookViewId="0">
      <selection activeCell="L25" sqref="L25"/>
    </sheetView>
  </sheetViews>
  <sheetFormatPr defaultRowHeight="15"/>
  <cols>
    <col min="2" max="3" width="13.140625" customWidth="1"/>
    <col min="4" max="4" width="12.28515625" customWidth="1"/>
    <col min="5" max="5" width="18.42578125" customWidth="1"/>
  </cols>
  <sheetData>
    <row r="1" spans="1:5">
      <c r="A1" s="14" t="s">
        <v>42</v>
      </c>
      <c r="B1" s="14" t="s">
        <v>50</v>
      </c>
      <c r="C1" s="14" t="s">
        <v>422</v>
      </c>
      <c r="D1" s="14" t="s">
        <v>83</v>
      </c>
      <c r="E1" s="14" t="s">
        <v>84</v>
      </c>
    </row>
    <row r="2" spans="1:5">
      <c r="A2" s="15" t="s">
        <v>1</v>
      </c>
      <c r="B2" s="15" t="s">
        <v>1</v>
      </c>
      <c r="C2" s="16" t="s">
        <v>423</v>
      </c>
      <c r="D2" s="15" t="s">
        <v>1</v>
      </c>
      <c r="E2" s="16" t="s">
        <v>10</v>
      </c>
    </row>
    <row r="3" spans="1:5">
      <c r="A3" s="18" t="s">
        <v>2</v>
      </c>
      <c r="B3" s="18" t="s">
        <v>2</v>
      </c>
      <c r="C3" s="18" t="s">
        <v>424</v>
      </c>
      <c r="D3" s="18" t="s">
        <v>2</v>
      </c>
      <c r="E3" s="18" t="s">
        <v>2</v>
      </c>
    </row>
    <row r="4" spans="1:5">
      <c r="A4" s="5">
        <v>1</v>
      </c>
      <c r="B4" s="5">
        <v>2001</v>
      </c>
      <c r="C4" s="5">
        <f>INDEX(Unitinfo!I:I,MATCH(GachaList!B4,Unitinfo!A:A,0))+1</f>
        <v>1</v>
      </c>
      <c r="D4" s="5">
        <f>IF(COUNTIF($B$4:B4,B4)=1,INDEX(ref_Rarity!$H$5:$H$8,MATCH(GachaList!C4,ref_Rarity!$B$5:$B$8,0)),
IF(COUNTIF($B$4:B4,B4)=2,INDEX(ref_Rarity!$I$5:$I$8,MATCH(GachaList!C4,ref_Rarity!$B$5:$B$8,0)),
IF(COUNTIF($B$4:B4,B4)=3,INDEX(ref_Rarity!$J$5:$J$8,MATCH(GachaList!C4,ref_Rarity!$B$5:$B$8,0)),
)))</f>
        <v>6</v>
      </c>
      <c r="E4" s="5">
        <f xml:space="preserve">
ROUNDDOWN(INDEX(ref_Rarity!$E$5:$E$8,MATCH(GachaList!C4,ref_Rarity!$B$5:$B$8,0))
/COUNTIF(C:C,C4)*100,0)</f>
        <v>138</v>
      </c>
    </row>
    <row r="5" spans="1:5">
      <c r="A5" s="5">
        <v>2</v>
      </c>
      <c r="B5" s="5">
        <v>2002</v>
      </c>
      <c r="C5" s="5">
        <f>INDEX(Unitinfo!I:I,MATCH(GachaList!B5,Unitinfo!A:A,0))+1</f>
        <v>1</v>
      </c>
      <c r="D5" s="5">
        <f>IF(COUNTIF($B$4:B5,B5)=1,INDEX(ref_Rarity!$H$5:$H$8,MATCH(GachaList!C5,ref_Rarity!$B$5:$B$8,0)),
IF(COUNTIF($B$4:B5,B5)=2,INDEX(ref_Rarity!$I$5:$I$8,MATCH(GachaList!C5,ref_Rarity!$B$5:$B$8,0)),
IF(COUNTIF($B$4:B5,B5)=3,INDEX(ref_Rarity!$J$5:$J$8,MATCH(GachaList!C5,ref_Rarity!$B$5:$B$8,0)),
)))</f>
        <v>6</v>
      </c>
      <c r="E5" s="5">
        <f xml:space="preserve">
ROUNDDOWN(INDEX(ref_Rarity!$E$5:$E$8,MATCH(GachaList!C5,ref_Rarity!$B$5:$B$8,0))
/COUNTIF(C:C,C5)*100,0)</f>
        <v>138</v>
      </c>
    </row>
    <row r="6" spans="1:5">
      <c r="A6" s="5">
        <v>3</v>
      </c>
      <c r="B6" s="5">
        <v>2003</v>
      </c>
      <c r="C6" s="5">
        <f>INDEX(Unitinfo!I:I,MATCH(GachaList!B6,Unitinfo!A:A,0))+1</f>
        <v>1</v>
      </c>
      <c r="D6" s="5">
        <f>IF(COUNTIF($B$4:B6,B6)=1,INDEX(ref_Rarity!$H$5:$H$8,MATCH(GachaList!C6,ref_Rarity!$B$5:$B$8,0)),
IF(COUNTIF($B$4:B6,B6)=2,INDEX(ref_Rarity!$I$5:$I$8,MATCH(GachaList!C6,ref_Rarity!$B$5:$B$8,0)),
IF(COUNTIF($B$4:B6,B6)=3,INDEX(ref_Rarity!$J$5:$J$8,MATCH(GachaList!C6,ref_Rarity!$B$5:$B$8,0)),
)))</f>
        <v>6</v>
      </c>
      <c r="E6" s="5">
        <f xml:space="preserve">
ROUNDDOWN(INDEX(ref_Rarity!$E$5:$E$8,MATCH(GachaList!C6,ref_Rarity!$B$5:$B$8,0))
/COUNTIF(C:C,C6)*100,0)</f>
        <v>138</v>
      </c>
    </row>
    <row r="7" spans="1:5">
      <c r="A7" s="5">
        <v>4</v>
      </c>
      <c r="B7" s="5">
        <v>2004</v>
      </c>
      <c r="C7" s="5">
        <f>INDEX(Unitinfo!I:I,MATCH(GachaList!B7,Unitinfo!A:A,0))+1</f>
        <v>1</v>
      </c>
      <c r="D7" s="5">
        <f>IF(COUNTIF($B$4:B7,B7)=1,INDEX(ref_Rarity!$H$5:$H$8,MATCH(GachaList!C7,ref_Rarity!$B$5:$B$8,0)),
IF(COUNTIF($B$4:B7,B7)=2,INDEX(ref_Rarity!$I$5:$I$8,MATCH(GachaList!C7,ref_Rarity!$B$5:$B$8,0)),
IF(COUNTIF($B$4:B7,B7)=3,INDEX(ref_Rarity!$J$5:$J$8,MATCH(GachaList!C7,ref_Rarity!$B$5:$B$8,0)),
)))</f>
        <v>6</v>
      </c>
      <c r="E7" s="5">
        <f xml:space="preserve">
ROUNDDOWN(INDEX(ref_Rarity!$E$5:$E$8,MATCH(GachaList!C7,ref_Rarity!$B$5:$B$8,0))
/COUNTIF(C:C,C7)*100,0)</f>
        <v>138</v>
      </c>
    </row>
    <row r="8" spans="1:5">
      <c r="A8" s="5">
        <v>5</v>
      </c>
      <c r="B8" s="5">
        <v>2005</v>
      </c>
      <c r="C8" s="5">
        <f>INDEX(Unitinfo!I:I,MATCH(GachaList!B8,Unitinfo!A:A,0))+1</f>
        <v>1</v>
      </c>
      <c r="D8" s="5">
        <f>IF(COUNTIF($B$4:B8,B8)=1,INDEX(ref_Rarity!$H$5:$H$8,MATCH(GachaList!C8,ref_Rarity!$B$5:$B$8,0)),
IF(COUNTIF($B$4:B8,B8)=2,INDEX(ref_Rarity!$I$5:$I$8,MATCH(GachaList!C8,ref_Rarity!$B$5:$B$8,0)),
IF(COUNTIF($B$4:B8,B8)=3,INDEX(ref_Rarity!$J$5:$J$8,MATCH(GachaList!C8,ref_Rarity!$B$5:$B$8,0)),
)))</f>
        <v>6</v>
      </c>
      <c r="E8" s="5">
        <f xml:space="preserve">
ROUNDDOWN(INDEX(ref_Rarity!$E$5:$E$8,MATCH(GachaList!C8,ref_Rarity!$B$5:$B$8,0))
/COUNTIF(C:C,C8)*100,0)</f>
        <v>138</v>
      </c>
    </row>
    <row r="9" spans="1:5">
      <c r="A9" s="5">
        <v>6</v>
      </c>
      <c r="B9" s="5">
        <v>2006</v>
      </c>
      <c r="C9" s="5">
        <f>INDEX(Unitinfo!I:I,MATCH(GachaList!B9,Unitinfo!A:A,0))+1</f>
        <v>1</v>
      </c>
      <c r="D9" s="5">
        <f>IF(COUNTIF($B$4:B9,B9)=1,INDEX(ref_Rarity!$H$5:$H$8,MATCH(GachaList!C9,ref_Rarity!$B$5:$B$8,0)),
IF(COUNTIF($B$4:B9,B9)=2,INDEX(ref_Rarity!$I$5:$I$8,MATCH(GachaList!C9,ref_Rarity!$B$5:$B$8,0)),
IF(COUNTIF($B$4:B9,B9)=3,INDEX(ref_Rarity!$J$5:$J$8,MATCH(GachaList!C9,ref_Rarity!$B$5:$B$8,0)),
)))</f>
        <v>6</v>
      </c>
      <c r="E9" s="5">
        <f xml:space="preserve">
ROUNDDOWN(INDEX(ref_Rarity!$E$5:$E$8,MATCH(GachaList!C9,ref_Rarity!$B$5:$B$8,0))
/COUNTIF(C:C,C9)*100,0)</f>
        <v>138</v>
      </c>
    </row>
    <row r="10" spans="1:5">
      <c r="A10" s="5">
        <v>7</v>
      </c>
      <c r="B10" s="5">
        <v>2007</v>
      </c>
      <c r="C10" s="5">
        <f>INDEX(Unitinfo!I:I,MATCH(GachaList!B10,Unitinfo!A:A,0))+1</f>
        <v>1</v>
      </c>
      <c r="D10" s="5">
        <f>IF(COUNTIF($B$4:B10,B10)=1,INDEX(ref_Rarity!$H$5:$H$8,MATCH(GachaList!C10,ref_Rarity!$B$5:$B$8,0)),
IF(COUNTIF($B$4:B10,B10)=2,INDEX(ref_Rarity!$I$5:$I$8,MATCH(GachaList!C10,ref_Rarity!$B$5:$B$8,0)),
IF(COUNTIF($B$4:B10,B10)=3,INDEX(ref_Rarity!$J$5:$J$8,MATCH(GachaList!C10,ref_Rarity!$B$5:$B$8,0)),
)))</f>
        <v>6</v>
      </c>
      <c r="E10" s="5">
        <f xml:space="preserve">
ROUNDDOWN(INDEX(ref_Rarity!$E$5:$E$8,MATCH(GachaList!C10,ref_Rarity!$B$5:$B$8,0))
/COUNTIF(C:C,C10)*100,0)</f>
        <v>138</v>
      </c>
    </row>
    <row r="11" spans="1:5">
      <c r="A11" s="5">
        <v>8</v>
      </c>
      <c r="B11" s="5">
        <v>2008</v>
      </c>
      <c r="C11" s="5">
        <f>INDEX(Unitinfo!I:I,MATCH(GachaList!B11,Unitinfo!A:A,0))+1</f>
        <v>1</v>
      </c>
      <c r="D11" s="5">
        <f>IF(COUNTIF($B$4:B11,B11)=1,INDEX(ref_Rarity!$H$5:$H$8,MATCH(GachaList!C11,ref_Rarity!$B$5:$B$8,0)),
IF(COUNTIF($B$4:B11,B11)=2,INDEX(ref_Rarity!$I$5:$I$8,MATCH(GachaList!C11,ref_Rarity!$B$5:$B$8,0)),
IF(COUNTIF($B$4:B11,B11)=3,INDEX(ref_Rarity!$J$5:$J$8,MATCH(GachaList!C11,ref_Rarity!$B$5:$B$8,0)),
)))</f>
        <v>6</v>
      </c>
      <c r="E11" s="5">
        <f xml:space="preserve">
ROUNDDOWN(INDEX(ref_Rarity!$E$5:$E$8,MATCH(GachaList!C11,ref_Rarity!$B$5:$B$8,0))
/COUNTIF(C:C,C11)*100,0)</f>
        <v>138</v>
      </c>
    </row>
    <row r="12" spans="1:5">
      <c r="A12" s="5">
        <v>9</v>
      </c>
      <c r="B12" s="5">
        <v>2009</v>
      </c>
      <c r="C12" s="5">
        <f>INDEX(Unitinfo!I:I,MATCH(GachaList!B12,Unitinfo!A:A,0))+1</f>
        <v>3</v>
      </c>
      <c r="D12" s="5">
        <f>IF(COUNTIF($B$4:B12,B12)=1,INDEX(ref_Rarity!$H$5:$H$8,MATCH(GachaList!C12,ref_Rarity!$B$5:$B$8,0)),
IF(COUNTIF($B$4:B12,B12)=2,INDEX(ref_Rarity!$I$5:$I$8,MATCH(GachaList!C12,ref_Rarity!$B$5:$B$8,0)),
IF(COUNTIF($B$4:B12,B12)=3,INDEX(ref_Rarity!$J$5:$J$8,MATCH(GachaList!C12,ref_Rarity!$B$5:$B$8,0)),
)))</f>
        <v>2</v>
      </c>
      <c r="E12" s="5">
        <f xml:space="preserve">
ROUNDDOWN(INDEX(ref_Rarity!$E$5:$E$8,MATCH(GachaList!C12,ref_Rarity!$B$5:$B$8,0))
/COUNTIF(C:C,C12)*100,0)</f>
        <v>54</v>
      </c>
    </row>
    <row r="13" spans="1:5">
      <c r="A13" s="5">
        <v>10</v>
      </c>
      <c r="B13" s="5">
        <v>2010</v>
      </c>
      <c r="C13" s="5">
        <f>INDEX(Unitinfo!I:I,MATCH(GachaList!B13,Unitinfo!A:A,0))+1</f>
        <v>3</v>
      </c>
      <c r="D13" s="5">
        <f>IF(COUNTIF($B$4:B13,B13)=1,INDEX(ref_Rarity!$H$5:$H$8,MATCH(GachaList!C13,ref_Rarity!$B$5:$B$8,0)),
IF(COUNTIF($B$4:B13,B13)=2,INDEX(ref_Rarity!$I$5:$I$8,MATCH(GachaList!C13,ref_Rarity!$B$5:$B$8,0)),
IF(COUNTIF($B$4:B13,B13)=3,INDEX(ref_Rarity!$J$5:$J$8,MATCH(GachaList!C13,ref_Rarity!$B$5:$B$8,0)),
)))</f>
        <v>2</v>
      </c>
      <c r="E13" s="5">
        <f xml:space="preserve">
ROUNDDOWN(INDEX(ref_Rarity!$E$5:$E$8,MATCH(GachaList!C13,ref_Rarity!$B$5:$B$8,0))
/COUNTIF(C:C,C13)*100,0)</f>
        <v>54</v>
      </c>
    </row>
    <row r="14" spans="1:5">
      <c r="A14" s="5">
        <v>11</v>
      </c>
      <c r="B14" s="5">
        <v>2011</v>
      </c>
      <c r="C14" s="5">
        <f>INDEX(Unitinfo!I:I,MATCH(GachaList!B14,Unitinfo!A:A,0))+1</f>
        <v>3</v>
      </c>
      <c r="D14" s="5">
        <f>IF(COUNTIF($B$4:B14,B14)=1,INDEX(ref_Rarity!$H$5:$H$8,MATCH(GachaList!C14,ref_Rarity!$B$5:$B$8,0)),
IF(COUNTIF($B$4:B14,B14)=2,INDEX(ref_Rarity!$I$5:$I$8,MATCH(GachaList!C14,ref_Rarity!$B$5:$B$8,0)),
IF(COUNTIF($B$4:B14,B14)=3,INDEX(ref_Rarity!$J$5:$J$8,MATCH(GachaList!C14,ref_Rarity!$B$5:$B$8,0)),
)))</f>
        <v>2</v>
      </c>
      <c r="E14" s="5">
        <f xml:space="preserve">
ROUNDDOWN(INDEX(ref_Rarity!$E$5:$E$8,MATCH(GachaList!C14,ref_Rarity!$B$5:$B$8,0))
/COUNTIF(C:C,C14)*100,0)</f>
        <v>54</v>
      </c>
    </row>
    <row r="15" spans="1:5">
      <c r="A15" s="5">
        <v>12</v>
      </c>
      <c r="B15" s="5">
        <v>2012</v>
      </c>
      <c r="C15" s="5">
        <f>INDEX(Unitinfo!I:I,MATCH(GachaList!B15,Unitinfo!A:A,0))+1</f>
        <v>2</v>
      </c>
      <c r="D15" s="5">
        <f>IF(COUNTIF($B$4:B15,B15)=1,INDEX(ref_Rarity!$H$5:$H$8,MATCH(GachaList!C15,ref_Rarity!$B$5:$B$8,0)),
IF(COUNTIF($B$4:B15,B15)=2,INDEX(ref_Rarity!$I$5:$I$8,MATCH(GachaList!C15,ref_Rarity!$B$5:$B$8,0)),
IF(COUNTIF($B$4:B15,B15)=3,INDEX(ref_Rarity!$J$5:$J$8,MATCH(GachaList!C15,ref_Rarity!$B$5:$B$8,0)),
)))</f>
        <v>4</v>
      </c>
      <c r="E15" s="5">
        <f xml:space="preserve">
ROUNDDOWN(INDEX(ref_Rarity!$E$5:$E$8,MATCH(GachaList!C15,ref_Rarity!$B$5:$B$8,0))
/COUNTIF(C:C,C15)*100,0)</f>
        <v>129</v>
      </c>
    </row>
    <row r="16" spans="1:5">
      <c r="A16" s="5">
        <v>13</v>
      </c>
      <c r="B16" s="5">
        <v>2013</v>
      </c>
      <c r="C16" s="5">
        <f>INDEX(Unitinfo!I:I,MATCH(GachaList!B16,Unitinfo!A:A,0))+1</f>
        <v>2</v>
      </c>
      <c r="D16" s="5">
        <f>IF(COUNTIF($B$4:B16,B16)=1,INDEX(ref_Rarity!$H$5:$H$8,MATCH(GachaList!C16,ref_Rarity!$B$5:$B$8,0)),
IF(COUNTIF($B$4:B16,B16)=2,INDEX(ref_Rarity!$I$5:$I$8,MATCH(GachaList!C16,ref_Rarity!$B$5:$B$8,0)),
IF(COUNTIF($B$4:B16,B16)=3,INDEX(ref_Rarity!$J$5:$J$8,MATCH(GachaList!C16,ref_Rarity!$B$5:$B$8,0)),
)))</f>
        <v>4</v>
      </c>
      <c r="E16" s="5">
        <f xml:space="preserve">
ROUNDDOWN(INDEX(ref_Rarity!$E$5:$E$8,MATCH(GachaList!C16,ref_Rarity!$B$5:$B$8,0))
/COUNTIF(C:C,C16)*100,0)</f>
        <v>129</v>
      </c>
    </row>
    <row r="17" spans="1:5">
      <c r="A17" s="5">
        <v>14</v>
      </c>
      <c r="B17" s="5">
        <v>2014</v>
      </c>
      <c r="C17" s="5">
        <f>INDEX(Unitinfo!I:I,MATCH(GachaList!B17,Unitinfo!A:A,0))+1</f>
        <v>2</v>
      </c>
      <c r="D17" s="5">
        <f>IF(COUNTIF($B$4:B17,B17)=1,INDEX(ref_Rarity!$H$5:$H$8,MATCH(GachaList!C17,ref_Rarity!$B$5:$B$8,0)),
IF(COUNTIF($B$4:B17,B17)=2,INDEX(ref_Rarity!$I$5:$I$8,MATCH(GachaList!C17,ref_Rarity!$B$5:$B$8,0)),
IF(COUNTIF($B$4:B17,B17)=3,INDEX(ref_Rarity!$J$5:$J$8,MATCH(GachaList!C17,ref_Rarity!$B$5:$B$8,0)),
)))</f>
        <v>4</v>
      </c>
      <c r="E17" s="5">
        <f xml:space="preserve">
ROUNDDOWN(INDEX(ref_Rarity!$E$5:$E$8,MATCH(GachaList!C17,ref_Rarity!$B$5:$B$8,0))
/COUNTIF(C:C,C17)*100,0)</f>
        <v>129</v>
      </c>
    </row>
    <row r="18" spans="1:5">
      <c r="A18" s="5">
        <v>15</v>
      </c>
      <c r="B18" s="5">
        <v>2015</v>
      </c>
      <c r="C18" s="5">
        <f>INDEX(Unitinfo!I:I,MATCH(GachaList!B18,Unitinfo!A:A,0))+1</f>
        <v>3</v>
      </c>
      <c r="D18" s="5">
        <f>IF(COUNTIF($B$4:B18,B18)=1,INDEX(ref_Rarity!$H$5:$H$8,MATCH(GachaList!C18,ref_Rarity!$B$5:$B$8,0)),
IF(COUNTIF($B$4:B18,B18)=2,INDEX(ref_Rarity!$I$5:$I$8,MATCH(GachaList!C18,ref_Rarity!$B$5:$B$8,0)),
IF(COUNTIF($B$4:B18,B18)=3,INDEX(ref_Rarity!$J$5:$J$8,MATCH(GachaList!C18,ref_Rarity!$B$5:$B$8,0)),
)))</f>
        <v>2</v>
      </c>
      <c r="E18" s="5">
        <f xml:space="preserve">
ROUNDDOWN(INDEX(ref_Rarity!$E$5:$E$8,MATCH(GachaList!C18,ref_Rarity!$B$5:$B$8,0))
/COUNTIF(C:C,C18)*100,0)</f>
        <v>54</v>
      </c>
    </row>
    <row r="19" spans="1:5">
      <c r="A19" s="5">
        <v>16</v>
      </c>
      <c r="B19" s="5">
        <v>2016</v>
      </c>
      <c r="C19" s="5">
        <f>INDEX(Unitinfo!I:I,MATCH(GachaList!B19,Unitinfo!A:A,0))+1</f>
        <v>3</v>
      </c>
      <c r="D19" s="5">
        <f>IF(COUNTIF($B$4:B19,B19)=1,INDEX(ref_Rarity!$H$5:$H$8,MATCH(GachaList!C19,ref_Rarity!$B$5:$B$8,0)),
IF(COUNTIF($B$4:B19,B19)=2,INDEX(ref_Rarity!$I$5:$I$8,MATCH(GachaList!C19,ref_Rarity!$B$5:$B$8,0)),
IF(COUNTIF($B$4:B19,B19)=3,INDEX(ref_Rarity!$J$5:$J$8,MATCH(GachaList!C19,ref_Rarity!$B$5:$B$8,0)),
)))</f>
        <v>2</v>
      </c>
      <c r="E19" s="5">
        <f xml:space="preserve">
ROUNDDOWN(INDEX(ref_Rarity!$E$5:$E$8,MATCH(GachaList!C19,ref_Rarity!$B$5:$B$8,0))
/COUNTIF(C:C,C19)*100,0)</f>
        <v>54</v>
      </c>
    </row>
    <row r="20" spans="1:5">
      <c r="A20" s="5">
        <v>17</v>
      </c>
      <c r="B20" s="5">
        <v>2017</v>
      </c>
      <c r="C20" s="5">
        <f>INDEX(Unitinfo!I:I,MATCH(GachaList!B20,Unitinfo!A:A,0))+1</f>
        <v>4</v>
      </c>
      <c r="D20" s="5">
        <f>IF(COUNTIF($B$4:B20,B20)=1,INDEX(ref_Rarity!$H$5:$H$8,MATCH(GachaList!C20,ref_Rarity!$B$5:$B$8,0)),
IF(COUNTIF($B$4:B20,B20)=2,INDEX(ref_Rarity!$I$5:$I$8,MATCH(GachaList!C20,ref_Rarity!$B$5:$B$8,0)),
IF(COUNTIF($B$4:B20,B20)=3,INDEX(ref_Rarity!$J$5:$J$8,MATCH(GachaList!C20,ref_Rarity!$B$5:$B$8,0)),
)))</f>
        <v>1</v>
      </c>
      <c r="E20" s="5">
        <f xml:space="preserve">
ROUNDDOWN(INDEX(ref_Rarity!$E$5:$E$8,MATCH(GachaList!C20,ref_Rarity!$B$5:$B$8,0))
/COUNTIF(C:C,C20)*100,0)</f>
        <v>33</v>
      </c>
    </row>
    <row r="21" spans="1:5">
      <c r="A21" s="5">
        <v>18</v>
      </c>
      <c r="B21" s="5">
        <v>2018</v>
      </c>
      <c r="C21" s="5">
        <f>INDEX(Unitinfo!I:I,MATCH(GachaList!B21,Unitinfo!A:A,0))+1</f>
        <v>4</v>
      </c>
      <c r="D21" s="5">
        <f>IF(COUNTIF($B$4:B21,B21)=1,INDEX(ref_Rarity!$H$5:$H$8,MATCH(GachaList!C21,ref_Rarity!$B$5:$B$8,0)),
IF(COUNTIF($B$4:B21,B21)=2,INDEX(ref_Rarity!$I$5:$I$8,MATCH(GachaList!C21,ref_Rarity!$B$5:$B$8,0)),
IF(COUNTIF($B$4:B21,B21)=3,INDEX(ref_Rarity!$J$5:$J$8,MATCH(GachaList!C21,ref_Rarity!$B$5:$B$8,0)),
)))</f>
        <v>1</v>
      </c>
      <c r="E21" s="5">
        <f xml:space="preserve">
ROUNDDOWN(INDEX(ref_Rarity!$E$5:$E$8,MATCH(GachaList!C21,ref_Rarity!$B$5:$B$8,0))
/COUNTIF(C:C,C21)*100,0)</f>
        <v>33</v>
      </c>
    </row>
    <row r="22" spans="1:5">
      <c r="A22" s="5">
        <v>19</v>
      </c>
      <c r="B22" s="5">
        <v>2019</v>
      </c>
      <c r="C22" s="5">
        <f>INDEX(Unitinfo!I:I,MATCH(GachaList!B22,Unitinfo!A:A,0))+1</f>
        <v>1</v>
      </c>
      <c r="D22" s="5">
        <f>IF(COUNTIF($B$4:B22,B22)=1,INDEX(ref_Rarity!$H$5:$H$8,MATCH(GachaList!C22,ref_Rarity!$B$5:$B$8,0)),
IF(COUNTIF($B$4:B22,B22)=2,INDEX(ref_Rarity!$I$5:$I$8,MATCH(GachaList!C22,ref_Rarity!$B$5:$B$8,0)),
IF(COUNTIF($B$4:B22,B22)=3,INDEX(ref_Rarity!$J$5:$J$8,MATCH(GachaList!C22,ref_Rarity!$B$5:$B$8,0)),
)))</f>
        <v>6</v>
      </c>
      <c r="E22" s="5">
        <f xml:space="preserve">
ROUNDDOWN(INDEX(ref_Rarity!$E$5:$E$8,MATCH(GachaList!C22,ref_Rarity!$B$5:$B$8,0))
/COUNTIF(C:C,C22)*100,0)</f>
        <v>138</v>
      </c>
    </row>
    <row r="23" spans="1:5">
      <c r="A23" s="5">
        <v>20</v>
      </c>
      <c r="B23" s="5">
        <v>2020</v>
      </c>
      <c r="C23" s="5">
        <f>INDEX(Unitinfo!I:I,MATCH(GachaList!B23,Unitinfo!A:A,0))+1</f>
        <v>1</v>
      </c>
      <c r="D23" s="5">
        <f>IF(COUNTIF($B$4:B23,B23)=1,INDEX(ref_Rarity!$H$5:$H$8,MATCH(GachaList!C23,ref_Rarity!$B$5:$B$8,0)),
IF(COUNTIF($B$4:B23,B23)=2,INDEX(ref_Rarity!$I$5:$I$8,MATCH(GachaList!C23,ref_Rarity!$B$5:$B$8,0)),
IF(COUNTIF($B$4:B23,B23)=3,INDEX(ref_Rarity!$J$5:$J$8,MATCH(GachaList!C23,ref_Rarity!$B$5:$B$8,0)),
)))</f>
        <v>6</v>
      </c>
      <c r="E23" s="5">
        <f xml:space="preserve">
ROUNDDOWN(INDEX(ref_Rarity!$E$5:$E$8,MATCH(GachaList!C23,ref_Rarity!$B$5:$B$8,0))
/COUNTIF(C:C,C23)*100,0)</f>
        <v>138</v>
      </c>
    </row>
    <row r="24" spans="1:5">
      <c r="A24" s="5">
        <v>21</v>
      </c>
      <c r="B24" s="5">
        <v>2021</v>
      </c>
      <c r="C24" s="5">
        <f>INDEX(Unitinfo!I:I,MATCH(GachaList!B24,Unitinfo!A:A,0))+1</f>
        <v>1</v>
      </c>
      <c r="D24" s="5">
        <f>IF(COUNTIF($B$4:B24,B24)=1,INDEX(ref_Rarity!$H$5:$H$8,MATCH(GachaList!C24,ref_Rarity!$B$5:$B$8,0)),
IF(COUNTIF($B$4:B24,B24)=2,INDEX(ref_Rarity!$I$5:$I$8,MATCH(GachaList!C24,ref_Rarity!$B$5:$B$8,0)),
IF(COUNTIF($B$4:B24,B24)=3,INDEX(ref_Rarity!$J$5:$J$8,MATCH(GachaList!C24,ref_Rarity!$B$5:$B$8,0)),
)))</f>
        <v>6</v>
      </c>
      <c r="E24" s="5">
        <f xml:space="preserve">
ROUNDDOWN(INDEX(ref_Rarity!$E$5:$E$8,MATCH(GachaList!C24,ref_Rarity!$B$5:$B$8,0))
/COUNTIF(C:C,C24)*100,0)</f>
        <v>138</v>
      </c>
    </row>
    <row r="25" spans="1:5">
      <c r="A25" s="5">
        <v>22</v>
      </c>
      <c r="B25" s="5">
        <v>2022</v>
      </c>
      <c r="C25" s="5">
        <f>INDEX(Unitinfo!I:I,MATCH(GachaList!B25,Unitinfo!A:A,0))+1</f>
        <v>1</v>
      </c>
      <c r="D25" s="5">
        <f>IF(COUNTIF($B$4:B25,B25)=1,INDEX(ref_Rarity!$H$5:$H$8,MATCH(GachaList!C25,ref_Rarity!$B$5:$B$8,0)),
IF(COUNTIF($B$4:B25,B25)=2,INDEX(ref_Rarity!$I$5:$I$8,MATCH(GachaList!C25,ref_Rarity!$B$5:$B$8,0)),
IF(COUNTIF($B$4:B25,B25)=3,INDEX(ref_Rarity!$J$5:$J$8,MATCH(GachaList!C25,ref_Rarity!$B$5:$B$8,0)),
)))</f>
        <v>6</v>
      </c>
      <c r="E25" s="5">
        <f xml:space="preserve">
ROUNDDOWN(INDEX(ref_Rarity!$E$5:$E$8,MATCH(GachaList!C25,ref_Rarity!$B$5:$B$8,0))
/COUNTIF(C:C,C25)*100,0)</f>
        <v>138</v>
      </c>
    </row>
    <row r="26" spans="1:5">
      <c r="A26" s="5">
        <v>23</v>
      </c>
      <c r="B26" s="5">
        <v>2023</v>
      </c>
      <c r="C26" s="5">
        <f>INDEX(Unitinfo!I:I,MATCH(GachaList!B26,Unitinfo!A:A,0))+1</f>
        <v>3</v>
      </c>
      <c r="D26" s="5">
        <f>IF(COUNTIF($B$4:B26,B26)=1,INDEX(ref_Rarity!$H$5:$H$8,MATCH(GachaList!C26,ref_Rarity!$B$5:$B$8,0)),
IF(COUNTIF($B$4:B26,B26)=2,INDEX(ref_Rarity!$I$5:$I$8,MATCH(GachaList!C26,ref_Rarity!$B$5:$B$8,0)),
IF(COUNTIF($B$4:B26,B26)=3,INDEX(ref_Rarity!$J$5:$J$8,MATCH(GachaList!C26,ref_Rarity!$B$5:$B$8,0)),
)))</f>
        <v>2</v>
      </c>
      <c r="E26" s="5">
        <f xml:space="preserve">
ROUNDDOWN(INDEX(ref_Rarity!$E$5:$E$8,MATCH(GachaList!C26,ref_Rarity!$B$5:$B$8,0))
/COUNTIF(C:C,C26)*100,0)</f>
        <v>54</v>
      </c>
    </row>
    <row r="27" spans="1:5">
      <c r="A27" s="5">
        <v>24</v>
      </c>
      <c r="B27" s="5">
        <v>2024</v>
      </c>
      <c r="C27" s="5">
        <f>INDEX(Unitinfo!I:I,MATCH(GachaList!B27,Unitinfo!A:A,0))+1</f>
        <v>3</v>
      </c>
      <c r="D27" s="5">
        <f>IF(COUNTIF($B$4:B27,B27)=1,INDEX(ref_Rarity!$H$5:$H$8,MATCH(GachaList!C27,ref_Rarity!$B$5:$B$8,0)),
IF(COUNTIF($B$4:B27,B27)=2,INDEX(ref_Rarity!$I$5:$I$8,MATCH(GachaList!C27,ref_Rarity!$B$5:$B$8,0)),
IF(COUNTIF($B$4:B27,B27)=3,INDEX(ref_Rarity!$J$5:$J$8,MATCH(GachaList!C27,ref_Rarity!$B$5:$B$8,0)),
)))</f>
        <v>2</v>
      </c>
      <c r="E27" s="5">
        <f xml:space="preserve">
ROUNDDOWN(INDEX(ref_Rarity!$E$5:$E$8,MATCH(GachaList!C27,ref_Rarity!$B$5:$B$8,0))
/COUNTIF(C:C,C27)*100,0)</f>
        <v>54</v>
      </c>
    </row>
    <row r="28" spans="1:5">
      <c r="A28" s="5">
        <v>25</v>
      </c>
      <c r="B28" s="5">
        <v>2025</v>
      </c>
      <c r="C28" s="5">
        <f>INDEX(Unitinfo!I:I,MATCH(GachaList!B28,Unitinfo!A:A,0))+1</f>
        <v>3</v>
      </c>
      <c r="D28" s="5">
        <f>IF(COUNTIF($B$4:B28,B28)=1,INDEX(ref_Rarity!$H$5:$H$8,MATCH(GachaList!C28,ref_Rarity!$B$5:$B$8,0)),
IF(COUNTIF($B$4:B28,B28)=2,INDEX(ref_Rarity!$I$5:$I$8,MATCH(GachaList!C28,ref_Rarity!$B$5:$B$8,0)),
IF(COUNTIF($B$4:B28,B28)=3,INDEX(ref_Rarity!$J$5:$J$8,MATCH(GachaList!C28,ref_Rarity!$B$5:$B$8,0)),
)))</f>
        <v>2</v>
      </c>
      <c r="E28" s="5">
        <f xml:space="preserve">
ROUNDDOWN(INDEX(ref_Rarity!$E$5:$E$8,MATCH(GachaList!C28,ref_Rarity!$B$5:$B$8,0))
/COUNTIF(C:C,C28)*100,0)</f>
        <v>54</v>
      </c>
    </row>
    <row r="29" spans="1:5">
      <c r="A29" s="5">
        <v>26</v>
      </c>
      <c r="B29" s="5">
        <v>2026</v>
      </c>
      <c r="C29" s="5">
        <f>INDEX(Unitinfo!I:I,MATCH(GachaList!B29,Unitinfo!A:A,0))+1</f>
        <v>2</v>
      </c>
      <c r="D29" s="5">
        <f>IF(COUNTIF($B$4:B29,B29)=1,INDEX(ref_Rarity!$H$5:$H$8,MATCH(GachaList!C29,ref_Rarity!$B$5:$B$8,0)),
IF(COUNTIF($B$4:B29,B29)=2,INDEX(ref_Rarity!$I$5:$I$8,MATCH(GachaList!C29,ref_Rarity!$B$5:$B$8,0)),
IF(COUNTIF($B$4:B29,B29)=3,INDEX(ref_Rarity!$J$5:$J$8,MATCH(GachaList!C29,ref_Rarity!$B$5:$B$8,0)),
)))</f>
        <v>4</v>
      </c>
      <c r="E29" s="5">
        <f xml:space="preserve">
ROUNDDOWN(INDEX(ref_Rarity!$E$5:$E$8,MATCH(GachaList!C29,ref_Rarity!$B$5:$B$8,0))
/COUNTIF(C:C,C29)*100,0)</f>
        <v>129</v>
      </c>
    </row>
    <row r="30" spans="1:5">
      <c r="A30" s="5">
        <v>27</v>
      </c>
      <c r="B30" s="5">
        <v>2027</v>
      </c>
      <c r="C30" s="5">
        <f>INDEX(Unitinfo!I:I,MATCH(GachaList!B30,Unitinfo!A:A,0))+1</f>
        <v>2</v>
      </c>
      <c r="D30" s="5">
        <f>IF(COUNTIF($B$4:B30,B30)=1,INDEX(ref_Rarity!$H$5:$H$8,MATCH(GachaList!C30,ref_Rarity!$B$5:$B$8,0)),
IF(COUNTIF($B$4:B30,B30)=2,INDEX(ref_Rarity!$I$5:$I$8,MATCH(GachaList!C30,ref_Rarity!$B$5:$B$8,0)),
IF(COUNTIF($B$4:B30,B30)=3,INDEX(ref_Rarity!$J$5:$J$8,MATCH(GachaList!C30,ref_Rarity!$B$5:$B$8,0)),
)))</f>
        <v>4</v>
      </c>
      <c r="E30" s="5">
        <f xml:space="preserve">
ROUNDDOWN(INDEX(ref_Rarity!$E$5:$E$8,MATCH(GachaList!C30,ref_Rarity!$B$5:$B$8,0))
/COUNTIF(C:C,C30)*100,0)</f>
        <v>129</v>
      </c>
    </row>
    <row r="31" spans="1:5">
      <c r="A31" s="5">
        <v>28</v>
      </c>
      <c r="B31" s="5">
        <v>2028</v>
      </c>
      <c r="C31" s="5">
        <f>INDEX(Unitinfo!I:I,MATCH(GachaList!B31,Unitinfo!A:A,0))+1</f>
        <v>2</v>
      </c>
      <c r="D31" s="5">
        <f>IF(COUNTIF($B$4:B31,B31)=1,INDEX(ref_Rarity!$H$5:$H$8,MATCH(GachaList!C31,ref_Rarity!$B$5:$B$8,0)),
IF(COUNTIF($B$4:B31,B31)=2,INDEX(ref_Rarity!$I$5:$I$8,MATCH(GachaList!C31,ref_Rarity!$B$5:$B$8,0)),
IF(COUNTIF($B$4:B31,B31)=3,INDEX(ref_Rarity!$J$5:$J$8,MATCH(GachaList!C31,ref_Rarity!$B$5:$B$8,0)),
)))</f>
        <v>4</v>
      </c>
      <c r="E31" s="5">
        <f xml:space="preserve">
ROUNDDOWN(INDEX(ref_Rarity!$E$5:$E$8,MATCH(GachaList!C31,ref_Rarity!$B$5:$B$8,0))
/COUNTIF(C:C,C31)*100,0)</f>
        <v>129</v>
      </c>
    </row>
    <row r="32" spans="1:5">
      <c r="A32" s="5">
        <v>29</v>
      </c>
      <c r="B32" s="5">
        <v>2029</v>
      </c>
      <c r="C32" s="5">
        <f>INDEX(Unitinfo!I:I,MATCH(GachaList!B32,Unitinfo!A:A,0))+1</f>
        <v>2</v>
      </c>
      <c r="D32" s="5">
        <f>IF(COUNTIF($B$4:B32,B32)=1,INDEX(ref_Rarity!$H$5:$H$8,MATCH(GachaList!C32,ref_Rarity!$B$5:$B$8,0)),
IF(COUNTIF($B$4:B32,B32)=2,INDEX(ref_Rarity!$I$5:$I$8,MATCH(GachaList!C32,ref_Rarity!$B$5:$B$8,0)),
IF(COUNTIF($B$4:B32,B32)=3,INDEX(ref_Rarity!$J$5:$J$8,MATCH(GachaList!C32,ref_Rarity!$B$5:$B$8,0)),
)))</f>
        <v>4</v>
      </c>
      <c r="E32" s="5">
        <f xml:space="preserve">
ROUNDDOWN(INDEX(ref_Rarity!$E$5:$E$8,MATCH(GachaList!C32,ref_Rarity!$B$5:$B$8,0))
/COUNTIF(C:C,C32)*100,0)</f>
        <v>129</v>
      </c>
    </row>
    <row r="33" spans="1:5">
      <c r="A33" s="5">
        <v>30</v>
      </c>
      <c r="B33" s="5">
        <v>2030</v>
      </c>
      <c r="C33" s="5">
        <f>INDEX(Unitinfo!I:I,MATCH(GachaList!B33,Unitinfo!A:A,0))+1</f>
        <v>2</v>
      </c>
      <c r="D33" s="5">
        <f>IF(COUNTIF($B$4:B33,B33)=1,INDEX(ref_Rarity!$H$5:$H$8,MATCH(GachaList!C33,ref_Rarity!$B$5:$B$8,0)),
IF(COUNTIF($B$4:B33,B33)=2,INDEX(ref_Rarity!$I$5:$I$8,MATCH(GachaList!C33,ref_Rarity!$B$5:$B$8,0)),
IF(COUNTIF($B$4:B33,B33)=3,INDEX(ref_Rarity!$J$5:$J$8,MATCH(GachaList!C33,ref_Rarity!$B$5:$B$8,0)),
)))</f>
        <v>4</v>
      </c>
      <c r="E33" s="5">
        <f xml:space="preserve">
ROUNDDOWN(INDEX(ref_Rarity!$E$5:$E$8,MATCH(GachaList!C33,ref_Rarity!$B$5:$B$8,0))
/COUNTIF(C:C,C33)*100,0)</f>
        <v>129</v>
      </c>
    </row>
    <row r="34" spans="1:5" s="134" customFormat="1" ht="15.75" thickBot="1">
      <c r="A34" s="133">
        <v>31</v>
      </c>
      <c r="B34" s="133">
        <v>2031</v>
      </c>
      <c r="C34" s="133">
        <f>INDEX(Unitinfo!I:I,MATCH(GachaList!B34,Unitinfo!A:A,0))+1</f>
        <v>2</v>
      </c>
      <c r="D34" s="5">
        <f>IF(COUNTIF($B$4:B34,B34)=1,INDEX(ref_Rarity!$H$5:$H$8,MATCH(GachaList!C34,ref_Rarity!$B$5:$B$8,0)),
IF(COUNTIF($B$4:B34,B34)=2,INDEX(ref_Rarity!$I$5:$I$8,MATCH(GachaList!C34,ref_Rarity!$B$5:$B$8,0)),
IF(COUNTIF($B$4:B34,B34)=3,INDEX(ref_Rarity!$J$5:$J$8,MATCH(GachaList!C34,ref_Rarity!$B$5:$B$8,0)),
)))</f>
        <v>4</v>
      </c>
      <c r="E34" s="5">
        <f xml:space="preserve">
ROUNDDOWN(INDEX(ref_Rarity!$E$5:$E$8,MATCH(GachaList!C34,ref_Rarity!$B$5:$B$8,0))
/COUNTIF(C:C,C34)*100,0)</f>
        <v>129</v>
      </c>
    </row>
    <row r="35" spans="1:5" ht="15.75" thickTop="1">
      <c r="A35" s="5">
        <v>32</v>
      </c>
      <c r="B35" s="5">
        <v>2001</v>
      </c>
      <c r="C35" s="5">
        <f>INDEX(Unitinfo!I:I,MATCH(GachaList!B35,Unitinfo!A:A,0))+1</f>
        <v>1</v>
      </c>
      <c r="D35" s="5">
        <f>IF(COUNTIF($B$4:B35,B35)=1,INDEX(ref_Rarity!$H$5:$H$8,MATCH(GachaList!C35,ref_Rarity!$B$5:$B$8,0)),
IF(COUNTIF($B$4:B35,B35)=2,INDEX(ref_Rarity!$I$5:$I$8,MATCH(GachaList!C35,ref_Rarity!$B$5:$B$8,0)),
IF(COUNTIF($B$4:B35,B35)=3,INDEX(ref_Rarity!$J$5:$J$8,MATCH(GachaList!C35,ref_Rarity!$B$5:$B$8,0)),
)))</f>
        <v>9</v>
      </c>
      <c r="E35" s="5">
        <f xml:space="preserve">
ROUNDDOWN(INDEX(ref_Rarity!$E$5:$E$8,MATCH(GachaList!C35,ref_Rarity!$B$5:$B$8,0))
/COUNTIF(C:C,C35)*100,0)</f>
        <v>138</v>
      </c>
    </row>
    <row r="36" spans="1:5">
      <c r="A36" s="5">
        <v>33</v>
      </c>
      <c r="B36" s="5">
        <v>2002</v>
      </c>
      <c r="C36" s="5">
        <f>INDEX(Unitinfo!I:I,MATCH(GachaList!B36,Unitinfo!A:A,0))+1</f>
        <v>1</v>
      </c>
      <c r="D36" s="5">
        <f>IF(COUNTIF($B$4:B36,B36)=1,INDEX(ref_Rarity!$H$5:$H$8,MATCH(GachaList!C36,ref_Rarity!$B$5:$B$8,0)),
IF(COUNTIF($B$4:B36,B36)=2,INDEX(ref_Rarity!$I$5:$I$8,MATCH(GachaList!C36,ref_Rarity!$B$5:$B$8,0)),
IF(COUNTIF($B$4:B36,B36)=3,INDEX(ref_Rarity!$J$5:$J$8,MATCH(GachaList!C36,ref_Rarity!$B$5:$B$8,0)),
)))</f>
        <v>9</v>
      </c>
      <c r="E36" s="5">
        <f xml:space="preserve">
ROUNDDOWN(INDEX(ref_Rarity!$E$5:$E$8,MATCH(GachaList!C36,ref_Rarity!$B$5:$B$8,0))
/COUNTIF(C:C,C36)*100,0)</f>
        <v>138</v>
      </c>
    </row>
    <row r="37" spans="1:5">
      <c r="A37" s="5">
        <v>34</v>
      </c>
      <c r="B37" s="5">
        <v>2003</v>
      </c>
      <c r="C37" s="5">
        <f>INDEX(Unitinfo!I:I,MATCH(GachaList!B37,Unitinfo!A:A,0))+1</f>
        <v>1</v>
      </c>
      <c r="D37" s="5">
        <f>IF(COUNTIF($B$4:B37,B37)=1,INDEX(ref_Rarity!$H$5:$H$8,MATCH(GachaList!C37,ref_Rarity!$B$5:$B$8,0)),
IF(COUNTIF($B$4:B37,B37)=2,INDEX(ref_Rarity!$I$5:$I$8,MATCH(GachaList!C37,ref_Rarity!$B$5:$B$8,0)),
IF(COUNTIF($B$4:B37,B37)=3,INDEX(ref_Rarity!$J$5:$J$8,MATCH(GachaList!C37,ref_Rarity!$B$5:$B$8,0)),
)))</f>
        <v>9</v>
      </c>
      <c r="E37" s="5">
        <f xml:space="preserve">
ROUNDDOWN(INDEX(ref_Rarity!$E$5:$E$8,MATCH(GachaList!C37,ref_Rarity!$B$5:$B$8,0))
/COUNTIF(C:C,C37)*100,0)</f>
        <v>138</v>
      </c>
    </row>
    <row r="38" spans="1:5">
      <c r="A38" s="5">
        <v>35</v>
      </c>
      <c r="B38" s="5">
        <v>2004</v>
      </c>
      <c r="C38" s="5">
        <f>INDEX(Unitinfo!I:I,MATCH(GachaList!B38,Unitinfo!A:A,0))+1</f>
        <v>1</v>
      </c>
      <c r="D38" s="5">
        <f>IF(COUNTIF($B$4:B38,B38)=1,INDEX(ref_Rarity!$H$5:$H$8,MATCH(GachaList!C38,ref_Rarity!$B$5:$B$8,0)),
IF(COUNTIF($B$4:B38,B38)=2,INDEX(ref_Rarity!$I$5:$I$8,MATCH(GachaList!C38,ref_Rarity!$B$5:$B$8,0)),
IF(COUNTIF($B$4:B38,B38)=3,INDEX(ref_Rarity!$J$5:$J$8,MATCH(GachaList!C38,ref_Rarity!$B$5:$B$8,0)),
)))</f>
        <v>9</v>
      </c>
      <c r="E38" s="5">
        <f xml:space="preserve">
ROUNDDOWN(INDEX(ref_Rarity!$E$5:$E$8,MATCH(GachaList!C38,ref_Rarity!$B$5:$B$8,0))
/COUNTIF(C:C,C38)*100,0)</f>
        <v>138</v>
      </c>
    </row>
    <row r="39" spans="1:5">
      <c r="A39" s="5">
        <v>36</v>
      </c>
      <c r="B39" s="5">
        <v>2005</v>
      </c>
      <c r="C39" s="5">
        <f>INDEX(Unitinfo!I:I,MATCH(GachaList!B39,Unitinfo!A:A,0))+1</f>
        <v>1</v>
      </c>
      <c r="D39" s="5">
        <f>IF(COUNTIF($B$4:B39,B39)=1,INDEX(ref_Rarity!$H$5:$H$8,MATCH(GachaList!C39,ref_Rarity!$B$5:$B$8,0)),
IF(COUNTIF($B$4:B39,B39)=2,INDEX(ref_Rarity!$I$5:$I$8,MATCH(GachaList!C39,ref_Rarity!$B$5:$B$8,0)),
IF(COUNTIF($B$4:B39,B39)=3,INDEX(ref_Rarity!$J$5:$J$8,MATCH(GachaList!C39,ref_Rarity!$B$5:$B$8,0)),
)))</f>
        <v>9</v>
      </c>
      <c r="E39" s="5">
        <f xml:space="preserve">
ROUNDDOWN(INDEX(ref_Rarity!$E$5:$E$8,MATCH(GachaList!C39,ref_Rarity!$B$5:$B$8,0))
/COUNTIF(C:C,C39)*100,0)</f>
        <v>138</v>
      </c>
    </row>
    <row r="40" spans="1:5">
      <c r="A40" s="5">
        <v>37</v>
      </c>
      <c r="B40" s="5">
        <v>2006</v>
      </c>
      <c r="C40" s="5">
        <f>INDEX(Unitinfo!I:I,MATCH(GachaList!B40,Unitinfo!A:A,0))+1</f>
        <v>1</v>
      </c>
      <c r="D40" s="5">
        <f>IF(COUNTIF($B$4:B40,B40)=1,INDEX(ref_Rarity!$H$5:$H$8,MATCH(GachaList!C40,ref_Rarity!$B$5:$B$8,0)),
IF(COUNTIF($B$4:B40,B40)=2,INDEX(ref_Rarity!$I$5:$I$8,MATCH(GachaList!C40,ref_Rarity!$B$5:$B$8,0)),
IF(COUNTIF($B$4:B40,B40)=3,INDEX(ref_Rarity!$J$5:$J$8,MATCH(GachaList!C40,ref_Rarity!$B$5:$B$8,0)),
)))</f>
        <v>9</v>
      </c>
      <c r="E40" s="5">
        <f xml:space="preserve">
ROUNDDOWN(INDEX(ref_Rarity!$E$5:$E$8,MATCH(GachaList!C40,ref_Rarity!$B$5:$B$8,0))
/COUNTIF(C:C,C40)*100,0)</f>
        <v>138</v>
      </c>
    </row>
    <row r="41" spans="1:5">
      <c r="A41" s="5">
        <v>38</v>
      </c>
      <c r="B41" s="5">
        <v>2007</v>
      </c>
      <c r="C41" s="5">
        <f>INDEX(Unitinfo!I:I,MATCH(GachaList!B41,Unitinfo!A:A,0))+1</f>
        <v>1</v>
      </c>
      <c r="D41" s="5">
        <f>IF(COUNTIF($B$4:B41,B41)=1,INDEX(ref_Rarity!$H$5:$H$8,MATCH(GachaList!C41,ref_Rarity!$B$5:$B$8,0)),
IF(COUNTIF($B$4:B41,B41)=2,INDEX(ref_Rarity!$I$5:$I$8,MATCH(GachaList!C41,ref_Rarity!$B$5:$B$8,0)),
IF(COUNTIF($B$4:B41,B41)=3,INDEX(ref_Rarity!$J$5:$J$8,MATCH(GachaList!C41,ref_Rarity!$B$5:$B$8,0)),
)))</f>
        <v>9</v>
      </c>
      <c r="E41" s="5">
        <f xml:space="preserve">
ROUNDDOWN(INDEX(ref_Rarity!$E$5:$E$8,MATCH(GachaList!C41,ref_Rarity!$B$5:$B$8,0))
/COUNTIF(C:C,C41)*100,0)</f>
        <v>138</v>
      </c>
    </row>
    <row r="42" spans="1:5">
      <c r="A42" s="5">
        <v>39</v>
      </c>
      <c r="B42" s="5">
        <v>2008</v>
      </c>
      <c r="C42" s="5">
        <f>INDEX(Unitinfo!I:I,MATCH(GachaList!B42,Unitinfo!A:A,0))+1</f>
        <v>1</v>
      </c>
      <c r="D42" s="5">
        <f>IF(COUNTIF($B$4:B42,B42)=1,INDEX(ref_Rarity!$H$5:$H$8,MATCH(GachaList!C42,ref_Rarity!$B$5:$B$8,0)),
IF(COUNTIF($B$4:B42,B42)=2,INDEX(ref_Rarity!$I$5:$I$8,MATCH(GachaList!C42,ref_Rarity!$B$5:$B$8,0)),
IF(COUNTIF($B$4:B42,B42)=3,INDEX(ref_Rarity!$J$5:$J$8,MATCH(GachaList!C42,ref_Rarity!$B$5:$B$8,0)),
)))</f>
        <v>9</v>
      </c>
      <c r="E42" s="5">
        <f xml:space="preserve">
ROUNDDOWN(INDEX(ref_Rarity!$E$5:$E$8,MATCH(GachaList!C42,ref_Rarity!$B$5:$B$8,0))
/COUNTIF(C:C,C42)*100,0)</f>
        <v>138</v>
      </c>
    </row>
    <row r="43" spans="1:5">
      <c r="A43" s="5">
        <v>40</v>
      </c>
      <c r="B43" s="5">
        <v>2009</v>
      </c>
      <c r="C43" s="5">
        <f>INDEX(Unitinfo!I:I,MATCH(GachaList!B43,Unitinfo!A:A,0))+1</f>
        <v>3</v>
      </c>
      <c r="D43" s="5">
        <f>IF(COUNTIF($B$4:B43,B43)=1,INDEX(ref_Rarity!$H$5:$H$8,MATCH(GachaList!C43,ref_Rarity!$B$5:$B$8,0)),
IF(COUNTIF($B$4:B43,B43)=2,INDEX(ref_Rarity!$I$5:$I$8,MATCH(GachaList!C43,ref_Rarity!$B$5:$B$8,0)),
IF(COUNTIF($B$4:B43,B43)=3,INDEX(ref_Rarity!$J$5:$J$8,MATCH(GachaList!C43,ref_Rarity!$B$5:$B$8,0)),
)))</f>
        <v>3</v>
      </c>
      <c r="E43" s="5">
        <f xml:space="preserve">
ROUNDDOWN(INDEX(ref_Rarity!$E$5:$E$8,MATCH(GachaList!C43,ref_Rarity!$B$5:$B$8,0))
/COUNTIF(C:C,C43)*100,0)</f>
        <v>54</v>
      </c>
    </row>
    <row r="44" spans="1:5">
      <c r="A44" s="5">
        <v>41</v>
      </c>
      <c r="B44" s="5">
        <v>2010</v>
      </c>
      <c r="C44" s="5">
        <f>INDEX(Unitinfo!I:I,MATCH(GachaList!B44,Unitinfo!A:A,0))+1</f>
        <v>3</v>
      </c>
      <c r="D44" s="5">
        <f>IF(COUNTIF($B$4:B44,B44)=1,INDEX(ref_Rarity!$H$5:$H$8,MATCH(GachaList!C44,ref_Rarity!$B$5:$B$8,0)),
IF(COUNTIF($B$4:B44,B44)=2,INDEX(ref_Rarity!$I$5:$I$8,MATCH(GachaList!C44,ref_Rarity!$B$5:$B$8,0)),
IF(COUNTIF($B$4:B44,B44)=3,INDEX(ref_Rarity!$J$5:$J$8,MATCH(GachaList!C44,ref_Rarity!$B$5:$B$8,0)),
)))</f>
        <v>3</v>
      </c>
      <c r="E44" s="5">
        <f xml:space="preserve">
ROUNDDOWN(INDEX(ref_Rarity!$E$5:$E$8,MATCH(GachaList!C44,ref_Rarity!$B$5:$B$8,0))
/COUNTIF(C:C,C44)*100,0)</f>
        <v>54</v>
      </c>
    </row>
    <row r="45" spans="1:5">
      <c r="A45" s="5">
        <v>42</v>
      </c>
      <c r="B45" s="5">
        <v>2011</v>
      </c>
      <c r="C45" s="5">
        <f>INDEX(Unitinfo!I:I,MATCH(GachaList!B45,Unitinfo!A:A,0))+1</f>
        <v>3</v>
      </c>
      <c r="D45" s="5">
        <f>IF(COUNTIF($B$4:B45,B45)=1,INDEX(ref_Rarity!$H$5:$H$8,MATCH(GachaList!C45,ref_Rarity!$B$5:$B$8,0)),
IF(COUNTIF($B$4:B45,B45)=2,INDEX(ref_Rarity!$I$5:$I$8,MATCH(GachaList!C45,ref_Rarity!$B$5:$B$8,0)),
IF(COUNTIF($B$4:B45,B45)=3,INDEX(ref_Rarity!$J$5:$J$8,MATCH(GachaList!C45,ref_Rarity!$B$5:$B$8,0)),
)))</f>
        <v>3</v>
      </c>
      <c r="E45" s="5">
        <f xml:space="preserve">
ROUNDDOWN(INDEX(ref_Rarity!$E$5:$E$8,MATCH(GachaList!C45,ref_Rarity!$B$5:$B$8,0))
/COUNTIF(C:C,C45)*100,0)</f>
        <v>54</v>
      </c>
    </row>
    <row r="46" spans="1:5">
      <c r="A46" s="5">
        <v>43</v>
      </c>
      <c r="B46" s="5">
        <v>2012</v>
      </c>
      <c r="C46" s="5">
        <f>INDEX(Unitinfo!I:I,MATCH(GachaList!B46,Unitinfo!A:A,0))+1</f>
        <v>2</v>
      </c>
      <c r="D46" s="5">
        <f>IF(COUNTIF($B$4:B46,B46)=1,INDEX(ref_Rarity!$H$5:$H$8,MATCH(GachaList!C46,ref_Rarity!$B$5:$B$8,0)),
IF(COUNTIF($B$4:B46,B46)=2,INDEX(ref_Rarity!$I$5:$I$8,MATCH(GachaList!C46,ref_Rarity!$B$5:$B$8,0)),
IF(COUNTIF($B$4:B46,B46)=3,INDEX(ref_Rarity!$J$5:$J$8,MATCH(GachaList!C46,ref_Rarity!$B$5:$B$8,0)),
)))</f>
        <v>6</v>
      </c>
      <c r="E46" s="5">
        <f xml:space="preserve">
ROUNDDOWN(INDEX(ref_Rarity!$E$5:$E$8,MATCH(GachaList!C46,ref_Rarity!$B$5:$B$8,0))
/COUNTIF(C:C,C46)*100,0)</f>
        <v>129</v>
      </c>
    </row>
    <row r="47" spans="1:5">
      <c r="A47" s="5">
        <v>44</v>
      </c>
      <c r="B47" s="5">
        <v>2013</v>
      </c>
      <c r="C47" s="5">
        <f>INDEX(Unitinfo!I:I,MATCH(GachaList!B47,Unitinfo!A:A,0))+1</f>
        <v>2</v>
      </c>
      <c r="D47" s="5">
        <f>IF(COUNTIF($B$4:B47,B47)=1,INDEX(ref_Rarity!$H$5:$H$8,MATCH(GachaList!C47,ref_Rarity!$B$5:$B$8,0)),
IF(COUNTIF($B$4:B47,B47)=2,INDEX(ref_Rarity!$I$5:$I$8,MATCH(GachaList!C47,ref_Rarity!$B$5:$B$8,0)),
IF(COUNTIF($B$4:B47,B47)=3,INDEX(ref_Rarity!$J$5:$J$8,MATCH(GachaList!C47,ref_Rarity!$B$5:$B$8,0)),
)))</f>
        <v>6</v>
      </c>
      <c r="E47" s="5">
        <f xml:space="preserve">
ROUNDDOWN(INDEX(ref_Rarity!$E$5:$E$8,MATCH(GachaList!C47,ref_Rarity!$B$5:$B$8,0))
/COUNTIF(C:C,C47)*100,0)</f>
        <v>129</v>
      </c>
    </row>
    <row r="48" spans="1:5">
      <c r="A48" s="5">
        <v>45</v>
      </c>
      <c r="B48" s="5">
        <v>2014</v>
      </c>
      <c r="C48" s="5">
        <f>INDEX(Unitinfo!I:I,MATCH(GachaList!B48,Unitinfo!A:A,0))+1</f>
        <v>2</v>
      </c>
      <c r="D48" s="5">
        <f>IF(COUNTIF($B$4:B48,B48)=1,INDEX(ref_Rarity!$H$5:$H$8,MATCH(GachaList!C48,ref_Rarity!$B$5:$B$8,0)),
IF(COUNTIF($B$4:B48,B48)=2,INDEX(ref_Rarity!$I$5:$I$8,MATCH(GachaList!C48,ref_Rarity!$B$5:$B$8,0)),
IF(COUNTIF($B$4:B48,B48)=3,INDEX(ref_Rarity!$J$5:$J$8,MATCH(GachaList!C48,ref_Rarity!$B$5:$B$8,0)),
)))</f>
        <v>6</v>
      </c>
      <c r="E48" s="5">
        <f xml:space="preserve">
ROUNDDOWN(INDEX(ref_Rarity!$E$5:$E$8,MATCH(GachaList!C48,ref_Rarity!$B$5:$B$8,0))
/COUNTIF(C:C,C48)*100,0)</f>
        <v>129</v>
      </c>
    </row>
    <row r="49" spans="1:5">
      <c r="A49" s="5">
        <v>46</v>
      </c>
      <c r="B49" s="5">
        <v>2015</v>
      </c>
      <c r="C49" s="5">
        <f>INDEX(Unitinfo!I:I,MATCH(GachaList!B49,Unitinfo!A:A,0))+1</f>
        <v>3</v>
      </c>
      <c r="D49" s="5">
        <f>IF(COUNTIF($B$4:B49,B49)=1,INDEX(ref_Rarity!$H$5:$H$8,MATCH(GachaList!C49,ref_Rarity!$B$5:$B$8,0)),
IF(COUNTIF($B$4:B49,B49)=2,INDEX(ref_Rarity!$I$5:$I$8,MATCH(GachaList!C49,ref_Rarity!$B$5:$B$8,0)),
IF(COUNTIF($B$4:B49,B49)=3,INDEX(ref_Rarity!$J$5:$J$8,MATCH(GachaList!C49,ref_Rarity!$B$5:$B$8,0)),
)))</f>
        <v>3</v>
      </c>
      <c r="E49" s="5">
        <f xml:space="preserve">
ROUNDDOWN(INDEX(ref_Rarity!$E$5:$E$8,MATCH(GachaList!C49,ref_Rarity!$B$5:$B$8,0))
/COUNTIF(C:C,C49)*100,0)</f>
        <v>54</v>
      </c>
    </row>
    <row r="50" spans="1:5">
      <c r="A50" s="5">
        <v>47</v>
      </c>
      <c r="B50" s="5">
        <v>2016</v>
      </c>
      <c r="C50" s="5">
        <f>INDEX(Unitinfo!I:I,MATCH(GachaList!B50,Unitinfo!A:A,0))+1</f>
        <v>3</v>
      </c>
      <c r="D50" s="5">
        <f>IF(COUNTIF($B$4:B50,B50)=1,INDEX(ref_Rarity!$H$5:$H$8,MATCH(GachaList!C50,ref_Rarity!$B$5:$B$8,0)),
IF(COUNTIF($B$4:B50,B50)=2,INDEX(ref_Rarity!$I$5:$I$8,MATCH(GachaList!C50,ref_Rarity!$B$5:$B$8,0)),
IF(COUNTIF($B$4:B50,B50)=3,INDEX(ref_Rarity!$J$5:$J$8,MATCH(GachaList!C50,ref_Rarity!$B$5:$B$8,0)),
)))</f>
        <v>3</v>
      </c>
      <c r="E50" s="5">
        <f xml:space="preserve">
ROUNDDOWN(INDEX(ref_Rarity!$E$5:$E$8,MATCH(GachaList!C50,ref_Rarity!$B$5:$B$8,0))
/COUNTIF(C:C,C50)*100,0)</f>
        <v>54</v>
      </c>
    </row>
    <row r="51" spans="1:5">
      <c r="A51" s="5">
        <v>48</v>
      </c>
      <c r="B51" s="5">
        <v>2017</v>
      </c>
      <c r="C51" s="5">
        <f>INDEX(Unitinfo!I:I,MATCH(GachaList!B51,Unitinfo!A:A,0))+1</f>
        <v>4</v>
      </c>
      <c r="D51" s="5">
        <f>IF(COUNTIF($B$4:B51,B51)=1,INDEX(ref_Rarity!$H$5:$H$8,MATCH(GachaList!C51,ref_Rarity!$B$5:$B$8,0)),
IF(COUNTIF($B$4:B51,B51)=2,INDEX(ref_Rarity!$I$5:$I$8,MATCH(GachaList!C51,ref_Rarity!$B$5:$B$8,0)),
IF(COUNTIF($B$4:B51,B51)=3,INDEX(ref_Rarity!$J$5:$J$8,MATCH(GachaList!C51,ref_Rarity!$B$5:$B$8,0)),
)))</f>
        <v>2</v>
      </c>
      <c r="E51" s="5">
        <f xml:space="preserve">
ROUNDDOWN(INDEX(ref_Rarity!$E$5:$E$8,MATCH(GachaList!C51,ref_Rarity!$B$5:$B$8,0))
/COUNTIF(C:C,C51)*100,0)</f>
        <v>33</v>
      </c>
    </row>
    <row r="52" spans="1:5">
      <c r="A52" s="5">
        <v>49</v>
      </c>
      <c r="B52" s="5">
        <v>2018</v>
      </c>
      <c r="C52" s="5">
        <f>INDEX(Unitinfo!I:I,MATCH(GachaList!B52,Unitinfo!A:A,0))+1</f>
        <v>4</v>
      </c>
      <c r="D52" s="5">
        <f>IF(COUNTIF($B$4:B52,B52)=1,INDEX(ref_Rarity!$H$5:$H$8,MATCH(GachaList!C52,ref_Rarity!$B$5:$B$8,0)),
IF(COUNTIF($B$4:B52,B52)=2,INDEX(ref_Rarity!$I$5:$I$8,MATCH(GachaList!C52,ref_Rarity!$B$5:$B$8,0)),
IF(COUNTIF($B$4:B52,B52)=3,INDEX(ref_Rarity!$J$5:$J$8,MATCH(GachaList!C52,ref_Rarity!$B$5:$B$8,0)),
)))</f>
        <v>2</v>
      </c>
      <c r="E52" s="5">
        <f xml:space="preserve">
ROUNDDOWN(INDEX(ref_Rarity!$E$5:$E$8,MATCH(GachaList!C52,ref_Rarity!$B$5:$B$8,0))
/COUNTIF(C:C,C52)*100,0)</f>
        <v>33</v>
      </c>
    </row>
    <row r="53" spans="1:5">
      <c r="A53" s="5">
        <v>50</v>
      </c>
      <c r="B53" s="5">
        <v>2019</v>
      </c>
      <c r="C53" s="5">
        <f>INDEX(Unitinfo!I:I,MATCH(GachaList!B53,Unitinfo!A:A,0))+1</f>
        <v>1</v>
      </c>
      <c r="D53" s="5">
        <f>IF(COUNTIF($B$4:B53,B53)=1,INDEX(ref_Rarity!$H$5:$H$8,MATCH(GachaList!C53,ref_Rarity!$B$5:$B$8,0)),
IF(COUNTIF($B$4:B53,B53)=2,INDEX(ref_Rarity!$I$5:$I$8,MATCH(GachaList!C53,ref_Rarity!$B$5:$B$8,0)),
IF(COUNTIF($B$4:B53,B53)=3,INDEX(ref_Rarity!$J$5:$J$8,MATCH(GachaList!C53,ref_Rarity!$B$5:$B$8,0)),
)))</f>
        <v>9</v>
      </c>
      <c r="E53" s="5">
        <f xml:space="preserve">
ROUNDDOWN(INDEX(ref_Rarity!$E$5:$E$8,MATCH(GachaList!C53,ref_Rarity!$B$5:$B$8,0))
/COUNTIF(C:C,C53)*100,0)</f>
        <v>138</v>
      </c>
    </row>
    <row r="54" spans="1:5">
      <c r="A54" s="5">
        <v>51</v>
      </c>
      <c r="B54" s="5">
        <v>2020</v>
      </c>
      <c r="C54" s="5">
        <f>INDEX(Unitinfo!I:I,MATCH(GachaList!B54,Unitinfo!A:A,0))+1</f>
        <v>1</v>
      </c>
      <c r="D54" s="5">
        <f>IF(COUNTIF($B$4:B54,B54)=1,INDEX(ref_Rarity!$H$5:$H$8,MATCH(GachaList!C54,ref_Rarity!$B$5:$B$8,0)),
IF(COUNTIF($B$4:B54,B54)=2,INDEX(ref_Rarity!$I$5:$I$8,MATCH(GachaList!C54,ref_Rarity!$B$5:$B$8,0)),
IF(COUNTIF($B$4:B54,B54)=3,INDEX(ref_Rarity!$J$5:$J$8,MATCH(GachaList!C54,ref_Rarity!$B$5:$B$8,0)),
)))</f>
        <v>9</v>
      </c>
      <c r="E54" s="5">
        <f xml:space="preserve">
ROUNDDOWN(INDEX(ref_Rarity!$E$5:$E$8,MATCH(GachaList!C54,ref_Rarity!$B$5:$B$8,0))
/COUNTIF(C:C,C54)*100,0)</f>
        <v>138</v>
      </c>
    </row>
    <row r="55" spans="1:5">
      <c r="A55" s="5">
        <v>52</v>
      </c>
      <c r="B55" s="5">
        <v>2021</v>
      </c>
      <c r="C55" s="5">
        <f>INDEX(Unitinfo!I:I,MATCH(GachaList!B55,Unitinfo!A:A,0))+1</f>
        <v>1</v>
      </c>
      <c r="D55" s="5">
        <f>IF(COUNTIF($B$4:B55,B55)=1,INDEX(ref_Rarity!$H$5:$H$8,MATCH(GachaList!C55,ref_Rarity!$B$5:$B$8,0)),
IF(COUNTIF($B$4:B55,B55)=2,INDEX(ref_Rarity!$I$5:$I$8,MATCH(GachaList!C55,ref_Rarity!$B$5:$B$8,0)),
IF(COUNTIF($B$4:B55,B55)=3,INDEX(ref_Rarity!$J$5:$J$8,MATCH(GachaList!C55,ref_Rarity!$B$5:$B$8,0)),
)))</f>
        <v>9</v>
      </c>
      <c r="E55" s="5">
        <f xml:space="preserve">
ROUNDDOWN(INDEX(ref_Rarity!$E$5:$E$8,MATCH(GachaList!C55,ref_Rarity!$B$5:$B$8,0))
/COUNTIF(C:C,C55)*100,0)</f>
        <v>138</v>
      </c>
    </row>
    <row r="56" spans="1:5">
      <c r="A56" s="5">
        <v>53</v>
      </c>
      <c r="B56" s="5">
        <v>2022</v>
      </c>
      <c r="C56" s="5">
        <f>INDEX(Unitinfo!I:I,MATCH(GachaList!B56,Unitinfo!A:A,0))+1</f>
        <v>1</v>
      </c>
      <c r="D56" s="5">
        <f>IF(COUNTIF($B$4:B56,B56)=1,INDEX(ref_Rarity!$H$5:$H$8,MATCH(GachaList!C56,ref_Rarity!$B$5:$B$8,0)),
IF(COUNTIF($B$4:B56,B56)=2,INDEX(ref_Rarity!$I$5:$I$8,MATCH(GachaList!C56,ref_Rarity!$B$5:$B$8,0)),
IF(COUNTIF($B$4:B56,B56)=3,INDEX(ref_Rarity!$J$5:$J$8,MATCH(GachaList!C56,ref_Rarity!$B$5:$B$8,0)),
)))</f>
        <v>9</v>
      </c>
      <c r="E56" s="5">
        <f xml:space="preserve">
ROUNDDOWN(INDEX(ref_Rarity!$E$5:$E$8,MATCH(GachaList!C56,ref_Rarity!$B$5:$B$8,0))
/COUNTIF(C:C,C56)*100,0)</f>
        <v>138</v>
      </c>
    </row>
    <row r="57" spans="1:5">
      <c r="A57" s="5">
        <v>54</v>
      </c>
      <c r="B57" s="5">
        <v>2023</v>
      </c>
      <c r="C57" s="5">
        <f>INDEX(Unitinfo!I:I,MATCH(GachaList!B57,Unitinfo!A:A,0))+1</f>
        <v>3</v>
      </c>
      <c r="D57" s="5">
        <f>IF(COUNTIF($B$4:B57,B57)=1,INDEX(ref_Rarity!$H$5:$H$8,MATCH(GachaList!C57,ref_Rarity!$B$5:$B$8,0)),
IF(COUNTIF($B$4:B57,B57)=2,INDEX(ref_Rarity!$I$5:$I$8,MATCH(GachaList!C57,ref_Rarity!$B$5:$B$8,0)),
IF(COUNTIF($B$4:B57,B57)=3,INDEX(ref_Rarity!$J$5:$J$8,MATCH(GachaList!C57,ref_Rarity!$B$5:$B$8,0)),
)))</f>
        <v>3</v>
      </c>
      <c r="E57" s="5">
        <f xml:space="preserve">
ROUNDDOWN(INDEX(ref_Rarity!$E$5:$E$8,MATCH(GachaList!C57,ref_Rarity!$B$5:$B$8,0))
/COUNTIF(C:C,C57)*100,0)</f>
        <v>54</v>
      </c>
    </row>
    <row r="58" spans="1:5">
      <c r="A58" s="5">
        <v>55</v>
      </c>
      <c r="B58" s="5">
        <v>2024</v>
      </c>
      <c r="C58" s="5">
        <f>INDEX(Unitinfo!I:I,MATCH(GachaList!B58,Unitinfo!A:A,0))+1</f>
        <v>3</v>
      </c>
      <c r="D58" s="5">
        <f>IF(COUNTIF($B$4:B58,B58)=1,INDEX(ref_Rarity!$H$5:$H$8,MATCH(GachaList!C58,ref_Rarity!$B$5:$B$8,0)),
IF(COUNTIF($B$4:B58,B58)=2,INDEX(ref_Rarity!$I$5:$I$8,MATCH(GachaList!C58,ref_Rarity!$B$5:$B$8,0)),
IF(COUNTIF($B$4:B58,B58)=3,INDEX(ref_Rarity!$J$5:$J$8,MATCH(GachaList!C58,ref_Rarity!$B$5:$B$8,0)),
)))</f>
        <v>3</v>
      </c>
      <c r="E58" s="5">
        <f xml:space="preserve">
ROUNDDOWN(INDEX(ref_Rarity!$E$5:$E$8,MATCH(GachaList!C58,ref_Rarity!$B$5:$B$8,0))
/COUNTIF(C:C,C58)*100,0)</f>
        <v>54</v>
      </c>
    </row>
    <row r="59" spans="1:5">
      <c r="A59" s="5">
        <v>56</v>
      </c>
      <c r="B59" s="5">
        <v>2025</v>
      </c>
      <c r="C59" s="5">
        <f>INDEX(Unitinfo!I:I,MATCH(GachaList!B59,Unitinfo!A:A,0))+1</f>
        <v>3</v>
      </c>
      <c r="D59" s="5">
        <f>IF(COUNTIF($B$4:B59,B59)=1,INDEX(ref_Rarity!$H$5:$H$8,MATCH(GachaList!C59,ref_Rarity!$B$5:$B$8,0)),
IF(COUNTIF($B$4:B59,B59)=2,INDEX(ref_Rarity!$I$5:$I$8,MATCH(GachaList!C59,ref_Rarity!$B$5:$B$8,0)),
IF(COUNTIF($B$4:B59,B59)=3,INDEX(ref_Rarity!$J$5:$J$8,MATCH(GachaList!C59,ref_Rarity!$B$5:$B$8,0)),
)))</f>
        <v>3</v>
      </c>
      <c r="E59" s="5">
        <f xml:space="preserve">
ROUNDDOWN(INDEX(ref_Rarity!$E$5:$E$8,MATCH(GachaList!C59,ref_Rarity!$B$5:$B$8,0))
/COUNTIF(C:C,C59)*100,0)</f>
        <v>54</v>
      </c>
    </row>
    <row r="60" spans="1:5">
      <c r="A60" s="5">
        <v>57</v>
      </c>
      <c r="B60" s="5">
        <v>2026</v>
      </c>
      <c r="C60" s="5">
        <f>INDEX(Unitinfo!I:I,MATCH(GachaList!B60,Unitinfo!A:A,0))+1</f>
        <v>2</v>
      </c>
      <c r="D60" s="5">
        <f>IF(COUNTIF($B$4:B60,B60)=1,INDEX(ref_Rarity!$H$5:$H$8,MATCH(GachaList!C60,ref_Rarity!$B$5:$B$8,0)),
IF(COUNTIF($B$4:B60,B60)=2,INDEX(ref_Rarity!$I$5:$I$8,MATCH(GachaList!C60,ref_Rarity!$B$5:$B$8,0)),
IF(COUNTIF($B$4:B60,B60)=3,INDEX(ref_Rarity!$J$5:$J$8,MATCH(GachaList!C60,ref_Rarity!$B$5:$B$8,0)),
)))</f>
        <v>6</v>
      </c>
      <c r="E60" s="5">
        <f xml:space="preserve">
ROUNDDOWN(INDEX(ref_Rarity!$E$5:$E$8,MATCH(GachaList!C60,ref_Rarity!$B$5:$B$8,0))
/COUNTIF(C:C,C60)*100,0)</f>
        <v>129</v>
      </c>
    </row>
    <row r="61" spans="1:5">
      <c r="A61" s="5">
        <v>58</v>
      </c>
      <c r="B61" s="5">
        <v>2027</v>
      </c>
      <c r="C61" s="5">
        <f>INDEX(Unitinfo!I:I,MATCH(GachaList!B61,Unitinfo!A:A,0))+1</f>
        <v>2</v>
      </c>
      <c r="D61" s="5">
        <f>IF(COUNTIF($B$4:B61,B61)=1,INDEX(ref_Rarity!$H$5:$H$8,MATCH(GachaList!C61,ref_Rarity!$B$5:$B$8,0)),
IF(COUNTIF($B$4:B61,B61)=2,INDEX(ref_Rarity!$I$5:$I$8,MATCH(GachaList!C61,ref_Rarity!$B$5:$B$8,0)),
IF(COUNTIF($B$4:B61,B61)=3,INDEX(ref_Rarity!$J$5:$J$8,MATCH(GachaList!C61,ref_Rarity!$B$5:$B$8,0)),
)))</f>
        <v>6</v>
      </c>
      <c r="E61" s="5">
        <f xml:space="preserve">
ROUNDDOWN(INDEX(ref_Rarity!$E$5:$E$8,MATCH(GachaList!C61,ref_Rarity!$B$5:$B$8,0))
/COUNTIF(C:C,C61)*100,0)</f>
        <v>129</v>
      </c>
    </row>
    <row r="62" spans="1:5">
      <c r="A62" s="5">
        <v>59</v>
      </c>
      <c r="B62" s="5">
        <v>2028</v>
      </c>
      <c r="C62" s="5">
        <f>INDEX(Unitinfo!I:I,MATCH(GachaList!B62,Unitinfo!A:A,0))+1</f>
        <v>2</v>
      </c>
      <c r="D62" s="5">
        <f>IF(COUNTIF($B$4:B62,B62)=1,INDEX(ref_Rarity!$H$5:$H$8,MATCH(GachaList!C62,ref_Rarity!$B$5:$B$8,0)),
IF(COUNTIF($B$4:B62,B62)=2,INDEX(ref_Rarity!$I$5:$I$8,MATCH(GachaList!C62,ref_Rarity!$B$5:$B$8,0)),
IF(COUNTIF($B$4:B62,B62)=3,INDEX(ref_Rarity!$J$5:$J$8,MATCH(GachaList!C62,ref_Rarity!$B$5:$B$8,0)),
)))</f>
        <v>6</v>
      </c>
      <c r="E62" s="5">
        <f xml:space="preserve">
ROUNDDOWN(INDEX(ref_Rarity!$E$5:$E$8,MATCH(GachaList!C62,ref_Rarity!$B$5:$B$8,0))
/COUNTIF(C:C,C62)*100,0)</f>
        <v>129</v>
      </c>
    </row>
    <row r="63" spans="1:5">
      <c r="A63" s="5">
        <v>60</v>
      </c>
      <c r="B63" s="5">
        <v>2029</v>
      </c>
      <c r="C63" s="5">
        <f>INDEX(Unitinfo!I:I,MATCH(GachaList!B63,Unitinfo!A:A,0))+1</f>
        <v>2</v>
      </c>
      <c r="D63" s="5">
        <f>IF(COUNTIF($B$4:B63,B63)=1,INDEX(ref_Rarity!$H$5:$H$8,MATCH(GachaList!C63,ref_Rarity!$B$5:$B$8,0)),
IF(COUNTIF($B$4:B63,B63)=2,INDEX(ref_Rarity!$I$5:$I$8,MATCH(GachaList!C63,ref_Rarity!$B$5:$B$8,0)),
IF(COUNTIF($B$4:B63,B63)=3,INDEX(ref_Rarity!$J$5:$J$8,MATCH(GachaList!C63,ref_Rarity!$B$5:$B$8,0)),
)))</f>
        <v>6</v>
      </c>
      <c r="E63" s="5">
        <f xml:space="preserve">
ROUNDDOWN(INDEX(ref_Rarity!$E$5:$E$8,MATCH(GachaList!C63,ref_Rarity!$B$5:$B$8,0))
/COUNTIF(C:C,C63)*100,0)</f>
        <v>129</v>
      </c>
    </row>
    <row r="64" spans="1:5">
      <c r="A64" s="5">
        <v>61</v>
      </c>
      <c r="B64" s="5">
        <v>2030</v>
      </c>
      <c r="C64" s="5">
        <f>INDEX(Unitinfo!I:I,MATCH(GachaList!B64,Unitinfo!A:A,0))+1</f>
        <v>2</v>
      </c>
      <c r="D64" s="5">
        <f>IF(COUNTIF($B$4:B64,B64)=1,INDEX(ref_Rarity!$H$5:$H$8,MATCH(GachaList!C64,ref_Rarity!$B$5:$B$8,0)),
IF(COUNTIF($B$4:B64,B64)=2,INDEX(ref_Rarity!$I$5:$I$8,MATCH(GachaList!C64,ref_Rarity!$B$5:$B$8,0)),
IF(COUNTIF($B$4:B64,B64)=3,INDEX(ref_Rarity!$J$5:$J$8,MATCH(GachaList!C64,ref_Rarity!$B$5:$B$8,0)),
)))</f>
        <v>6</v>
      </c>
      <c r="E64" s="5">
        <f xml:space="preserve">
ROUNDDOWN(INDEX(ref_Rarity!$E$5:$E$8,MATCH(GachaList!C64,ref_Rarity!$B$5:$B$8,0))
/COUNTIF(C:C,C64)*100,0)</f>
        <v>129</v>
      </c>
    </row>
    <row r="65" spans="1:5">
      <c r="A65" s="5">
        <v>62</v>
      </c>
      <c r="B65" s="5">
        <v>2031</v>
      </c>
      <c r="C65" s="5">
        <f>INDEX(Unitinfo!I:I,MATCH(GachaList!B65,Unitinfo!A:A,0))+1</f>
        <v>2</v>
      </c>
      <c r="D65" s="5">
        <f>IF(COUNTIF($B$4:B65,B65)=1,INDEX(ref_Rarity!$H$5:$H$8,MATCH(GachaList!C65,ref_Rarity!$B$5:$B$8,0)),
IF(COUNTIF($B$4:B65,B65)=2,INDEX(ref_Rarity!$I$5:$I$8,MATCH(GachaList!C65,ref_Rarity!$B$5:$B$8,0)),
IF(COUNTIF($B$4:B65,B65)=3,INDEX(ref_Rarity!$J$5:$J$8,MATCH(GachaList!C65,ref_Rarity!$B$5:$B$8,0)),
)))</f>
        <v>6</v>
      </c>
      <c r="E65" s="5">
        <f xml:space="preserve">
ROUNDDOWN(INDEX(ref_Rarity!$E$5:$E$8,MATCH(GachaList!C65,ref_Rarity!$B$5:$B$8,0))
/COUNTIF(C:C,C65)*100,0)</f>
        <v>129</v>
      </c>
    </row>
    <row r="66" spans="1:5">
      <c r="A66" s="5">
        <v>63</v>
      </c>
      <c r="B66" s="5">
        <v>2001</v>
      </c>
      <c r="C66" s="5">
        <f>INDEX(Unitinfo!I:I,MATCH(GachaList!B66,Unitinfo!A:A,0))+1</f>
        <v>1</v>
      </c>
      <c r="D66" s="5">
        <f>IF(COUNTIF($B$4:B66,B66)=1,INDEX(ref_Rarity!$H$5:$H$8,MATCH(GachaList!C66,ref_Rarity!$B$5:$B$8,0)),
IF(COUNTIF($B$4:B66,B66)=2,INDEX(ref_Rarity!$I$5:$I$8,MATCH(GachaList!C66,ref_Rarity!$B$5:$B$8,0)),
IF(COUNTIF($B$4:B66,B66)=3,INDEX(ref_Rarity!$J$5:$J$8,MATCH(GachaList!C66,ref_Rarity!$B$5:$B$8,0)),
)))</f>
        <v>12</v>
      </c>
      <c r="E66" s="5">
        <f xml:space="preserve">
ROUNDDOWN(INDEX(ref_Rarity!$E$5:$E$8,MATCH(GachaList!C66,ref_Rarity!$B$5:$B$8,0))
/COUNTIF(C:C,C66)*100,0)</f>
        <v>138</v>
      </c>
    </row>
    <row r="67" spans="1:5">
      <c r="A67" s="5">
        <v>64</v>
      </c>
      <c r="B67" s="5">
        <v>2002</v>
      </c>
      <c r="C67" s="5">
        <f>INDEX(Unitinfo!I:I,MATCH(GachaList!B67,Unitinfo!A:A,0))+1</f>
        <v>1</v>
      </c>
      <c r="D67" s="5">
        <f>IF(COUNTIF($B$4:B67,B67)=1,INDEX(ref_Rarity!$H$5:$H$8,MATCH(GachaList!C67,ref_Rarity!$B$5:$B$8,0)),
IF(COUNTIF($B$4:B67,B67)=2,INDEX(ref_Rarity!$I$5:$I$8,MATCH(GachaList!C67,ref_Rarity!$B$5:$B$8,0)),
IF(COUNTIF($B$4:B67,B67)=3,INDEX(ref_Rarity!$J$5:$J$8,MATCH(GachaList!C67,ref_Rarity!$B$5:$B$8,0)),
)))</f>
        <v>12</v>
      </c>
      <c r="E67" s="5">
        <f xml:space="preserve">
ROUNDDOWN(INDEX(ref_Rarity!$E$5:$E$8,MATCH(GachaList!C67,ref_Rarity!$B$5:$B$8,0))
/COUNTIF(C:C,C67)*100,0)</f>
        <v>138</v>
      </c>
    </row>
    <row r="68" spans="1:5">
      <c r="A68" s="5">
        <v>65</v>
      </c>
      <c r="B68" s="5">
        <v>2003</v>
      </c>
      <c r="C68" s="5">
        <f>INDEX(Unitinfo!I:I,MATCH(GachaList!B68,Unitinfo!A:A,0))+1</f>
        <v>1</v>
      </c>
      <c r="D68" s="5">
        <f>IF(COUNTIF($B$4:B68,B68)=1,INDEX(ref_Rarity!$H$5:$H$8,MATCH(GachaList!C68,ref_Rarity!$B$5:$B$8,0)),
IF(COUNTIF($B$4:B68,B68)=2,INDEX(ref_Rarity!$I$5:$I$8,MATCH(GachaList!C68,ref_Rarity!$B$5:$B$8,0)),
IF(COUNTIF($B$4:B68,B68)=3,INDEX(ref_Rarity!$J$5:$J$8,MATCH(GachaList!C68,ref_Rarity!$B$5:$B$8,0)),
)))</f>
        <v>12</v>
      </c>
      <c r="E68" s="5">
        <f xml:space="preserve">
ROUNDDOWN(INDEX(ref_Rarity!$E$5:$E$8,MATCH(GachaList!C68,ref_Rarity!$B$5:$B$8,0))
/COUNTIF(C:C,C68)*100,0)</f>
        <v>138</v>
      </c>
    </row>
    <row r="69" spans="1:5">
      <c r="A69" s="5">
        <v>66</v>
      </c>
      <c r="B69" s="5">
        <v>2004</v>
      </c>
      <c r="C69" s="5">
        <f>INDEX(Unitinfo!I:I,MATCH(GachaList!B69,Unitinfo!A:A,0))+1</f>
        <v>1</v>
      </c>
      <c r="D69" s="5">
        <f>IF(COUNTIF($B$4:B69,B69)=1,INDEX(ref_Rarity!$H$5:$H$8,MATCH(GachaList!C69,ref_Rarity!$B$5:$B$8,0)),
IF(COUNTIF($B$4:B69,B69)=2,INDEX(ref_Rarity!$I$5:$I$8,MATCH(GachaList!C69,ref_Rarity!$B$5:$B$8,0)),
IF(COUNTIF($B$4:B69,B69)=3,INDEX(ref_Rarity!$J$5:$J$8,MATCH(GachaList!C69,ref_Rarity!$B$5:$B$8,0)),
)))</f>
        <v>12</v>
      </c>
      <c r="E69" s="5">
        <f xml:space="preserve">
ROUNDDOWN(INDEX(ref_Rarity!$E$5:$E$8,MATCH(GachaList!C69,ref_Rarity!$B$5:$B$8,0))
/COUNTIF(C:C,C69)*100,0)</f>
        <v>138</v>
      </c>
    </row>
    <row r="70" spans="1:5">
      <c r="A70" s="5">
        <v>67</v>
      </c>
      <c r="B70" s="5">
        <v>2005</v>
      </c>
      <c r="C70" s="5">
        <f>INDEX(Unitinfo!I:I,MATCH(GachaList!B70,Unitinfo!A:A,0))+1</f>
        <v>1</v>
      </c>
      <c r="D70" s="5">
        <f>IF(COUNTIF($B$4:B70,B70)=1,INDEX(ref_Rarity!$H$5:$H$8,MATCH(GachaList!C70,ref_Rarity!$B$5:$B$8,0)),
IF(COUNTIF($B$4:B70,B70)=2,INDEX(ref_Rarity!$I$5:$I$8,MATCH(GachaList!C70,ref_Rarity!$B$5:$B$8,0)),
IF(COUNTIF($B$4:B70,B70)=3,INDEX(ref_Rarity!$J$5:$J$8,MATCH(GachaList!C70,ref_Rarity!$B$5:$B$8,0)),
)))</f>
        <v>12</v>
      </c>
      <c r="E70" s="5">
        <f xml:space="preserve">
ROUNDDOWN(INDEX(ref_Rarity!$E$5:$E$8,MATCH(GachaList!C70,ref_Rarity!$B$5:$B$8,0))
/COUNTIF(C:C,C70)*100,0)</f>
        <v>138</v>
      </c>
    </row>
    <row r="71" spans="1:5">
      <c r="A71" s="5">
        <v>68</v>
      </c>
      <c r="B71" s="5">
        <v>2006</v>
      </c>
      <c r="C71" s="5">
        <f>INDEX(Unitinfo!I:I,MATCH(GachaList!B71,Unitinfo!A:A,0))+1</f>
        <v>1</v>
      </c>
      <c r="D71" s="5">
        <f>IF(COUNTIF($B$4:B71,B71)=1,INDEX(ref_Rarity!$H$5:$H$8,MATCH(GachaList!C71,ref_Rarity!$B$5:$B$8,0)),
IF(COUNTIF($B$4:B71,B71)=2,INDEX(ref_Rarity!$I$5:$I$8,MATCH(GachaList!C71,ref_Rarity!$B$5:$B$8,0)),
IF(COUNTIF($B$4:B71,B71)=3,INDEX(ref_Rarity!$J$5:$J$8,MATCH(GachaList!C71,ref_Rarity!$B$5:$B$8,0)),
)))</f>
        <v>12</v>
      </c>
      <c r="E71" s="5">
        <f xml:space="preserve">
ROUNDDOWN(INDEX(ref_Rarity!$E$5:$E$8,MATCH(GachaList!C71,ref_Rarity!$B$5:$B$8,0))
/COUNTIF(C:C,C71)*100,0)</f>
        <v>138</v>
      </c>
    </row>
    <row r="72" spans="1:5">
      <c r="A72" s="5">
        <v>69</v>
      </c>
      <c r="B72" s="5">
        <v>2007</v>
      </c>
      <c r="C72" s="5">
        <f>INDEX(Unitinfo!I:I,MATCH(GachaList!B72,Unitinfo!A:A,0))+1</f>
        <v>1</v>
      </c>
      <c r="D72" s="5">
        <f>IF(COUNTIF($B$4:B72,B72)=1,INDEX(ref_Rarity!$H$5:$H$8,MATCH(GachaList!C72,ref_Rarity!$B$5:$B$8,0)),
IF(COUNTIF($B$4:B72,B72)=2,INDEX(ref_Rarity!$I$5:$I$8,MATCH(GachaList!C72,ref_Rarity!$B$5:$B$8,0)),
IF(COUNTIF($B$4:B72,B72)=3,INDEX(ref_Rarity!$J$5:$J$8,MATCH(GachaList!C72,ref_Rarity!$B$5:$B$8,0)),
)))</f>
        <v>12</v>
      </c>
      <c r="E72" s="5">
        <f xml:space="preserve">
ROUNDDOWN(INDEX(ref_Rarity!$E$5:$E$8,MATCH(GachaList!C72,ref_Rarity!$B$5:$B$8,0))
/COUNTIF(C:C,C72)*100,0)</f>
        <v>138</v>
      </c>
    </row>
    <row r="73" spans="1:5">
      <c r="A73" s="5">
        <v>70</v>
      </c>
      <c r="B73" s="5">
        <v>2008</v>
      </c>
      <c r="C73" s="5">
        <f>INDEX(Unitinfo!I:I,MATCH(GachaList!B73,Unitinfo!A:A,0))+1</f>
        <v>1</v>
      </c>
      <c r="D73" s="5">
        <f>IF(COUNTIF($B$4:B73,B73)=1,INDEX(ref_Rarity!$H$5:$H$8,MATCH(GachaList!C73,ref_Rarity!$B$5:$B$8,0)),
IF(COUNTIF($B$4:B73,B73)=2,INDEX(ref_Rarity!$I$5:$I$8,MATCH(GachaList!C73,ref_Rarity!$B$5:$B$8,0)),
IF(COUNTIF($B$4:B73,B73)=3,INDEX(ref_Rarity!$J$5:$J$8,MATCH(GachaList!C73,ref_Rarity!$B$5:$B$8,0)),
)))</f>
        <v>12</v>
      </c>
      <c r="E73" s="5">
        <f xml:space="preserve">
ROUNDDOWN(INDEX(ref_Rarity!$E$5:$E$8,MATCH(GachaList!C73,ref_Rarity!$B$5:$B$8,0))
/COUNTIF(C:C,C73)*100,0)</f>
        <v>138</v>
      </c>
    </row>
    <row r="74" spans="1:5">
      <c r="A74" s="5">
        <v>71</v>
      </c>
      <c r="B74" s="5">
        <v>2009</v>
      </c>
      <c r="C74" s="5">
        <f>INDEX(Unitinfo!I:I,MATCH(GachaList!B74,Unitinfo!A:A,0))+1</f>
        <v>3</v>
      </c>
      <c r="D74" s="5">
        <f>IF(COUNTIF($B$4:B74,B74)=1,INDEX(ref_Rarity!$H$5:$H$8,MATCH(GachaList!C74,ref_Rarity!$B$5:$B$8,0)),
IF(COUNTIF($B$4:B74,B74)=2,INDEX(ref_Rarity!$I$5:$I$8,MATCH(GachaList!C74,ref_Rarity!$B$5:$B$8,0)),
IF(COUNTIF($B$4:B74,B74)=3,INDEX(ref_Rarity!$J$5:$J$8,MATCH(GachaList!C74,ref_Rarity!$B$5:$B$8,0)),
)))</f>
        <v>4</v>
      </c>
      <c r="E74" s="5">
        <f xml:space="preserve">
ROUNDDOWN(INDEX(ref_Rarity!$E$5:$E$8,MATCH(GachaList!C74,ref_Rarity!$B$5:$B$8,0))
/COUNTIF(C:C,C74)*100,0)</f>
        <v>54</v>
      </c>
    </row>
    <row r="75" spans="1:5">
      <c r="A75" s="5">
        <v>72</v>
      </c>
      <c r="B75" s="5">
        <v>2010</v>
      </c>
      <c r="C75" s="5">
        <f>INDEX(Unitinfo!I:I,MATCH(GachaList!B75,Unitinfo!A:A,0))+1</f>
        <v>3</v>
      </c>
      <c r="D75" s="5">
        <f>IF(COUNTIF($B$4:B75,B75)=1,INDEX(ref_Rarity!$H$5:$H$8,MATCH(GachaList!C75,ref_Rarity!$B$5:$B$8,0)),
IF(COUNTIF($B$4:B75,B75)=2,INDEX(ref_Rarity!$I$5:$I$8,MATCH(GachaList!C75,ref_Rarity!$B$5:$B$8,0)),
IF(COUNTIF($B$4:B75,B75)=3,INDEX(ref_Rarity!$J$5:$J$8,MATCH(GachaList!C75,ref_Rarity!$B$5:$B$8,0)),
)))</f>
        <v>4</v>
      </c>
      <c r="E75" s="5">
        <f xml:space="preserve">
ROUNDDOWN(INDEX(ref_Rarity!$E$5:$E$8,MATCH(GachaList!C75,ref_Rarity!$B$5:$B$8,0))
/COUNTIF(C:C,C75)*100,0)</f>
        <v>54</v>
      </c>
    </row>
    <row r="76" spans="1:5">
      <c r="A76" s="5">
        <v>73</v>
      </c>
      <c r="B76" s="5">
        <v>2011</v>
      </c>
      <c r="C76" s="5">
        <f>INDEX(Unitinfo!I:I,MATCH(GachaList!B76,Unitinfo!A:A,0))+1</f>
        <v>3</v>
      </c>
      <c r="D76" s="5">
        <f>IF(COUNTIF($B$4:B76,B76)=1,INDEX(ref_Rarity!$H$5:$H$8,MATCH(GachaList!C76,ref_Rarity!$B$5:$B$8,0)),
IF(COUNTIF($B$4:B76,B76)=2,INDEX(ref_Rarity!$I$5:$I$8,MATCH(GachaList!C76,ref_Rarity!$B$5:$B$8,0)),
IF(COUNTIF($B$4:B76,B76)=3,INDEX(ref_Rarity!$J$5:$J$8,MATCH(GachaList!C76,ref_Rarity!$B$5:$B$8,0)),
)))</f>
        <v>4</v>
      </c>
      <c r="E76" s="5">
        <f xml:space="preserve">
ROUNDDOWN(INDEX(ref_Rarity!$E$5:$E$8,MATCH(GachaList!C76,ref_Rarity!$B$5:$B$8,0))
/COUNTIF(C:C,C76)*100,0)</f>
        <v>54</v>
      </c>
    </row>
    <row r="77" spans="1:5">
      <c r="A77" s="5">
        <v>74</v>
      </c>
      <c r="B77" s="5">
        <v>2012</v>
      </c>
      <c r="C77" s="5">
        <f>INDEX(Unitinfo!I:I,MATCH(GachaList!B77,Unitinfo!A:A,0))+1</f>
        <v>2</v>
      </c>
      <c r="D77" s="5">
        <f>IF(COUNTIF($B$4:B77,B77)=1,INDEX(ref_Rarity!$H$5:$H$8,MATCH(GachaList!C77,ref_Rarity!$B$5:$B$8,0)),
IF(COUNTIF($B$4:B77,B77)=2,INDEX(ref_Rarity!$I$5:$I$8,MATCH(GachaList!C77,ref_Rarity!$B$5:$B$8,0)),
IF(COUNTIF($B$4:B77,B77)=3,INDEX(ref_Rarity!$J$5:$J$8,MATCH(GachaList!C77,ref_Rarity!$B$5:$B$8,0)),
)))</f>
        <v>8</v>
      </c>
      <c r="E77" s="5">
        <f xml:space="preserve">
ROUNDDOWN(INDEX(ref_Rarity!$E$5:$E$8,MATCH(GachaList!C77,ref_Rarity!$B$5:$B$8,0))
/COUNTIF(C:C,C77)*100,0)</f>
        <v>129</v>
      </c>
    </row>
    <row r="78" spans="1:5">
      <c r="A78" s="5">
        <v>75</v>
      </c>
      <c r="B78" s="5">
        <v>2013</v>
      </c>
      <c r="C78" s="5">
        <f>INDEX(Unitinfo!I:I,MATCH(GachaList!B78,Unitinfo!A:A,0))+1</f>
        <v>2</v>
      </c>
      <c r="D78" s="5">
        <f>IF(COUNTIF($B$4:B78,B78)=1,INDEX(ref_Rarity!$H$5:$H$8,MATCH(GachaList!C78,ref_Rarity!$B$5:$B$8,0)),
IF(COUNTIF($B$4:B78,B78)=2,INDEX(ref_Rarity!$I$5:$I$8,MATCH(GachaList!C78,ref_Rarity!$B$5:$B$8,0)),
IF(COUNTIF($B$4:B78,B78)=3,INDEX(ref_Rarity!$J$5:$J$8,MATCH(GachaList!C78,ref_Rarity!$B$5:$B$8,0)),
)))</f>
        <v>8</v>
      </c>
      <c r="E78" s="5">
        <f xml:space="preserve">
ROUNDDOWN(INDEX(ref_Rarity!$E$5:$E$8,MATCH(GachaList!C78,ref_Rarity!$B$5:$B$8,0))
/COUNTIF(C:C,C78)*100,0)</f>
        <v>129</v>
      </c>
    </row>
    <row r="79" spans="1:5">
      <c r="A79" s="5">
        <v>76</v>
      </c>
      <c r="B79" s="5">
        <v>2014</v>
      </c>
      <c r="C79" s="5">
        <f>INDEX(Unitinfo!I:I,MATCH(GachaList!B79,Unitinfo!A:A,0))+1</f>
        <v>2</v>
      </c>
      <c r="D79" s="5">
        <f>IF(COUNTIF($B$4:B79,B79)=1,INDEX(ref_Rarity!$H$5:$H$8,MATCH(GachaList!C79,ref_Rarity!$B$5:$B$8,0)),
IF(COUNTIF($B$4:B79,B79)=2,INDEX(ref_Rarity!$I$5:$I$8,MATCH(GachaList!C79,ref_Rarity!$B$5:$B$8,0)),
IF(COUNTIF($B$4:B79,B79)=3,INDEX(ref_Rarity!$J$5:$J$8,MATCH(GachaList!C79,ref_Rarity!$B$5:$B$8,0)),
)))</f>
        <v>8</v>
      </c>
      <c r="E79" s="5">
        <f xml:space="preserve">
ROUNDDOWN(INDEX(ref_Rarity!$E$5:$E$8,MATCH(GachaList!C79,ref_Rarity!$B$5:$B$8,0))
/COUNTIF(C:C,C79)*100,0)</f>
        <v>129</v>
      </c>
    </row>
    <row r="80" spans="1:5">
      <c r="A80" s="5">
        <v>77</v>
      </c>
      <c r="B80" s="5">
        <v>2015</v>
      </c>
      <c r="C80" s="5">
        <f>INDEX(Unitinfo!I:I,MATCH(GachaList!B80,Unitinfo!A:A,0))+1</f>
        <v>3</v>
      </c>
      <c r="D80" s="5">
        <f>IF(COUNTIF($B$4:B80,B80)=1,INDEX(ref_Rarity!$H$5:$H$8,MATCH(GachaList!C80,ref_Rarity!$B$5:$B$8,0)),
IF(COUNTIF($B$4:B80,B80)=2,INDEX(ref_Rarity!$I$5:$I$8,MATCH(GachaList!C80,ref_Rarity!$B$5:$B$8,0)),
IF(COUNTIF($B$4:B80,B80)=3,INDEX(ref_Rarity!$J$5:$J$8,MATCH(GachaList!C80,ref_Rarity!$B$5:$B$8,0)),
)))</f>
        <v>4</v>
      </c>
      <c r="E80" s="5">
        <f xml:space="preserve">
ROUNDDOWN(INDEX(ref_Rarity!$E$5:$E$8,MATCH(GachaList!C80,ref_Rarity!$B$5:$B$8,0))
/COUNTIF(C:C,C80)*100,0)</f>
        <v>54</v>
      </c>
    </row>
    <row r="81" spans="1:5">
      <c r="A81" s="5">
        <v>78</v>
      </c>
      <c r="B81" s="5">
        <v>2016</v>
      </c>
      <c r="C81" s="5">
        <f>INDEX(Unitinfo!I:I,MATCH(GachaList!B81,Unitinfo!A:A,0))+1</f>
        <v>3</v>
      </c>
      <c r="D81" s="5">
        <f>IF(COUNTIF($B$4:B81,B81)=1,INDEX(ref_Rarity!$H$5:$H$8,MATCH(GachaList!C81,ref_Rarity!$B$5:$B$8,0)),
IF(COUNTIF($B$4:B81,B81)=2,INDEX(ref_Rarity!$I$5:$I$8,MATCH(GachaList!C81,ref_Rarity!$B$5:$B$8,0)),
IF(COUNTIF($B$4:B81,B81)=3,INDEX(ref_Rarity!$J$5:$J$8,MATCH(GachaList!C81,ref_Rarity!$B$5:$B$8,0)),
)))</f>
        <v>4</v>
      </c>
      <c r="E81" s="5">
        <f xml:space="preserve">
ROUNDDOWN(INDEX(ref_Rarity!$E$5:$E$8,MATCH(GachaList!C81,ref_Rarity!$B$5:$B$8,0))
/COUNTIF(C:C,C81)*100,0)</f>
        <v>54</v>
      </c>
    </row>
    <row r="82" spans="1:5">
      <c r="A82" s="5">
        <v>79</v>
      </c>
      <c r="B82" s="5">
        <v>2017</v>
      </c>
      <c r="C82" s="5">
        <f>INDEX(Unitinfo!I:I,MATCH(GachaList!B82,Unitinfo!A:A,0))+1</f>
        <v>4</v>
      </c>
      <c r="D82" s="5">
        <f>IF(COUNTIF($B$4:B82,B82)=1,INDEX(ref_Rarity!$H$5:$H$8,MATCH(GachaList!C82,ref_Rarity!$B$5:$B$8,0)),
IF(COUNTIF($B$4:B82,B82)=2,INDEX(ref_Rarity!$I$5:$I$8,MATCH(GachaList!C82,ref_Rarity!$B$5:$B$8,0)),
IF(COUNTIF($B$4:B82,B82)=3,INDEX(ref_Rarity!$J$5:$J$8,MATCH(GachaList!C82,ref_Rarity!$B$5:$B$8,0)),
)))</f>
        <v>3</v>
      </c>
      <c r="E82" s="5">
        <f xml:space="preserve">
ROUNDDOWN(INDEX(ref_Rarity!$E$5:$E$8,MATCH(GachaList!C82,ref_Rarity!$B$5:$B$8,0))
/COUNTIF(C:C,C82)*100,0)</f>
        <v>33</v>
      </c>
    </row>
    <row r="83" spans="1:5">
      <c r="A83" s="5">
        <v>80</v>
      </c>
      <c r="B83" s="5">
        <v>2018</v>
      </c>
      <c r="C83" s="5">
        <f>INDEX(Unitinfo!I:I,MATCH(GachaList!B83,Unitinfo!A:A,0))+1</f>
        <v>4</v>
      </c>
      <c r="D83" s="5">
        <f>IF(COUNTIF($B$4:B83,B83)=1,INDEX(ref_Rarity!$H$5:$H$8,MATCH(GachaList!C83,ref_Rarity!$B$5:$B$8,0)),
IF(COUNTIF($B$4:B83,B83)=2,INDEX(ref_Rarity!$I$5:$I$8,MATCH(GachaList!C83,ref_Rarity!$B$5:$B$8,0)),
IF(COUNTIF($B$4:B83,B83)=3,INDEX(ref_Rarity!$J$5:$J$8,MATCH(GachaList!C83,ref_Rarity!$B$5:$B$8,0)),
)))</f>
        <v>3</v>
      </c>
      <c r="E83" s="5">
        <f xml:space="preserve">
ROUNDDOWN(INDEX(ref_Rarity!$E$5:$E$8,MATCH(GachaList!C83,ref_Rarity!$B$5:$B$8,0))
/COUNTIF(C:C,C83)*100,0)</f>
        <v>33</v>
      </c>
    </row>
    <row r="84" spans="1:5">
      <c r="A84" s="5">
        <v>81</v>
      </c>
      <c r="B84" s="5">
        <v>2019</v>
      </c>
      <c r="C84" s="5">
        <f>INDEX(Unitinfo!I:I,MATCH(GachaList!B84,Unitinfo!A:A,0))+1</f>
        <v>1</v>
      </c>
      <c r="D84" s="5">
        <f>IF(COUNTIF($B$4:B84,B84)=1,INDEX(ref_Rarity!$H$5:$H$8,MATCH(GachaList!C84,ref_Rarity!$B$5:$B$8,0)),
IF(COUNTIF($B$4:B84,B84)=2,INDEX(ref_Rarity!$I$5:$I$8,MATCH(GachaList!C84,ref_Rarity!$B$5:$B$8,0)),
IF(COUNTIF($B$4:B84,B84)=3,INDEX(ref_Rarity!$J$5:$J$8,MATCH(GachaList!C84,ref_Rarity!$B$5:$B$8,0)),
)))</f>
        <v>12</v>
      </c>
      <c r="E84" s="5">
        <f xml:space="preserve">
ROUNDDOWN(INDEX(ref_Rarity!$E$5:$E$8,MATCH(GachaList!C84,ref_Rarity!$B$5:$B$8,0))
/COUNTIF(C:C,C84)*100,0)</f>
        <v>138</v>
      </c>
    </row>
    <row r="85" spans="1:5">
      <c r="A85" s="5">
        <v>82</v>
      </c>
      <c r="B85" s="5">
        <v>2020</v>
      </c>
      <c r="C85" s="5">
        <f>INDEX(Unitinfo!I:I,MATCH(GachaList!B85,Unitinfo!A:A,0))+1</f>
        <v>1</v>
      </c>
      <c r="D85" s="5">
        <f>IF(COUNTIF($B$4:B85,B85)=1,INDEX(ref_Rarity!$H$5:$H$8,MATCH(GachaList!C85,ref_Rarity!$B$5:$B$8,0)),
IF(COUNTIF($B$4:B85,B85)=2,INDEX(ref_Rarity!$I$5:$I$8,MATCH(GachaList!C85,ref_Rarity!$B$5:$B$8,0)),
IF(COUNTIF($B$4:B85,B85)=3,INDEX(ref_Rarity!$J$5:$J$8,MATCH(GachaList!C85,ref_Rarity!$B$5:$B$8,0)),
)))</f>
        <v>12</v>
      </c>
      <c r="E85" s="5">
        <f xml:space="preserve">
ROUNDDOWN(INDEX(ref_Rarity!$E$5:$E$8,MATCH(GachaList!C85,ref_Rarity!$B$5:$B$8,0))
/COUNTIF(C:C,C85)*100,0)</f>
        <v>138</v>
      </c>
    </row>
    <row r="86" spans="1:5">
      <c r="A86" s="5">
        <v>83</v>
      </c>
      <c r="B86" s="5">
        <v>2021</v>
      </c>
      <c r="C86" s="5">
        <f>INDEX(Unitinfo!I:I,MATCH(GachaList!B86,Unitinfo!A:A,0))+1</f>
        <v>1</v>
      </c>
      <c r="D86" s="5">
        <f>IF(COUNTIF($B$4:B86,B86)=1,INDEX(ref_Rarity!$H$5:$H$8,MATCH(GachaList!C86,ref_Rarity!$B$5:$B$8,0)),
IF(COUNTIF($B$4:B86,B86)=2,INDEX(ref_Rarity!$I$5:$I$8,MATCH(GachaList!C86,ref_Rarity!$B$5:$B$8,0)),
IF(COUNTIF($B$4:B86,B86)=3,INDEX(ref_Rarity!$J$5:$J$8,MATCH(GachaList!C86,ref_Rarity!$B$5:$B$8,0)),
)))</f>
        <v>12</v>
      </c>
      <c r="E86" s="5">
        <f xml:space="preserve">
ROUNDDOWN(INDEX(ref_Rarity!$E$5:$E$8,MATCH(GachaList!C86,ref_Rarity!$B$5:$B$8,0))
/COUNTIF(C:C,C86)*100,0)</f>
        <v>138</v>
      </c>
    </row>
    <row r="87" spans="1:5">
      <c r="A87" s="5">
        <v>84</v>
      </c>
      <c r="B87" s="5">
        <v>2022</v>
      </c>
      <c r="C87" s="5">
        <f>INDEX(Unitinfo!I:I,MATCH(GachaList!B87,Unitinfo!A:A,0))+1</f>
        <v>1</v>
      </c>
      <c r="D87" s="5">
        <f>IF(COUNTIF($B$4:B87,B87)=1,INDEX(ref_Rarity!$H$5:$H$8,MATCH(GachaList!C87,ref_Rarity!$B$5:$B$8,0)),
IF(COUNTIF($B$4:B87,B87)=2,INDEX(ref_Rarity!$I$5:$I$8,MATCH(GachaList!C87,ref_Rarity!$B$5:$B$8,0)),
IF(COUNTIF($B$4:B87,B87)=3,INDEX(ref_Rarity!$J$5:$J$8,MATCH(GachaList!C87,ref_Rarity!$B$5:$B$8,0)),
)))</f>
        <v>12</v>
      </c>
      <c r="E87" s="5">
        <f xml:space="preserve">
ROUNDDOWN(INDEX(ref_Rarity!$E$5:$E$8,MATCH(GachaList!C87,ref_Rarity!$B$5:$B$8,0))
/COUNTIF(C:C,C87)*100,0)</f>
        <v>138</v>
      </c>
    </row>
    <row r="88" spans="1:5">
      <c r="A88" s="5">
        <v>85</v>
      </c>
      <c r="B88" s="5">
        <v>2023</v>
      </c>
      <c r="C88" s="5">
        <f>INDEX(Unitinfo!I:I,MATCH(GachaList!B88,Unitinfo!A:A,0))+1</f>
        <v>3</v>
      </c>
      <c r="D88" s="5">
        <f>IF(COUNTIF($B$4:B88,B88)=1,INDEX(ref_Rarity!$H$5:$H$8,MATCH(GachaList!C88,ref_Rarity!$B$5:$B$8,0)),
IF(COUNTIF($B$4:B88,B88)=2,INDEX(ref_Rarity!$I$5:$I$8,MATCH(GachaList!C88,ref_Rarity!$B$5:$B$8,0)),
IF(COUNTIF($B$4:B88,B88)=3,INDEX(ref_Rarity!$J$5:$J$8,MATCH(GachaList!C88,ref_Rarity!$B$5:$B$8,0)),
)))</f>
        <v>4</v>
      </c>
      <c r="E88" s="5">
        <f xml:space="preserve">
ROUNDDOWN(INDEX(ref_Rarity!$E$5:$E$8,MATCH(GachaList!C88,ref_Rarity!$B$5:$B$8,0))
/COUNTIF(C:C,C88)*100,0)</f>
        <v>54</v>
      </c>
    </row>
    <row r="89" spans="1:5">
      <c r="A89" s="5">
        <v>86</v>
      </c>
      <c r="B89" s="5">
        <v>2024</v>
      </c>
      <c r="C89" s="5">
        <f>INDEX(Unitinfo!I:I,MATCH(GachaList!B89,Unitinfo!A:A,0))+1</f>
        <v>3</v>
      </c>
      <c r="D89" s="5">
        <f>IF(COUNTIF($B$4:B89,B89)=1,INDEX(ref_Rarity!$H$5:$H$8,MATCH(GachaList!C89,ref_Rarity!$B$5:$B$8,0)),
IF(COUNTIF($B$4:B89,B89)=2,INDEX(ref_Rarity!$I$5:$I$8,MATCH(GachaList!C89,ref_Rarity!$B$5:$B$8,0)),
IF(COUNTIF($B$4:B89,B89)=3,INDEX(ref_Rarity!$J$5:$J$8,MATCH(GachaList!C89,ref_Rarity!$B$5:$B$8,0)),
)))</f>
        <v>4</v>
      </c>
      <c r="E89" s="5">
        <f xml:space="preserve">
ROUNDDOWN(INDEX(ref_Rarity!$E$5:$E$8,MATCH(GachaList!C89,ref_Rarity!$B$5:$B$8,0))
/COUNTIF(C:C,C89)*100,0)</f>
        <v>54</v>
      </c>
    </row>
    <row r="90" spans="1:5">
      <c r="A90" s="5">
        <v>87</v>
      </c>
      <c r="B90" s="5">
        <v>2025</v>
      </c>
      <c r="C90" s="5">
        <f>INDEX(Unitinfo!I:I,MATCH(GachaList!B90,Unitinfo!A:A,0))+1</f>
        <v>3</v>
      </c>
      <c r="D90" s="5">
        <f>IF(COUNTIF($B$4:B90,B90)=1,INDEX(ref_Rarity!$H$5:$H$8,MATCH(GachaList!C90,ref_Rarity!$B$5:$B$8,0)),
IF(COUNTIF($B$4:B90,B90)=2,INDEX(ref_Rarity!$I$5:$I$8,MATCH(GachaList!C90,ref_Rarity!$B$5:$B$8,0)),
IF(COUNTIF($B$4:B90,B90)=3,INDEX(ref_Rarity!$J$5:$J$8,MATCH(GachaList!C90,ref_Rarity!$B$5:$B$8,0)),
)))</f>
        <v>4</v>
      </c>
      <c r="E90" s="5">
        <f xml:space="preserve">
ROUNDDOWN(INDEX(ref_Rarity!$E$5:$E$8,MATCH(GachaList!C90,ref_Rarity!$B$5:$B$8,0))
/COUNTIF(C:C,C90)*100,0)</f>
        <v>54</v>
      </c>
    </row>
    <row r="91" spans="1:5">
      <c r="A91" s="5">
        <v>88</v>
      </c>
      <c r="B91" s="5">
        <v>2026</v>
      </c>
      <c r="C91" s="5">
        <f>INDEX(Unitinfo!I:I,MATCH(GachaList!B91,Unitinfo!A:A,0))+1</f>
        <v>2</v>
      </c>
      <c r="D91" s="5">
        <f>IF(COUNTIF($B$4:B91,B91)=1,INDEX(ref_Rarity!$H$5:$H$8,MATCH(GachaList!C91,ref_Rarity!$B$5:$B$8,0)),
IF(COUNTIF($B$4:B91,B91)=2,INDEX(ref_Rarity!$I$5:$I$8,MATCH(GachaList!C91,ref_Rarity!$B$5:$B$8,0)),
IF(COUNTIF($B$4:B91,B91)=3,INDEX(ref_Rarity!$J$5:$J$8,MATCH(GachaList!C91,ref_Rarity!$B$5:$B$8,0)),
)))</f>
        <v>8</v>
      </c>
      <c r="E91" s="5">
        <f xml:space="preserve">
ROUNDDOWN(INDEX(ref_Rarity!$E$5:$E$8,MATCH(GachaList!C91,ref_Rarity!$B$5:$B$8,0))
/COUNTIF(C:C,C91)*100,0)</f>
        <v>129</v>
      </c>
    </row>
    <row r="92" spans="1:5">
      <c r="A92" s="5">
        <v>89</v>
      </c>
      <c r="B92" s="5">
        <v>2027</v>
      </c>
      <c r="C92" s="5">
        <f>INDEX(Unitinfo!I:I,MATCH(GachaList!B92,Unitinfo!A:A,0))+1</f>
        <v>2</v>
      </c>
      <c r="D92" s="5">
        <f>IF(COUNTIF($B$4:B92,B92)=1,INDEX(ref_Rarity!$H$5:$H$8,MATCH(GachaList!C92,ref_Rarity!$B$5:$B$8,0)),
IF(COUNTIF($B$4:B92,B92)=2,INDEX(ref_Rarity!$I$5:$I$8,MATCH(GachaList!C92,ref_Rarity!$B$5:$B$8,0)),
IF(COUNTIF($B$4:B92,B92)=3,INDEX(ref_Rarity!$J$5:$J$8,MATCH(GachaList!C92,ref_Rarity!$B$5:$B$8,0)),
)))</f>
        <v>8</v>
      </c>
      <c r="E92" s="5">
        <f xml:space="preserve">
ROUNDDOWN(INDEX(ref_Rarity!$E$5:$E$8,MATCH(GachaList!C92,ref_Rarity!$B$5:$B$8,0))
/COUNTIF(C:C,C92)*100,0)</f>
        <v>129</v>
      </c>
    </row>
    <row r="93" spans="1:5">
      <c r="A93" s="5">
        <v>90</v>
      </c>
      <c r="B93" s="5">
        <v>2028</v>
      </c>
      <c r="C93" s="5">
        <f>INDEX(Unitinfo!I:I,MATCH(GachaList!B93,Unitinfo!A:A,0))+1</f>
        <v>2</v>
      </c>
      <c r="D93" s="5">
        <f>IF(COUNTIF($B$4:B93,B93)=1,INDEX(ref_Rarity!$H$5:$H$8,MATCH(GachaList!C93,ref_Rarity!$B$5:$B$8,0)),
IF(COUNTIF($B$4:B93,B93)=2,INDEX(ref_Rarity!$I$5:$I$8,MATCH(GachaList!C93,ref_Rarity!$B$5:$B$8,0)),
IF(COUNTIF($B$4:B93,B93)=3,INDEX(ref_Rarity!$J$5:$J$8,MATCH(GachaList!C93,ref_Rarity!$B$5:$B$8,0)),
)))</f>
        <v>8</v>
      </c>
      <c r="E93" s="5">
        <f xml:space="preserve">
ROUNDDOWN(INDEX(ref_Rarity!$E$5:$E$8,MATCH(GachaList!C93,ref_Rarity!$B$5:$B$8,0))
/COUNTIF(C:C,C93)*100,0)</f>
        <v>129</v>
      </c>
    </row>
    <row r="94" spans="1:5">
      <c r="A94" s="5">
        <v>91</v>
      </c>
      <c r="B94" s="5">
        <v>2029</v>
      </c>
      <c r="C94" s="5">
        <f>INDEX(Unitinfo!I:I,MATCH(GachaList!B94,Unitinfo!A:A,0))+1</f>
        <v>2</v>
      </c>
      <c r="D94" s="5">
        <f>IF(COUNTIF($B$4:B94,B94)=1,INDEX(ref_Rarity!$H$5:$H$8,MATCH(GachaList!C94,ref_Rarity!$B$5:$B$8,0)),
IF(COUNTIF($B$4:B94,B94)=2,INDEX(ref_Rarity!$I$5:$I$8,MATCH(GachaList!C94,ref_Rarity!$B$5:$B$8,0)),
IF(COUNTIF($B$4:B94,B94)=3,INDEX(ref_Rarity!$J$5:$J$8,MATCH(GachaList!C94,ref_Rarity!$B$5:$B$8,0)),
)))</f>
        <v>8</v>
      </c>
      <c r="E94" s="5">
        <f xml:space="preserve">
ROUNDDOWN(INDEX(ref_Rarity!$E$5:$E$8,MATCH(GachaList!C94,ref_Rarity!$B$5:$B$8,0))
/COUNTIF(C:C,C94)*100,0)</f>
        <v>129</v>
      </c>
    </row>
    <row r="95" spans="1:5">
      <c r="A95" s="5">
        <v>92</v>
      </c>
      <c r="B95" s="5">
        <v>2030</v>
      </c>
      <c r="C95" s="5">
        <f>INDEX(Unitinfo!I:I,MATCH(GachaList!B95,Unitinfo!A:A,0))+1</f>
        <v>2</v>
      </c>
      <c r="D95" s="5">
        <f>IF(COUNTIF($B$4:B95,B95)=1,INDEX(ref_Rarity!$H$5:$H$8,MATCH(GachaList!C95,ref_Rarity!$B$5:$B$8,0)),
IF(COUNTIF($B$4:B95,B95)=2,INDEX(ref_Rarity!$I$5:$I$8,MATCH(GachaList!C95,ref_Rarity!$B$5:$B$8,0)),
IF(COUNTIF($B$4:B95,B95)=3,INDEX(ref_Rarity!$J$5:$J$8,MATCH(GachaList!C95,ref_Rarity!$B$5:$B$8,0)),
)))</f>
        <v>8</v>
      </c>
      <c r="E95" s="5">
        <f xml:space="preserve">
ROUNDDOWN(INDEX(ref_Rarity!$E$5:$E$8,MATCH(GachaList!C95,ref_Rarity!$B$5:$B$8,0))
/COUNTIF(C:C,C95)*100,0)</f>
        <v>129</v>
      </c>
    </row>
    <row r="96" spans="1:5">
      <c r="A96" s="5">
        <v>93</v>
      </c>
      <c r="B96" s="5">
        <v>2031</v>
      </c>
      <c r="C96" s="5">
        <f>INDEX(Unitinfo!I:I,MATCH(GachaList!B96,Unitinfo!A:A,0))+1</f>
        <v>2</v>
      </c>
      <c r="D96" s="5">
        <f>IF(COUNTIF($B$4:B96,B96)=1,INDEX(ref_Rarity!$H$5:$H$8,MATCH(GachaList!C96,ref_Rarity!$B$5:$B$8,0)),
IF(COUNTIF($B$4:B96,B96)=2,INDEX(ref_Rarity!$I$5:$I$8,MATCH(GachaList!C96,ref_Rarity!$B$5:$B$8,0)),
IF(COUNTIF($B$4:B96,B96)=3,INDEX(ref_Rarity!$J$5:$J$8,MATCH(GachaList!C96,ref_Rarity!$B$5:$B$8,0)),
)))</f>
        <v>8</v>
      </c>
      <c r="E96" s="5">
        <f xml:space="preserve">
ROUNDDOWN(INDEX(ref_Rarity!$E$5:$E$8,MATCH(GachaList!C96,ref_Rarity!$B$5:$B$8,0))
/COUNTIF(C:C,C96)*100,0)</f>
        <v>129</v>
      </c>
    </row>
    <row r="97" spans="1:5">
      <c r="A97" s="5"/>
      <c r="B97" s="5"/>
      <c r="C97" s="5"/>
      <c r="D97" s="5"/>
      <c r="E97" s="5"/>
    </row>
    <row r="98" spans="1:5">
      <c r="A98" s="5"/>
      <c r="B98" s="5"/>
      <c r="C98" s="5"/>
      <c r="D98" s="5"/>
      <c r="E98" s="5"/>
    </row>
    <row r="99" spans="1:5">
      <c r="A99" s="5"/>
      <c r="B99" s="5"/>
      <c r="C99" s="5"/>
      <c r="D99" s="5"/>
      <c r="E99" s="5"/>
    </row>
    <row r="100" spans="1:5">
      <c r="A100" s="5"/>
      <c r="B100" s="5"/>
      <c r="C100" s="5"/>
      <c r="D100" s="5"/>
      <c r="E100" s="5"/>
    </row>
    <row r="101" spans="1:5">
      <c r="A101" s="5"/>
      <c r="B101" s="5"/>
      <c r="C101" s="5"/>
      <c r="D101" s="5"/>
      <c r="E101" s="5"/>
    </row>
    <row r="102" spans="1:5">
      <c r="A102" s="5"/>
      <c r="B102" s="5"/>
      <c r="C102" s="5"/>
      <c r="D102" s="5"/>
      <c r="E102" s="5"/>
    </row>
    <row r="103" spans="1:5">
      <c r="A103" s="5"/>
      <c r="B103" s="5"/>
      <c r="C103" s="5"/>
      <c r="D103" s="5"/>
      <c r="E103" s="5"/>
    </row>
    <row r="104" spans="1:5">
      <c r="A104" s="5"/>
      <c r="B104" s="5"/>
      <c r="C104" s="5"/>
      <c r="D104" s="5"/>
      <c r="E104" s="5"/>
    </row>
    <row r="105" spans="1:5">
      <c r="A105" s="5"/>
      <c r="B105" s="5"/>
      <c r="C105" s="5"/>
      <c r="D105" s="5"/>
      <c r="E105" s="5"/>
    </row>
    <row r="106" spans="1:5">
      <c r="A106" s="5"/>
      <c r="B106" s="5"/>
      <c r="C106" s="5"/>
      <c r="D106" s="5"/>
      <c r="E106" s="5"/>
    </row>
    <row r="107" spans="1:5">
      <c r="A107" s="5"/>
      <c r="B107" s="5"/>
      <c r="C107" s="5"/>
      <c r="D107" s="5"/>
      <c r="E107" s="5"/>
    </row>
    <row r="108" spans="1:5">
      <c r="A108" s="5"/>
      <c r="B108" s="5"/>
      <c r="C108" s="5"/>
      <c r="D108" s="5"/>
      <c r="E108" s="5"/>
    </row>
    <row r="109" spans="1:5">
      <c r="A109" s="5"/>
      <c r="B109" s="5"/>
      <c r="C109" s="5"/>
      <c r="D109" s="5"/>
      <c r="E109" s="5"/>
    </row>
    <row r="110" spans="1:5">
      <c r="A110" s="5"/>
      <c r="B110" s="5"/>
      <c r="C110" s="5"/>
      <c r="D110" s="5"/>
      <c r="E110" s="5"/>
    </row>
    <row r="111" spans="1:5">
      <c r="A111" s="5"/>
      <c r="B111" s="5"/>
      <c r="C111" s="5"/>
      <c r="D111" s="5"/>
      <c r="E111" s="5"/>
    </row>
    <row r="112" spans="1:5">
      <c r="A112" s="5"/>
      <c r="B112" s="5"/>
      <c r="C112" s="5"/>
      <c r="D112" s="5"/>
      <c r="E112" s="5"/>
    </row>
    <row r="113" spans="1:5">
      <c r="A113" s="5"/>
      <c r="B113" s="5"/>
      <c r="C113" s="5"/>
      <c r="D113" s="5"/>
      <c r="E113" s="5"/>
    </row>
    <row r="114" spans="1:5">
      <c r="A114" s="5"/>
      <c r="B114" s="5"/>
      <c r="C114" s="5"/>
      <c r="D114" s="5"/>
      <c r="E114" s="5"/>
    </row>
    <row r="115" spans="1:5">
      <c r="A115" s="5"/>
      <c r="B115" s="5"/>
      <c r="C115" s="5"/>
      <c r="D115" s="5"/>
      <c r="E115" s="5"/>
    </row>
    <row r="116" spans="1:5">
      <c r="A116" s="5"/>
      <c r="B116" s="5"/>
      <c r="C116" s="5"/>
      <c r="D116" s="5"/>
      <c r="E116" s="5"/>
    </row>
    <row r="117" spans="1:5">
      <c r="A117" s="5"/>
      <c r="B117" s="5"/>
      <c r="C117" s="5"/>
      <c r="D117" s="5"/>
      <c r="E117" s="5"/>
    </row>
    <row r="118" spans="1:5">
      <c r="A118" s="5"/>
      <c r="B118" s="5"/>
      <c r="C118" s="5"/>
      <c r="D118" s="5"/>
      <c r="E118" s="5"/>
    </row>
    <row r="119" spans="1:5">
      <c r="A119" s="5"/>
      <c r="B119" s="5"/>
      <c r="C119" s="5"/>
      <c r="D119" s="5"/>
      <c r="E119" s="5"/>
    </row>
    <row r="120" spans="1:5">
      <c r="A120" s="5"/>
      <c r="B120" s="5"/>
      <c r="C120" s="5"/>
      <c r="D120" s="5"/>
      <c r="E120" s="5"/>
    </row>
    <row r="121" spans="1:5">
      <c r="A121" s="5"/>
      <c r="B121" s="5"/>
      <c r="C121" s="5"/>
      <c r="D121" s="5"/>
      <c r="E121" s="5"/>
    </row>
    <row r="122" spans="1:5">
      <c r="A122" s="5"/>
      <c r="B122" s="5"/>
      <c r="C122" s="5"/>
      <c r="D122" s="5"/>
      <c r="E122" s="5"/>
    </row>
    <row r="123" spans="1:5">
      <c r="A123" s="5"/>
      <c r="B123" s="5"/>
      <c r="C123" s="5"/>
      <c r="D123" s="5"/>
      <c r="E123" s="5"/>
    </row>
    <row r="124" spans="1:5">
      <c r="A124" s="5"/>
      <c r="B124" s="5"/>
      <c r="C124" s="5"/>
      <c r="D124" s="5"/>
      <c r="E124" s="5"/>
    </row>
    <row r="125" spans="1:5">
      <c r="A125" s="5"/>
      <c r="B125" s="5"/>
      <c r="C125" s="5"/>
      <c r="D125" s="5"/>
      <c r="E125" s="5"/>
    </row>
    <row r="126" spans="1:5">
      <c r="A126" s="5"/>
      <c r="B126" s="5"/>
      <c r="C126" s="5"/>
      <c r="D126" s="5"/>
      <c r="E126" s="5"/>
    </row>
    <row r="127" spans="1:5">
      <c r="A127" s="5"/>
      <c r="B127" s="5"/>
      <c r="C127" s="5"/>
      <c r="D127" s="5"/>
      <c r="E127" s="5"/>
    </row>
    <row r="128" spans="1:5">
      <c r="A128" s="5"/>
      <c r="B128" s="5"/>
      <c r="C128" s="5"/>
      <c r="D128" s="5"/>
      <c r="E128" s="5"/>
    </row>
    <row r="129" spans="1:5">
      <c r="A129" s="5"/>
      <c r="B129" s="5"/>
      <c r="C129" s="5"/>
      <c r="D129" s="5"/>
      <c r="E129" s="5"/>
    </row>
    <row r="130" spans="1:5">
      <c r="A130" s="5"/>
      <c r="B130" s="5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5"/>
      <c r="B132" s="5"/>
      <c r="C132" s="5"/>
      <c r="D132" s="5"/>
      <c r="E132" s="5"/>
    </row>
    <row r="133" spans="1:5">
      <c r="A133" s="5"/>
      <c r="B133" s="5"/>
      <c r="C133" s="5"/>
      <c r="D133" s="5"/>
      <c r="E133" s="5"/>
    </row>
    <row r="134" spans="1:5">
      <c r="A134" s="5"/>
      <c r="B134" s="5"/>
      <c r="C134" s="5"/>
      <c r="D134" s="5"/>
      <c r="E134" s="5"/>
    </row>
    <row r="135" spans="1:5">
      <c r="A135" s="5"/>
      <c r="B135" s="5"/>
      <c r="C135" s="5"/>
      <c r="D135" s="5"/>
      <c r="E135" s="5"/>
    </row>
    <row r="136" spans="1:5">
      <c r="A136" s="5"/>
      <c r="B136" s="5"/>
      <c r="C136" s="5"/>
      <c r="D136" s="5"/>
      <c r="E136" s="5"/>
    </row>
    <row r="137" spans="1:5">
      <c r="A137" s="5"/>
      <c r="B137" s="5"/>
      <c r="C137" s="5"/>
      <c r="D137" s="5"/>
      <c r="E137" s="5"/>
    </row>
    <row r="138" spans="1:5">
      <c r="A138" s="5"/>
      <c r="B138" s="5"/>
      <c r="C138" s="5"/>
      <c r="D138" s="5"/>
      <c r="E138" s="5"/>
    </row>
    <row r="139" spans="1:5">
      <c r="A139" s="5"/>
      <c r="B139" s="5"/>
      <c r="C139" s="5"/>
      <c r="D139" s="5"/>
      <c r="E139" s="5"/>
    </row>
    <row r="140" spans="1:5">
      <c r="A140" s="5"/>
      <c r="B140" s="5"/>
      <c r="C140" s="5"/>
      <c r="D140" s="5"/>
      <c r="E140" s="5"/>
    </row>
    <row r="141" spans="1:5">
      <c r="A141" s="5"/>
      <c r="B141" s="5"/>
      <c r="C141" s="5"/>
      <c r="D141" s="5"/>
      <c r="E141" s="5"/>
    </row>
    <row r="142" spans="1:5">
      <c r="A142" s="5"/>
      <c r="B142" s="5"/>
      <c r="C142" s="5"/>
      <c r="D142" s="5"/>
      <c r="E142" s="5"/>
    </row>
    <row r="143" spans="1:5">
      <c r="A143" s="5"/>
      <c r="B143" s="5"/>
      <c r="C143" s="5"/>
      <c r="D143" s="5"/>
      <c r="E143" s="5"/>
    </row>
    <row r="144" spans="1:5">
      <c r="A144" s="5"/>
      <c r="B144" s="5"/>
      <c r="C144" s="5"/>
      <c r="D144" s="5"/>
      <c r="E144" s="5"/>
    </row>
    <row r="145" spans="1:5">
      <c r="A145" s="5"/>
      <c r="B145" s="5"/>
      <c r="C145" s="5"/>
      <c r="D145" s="5"/>
      <c r="E145" s="5"/>
    </row>
    <row r="146" spans="1:5">
      <c r="A146" s="5"/>
      <c r="B146" s="5"/>
      <c r="C146" s="5"/>
      <c r="D146" s="5"/>
      <c r="E146" s="5"/>
    </row>
    <row r="147" spans="1:5">
      <c r="A147" s="5"/>
      <c r="B147" s="5"/>
      <c r="C147" s="5"/>
      <c r="D147" s="5"/>
      <c r="E147" s="5"/>
    </row>
    <row r="148" spans="1:5">
      <c r="A148" s="5"/>
      <c r="B148" s="5"/>
      <c r="C148" s="5"/>
      <c r="D148" s="5"/>
      <c r="E148" s="5"/>
    </row>
    <row r="149" spans="1:5">
      <c r="A149" s="5"/>
      <c r="B149" s="5"/>
      <c r="C149" s="5"/>
      <c r="D149" s="5"/>
      <c r="E149" s="5"/>
    </row>
    <row r="150" spans="1:5">
      <c r="A150" s="5"/>
      <c r="B150" s="5"/>
      <c r="C150" s="5"/>
      <c r="D150" s="5"/>
      <c r="E150" s="5"/>
    </row>
    <row r="151" spans="1:5">
      <c r="A151" s="5"/>
      <c r="B151" s="5"/>
      <c r="C151" s="5"/>
      <c r="D151" s="5"/>
      <c r="E151" s="5"/>
    </row>
    <row r="152" spans="1:5">
      <c r="A152" s="5"/>
      <c r="B152" s="5"/>
      <c r="C152" s="5"/>
      <c r="D152" s="5"/>
      <c r="E152" s="5"/>
    </row>
    <row r="153" spans="1:5">
      <c r="A153" s="5"/>
      <c r="B153" s="5"/>
      <c r="C153" s="5"/>
      <c r="D153" s="5"/>
      <c r="E153" s="5"/>
    </row>
    <row r="154" spans="1:5">
      <c r="A154" s="5"/>
      <c r="B154" s="5"/>
      <c r="C154" s="5"/>
      <c r="D154" s="5"/>
      <c r="E154" s="5"/>
    </row>
    <row r="155" spans="1:5">
      <c r="A155" s="5"/>
      <c r="B155" s="5"/>
      <c r="C155" s="5"/>
      <c r="D155" s="5"/>
      <c r="E155" s="5"/>
    </row>
    <row r="156" spans="1:5">
      <c r="A156" s="5"/>
      <c r="B156" s="5"/>
      <c r="C156" s="5"/>
      <c r="D156" s="5"/>
      <c r="E156" s="5"/>
    </row>
    <row r="157" spans="1:5">
      <c r="A157" s="5"/>
      <c r="B157" s="5"/>
      <c r="C157" s="5"/>
      <c r="D157" s="5"/>
      <c r="E157" s="5"/>
    </row>
    <row r="158" spans="1:5">
      <c r="A158" s="5"/>
      <c r="B158" s="5"/>
      <c r="C158" s="5"/>
      <c r="D158" s="5"/>
      <c r="E15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1"/>
  </sheetPr>
  <dimension ref="A1:E28"/>
  <sheetViews>
    <sheetView workbookViewId="0">
      <selection activeCell="N37" sqref="N37"/>
    </sheetView>
  </sheetViews>
  <sheetFormatPr defaultRowHeight="15"/>
  <cols>
    <col min="2" max="2" width="15.85546875" customWidth="1"/>
    <col min="3" max="3" width="15.5703125" customWidth="1"/>
    <col min="5" max="5" width="49.42578125" style="20" bestFit="1" customWidth="1"/>
  </cols>
  <sheetData>
    <row r="1" spans="1:5">
      <c r="A1" s="14" t="s">
        <v>42</v>
      </c>
      <c r="B1" s="14" t="s">
        <v>255</v>
      </c>
      <c r="C1" s="14" t="s">
        <v>257</v>
      </c>
      <c r="D1" s="14" t="s">
        <v>253</v>
      </c>
      <c r="E1" s="45" t="s">
        <v>155</v>
      </c>
    </row>
    <row r="2" spans="1:5">
      <c r="A2" s="15" t="s">
        <v>1</v>
      </c>
      <c r="B2" s="16" t="s">
        <v>254</v>
      </c>
      <c r="C2" s="16" t="s">
        <v>252</v>
      </c>
      <c r="D2" s="16" t="s">
        <v>248</v>
      </c>
      <c r="E2" s="46" t="s">
        <v>283</v>
      </c>
    </row>
    <row r="3" spans="1:5">
      <c r="A3" s="18" t="s">
        <v>2</v>
      </c>
      <c r="B3" s="18" t="s">
        <v>2</v>
      </c>
      <c r="C3" s="18" t="s">
        <v>2</v>
      </c>
      <c r="D3" s="18" t="s">
        <v>82</v>
      </c>
      <c r="E3" s="47" t="s">
        <v>82</v>
      </c>
    </row>
    <row r="4" spans="1:5">
      <c r="A4" s="5">
        <v>1</v>
      </c>
      <c r="B4" s="44">
        <v>0</v>
      </c>
      <c r="C4" s="6">
        <v>1</v>
      </c>
      <c r="D4" s="6">
        <v>1000</v>
      </c>
      <c r="E4" s="44" t="s">
        <v>279</v>
      </c>
    </row>
    <row r="5" spans="1:5">
      <c r="A5" s="5">
        <v>2</v>
      </c>
      <c r="B5" s="44">
        <v>0</v>
      </c>
      <c r="C5" s="6">
        <v>2</v>
      </c>
      <c r="D5" s="6">
        <v>1000</v>
      </c>
      <c r="E5" s="44" t="s">
        <v>280</v>
      </c>
    </row>
    <row r="6" spans="1:5">
      <c r="A6" s="5">
        <v>3</v>
      </c>
      <c r="B6" s="44">
        <v>0</v>
      </c>
      <c r="C6" s="5">
        <v>3</v>
      </c>
      <c r="D6" s="6">
        <v>1000</v>
      </c>
      <c r="E6" s="19" t="s">
        <v>281</v>
      </c>
    </row>
    <row r="7" spans="1:5">
      <c r="A7" s="5">
        <v>4</v>
      </c>
      <c r="B7" s="44">
        <v>0</v>
      </c>
      <c r="C7" s="5">
        <v>4</v>
      </c>
      <c r="D7" s="6">
        <v>1000</v>
      </c>
      <c r="E7" s="19" t="s">
        <v>282</v>
      </c>
    </row>
    <row r="8" spans="1:5">
      <c r="A8" s="5">
        <v>5</v>
      </c>
      <c r="B8" s="44">
        <v>1</v>
      </c>
      <c r="C8" s="5">
        <v>1</v>
      </c>
      <c r="D8" s="5">
        <v>300</v>
      </c>
      <c r="E8" s="19" t="s">
        <v>264</v>
      </c>
    </row>
    <row r="9" spans="1:5">
      <c r="A9" s="5">
        <v>6</v>
      </c>
      <c r="B9" s="44">
        <v>2</v>
      </c>
      <c r="C9" s="5">
        <v>1</v>
      </c>
      <c r="D9" s="5">
        <v>1000</v>
      </c>
      <c r="E9" s="19" t="s">
        <v>266</v>
      </c>
    </row>
    <row r="10" spans="1:5">
      <c r="A10" s="5">
        <v>7</v>
      </c>
      <c r="B10" s="44">
        <v>3</v>
      </c>
      <c r="C10" s="5"/>
      <c r="D10" s="5"/>
      <c r="E10" s="19" t="s">
        <v>268</v>
      </c>
    </row>
    <row r="11" spans="1:5">
      <c r="A11" s="5">
        <v>8</v>
      </c>
      <c r="B11" s="44">
        <v>3</v>
      </c>
      <c r="C11" s="5"/>
      <c r="D11" s="5"/>
      <c r="E11" s="19" t="s">
        <v>269</v>
      </c>
    </row>
    <row r="12" spans="1:5">
      <c r="A12" s="5">
        <v>9</v>
      </c>
      <c r="B12" s="44">
        <v>3</v>
      </c>
      <c r="C12" s="5"/>
      <c r="D12" s="5"/>
      <c r="E12" s="19" t="s">
        <v>270</v>
      </c>
    </row>
    <row r="13" spans="1:5">
      <c r="A13" s="5">
        <v>10</v>
      </c>
      <c r="B13" s="44">
        <v>1</v>
      </c>
      <c r="C13" s="5">
        <v>2</v>
      </c>
      <c r="D13" s="5">
        <v>0</v>
      </c>
      <c r="E13" s="19" t="s">
        <v>271</v>
      </c>
    </row>
    <row r="14" spans="1:5">
      <c r="A14" s="5">
        <v>11</v>
      </c>
      <c r="B14" s="44">
        <v>3</v>
      </c>
      <c r="C14" s="5"/>
      <c r="D14" s="5"/>
      <c r="E14" s="19" t="s">
        <v>272</v>
      </c>
    </row>
    <row r="15" spans="1:5">
      <c r="A15" s="5">
        <v>12</v>
      </c>
      <c r="B15" s="44">
        <v>3</v>
      </c>
      <c r="C15" s="5"/>
      <c r="D15" s="5"/>
      <c r="E15" s="19" t="s">
        <v>273</v>
      </c>
    </row>
    <row r="16" spans="1:5">
      <c r="A16" s="5">
        <v>13</v>
      </c>
      <c r="B16" s="44">
        <v>3</v>
      </c>
      <c r="C16" s="5"/>
      <c r="D16" s="5"/>
      <c r="E16" s="19" t="s">
        <v>274</v>
      </c>
    </row>
    <row r="17" spans="1:5">
      <c r="A17" s="5">
        <v>14</v>
      </c>
      <c r="B17" s="44">
        <v>3</v>
      </c>
      <c r="C17" s="5"/>
      <c r="D17" s="5"/>
      <c r="E17" s="48" t="s">
        <v>287</v>
      </c>
    </row>
    <row r="18" spans="1:5">
      <c r="A18" s="5">
        <v>15</v>
      </c>
      <c r="B18" s="44">
        <v>3</v>
      </c>
      <c r="C18" s="5"/>
      <c r="D18" s="5"/>
      <c r="E18" s="49" t="s">
        <v>288</v>
      </c>
    </row>
    <row r="19" spans="1:5">
      <c r="A19" s="5">
        <v>16</v>
      </c>
      <c r="B19" s="44">
        <v>3</v>
      </c>
      <c r="C19" s="5"/>
      <c r="D19" s="5"/>
      <c r="E19" s="19" t="s">
        <v>275</v>
      </c>
    </row>
    <row r="20" spans="1:5">
      <c r="A20" s="5">
        <v>17</v>
      </c>
      <c r="B20" s="44">
        <v>1</v>
      </c>
      <c r="C20" s="5">
        <v>3</v>
      </c>
      <c r="D20" s="5">
        <v>0</v>
      </c>
      <c r="E20" s="19" t="s">
        <v>276</v>
      </c>
    </row>
    <row r="21" spans="1:5">
      <c r="A21" s="5">
        <v>18</v>
      </c>
      <c r="B21" s="44">
        <v>3</v>
      </c>
      <c r="C21" s="5"/>
      <c r="D21" s="5"/>
      <c r="E21" s="19" t="s">
        <v>277</v>
      </c>
    </row>
    <row r="22" spans="1:5">
      <c r="A22" s="5">
        <v>19</v>
      </c>
      <c r="B22" s="44">
        <v>3</v>
      </c>
      <c r="C22" s="5"/>
      <c r="D22" s="5"/>
      <c r="E22" s="19" t="s">
        <v>269</v>
      </c>
    </row>
    <row r="23" spans="1:5">
      <c r="A23" s="5">
        <v>20</v>
      </c>
      <c r="B23" s="44">
        <v>4</v>
      </c>
      <c r="E23" s="50" t="s">
        <v>317</v>
      </c>
    </row>
    <row r="24" spans="1:5">
      <c r="A24" s="5"/>
    </row>
    <row r="25" spans="1:5">
      <c r="A25" s="5"/>
    </row>
    <row r="26" spans="1:5">
      <c r="A26" s="5"/>
    </row>
    <row r="27" spans="1:5">
      <c r="A27" s="5"/>
    </row>
    <row r="28" spans="1:5">
      <c r="A2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4"/>
  <sheetViews>
    <sheetView workbookViewId="0">
      <selection activeCell="F51" sqref="F51"/>
    </sheetView>
  </sheetViews>
  <sheetFormatPr defaultRowHeight="15"/>
  <cols>
    <col min="4" max="4" width="14" customWidth="1"/>
    <col min="5" max="5" width="17.7109375" customWidth="1"/>
  </cols>
  <sheetData>
    <row r="1" spans="1:8">
      <c r="A1" s="14" t="s">
        <v>42</v>
      </c>
      <c r="B1" s="14" t="s">
        <v>313</v>
      </c>
      <c r="C1" s="14" t="s">
        <v>314</v>
      </c>
      <c r="D1" s="14" t="s">
        <v>315</v>
      </c>
      <c r="E1" s="14" t="s">
        <v>316</v>
      </c>
    </row>
    <row r="2" spans="1:8">
      <c r="A2" s="15" t="s">
        <v>1</v>
      </c>
      <c r="B2" s="15" t="s">
        <v>1</v>
      </c>
      <c r="C2" s="15" t="s">
        <v>1</v>
      </c>
      <c r="D2" s="15" t="s">
        <v>1</v>
      </c>
      <c r="E2" s="15" t="s">
        <v>1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8">
      <c r="A4" s="5">
        <v>1</v>
      </c>
      <c r="B4" s="5">
        <v>1</v>
      </c>
      <c r="C4" s="5">
        <v>0</v>
      </c>
      <c r="D4" s="5">
        <v>2</v>
      </c>
      <c r="E4" s="5">
        <v>500</v>
      </c>
    </row>
    <row r="5" spans="1:8">
      <c r="A5" s="5">
        <v>2</v>
      </c>
      <c r="B5" s="5">
        <v>2</v>
      </c>
      <c r="C5" s="5">
        <v>3</v>
      </c>
      <c r="D5" s="5">
        <v>2</v>
      </c>
      <c r="E5" s="5">
        <v>500</v>
      </c>
    </row>
    <row r="6" spans="1:8">
      <c r="A6" s="5">
        <v>3</v>
      </c>
      <c r="B6" s="5">
        <v>3</v>
      </c>
      <c r="C6" s="5">
        <v>9</v>
      </c>
      <c r="D6" s="5">
        <v>2</v>
      </c>
      <c r="E6" s="5">
        <v>500</v>
      </c>
    </row>
    <row r="7" spans="1:8">
      <c r="A7" s="5">
        <v>4</v>
      </c>
      <c r="B7" s="5">
        <v>4</v>
      </c>
      <c r="C7" s="5">
        <v>15</v>
      </c>
      <c r="D7" s="5">
        <v>3</v>
      </c>
      <c r="E7" s="5">
        <v>500</v>
      </c>
    </row>
    <row r="8" spans="1:8">
      <c r="A8" s="5">
        <v>5</v>
      </c>
      <c r="B8" s="5">
        <v>5</v>
      </c>
      <c r="C8" s="5">
        <v>21</v>
      </c>
      <c r="D8" s="5">
        <v>3</v>
      </c>
      <c r="E8" s="5">
        <v>500</v>
      </c>
    </row>
    <row r="9" spans="1:8">
      <c r="A9" s="5">
        <v>6</v>
      </c>
      <c r="B9" s="5">
        <v>6</v>
      </c>
      <c r="C9" s="5">
        <v>30</v>
      </c>
      <c r="D9" s="5">
        <v>3</v>
      </c>
      <c r="E9" s="5">
        <v>500</v>
      </c>
    </row>
    <row r="10" spans="1:8">
      <c r="A10" s="5">
        <v>7</v>
      </c>
      <c r="B10" s="5">
        <v>7</v>
      </c>
      <c r="C10" s="5">
        <v>45</v>
      </c>
      <c r="D10" s="5">
        <v>4</v>
      </c>
      <c r="E10" s="5">
        <v>500</v>
      </c>
    </row>
    <row r="11" spans="1:8">
      <c r="A11" s="5">
        <v>8</v>
      </c>
      <c r="B11" s="5">
        <v>8</v>
      </c>
      <c r="C11" s="5">
        <v>60</v>
      </c>
      <c r="D11" s="5">
        <v>4</v>
      </c>
      <c r="E11" s="5">
        <v>500</v>
      </c>
      <c r="H11" s="8"/>
    </row>
    <row r="12" spans="1:8">
      <c r="A12" s="5">
        <v>9</v>
      </c>
      <c r="B12" s="5">
        <v>9</v>
      </c>
      <c r="C12" s="5">
        <v>75</v>
      </c>
      <c r="D12" s="5">
        <v>4</v>
      </c>
      <c r="E12" s="5">
        <v>500</v>
      </c>
    </row>
    <row r="13" spans="1:8">
      <c r="A13" s="5">
        <v>10</v>
      </c>
      <c r="B13" s="5">
        <v>10</v>
      </c>
      <c r="C13" s="5">
        <v>95</v>
      </c>
      <c r="D13" s="5">
        <v>5</v>
      </c>
      <c r="E13" s="5">
        <v>500</v>
      </c>
    </row>
    <row r="14" spans="1:8">
      <c r="A14" s="5">
        <v>11</v>
      </c>
      <c r="B14" s="5">
        <v>11</v>
      </c>
      <c r="C14" s="5">
        <v>115</v>
      </c>
      <c r="D14" s="5">
        <v>5</v>
      </c>
      <c r="E14" s="5">
        <v>500</v>
      </c>
    </row>
    <row r="15" spans="1:8">
      <c r="A15" s="5">
        <v>12</v>
      </c>
      <c r="B15" s="5">
        <v>12</v>
      </c>
      <c r="C15" s="5">
        <v>135</v>
      </c>
      <c r="D15" s="5">
        <v>5</v>
      </c>
      <c r="E15" s="5">
        <v>500</v>
      </c>
    </row>
    <row r="16" spans="1:8">
      <c r="A16" s="5">
        <v>13</v>
      </c>
      <c r="B16" s="5">
        <v>13</v>
      </c>
      <c r="C16" s="5">
        <v>155</v>
      </c>
      <c r="D16" s="5">
        <v>6</v>
      </c>
      <c r="E16" s="5">
        <v>500</v>
      </c>
    </row>
    <row r="17" spans="1:5">
      <c r="A17" s="5">
        <v>14</v>
      </c>
      <c r="B17" s="5">
        <v>14</v>
      </c>
      <c r="C17" s="5">
        <v>175</v>
      </c>
      <c r="D17" s="5">
        <v>6</v>
      </c>
      <c r="E17" s="5">
        <v>500</v>
      </c>
    </row>
    <row r="18" spans="1:5">
      <c r="A18" s="5">
        <v>15</v>
      </c>
      <c r="B18" s="5">
        <v>15</v>
      </c>
      <c r="C18" s="5">
        <v>195</v>
      </c>
      <c r="D18" s="5">
        <v>6</v>
      </c>
      <c r="E18" s="5">
        <v>500</v>
      </c>
    </row>
    <row r="19" spans="1:5">
      <c r="A19" s="5">
        <v>16</v>
      </c>
      <c r="B19" s="5">
        <v>16</v>
      </c>
      <c r="C19" s="5">
        <v>215</v>
      </c>
      <c r="D19" s="5">
        <v>6</v>
      </c>
      <c r="E19" s="5">
        <v>500</v>
      </c>
    </row>
    <row r="20" spans="1:5">
      <c r="A20" s="5">
        <v>17</v>
      </c>
      <c r="B20" s="5">
        <v>17</v>
      </c>
      <c r="C20" s="5">
        <v>235</v>
      </c>
      <c r="D20" s="5">
        <v>6</v>
      </c>
      <c r="E20" s="5">
        <v>500</v>
      </c>
    </row>
    <row r="21" spans="1:5">
      <c r="A21" s="5">
        <v>18</v>
      </c>
      <c r="B21" s="5">
        <v>18</v>
      </c>
      <c r="C21" s="5">
        <v>255</v>
      </c>
      <c r="D21" s="5">
        <v>6</v>
      </c>
      <c r="E21" s="5">
        <v>500</v>
      </c>
    </row>
    <row r="22" spans="1:5">
      <c r="A22" s="5">
        <v>19</v>
      </c>
      <c r="B22" s="5">
        <v>19</v>
      </c>
      <c r="C22" s="5">
        <v>275</v>
      </c>
      <c r="D22" s="5">
        <v>6</v>
      </c>
      <c r="E22" s="5">
        <v>500</v>
      </c>
    </row>
    <row r="23" spans="1:5">
      <c r="A23" s="5">
        <v>20</v>
      </c>
      <c r="B23" s="5">
        <v>20</v>
      </c>
      <c r="C23" s="5">
        <v>295</v>
      </c>
      <c r="D23" s="5">
        <v>6</v>
      </c>
      <c r="E23" s="5">
        <v>500</v>
      </c>
    </row>
    <row r="24" spans="1:5">
      <c r="D24" s="5"/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7"/>
  <sheetViews>
    <sheetView workbookViewId="0">
      <selection activeCell="M32" sqref="M32"/>
    </sheetView>
  </sheetViews>
  <sheetFormatPr defaultColWidth="8.85546875" defaultRowHeight="15"/>
  <cols>
    <col min="1" max="2" width="9.140625" customWidth="1"/>
    <col min="3" max="3" width="12.5703125" bestFit="1" customWidth="1"/>
    <col min="4" max="4" width="9.7109375" bestFit="1" customWidth="1"/>
    <col min="5" max="5" width="13.7109375" bestFit="1" customWidth="1"/>
  </cols>
  <sheetData>
    <row r="1" spans="1:5">
      <c r="A1" s="14" t="s">
        <v>42</v>
      </c>
      <c r="B1" s="14" t="s">
        <v>292</v>
      </c>
      <c r="C1" s="14" t="s">
        <v>65</v>
      </c>
      <c r="D1" s="14" t="s">
        <v>118</v>
      </c>
      <c r="E1" s="14" t="s">
        <v>66</v>
      </c>
    </row>
    <row r="2" spans="1:5">
      <c r="A2" s="15" t="s">
        <v>1</v>
      </c>
      <c r="B2" s="15" t="s">
        <v>1</v>
      </c>
      <c r="C2" s="16" t="s">
        <v>62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9">
        <v>0</v>
      </c>
      <c r="D4" s="5">
        <v>2002</v>
      </c>
      <c r="E4" s="5">
        <v>10</v>
      </c>
    </row>
    <row r="5" spans="1:5">
      <c r="A5" s="136">
        <v>2</v>
      </c>
      <c r="B5" s="136">
        <v>1</v>
      </c>
      <c r="C5" s="9">
        <v>4</v>
      </c>
      <c r="D5" s="136">
        <v>0</v>
      </c>
      <c r="E5" s="136">
        <v>3000</v>
      </c>
    </row>
    <row r="6" spans="1:5">
      <c r="A6" s="5">
        <v>3</v>
      </c>
      <c r="B6" s="5">
        <v>2</v>
      </c>
      <c r="C6" s="9">
        <v>0</v>
      </c>
      <c r="D6" s="5">
        <v>2019</v>
      </c>
      <c r="E6" s="5">
        <v>10</v>
      </c>
    </row>
    <row r="7" spans="1:5">
      <c r="A7" s="136">
        <v>4</v>
      </c>
      <c r="B7" s="136">
        <v>2</v>
      </c>
      <c r="C7" s="9">
        <v>4</v>
      </c>
      <c r="D7" s="136">
        <v>0</v>
      </c>
      <c r="E7" s="136">
        <v>3000</v>
      </c>
    </row>
    <row r="8" spans="1:5">
      <c r="A8" s="5">
        <v>5</v>
      </c>
      <c r="B8" s="5">
        <v>3</v>
      </c>
      <c r="C8" s="9">
        <v>0</v>
      </c>
      <c r="D8" s="5">
        <v>2020</v>
      </c>
      <c r="E8" s="5">
        <v>10</v>
      </c>
    </row>
    <row r="9" spans="1:5">
      <c r="A9" s="136">
        <v>6</v>
      </c>
      <c r="B9" s="136">
        <v>3</v>
      </c>
      <c r="C9" s="9">
        <v>4</v>
      </c>
      <c r="D9" s="136">
        <v>0</v>
      </c>
      <c r="E9" s="136">
        <v>10000</v>
      </c>
    </row>
    <row r="10" spans="1:5">
      <c r="A10" s="5">
        <v>7</v>
      </c>
      <c r="B10" s="5">
        <v>4</v>
      </c>
      <c r="C10" s="9">
        <v>0</v>
      </c>
      <c r="D10" s="5">
        <v>2018</v>
      </c>
      <c r="E10" s="5">
        <v>5</v>
      </c>
    </row>
    <row r="11" spans="1:5">
      <c r="A11" s="136">
        <v>8</v>
      </c>
      <c r="B11" s="136">
        <v>4</v>
      </c>
      <c r="C11" s="9">
        <v>4</v>
      </c>
      <c r="D11" s="136">
        <v>0</v>
      </c>
      <c r="E11" s="136">
        <v>10000</v>
      </c>
    </row>
    <row r="12" spans="1:5">
      <c r="A12" s="5">
        <v>9</v>
      </c>
      <c r="B12" s="5">
        <v>5</v>
      </c>
      <c r="C12" s="9">
        <v>0</v>
      </c>
      <c r="D12" s="5">
        <v>2022</v>
      </c>
      <c r="E12" s="5">
        <v>10</v>
      </c>
    </row>
    <row r="13" spans="1:5">
      <c r="A13" s="136">
        <v>10</v>
      </c>
      <c r="B13" s="136">
        <v>5</v>
      </c>
      <c r="C13" s="9">
        <v>4</v>
      </c>
      <c r="D13" s="136">
        <v>0</v>
      </c>
      <c r="E13" s="136">
        <v>3000</v>
      </c>
    </row>
    <row r="14" spans="1:5">
      <c r="A14" s="5">
        <v>11</v>
      </c>
      <c r="B14" s="5">
        <v>6</v>
      </c>
      <c r="C14" s="9">
        <v>0</v>
      </c>
      <c r="D14" s="5">
        <v>2003</v>
      </c>
      <c r="E14" s="5">
        <v>10</v>
      </c>
    </row>
    <row r="15" spans="1:5">
      <c r="A15" s="136">
        <v>12</v>
      </c>
      <c r="B15" s="136">
        <v>6</v>
      </c>
      <c r="C15" s="9">
        <v>4</v>
      </c>
      <c r="D15" s="136">
        <v>0</v>
      </c>
      <c r="E15" s="136">
        <v>3000</v>
      </c>
    </row>
    <row r="16" spans="1:5">
      <c r="A16" s="5">
        <v>13</v>
      </c>
      <c r="B16" s="5">
        <v>7</v>
      </c>
      <c r="C16" s="9">
        <v>0</v>
      </c>
      <c r="D16" s="5">
        <v>2017</v>
      </c>
      <c r="E16" s="5">
        <v>10</v>
      </c>
    </row>
    <row r="17" spans="1:5">
      <c r="A17" s="5">
        <v>14</v>
      </c>
      <c r="B17" s="5">
        <v>7</v>
      </c>
      <c r="C17" s="9">
        <v>4</v>
      </c>
      <c r="D17" s="5">
        <v>0</v>
      </c>
      <c r="E17" s="5">
        <v>10000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3"/>
  <sheetViews>
    <sheetView topLeftCell="A16" workbookViewId="0">
      <selection activeCell="B4" sqref="B4:B6"/>
    </sheetView>
  </sheetViews>
  <sheetFormatPr defaultRowHeight="15"/>
  <cols>
    <col min="2" max="2" width="13.7109375" customWidth="1"/>
  </cols>
  <sheetData>
    <row r="1" spans="1:3">
      <c r="A1" s="14" t="s">
        <v>42</v>
      </c>
      <c r="B1" s="14" t="s">
        <v>258</v>
      </c>
      <c r="C1" s="14" t="s">
        <v>263</v>
      </c>
    </row>
    <row r="2" spans="1:3">
      <c r="A2" s="15" t="s">
        <v>1</v>
      </c>
      <c r="B2" s="16" t="s">
        <v>259</v>
      </c>
      <c r="C2" s="16" t="s">
        <v>284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260</v>
      </c>
      <c r="C4">
        <v>2</v>
      </c>
    </row>
    <row r="5" spans="1:3" ht="16.5">
      <c r="A5" s="5">
        <v>2</v>
      </c>
      <c r="B5" s="9" t="s">
        <v>261</v>
      </c>
      <c r="C5">
        <v>2</v>
      </c>
    </row>
    <row r="6" spans="1:3" ht="16.5">
      <c r="A6" s="5">
        <v>3</v>
      </c>
      <c r="B6" s="9" t="s">
        <v>262</v>
      </c>
      <c r="C6">
        <v>1</v>
      </c>
    </row>
    <row r="7" spans="1:3">
      <c r="A7" s="5"/>
      <c r="B7" s="9"/>
    </row>
    <row r="8" spans="1:3">
      <c r="A8" s="5"/>
      <c r="B8" s="9"/>
    </row>
    <row r="9" spans="1:3">
      <c r="A9" s="5"/>
      <c r="B9" s="9"/>
    </row>
    <row r="10" spans="1:3">
      <c r="A10" s="5"/>
      <c r="B10" s="9"/>
    </row>
    <row r="11" spans="1:3">
      <c r="A11" s="5"/>
      <c r="B11" s="9"/>
    </row>
    <row r="12" spans="1:3">
      <c r="A12" s="5"/>
      <c r="B12" s="9"/>
    </row>
    <row r="13" spans="1:3">
      <c r="A13" s="5"/>
      <c r="B13" s="9"/>
    </row>
    <row r="14" spans="1:3">
      <c r="A14" s="5"/>
      <c r="B14" s="9"/>
    </row>
    <row r="15" spans="1:3">
      <c r="A15" s="5"/>
      <c r="B15" s="9"/>
    </row>
    <row r="16" spans="1:3">
      <c r="A16" s="5"/>
      <c r="B16" s="9"/>
    </row>
    <row r="17" spans="1:2">
      <c r="A17" s="5"/>
      <c r="B17" s="9"/>
    </row>
    <row r="18" spans="1:2">
      <c r="A18" s="5"/>
      <c r="B18" s="9"/>
    </row>
    <row r="19" spans="1:2">
      <c r="A19" s="5"/>
      <c r="B19" s="9"/>
    </row>
    <row r="20" spans="1:2">
      <c r="A20" s="5"/>
      <c r="B20" s="9"/>
    </row>
    <row r="21" spans="1:2">
      <c r="A21" s="5"/>
      <c r="B21" s="9"/>
    </row>
    <row r="22" spans="1:2">
      <c r="A22" s="5"/>
      <c r="B22" s="9"/>
    </row>
    <row r="23" spans="1:2">
      <c r="A23" s="5"/>
      <c r="B23" s="9"/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1C4587"/>
  </sheetPr>
  <dimension ref="A1:K37"/>
  <sheetViews>
    <sheetView zoomScale="85" zoomScaleNormal="85" workbookViewId="0">
      <selection activeCell="Q19" sqref="Q19"/>
    </sheetView>
  </sheetViews>
  <sheetFormatPr defaultRowHeight="15"/>
  <cols>
    <col min="8" max="10" width="14.7109375" style="5" customWidth="1"/>
  </cols>
  <sheetData>
    <row r="1" spans="1:1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 s="5">
        <v>8</v>
      </c>
      <c r="I1" s="5">
        <v>9</v>
      </c>
      <c r="J1" s="5">
        <v>10</v>
      </c>
      <c r="K1">
        <v>11</v>
      </c>
    </row>
    <row r="2" spans="1:11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s="5">
        <v>1</v>
      </c>
      <c r="I2" s="5">
        <v>1</v>
      </c>
    </row>
    <row r="3" spans="1:11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s="22" t="s">
        <v>425</v>
      </c>
      <c r="I3" s="22" t="s">
        <v>425</v>
      </c>
      <c r="J3" s="22" t="s">
        <v>425</v>
      </c>
    </row>
    <row r="4" spans="1:11" ht="16.5">
      <c r="A4">
        <v>1</v>
      </c>
      <c r="B4" s="120" t="s">
        <v>377</v>
      </c>
      <c r="C4" s="120" t="s">
        <v>376</v>
      </c>
      <c r="D4" s="120" t="s">
        <v>378</v>
      </c>
      <c r="E4" s="120" t="s">
        <v>379</v>
      </c>
      <c r="F4" s="120" t="s">
        <v>411</v>
      </c>
      <c r="G4" s="66" t="s">
        <v>412</v>
      </c>
      <c r="H4" s="9">
        <v>1</v>
      </c>
      <c r="I4" s="9">
        <v>2</v>
      </c>
      <c r="J4" s="9">
        <v>3</v>
      </c>
    </row>
    <row r="5" spans="1:11">
      <c r="A5">
        <v>1</v>
      </c>
      <c r="B5" s="5">
        <v>1</v>
      </c>
      <c r="C5">
        <f>ref_Unit_Balance!F20</f>
        <v>600</v>
      </c>
      <c r="D5">
        <f>ref_Unit_Balance!G20</f>
        <v>200</v>
      </c>
      <c r="E5" s="5">
        <v>50</v>
      </c>
      <c r="F5" s="5">
        <f>COUNTIFS(ref_Unit_Balance!$D$31:$D$1048576,ref_Rarity!B5,ref_Unit_Balance!$B$31:$B$1048576,"&gt;2000",ref_Unit_Balance!$B$31:$B$1048576,"&lt;10000")</f>
        <v>12</v>
      </c>
      <c r="G5">
        <f>E5/F5</f>
        <v>4.166666666666667</v>
      </c>
      <c r="H5" s="5">
        <v>6</v>
      </c>
      <c r="I5" s="5">
        <v>9</v>
      </c>
      <c r="J5" s="5">
        <v>12</v>
      </c>
    </row>
    <row r="6" spans="1:11">
      <c r="A6">
        <v>1</v>
      </c>
      <c r="B6" s="5">
        <v>2</v>
      </c>
      <c r="C6">
        <f>ref_Unit_Balance!F21</f>
        <v>700</v>
      </c>
      <c r="D6">
        <f>ref_Unit_Balance!G21</f>
        <v>250</v>
      </c>
      <c r="E6" s="5">
        <v>35</v>
      </c>
      <c r="F6" s="5">
        <f>COUNTIFS(ref_Unit_Balance!$D$31:$D$1048576,ref_Rarity!B6,ref_Unit_Balance!$B$31:$B$1048576,"&gt;2000",ref_Unit_Balance!$B$31:$B$1048576,"&lt;10000")</f>
        <v>9</v>
      </c>
      <c r="G6">
        <f t="shared" ref="G6:G8" si="0">E6/F6</f>
        <v>3.8888888888888888</v>
      </c>
      <c r="H6" s="5">
        <v>4</v>
      </c>
      <c r="I6" s="5">
        <v>6</v>
      </c>
      <c r="J6" s="5">
        <v>8</v>
      </c>
    </row>
    <row r="7" spans="1:11">
      <c r="A7">
        <v>1</v>
      </c>
      <c r="B7" s="5">
        <v>3</v>
      </c>
      <c r="C7">
        <f>ref_Unit_Balance!F22</f>
        <v>800</v>
      </c>
      <c r="D7">
        <f>ref_Unit_Balance!G22</f>
        <v>300</v>
      </c>
      <c r="E7" s="5">
        <v>13</v>
      </c>
      <c r="F7" s="5">
        <f>COUNTIFS(ref_Unit_Balance!$D$31:$D$1048576,ref_Rarity!B7,ref_Unit_Balance!$B$31:$B$1048576,"&gt;2000",ref_Unit_Balance!$B$31:$B$1048576,"&lt;10000")</f>
        <v>8</v>
      </c>
      <c r="G7">
        <f t="shared" si="0"/>
        <v>1.625</v>
      </c>
      <c r="H7" s="5">
        <v>2</v>
      </c>
      <c r="I7" s="5">
        <v>3</v>
      </c>
      <c r="J7" s="5">
        <v>4</v>
      </c>
    </row>
    <row r="8" spans="1:11">
      <c r="A8">
        <v>1</v>
      </c>
      <c r="B8" s="5">
        <v>4</v>
      </c>
      <c r="C8">
        <f>ref_Unit_Balance!F23</f>
        <v>900</v>
      </c>
      <c r="D8">
        <f>ref_Unit_Balance!G23</f>
        <v>350</v>
      </c>
      <c r="E8" s="5">
        <v>2</v>
      </c>
      <c r="F8" s="5">
        <f>COUNTIFS(ref_Unit_Balance!$D$31:$D$1048576,ref_Rarity!B8,ref_Unit_Balance!$B$31:$B$1048576,"&gt;2000",ref_Unit_Balance!$B$31:$B$1048576,"&lt;10000")</f>
        <v>2</v>
      </c>
      <c r="G8">
        <f t="shared" si="0"/>
        <v>1</v>
      </c>
      <c r="H8" s="5">
        <v>1</v>
      </c>
      <c r="I8" s="5">
        <v>2</v>
      </c>
      <c r="J8" s="5">
        <v>3</v>
      </c>
    </row>
    <row r="9" spans="1:11">
      <c r="A9">
        <v>1</v>
      </c>
    </row>
    <row r="10" spans="1:11">
      <c r="A10">
        <v>1</v>
      </c>
    </row>
    <row r="11" spans="1:11">
      <c r="A11">
        <v>1</v>
      </c>
    </row>
    <row r="12" spans="1:11">
      <c r="A12">
        <v>1</v>
      </c>
    </row>
    <row r="13" spans="1:11">
      <c r="A13">
        <v>1</v>
      </c>
    </row>
    <row r="14" spans="1:11">
      <c r="A14">
        <v>1</v>
      </c>
      <c r="B14" s="67"/>
      <c r="C14" s="67">
        <v>1</v>
      </c>
      <c r="D14" s="67">
        <v>2</v>
      </c>
      <c r="E14" s="67">
        <v>3</v>
      </c>
      <c r="F14" s="67">
        <v>4</v>
      </c>
    </row>
    <row r="15" spans="1:11">
      <c r="A15">
        <v>1</v>
      </c>
      <c r="B15" s="67">
        <v>1</v>
      </c>
      <c r="C15" s="5">
        <f>INDEX($C$5:$C$8,MATCH(C$14,$B$5:$B$8,0))+INDEX($D$5:$D$8,MATCH(C$14,$B$5:$B$8,0))*($B15-1)</f>
        <v>600</v>
      </c>
      <c r="D15" s="5">
        <f t="shared" ref="D15:F30" si="1">INDEX($C$5:$C$8,MATCH(D$14,$B$5:$B$8,0))+INDEX($D$5:$D$8,MATCH(D$14,$B$5:$B$8,0))*($B15-1)</f>
        <v>700</v>
      </c>
      <c r="E15" s="5">
        <f>INDEX($C$5:$C$8,MATCH(E$14,$B$5:$B$8,0))+INDEX($D$5:$D$8,MATCH(E$14,$B$5:$B$8,0))*($B15-1)</f>
        <v>800</v>
      </c>
      <c r="F15" s="5">
        <f t="shared" si="1"/>
        <v>900</v>
      </c>
    </row>
    <row r="16" spans="1:11">
      <c r="A16">
        <v>1</v>
      </c>
      <c r="B16" s="67">
        <v>2</v>
      </c>
      <c r="C16" s="5">
        <f t="shared" ref="C16:F31" si="2">INDEX($C$5:$C$8,MATCH(C$14,$B$5:$B$8,0))+INDEX($D$5:$D$8,MATCH(C$14,$B$5:$B$8,0))*($B16-1)</f>
        <v>800</v>
      </c>
      <c r="D16" s="5">
        <f t="shared" si="1"/>
        <v>950</v>
      </c>
      <c r="E16" s="5">
        <f t="shared" si="1"/>
        <v>1100</v>
      </c>
      <c r="F16" s="5">
        <f t="shared" si="1"/>
        <v>1250</v>
      </c>
    </row>
    <row r="17" spans="1:6">
      <c r="A17">
        <v>1</v>
      </c>
      <c r="B17" s="67">
        <v>3</v>
      </c>
      <c r="C17" s="5">
        <f t="shared" si="2"/>
        <v>1000</v>
      </c>
      <c r="D17" s="5">
        <f t="shared" si="1"/>
        <v>1200</v>
      </c>
      <c r="E17" s="5">
        <f t="shared" si="1"/>
        <v>1400</v>
      </c>
      <c r="F17" s="5">
        <f t="shared" si="1"/>
        <v>1600</v>
      </c>
    </row>
    <row r="18" spans="1:6">
      <c r="A18">
        <v>1</v>
      </c>
      <c r="B18" s="67">
        <v>4</v>
      </c>
      <c r="C18" s="5">
        <f t="shared" si="2"/>
        <v>1200</v>
      </c>
      <c r="D18" s="5">
        <f t="shared" si="1"/>
        <v>1450</v>
      </c>
      <c r="E18" s="5">
        <f t="shared" si="1"/>
        <v>1700</v>
      </c>
      <c r="F18" s="5">
        <f t="shared" si="1"/>
        <v>1950</v>
      </c>
    </row>
    <row r="19" spans="1:6">
      <c r="A19">
        <v>1</v>
      </c>
      <c r="B19" s="67">
        <v>5</v>
      </c>
      <c r="C19" s="5">
        <f t="shared" si="2"/>
        <v>1400</v>
      </c>
      <c r="D19" s="5">
        <f t="shared" si="1"/>
        <v>1700</v>
      </c>
      <c r="E19" s="5">
        <f t="shared" si="1"/>
        <v>2000</v>
      </c>
      <c r="F19" s="5">
        <f t="shared" si="1"/>
        <v>2300</v>
      </c>
    </row>
    <row r="20" spans="1:6">
      <c r="A20">
        <v>1</v>
      </c>
      <c r="B20" s="67">
        <v>6</v>
      </c>
      <c r="C20" s="5">
        <f t="shared" si="2"/>
        <v>1600</v>
      </c>
      <c r="D20" s="5">
        <f t="shared" si="1"/>
        <v>1950</v>
      </c>
      <c r="E20" s="5">
        <f t="shared" si="1"/>
        <v>2300</v>
      </c>
      <c r="F20" s="5">
        <f t="shared" si="1"/>
        <v>2650</v>
      </c>
    </row>
    <row r="21" spans="1:6">
      <c r="A21">
        <v>1</v>
      </c>
      <c r="B21" s="67">
        <v>7</v>
      </c>
      <c r="C21" s="5">
        <f t="shared" si="2"/>
        <v>1800</v>
      </c>
      <c r="D21" s="5">
        <f t="shared" si="1"/>
        <v>2200</v>
      </c>
      <c r="E21" s="5">
        <f t="shared" si="1"/>
        <v>2600</v>
      </c>
      <c r="F21" s="5">
        <f t="shared" si="1"/>
        <v>3000</v>
      </c>
    </row>
    <row r="22" spans="1:6">
      <c r="A22">
        <v>1</v>
      </c>
      <c r="B22" s="67">
        <v>8</v>
      </c>
      <c r="C22" s="5">
        <f t="shared" si="2"/>
        <v>2000</v>
      </c>
      <c r="D22" s="5">
        <f t="shared" si="1"/>
        <v>2450</v>
      </c>
      <c r="E22" s="5">
        <f t="shared" si="1"/>
        <v>2900</v>
      </c>
      <c r="F22" s="5">
        <f t="shared" si="1"/>
        <v>3350</v>
      </c>
    </row>
    <row r="23" spans="1:6">
      <c r="A23">
        <v>1</v>
      </c>
      <c r="B23" s="67">
        <v>9</v>
      </c>
      <c r="C23" s="5">
        <f t="shared" si="2"/>
        <v>2200</v>
      </c>
      <c r="D23" s="5">
        <f t="shared" si="1"/>
        <v>2700</v>
      </c>
      <c r="E23" s="5">
        <f t="shared" si="1"/>
        <v>3200</v>
      </c>
      <c r="F23" s="5">
        <f t="shared" si="1"/>
        <v>3700</v>
      </c>
    </row>
    <row r="24" spans="1:6">
      <c r="A24">
        <v>1</v>
      </c>
      <c r="B24" s="67">
        <v>10</v>
      </c>
      <c r="C24" s="5">
        <f t="shared" si="2"/>
        <v>2400</v>
      </c>
      <c r="D24" s="5">
        <f t="shared" si="1"/>
        <v>2950</v>
      </c>
      <c r="E24" s="5">
        <f t="shared" si="1"/>
        <v>3500</v>
      </c>
      <c r="F24" s="5">
        <f t="shared" si="1"/>
        <v>4050</v>
      </c>
    </row>
    <row r="25" spans="1:6">
      <c r="A25">
        <v>1</v>
      </c>
      <c r="B25" s="67">
        <v>11</v>
      </c>
      <c r="C25" s="5">
        <f t="shared" si="2"/>
        <v>2600</v>
      </c>
      <c r="D25" s="5">
        <f t="shared" si="1"/>
        <v>3200</v>
      </c>
      <c r="E25" s="5">
        <f t="shared" si="1"/>
        <v>3800</v>
      </c>
      <c r="F25" s="5">
        <f t="shared" si="1"/>
        <v>4400</v>
      </c>
    </row>
    <row r="26" spans="1:6">
      <c r="A26">
        <v>1</v>
      </c>
      <c r="B26" s="67">
        <v>12</v>
      </c>
      <c r="C26" s="5">
        <f t="shared" si="2"/>
        <v>2800</v>
      </c>
      <c r="D26" s="5">
        <f t="shared" si="1"/>
        <v>3450</v>
      </c>
      <c r="E26" s="5">
        <f t="shared" si="1"/>
        <v>4100</v>
      </c>
      <c r="F26" s="5">
        <f t="shared" si="1"/>
        <v>4750</v>
      </c>
    </row>
    <row r="27" spans="1:6">
      <c r="A27">
        <v>1</v>
      </c>
      <c r="B27" s="67">
        <v>13</v>
      </c>
      <c r="C27" s="5">
        <f t="shared" si="2"/>
        <v>3000</v>
      </c>
      <c r="D27" s="5">
        <f t="shared" si="1"/>
        <v>3700</v>
      </c>
      <c r="E27" s="5">
        <f t="shared" si="1"/>
        <v>4400</v>
      </c>
      <c r="F27" s="5">
        <f t="shared" si="1"/>
        <v>5100</v>
      </c>
    </row>
    <row r="28" spans="1:6">
      <c r="A28">
        <v>1</v>
      </c>
      <c r="B28" s="67">
        <v>14</v>
      </c>
      <c r="C28" s="5">
        <f t="shared" si="2"/>
        <v>3200</v>
      </c>
      <c r="D28" s="5">
        <f t="shared" si="1"/>
        <v>3950</v>
      </c>
      <c r="E28" s="5">
        <f t="shared" si="1"/>
        <v>4700</v>
      </c>
      <c r="F28" s="5">
        <f t="shared" si="1"/>
        <v>5450</v>
      </c>
    </row>
    <row r="29" spans="1:6">
      <c r="A29">
        <v>1</v>
      </c>
      <c r="B29" s="67">
        <v>15</v>
      </c>
      <c r="C29" s="5">
        <f t="shared" si="2"/>
        <v>3400</v>
      </c>
      <c r="D29" s="5">
        <f t="shared" si="1"/>
        <v>4200</v>
      </c>
      <c r="E29" s="5">
        <f t="shared" si="1"/>
        <v>5000</v>
      </c>
      <c r="F29" s="5">
        <f t="shared" si="1"/>
        <v>5800</v>
      </c>
    </row>
    <row r="30" spans="1:6">
      <c r="A30">
        <v>1</v>
      </c>
      <c r="B30" s="67">
        <v>16</v>
      </c>
      <c r="C30" s="5">
        <f t="shared" si="2"/>
        <v>3600</v>
      </c>
      <c r="D30" s="5">
        <f t="shared" si="1"/>
        <v>4450</v>
      </c>
      <c r="E30" s="5">
        <f t="shared" si="1"/>
        <v>5300</v>
      </c>
      <c r="F30" s="5">
        <f t="shared" si="1"/>
        <v>6150</v>
      </c>
    </row>
    <row r="31" spans="1:6">
      <c r="A31">
        <v>1</v>
      </c>
      <c r="B31" s="67">
        <v>17</v>
      </c>
      <c r="C31" s="5">
        <f t="shared" si="2"/>
        <v>3800</v>
      </c>
      <c r="D31" s="5">
        <f t="shared" si="2"/>
        <v>4700</v>
      </c>
      <c r="E31" s="5">
        <f t="shared" si="2"/>
        <v>5600</v>
      </c>
      <c r="F31" s="5">
        <f t="shared" si="2"/>
        <v>6500</v>
      </c>
    </row>
    <row r="32" spans="1:6">
      <c r="A32">
        <v>1</v>
      </c>
      <c r="B32" s="67">
        <v>18</v>
      </c>
      <c r="C32" s="5">
        <f t="shared" ref="C32:F34" si="3">INDEX($C$5:$C$8,MATCH(C$14,$B$5:$B$8,0))+INDEX($D$5:$D$8,MATCH(C$14,$B$5:$B$8,0))*($B32-1)</f>
        <v>4000</v>
      </c>
      <c r="D32" s="5">
        <f t="shared" si="3"/>
        <v>4950</v>
      </c>
      <c r="E32" s="5">
        <f t="shared" si="3"/>
        <v>5900</v>
      </c>
      <c r="F32" s="5">
        <f t="shared" si="3"/>
        <v>6850</v>
      </c>
    </row>
    <row r="33" spans="1:6">
      <c r="A33">
        <v>1</v>
      </c>
      <c r="B33" s="67">
        <v>19</v>
      </c>
      <c r="C33" s="5">
        <f t="shared" si="3"/>
        <v>4200</v>
      </c>
      <c r="D33" s="5">
        <f t="shared" si="3"/>
        <v>5200</v>
      </c>
      <c r="E33" s="5">
        <f t="shared" si="3"/>
        <v>6200</v>
      </c>
      <c r="F33" s="5">
        <f t="shared" si="3"/>
        <v>7200</v>
      </c>
    </row>
    <row r="34" spans="1:6">
      <c r="A34">
        <v>1</v>
      </c>
      <c r="B34" s="67">
        <v>20</v>
      </c>
      <c r="C34" s="5">
        <f t="shared" si="3"/>
        <v>4400</v>
      </c>
      <c r="D34" s="5">
        <f t="shared" si="3"/>
        <v>5450</v>
      </c>
      <c r="E34" s="5">
        <f t="shared" si="3"/>
        <v>6500</v>
      </c>
      <c r="F34" s="5">
        <f t="shared" si="3"/>
        <v>7550</v>
      </c>
    </row>
    <row r="35" spans="1:6">
      <c r="A35">
        <v>1</v>
      </c>
      <c r="B35" s="67"/>
    </row>
    <row r="36" spans="1:6">
      <c r="B36" s="67"/>
    </row>
    <row r="37" spans="1:6">
      <c r="B37" s="67"/>
    </row>
  </sheetData>
  <phoneticPr fontId="2" type="noConversion"/>
  <conditionalFormatting sqref="D15:D34">
    <cfRule type="cellIs" dxfId="3" priority="3" operator="greaterThan">
      <formula>$C$34</formula>
    </cfRule>
  </conditionalFormatting>
  <conditionalFormatting sqref="E15:F34">
    <cfRule type="cellIs" dxfId="2" priority="1" operator="greaterThan">
      <formula>$D$34</formula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1C4587"/>
    <outlinePr summaryBelow="0" summaryRight="0"/>
  </sheetPr>
  <dimension ref="A1:AB106"/>
  <sheetViews>
    <sheetView showGridLines="0" topLeftCell="A61" zoomScaleNormal="100" workbookViewId="0">
      <selection activeCell="B100" sqref="B100:B102"/>
    </sheetView>
  </sheetViews>
  <sheetFormatPr defaultColWidth="12.5703125" defaultRowHeight="15.75" customHeight="1"/>
  <cols>
    <col min="1" max="1" width="4" style="51" customWidth="1"/>
    <col min="2" max="2" width="13.85546875" style="51" customWidth="1"/>
    <col min="3" max="3" width="22.140625" style="51" customWidth="1"/>
    <col min="4" max="4" width="12.5703125" style="51" customWidth="1"/>
    <col min="5" max="5" width="12.85546875" style="51" customWidth="1"/>
    <col min="6" max="6" width="17" style="51" customWidth="1"/>
    <col min="7" max="10" width="9.42578125" style="51" customWidth="1"/>
    <col min="11" max="11" width="1.140625" style="51" customWidth="1"/>
    <col min="12" max="13" width="6.85546875" style="51" customWidth="1"/>
    <col min="14" max="14" width="9.140625" style="51" customWidth="1"/>
    <col min="15" max="16" width="6.85546875" style="51" customWidth="1"/>
    <col min="17" max="17" width="1.5703125" style="51" customWidth="1"/>
    <col min="18" max="22" width="7" style="51" customWidth="1"/>
    <col min="23" max="23" width="1.7109375" style="51" customWidth="1"/>
    <col min="24" max="25" width="9.5703125" style="51" customWidth="1"/>
    <col min="26" max="26" width="2.140625" style="51" customWidth="1"/>
    <col min="27" max="28" width="11.28515625" style="51" customWidth="1"/>
    <col min="29" max="16384" width="12.5703125" style="51"/>
  </cols>
  <sheetData>
    <row r="1" spans="1:28" ht="15.75" customHeight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</row>
    <row r="2" spans="1:28" ht="15.75" customHeight="1">
      <c r="A2" s="51">
        <v>1</v>
      </c>
      <c r="B2" s="56" t="s">
        <v>367</v>
      </c>
      <c r="C2" s="135" t="s">
        <v>366</v>
      </c>
      <c r="E2" s="135" t="s">
        <v>365</v>
      </c>
      <c r="L2" s="71" t="s">
        <v>364</v>
      </c>
      <c r="M2" s="69"/>
      <c r="N2" s="70"/>
      <c r="X2" s="52"/>
      <c r="Y2" s="52"/>
      <c r="Z2" s="52"/>
      <c r="AA2" s="52"/>
      <c r="AB2" s="52"/>
    </row>
    <row r="3" spans="1:28" ht="15.75" customHeight="1">
      <c r="A3" s="51">
        <v>1</v>
      </c>
      <c r="B3" s="64" t="s">
        <v>166</v>
      </c>
      <c r="C3" s="64" t="s">
        <v>167</v>
      </c>
      <c r="D3" s="64" t="s">
        <v>168</v>
      </c>
      <c r="E3" s="64"/>
      <c r="F3" s="64"/>
      <c r="L3" s="60" t="s">
        <v>363</v>
      </c>
      <c r="M3" s="59">
        <v>1001</v>
      </c>
      <c r="N3" s="59">
        <v>2001</v>
      </c>
      <c r="X3" s="52"/>
      <c r="Y3" s="52"/>
      <c r="Z3" s="52"/>
      <c r="AA3" s="52"/>
      <c r="AB3" s="52"/>
    </row>
    <row r="4" spans="1:28" ht="15.75" customHeight="1">
      <c r="A4" s="51">
        <v>1</v>
      </c>
      <c r="B4" s="61" t="s">
        <v>164</v>
      </c>
      <c r="C4" s="61">
        <v>3</v>
      </c>
      <c r="D4" s="61">
        <v>2</v>
      </c>
      <c r="E4" s="61"/>
      <c r="F4" s="61"/>
      <c r="L4" s="60" t="s">
        <v>362</v>
      </c>
      <c r="M4" s="59">
        <v>1</v>
      </c>
      <c r="N4" s="59">
        <v>1</v>
      </c>
      <c r="X4" s="52"/>
      <c r="Y4" s="52"/>
      <c r="Z4" s="52"/>
      <c r="AA4" s="52"/>
      <c r="AB4" s="52"/>
    </row>
    <row r="5" spans="1:28" ht="15.75" customHeight="1">
      <c r="A5" s="51">
        <v>1</v>
      </c>
      <c r="B5" s="61" t="s">
        <v>169</v>
      </c>
      <c r="C5" s="61">
        <v>100</v>
      </c>
      <c r="D5" s="61">
        <v>100</v>
      </c>
      <c r="E5" s="61"/>
      <c r="F5" s="61"/>
      <c r="L5" s="60">
        <f>IFERROR(INDEX(ref_Unit_Balance!$G:$G,MATCH(J5,ref_Unit_Balance!C:C,0)),0)</f>
        <v>0</v>
      </c>
      <c r="M5" s="63" t="str">
        <f>INDEX($C:$C,MATCH(M3,$B:$B,0))</f>
        <v>Indian_Archer</v>
      </c>
      <c r="N5" s="63" t="str">
        <f>INDEX($C:$C,MATCH(N3,$B:$B,0))</f>
        <v>Slime</v>
      </c>
      <c r="X5" s="52"/>
      <c r="Y5" s="52"/>
      <c r="Z5" s="52"/>
      <c r="AA5" s="52"/>
      <c r="AB5" s="52"/>
    </row>
    <row r="6" spans="1:28" ht="15.75" customHeight="1">
      <c r="A6" s="51">
        <v>1</v>
      </c>
      <c r="B6" s="61" t="s">
        <v>170</v>
      </c>
      <c r="C6" s="61">
        <v>0.2</v>
      </c>
      <c r="D6" s="61">
        <v>0.1</v>
      </c>
      <c r="E6" s="61"/>
      <c r="F6" s="61"/>
      <c r="L6" s="60" t="s">
        <v>340</v>
      </c>
      <c r="M6" s="62">
        <f t="array" ref="M6">INDEX($H:$H,MATCH(M$3,$B:$B,0))*$M$4</f>
        <v>140</v>
      </c>
      <c r="N6" s="62">
        <f t="array" ref="N6">INDEX($H:$H,MATCH(N$3,$B:$B,0))*$N$4</f>
        <v>150</v>
      </c>
      <c r="X6" s="52"/>
      <c r="Y6" s="52"/>
      <c r="Z6" s="52"/>
      <c r="AA6" s="52"/>
      <c r="AB6" s="52"/>
    </row>
    <row r="7" spans="1:28" ht="15.75" customHeight="1">
      <c r="A7" s="51">
        <v>1</v>
      </c>
      <c r="B7" s="61" t="s">
        <v>171</v>
      </c>
      <c r="C7" s="61">
        <v>1</v>
      </c>
      <c r="D7" s="61">
        <v>1</v>
      </c>
      <c r="E7" s="61"/>
      <c r="F7" s="61"/>
      <c r="L7" s="60" t="s">
        <v>164</v>
      </c>
      <c r="M7" s="62">
        <f t="array" ref="M7">INDEX($R:$R,MATCH(M$3,$B:$B,0))*$M$4</f>
        <v>140</v>
      </c>
      <c r="N7" s="62">
        <f t="array" ref="N7">INDEX($R:$R,MATCH(N$3,$B:$B,0))*$N$4</f>
        <v>150</v>
      </c>
      <c r="X7" s="52"/>
      <c r="Y7" s="52"/>
      <c r="Z7" s="52"/>
      <c r="AA7" s="52"/>
      <c r="AB7" s="52"/>
    </row>
    <row r="8" spans="1:28" ht="15.75" customHeight="1">
      <c r="A8" s="51">
        <v>1</v>
      </c>
      <c r="B8" s="61" t="s">
        <v>165</v>
      </c>
      <c r="C8" s="61">
        <v>25</v>
      </c>
      <c r="D8" s="61">
        <v>15</v>
      </c>
      <c r="E8" s="61"/>
      <c r="F8" s="61"/>
      <c r="L8" s="60" t="s">
        <v>169</v>
      </c>
      <c r="M8" s="62" t="str">
        <f>INDEX($S:$S,MATCH(M$3,$B:$B,0))/1000&amp;"초"</f>
        <v>1초</v>
      </c>
      <c r="N8" s="62" t="str">
        <f>INDEX($S:$S,MATCH(N$3,$B:$B,0))/1000&amp;"초"</f>
        <v>1초</v>
      </c>
      <c r="X8" s="52"/>
      <c r="Y8" s="52"/>
      <c r="Z8" s="52"/>
      <c r="AA8" s="52"/>
      <c r="AB8" s="52"/>
    </row>
    <row r="9" spans="1:28" ht="15.75" customHeight="1">
      <c r="A9" s="51">
        <v>1</v>
      </c>
      <c r="B9" s="61" t="s">
        <v>172</v>
      </c>
      <c r="C9" s="61">
        <v>5</v>
      </c>
      <c r="D9" s="61">
        <v>10</v>
      </c>
      <c r="E9" s="61"/>
      <c r="F9" s="61"/>
      <c r="L9" s="60" t="s">
        <v>165</v>
      </c>
      <c r="M9" s="62">
        <f t="array" ref="M9">INDEX($V:$V,MATCH(M$3,$B:$B,0))*$M$4</f>
        <v>450</v>
      </c>
      <c r="N9" s="62">
        <f t="array" ref="N9">INDEX($V:$V,MATCH(N$3,$B:$B,0))*$N$4</f>
        <v>1500</v>
      </c>
      <c r="X9" s="52"/>
      <c r="Y9" s="52"/>
      <c r="Z9" s="52"/>
      <c r="AA9" s="52"/>
      <c r="AB9" s="52"/>
    </row>
    <row r="10" spans="1:28" ht="15.75" customHeight="1">
      <c r="A10" s="51">
        <v>1</v>
      </c>
      <c r="B10" s="61" t="s">
        <v>173</v>
      </c>
      <c r="C10" s="61">
        <v>0.2</v>
      </c>
      <c r="D10" s="61">
        <v>3</v>
      </c>
      <c r="E10" s="61"/>
      <c r="F10" s="61"/>
      <c r="L10" s="60" t="s">
        <v>361</v>
      </c>
      <c r="M10" s="59">
        <f>ROUND(MIN($N$9/$M$6,$M$9/$N$6)*M6,0)*$M$4</f>
        <v>420</v>
      </c>
      <c r="N10" s="59">
        <f>ROUND(MIN($N$9/$M$6,$M$9/$N$6)*N6,0)*$N$4</f>
        <v>450</v>
      </c>
      <c r="X10" s="52"/>
      <c r="Y10" s="52"/>
      <c r="Z10" s="52"/>
      <c r="AA10" s="52"/>
      <c r="AB10" s="52"/>
    </row>
    <row r="11" spans="1:28" ht="15.75" customHeight="1">
      <c r="A11" s="51">
        <v>1</v>
      </c>
      <c r="B11" s="61" t="s">
        <v>174</v>
      </c>
      <c r="C11" s="61">
        <v>1</v>
      </c>
      <c r="D11" s="61">
        <v>1</v>
      </c>
      <c r="E11" s="61"/>
      <c r="F11" s="61"/>
      <c r="L11" s="60" t="s">
        <v>360</v>
      </c>
      <c r="M11" s="59">
        <f>ROUND(N9/M6,0)*$M$4</f>
        <v>11</v>
      </c>
      <c r="N11" s="59">
        <f>ROUND(M9/N6,0)*$N$4</f>
        <v>3</v>
      </c>
      <c r="X11" s="52"/>
      <c r="Y11" s="52"/>
      <c r="Z11" s="52"/>
      <c r="AA11" s="52"/>
      <c r="AB11" s="52"/>
    </row>
    <row r="12" spans="1:28" ht="15.75" customHeight="1">
      <c r="A12" s="51">
        <v>1</v>
      </c>
      <c r="B12" s="61" t="s">
        <v>175</v>
      </c>
      <c r="C12" s="61">
        <v>0.2</v>
      </c>
      <c r="D12" s="61">
        <v>0.2</v>
      </c>
      <c r="E12" s="61"/>
      <c r="F12" s="61"/>
      <c r="L12" s="60" t="s">
        <v>356</v>
      </c>
      <c r="M12" s="59">
        <f>(M9-N10)*$M$4</f>
        <v>0</v>
      </c>
      <c r="N12" s="59">
        <f>(N9-M10)*$N$4</f>
        <v>1080</v>
      </c>
      <c r="X12" s="52"/>
      <c r="Y12" s="52"/>
      <c r="Z12" s="52"/>
      <c r="AA12" s="52"/>
      <c r="AB12" s="52"/>
    </row>
    <row r="13" spans="1:28" ht="15.75" customHeight="1">
      <c r="A13" s="51">
        <v>1</v>
      </c>
      <c r="B13" s="61" t="s">
        <v>176</v>
      </c>
      <c r="C13" s="61">
        <v>1</v>
      </c>
      <c r="D13" s="61">
        <v>1</v>
      </c>
      <c r="E13" s="61"/>
      <c r="F13" s="61"/>
      <c r="X13" s="52"/>
      <c r="Y13" s="52"/>
      <c r="Z13" s="52"/>
      <c r="AA13" s="52"/>
      <c r="AB13" s="52"/>
    </row>
    <row r="14" spans="1:28" ht="15.75" customHeight="1">
      <c r="A14" s="51">
        <v>1</v>
      </c>
      <c r="B14" s="61"/>
      <c r="C14" s="61"/>
      <c r="D14" s="61"/>
      <c r="E14" s="61"/>
      <c r="F14" s="61"/>
      <c r="X14" s="52"/>
      <c r="Y14" s="52"/>
      <c r="Z14" s="52"/>
      <c r="AA14" s="52"/>
      <c r="AB14" s="52"/>
    </row>
    <row r="15" spans="1:28" ht="15.75" customHeight="1">
      <c r="A15" s="51">
        <v>1</v>
      </c>
      <c r="B15" s="61"/>
      <c r="C15" s="61"/>
      <c r="D15" s="61"/>
      <c r="E15" s="61"/>
      <c r="F15" s="61"/>
      <c r="L15" s="71" t="s">
        <v>359</v>
      </c>
      <c r="M15" s="69"/>
      <c r="N15" s="70"/>
      <c r="X15" s="52"/>
      <c r="Y15" s="52"/>
      <c r="Z15" s="52"/>
      <c r="AA15" s="52"/>
      <c r="AB15" s="52"/>
    </row>
    <row r="16" spans="1:28" ht="15.75" customHeight="1">
      <c r="A16" s="51">
        <v>1</v>
      </c>
      <c r="B16" s="61"/>
      <c r="C16" s="61"/>
      <c r="D16" s="61"/>
      <c r="E16" s="61"/>
      <c r="F16" s="61"/>
      <c r="L16" s="60" t="s">
        <v>358</v>
      </c>
      <c r="M16" s="59">
        <f>MIN(M11,N11)</f>
        <v>3</v>
      </c>
      <c r="N16" s="59"/>
      <c r="X16" s="52"/>
      <c r="Y16" s="52"/>
      <c r="Z16" s="52"/>
      <c r="AA16" s="52"/>
      <c r="AB16" s="52"/>
    </row>
    <row r="17" spans="1:28" ht="15.75" customHeight="1">
      <c r="A17" s="51">
        <v>1</v>
      </c>
      <c r="B17" s="61"/>
      <c r="C17" s="61"/>
      <c r="D17" s="61"/>
      <c r="E17" s="61"/>
      <c r="F17" s="61"/>
      <c r="L17" s="60" t="s">
        <v>357</v>
      </c>
      <c r="M17" s="59">
        <f>IF(M11&lt;N11,M3,N3)</f>
        <v>2001</v>
      </c>
      <c r="N17" s="59"/>
      <c r="X17" s="52"/>
      <c r="Y17" s="52"/>
      <c r="Z17" s="52"/>
      <c r="AA17" s="52"/>
      <c r="AB17" s="52"/>
    </row>
    <row r="18" spans="1:28" ht="15.75" customHeight="1">
      <c r="A18" s="51">
        <v>1</v>
      </c>
      <c r="L18" s="60" t="s">
        <v>356</v>
      </c>
      <c r="M18" s="59">
        <f>MAX(M12,N12)</f>
        <v>1080</v>
      </c>
      <c r="N18" s="58"/>
      <c r="X18" s="52"/>
      <c r="Y18" s="52"/>
      <c r="Z18" s="52"/>
      <c r="AA18" s="52"/>
      <c r="AB18" s="52"/>
    </row>
    <row r="19" spans="1:28" ht="15.75" customHeight="1">
      <c r="A19" s="51">
        <v>1</v>
      </c>
      <c r="B19" s="54" t="s">
        <v>163</v>
      </c>
      <c r="C19" s="54" t="s">
        <v>417</v>
      </c>
      <c r="D19" s="54" t="s">
        <v>418</v>
      </c>
      <c r="E19" s="54" t="s">
        <v>355</v>
      </c>
      <c r="F19" s="54" t="s">
        <v>354</v>
      </c>
      <c r="G19" s="51" t="s">
        <v>419</v>
      </c>
      <c r="X19" s="52"/>
      <c r="Y19" s="52"/>
      <c r="Z19" s="52"/>
      <c r="AA19" s="52"/>
      <c r="AB19" s="52"/>
    </row>
    <row r="20" spans="1:28" ht="15.75" customHeight="1">
      <c r="A20" s="51">
        <v>1</v>
      </c>
      <c r="B20" s="54">
        <v>1</v>
      </c>
      <c r="C20" s="54">
        <v>100</v>
      </c>
      <c r="D20" s="54">
        <v>100</v>
      </c>
      <c r="E20" s="54" t="s">
        <v>353</v>
      </c>
      <c r="F20" s="54">
        <v>600</v>
      </c>
      <c r="G20" s="51">
        <v>200</v>
      </c>
      <c r="X20" s="52"/>
      <c r="Y20" s="52"/>
      <c r="Z20" s="52"/>
      <c r="AA20" s="52"/>
      <c r="AB20" s="52"/>
    </row>
    <row r="21" spans="1:28" ht="15.75" customHeight="1">
      <c r="A21" s="51">
        <v>1</v>
      </c>
      <c r="B21" s="54">
        <v>2</v>
      </c>
      <c r="C21" s="54">
        <v>200</v>
      </c>
      <c r="D21" s="54">
        <v>100</v>
      </c>
      <c r="E21" s="54" t="s">
        <v>352</v>
      </c>
      <c r="F21" s="54">
        <v>700</v>
      </c>
      <c r="G21" s="51">
        <v>250</v>
      </c>
      <c r="P21" s="52"/>
      <c r="X21" s="52"/>
      <c r="Y21" s="52"/>
      <c r="Z21" s="52"/>
      <c r="AA21" s="52"/>
      <c r="AB21" s="52"/>
    </row>
    <row r="22" spans="1:28" ht="15.75" customHeight="1">
      <c r="A22" s="51">
        <v>1</v>
      </c>
      <c r="B22" s="54">
        <v>3</v>
      </c>
      <c r="C22" s="54">
        <v>270</v>
      </c>
      <c r="D22" s="54">
        <v>100</v>
      </c>
      <c r="E22" s="54" t="s">
        <v>351</v>
      </c>
      <c r="F22" s="54">
        <v>800</v>
      </c>
      <c r="G22" s="51">
        <v>300</v>
      </c>
      <c r="P22" s="52"/>
      <c r="X22" s="52"/>
      <c r="Y22" s="52"/>
      <c r="Z22" s="52"/>
      <c r="AA22" s="52"/>
      <c r="AB22" s="52"/>
    </row>
    <row r="23" spans="1:28" ht="15.75" customHeight="1">
      <c r="A23" s="51">
        <v>1</v>
      </c>
      <c r="B23" s="54">
        <v>4</v>
      </c>
      <c r="C23" s="54">
        <v>350</v>
      </c>
      <c r="D23" s="54">
        <v>100</v>
      </c>
      <c r="E23" s="54" t="s">
        <v>350</v>
      </c>
      <c r="F23" s="54">
        <v>900</v>
      </c>
      <c r="G23" s="51">
        <v>350</v>
      </c>
      <c r="P23" s="52"/>
      <c r="X23" s="52"/>
      <c r="Y23" s="52"/>
      <c r="Z23" s="52"/>
      <c r="AA23" s="52"/>
      <c r="AB23" s="52"/>
    </row>
    <row r="24" spans="1:28" ht="15.75" customHeight="1">
      <c r="A24" s="51">
        <v>1</v>
      </c>
      <c r="P24" s="52"/>
      <c r="X24" s="52"/>
      <c r="Y24" s="52"/>
      <c r="Z24" s="52"/>
      <c r="AA24" s="52"/>
      <c r="AB24" s="52"/>
    </row>
    <row r="25" spans="1:28" ht="15.75" customHeight="1">
      <c r="A25" s="51">
        <v>1</v>
      </c>
      <c r="B25" s="57" t="s">
        <v>349</v>
      </c>
      <c r="C25" s="52">
        <v>0.25</v>
      </c>
      <c r="X25" s="52"/>
      <c r="Y25" s="52"/>
      <c r="Z25" s="52"/>
      <c r="AA25" s="52"/>
      <c r="AB25" s="52"/>
    </row>
    <row r="26" spans="1:28" ht="15.75" customHeight="1">
      <c r="A26" s="51">
        <v>1</v>
      </c>
      <c r="X26" s="52"/>
      <c r="Y26" s="52"/>
      <c r="Z26" s="52"/>
      <c r="AA26" s="52"/>
      <c r="AB26" s="52"/>
    </row>
    <row r="27" spans="1:28" ht="15.75" customHeight="1">
      <c r="A27" s="51">
        <v>1</v>
      </c>
      <c r="X27" s="52"/>
      <c r="Y27" s="52"/>
      <c r="Z27" s="52"/>
      <c r="AA27" s="52"/>
      <c r="AB27" s="52"/>
    </row>
    <row r="28" spans="1:28" ht="15.75" customHeight="1">
      <c r="A28" s="51">
        <v>1</v>
      </c>
      <c r="X28" s="52"/>
      <c r="Y28" s="52"/>
      <c r="Z28" s="52"/>
      <c r="AA28" s="52"/>
      <c r="AB28" s="52"/>
    </row>
    <row r="29" spans="1:28" ht="15.75" customHeight="1">
      <c r="A29" s="51">
        <v>1</v>
      </c>
      <c r="B29" s="74" t="s">
        <v>348</v>
      </c>
      <c r="C29" s="75"/>
      <c r="D29" s="75"/>
      <c r="E29" s="75"/>
      <c r="F29" s="75"/>
      <c r="G29" s="75"/>
      <c r="H29" s="75"/>
      <c r="I29" s="75"/>
      <c r="J29" s="73"/>
      <c r="L29" s="76" t="s">
        <v>375</v>
      </c>
      <c r="M29" s="75"/>
      <c r="N29" s="75"/>
      <c r="O29" s="75"/>
      <c r="P29" s="75"/>
      <c r="R29" s="77" t="s">
        <v>347</v>
      </c>
      <c r="S29" s="75"/>
      <c r="T29" s="75"/>
      <c r="U29" s="75"/>
      <c r="V29" s="75"/>
      <c r="W29" s="56"/>
      <c r="X29" s="72" t="s">
        <v>346</v>
      </c>
      <c r="Y29" s="73"/>
      <c r="Z29" s="56"/>
      <c r="AA29" s="72" t="s">
        <v>346</v>
      </c>
      <c r="AB29" s="73"/>
    </row>
    <row r="30" spans="1:28" ht="15.75" customHeight="1">
      <c r="A30" s="51">
        <v>1</v>
      </c>
      <c r="B30" s="54" t="s">
        <v>345</v>
      </c>
      <c r="C30" s="54" t="s">
        <v>344</v>
      </c>
      <c r="D30" s="54" t="s">
        <v>163</v>
      </c>
      <c r="E30" s="54" t="s">
        <v>343</v>
      </c>
      <c r="F30" s="54" t="s">
        <v>342</v>
      </c>
      <c r="G30" s="54" t="s">
        <v>341</v>
      </c>
      <c r="H30" s="54" t="s">
        <v>340</v>
      </c>
      <c r="I30" s="54" t="s">
        <v>339</v>
      </c>
      <c r="J30" s="54" t="s">
        <v>338</v>
      </c>
      <c r="L30" s="54" t="s">
        <v>164</v>
      </c>
      <c r="M30" s="54" t="s">
        <v>169</v>
      </c>
      <c r="N30" s="54" t="s">
        <v>170</v>
      </c>
      <c r="O30" s="54" t="s">
        <v>171</v>
      </c>
      <c r="P30" s="54" t="s">
        <v>165</v>
      </c>
      <c r="R30" s="54" t="s">
        <v>164</v>
      </c>
      <c r="S30" s="54" t="s">
        <v>169</v>
      </c>
      <c r="T30" s="54" t="s">
        <v>170</v>
      </c>
      <c r="U30" s="54" t="s">
        <v>171</v>
      </c>
      <c r="V30" s="54" t="s">
        <v>165</v>
      </c>
      <c r="W30" s="52"/>
      <c r="X30" s="54" t="s">
        <v>337</v>
      </c>
      <c r="Y30" s="54" t="s">
        <v>336</v>
      </c>
      <c r="Z30" s="52"/>
      <c r="AA30" s="54" t="s">
        <v>164</v>
      </c>
      <c r="AB30" s="54" t="s">
        <v>165</v>
      </c>
    </row>
    <row r="31" spans="1:28" ht="15.75" customHeight="1">
      <c r="A31" s="51">
        <v>1</v>
      </c>
      <c r="B31" s="54">
        <v>1001</v>
      </c>
      <c r="C31" s="68" t="s">
        <v>146</v>
      </c>
      <c r="D31" s="54">
        <v>1</v>
      </c>
      <c r="E31" s="54">
        <v>0</v>
      </c>
      <c r="F31" s="54">
        <f>IF(AND(2000&lt;B31,B31&lt;10000),ROUNDDOWN((INDEX($F$20:$F$23,MATCH(D31,$B$20:$B$23,0))+INDEX($G$20:$G$23,MATCH(D31,$B$20:$B$23,0))*E31)/I31,0),
ROUNDDOWN((INDEX($C$20:$C$23,MATCH(D31,$B$20:$B$23,0))+INDEX($D$20:$D$23,MATCH(D31,$B$20:$B$23,0))*E31)/I31,0))</f>
        <v>100</v>
      </c>
      <c r="G31" s="54">
        <f>ROUNDUP(F31*$C$25,0)*I31</f>
        <v>25</v>
      </c>
      <c r="H31" s="54">
        <f>R31/(S31/1000)</f>
        <v>140</v>
      </c>
      <c r="I31" s="54">
        <v>1</v>
      </c>
      <c r="J31" s="54">
        <v>1</v>
      </c>
      <c r="L31" s="54">
        <f t="shared" ref="L31:L62" si="0">10-SUM(M31:P31)</f>
        <v>7</v>
      </c>
      <c r="M31" s="54">
        <v>0</v>
      </c>
      <c r="N31" s="54">
        <v>0</v>
      </c>
      <c r="O31" s="54">
        <v>0</v>
      </c>
      <c r="P31" s="54">
        <v>3</v>
      </c>
      <c r="R31" s="54">
        <f>ROUNDUP(IF($J31=0,
INDEX($C$4:$C$13,MATCH(R$30,$B$4:$B$13,0))
*(($F31)
*(L31/(SUM($L31:$P31)))),
INDEX($D$4:$D$13,MATCH(R$30,$B$4:$B$13,0))
*(($F31)
*(L31/(SUM($L31:$P31))))),-1)
*S31/1000</f>
        <v>140</v>
      </c>
      <c r="S31" s="54">
        <v>1000</v>
      </c>
      <c r="T31" s="54">
        <f>N31*5</f>
        <v>0</v>
      </c>
      <c r="U31" s="54">
        <v>10</v>
      </c>
      <c r="V31" s="54">
        <f>ROUNDUP(IF($J31=0,INDEX($C$4:$C$13,MATCH(V$30,$B$4:$B$13,0))*($F31*(P31/(SUM($L31:$P31)))),INDEX($D$4:$D$13,MATCH(V$30,$B$4:$B$13,0))*($F31*(P31/(SUM($L31:$P31))))),-1)</f>
        <v>450</v>
      </c>
      <c r="W31" s="54"/>
      <c r="X31" s="54">
        <v>3</v>
      </c>
      <c r="Y31" s="54">
        <v>2</v>
      </c>
      <c r="Z31" s="52"/>
      <c r="AA31" s="54">
        <f>ROUNDDOWN(IF(2000&lt;B31&lt;10000,
INDEX($G$20:$G$23,MATCH($D31,$B$20:$B$23,0))*(X31/SUM($X31:$Y31))/I31*
IF($J31=0,INDEX($C$4:$C$13,MATCH(AA$30,$B$4:$B$13,0)),INDEX($D$4:$D$13,MATCH(AA$30,$B$4:$B$13,0))),
INDEX($D$20:$D$23,MATCH($D31,$B$20:$B$23,0))*(X31/SUM($X31:$Y31))/I31*
IF($J31=0,INDEX($C$4:$C$13,MATCH(AA$30,$B$4:$B$13,0)),INDEX($D$4:$D$13,MATCH(AA$30,$B$4:$B$13,0))))
/I31*S31/1000,0)</f>
        <v>120</v>
      </c>
      <c r="AB31" s="54">
        <f>ROUNDDOWN(IF(2000&lt;B31&lt;10000,INDEX($G$20:$G$23,MATCH($D31,$B$20:$B$23,0))*(Y31/SUM($X31:$Y31))*
IF($J31=0,INDEX($C$4:$C$13,MATCH(AB$30,$B$4:$B$13,0)),INDEX($D$4:$D$13,MATCH(AB$30,$B$4:$B$13,0))),INDEX($D$20:$D$23,MATCH($D31,$B$20:$B$23,0))*(Y31/SUM($X31:$Y31))*
IF($J31=0,INDEX($C$4:$C$13,MATCH(AB$30,$B$4:$B$13,0)),INDEX($D$4:$D$13,MATCH(AB$30,$B$4:$B$13,0))))
/I31,0)</f>
        <v>600</v>
      </c>
    </row>
    <row r="32" spans="1:28" ht="15.75" customHeight="1">
      <c r="A32" s="51">
        <v>1</v>
      </c>
      <c r="B32" s="54">
        <v>1002</v>
      </c>
      <c r="C32" s="68" t="s">
        <v>147</v>
      </c>
      <c r="D32" s="54">
        <v>1</v>
      </c>
      <c r="E32" s="54">
        <v>0</v>
      </c>
      <c r="F32" s="54">
        <f t="shared" ref="F32:F95" si="1">IF(AND(2000&lt;B32,B32&lt;10000),ROUNDDOWN((INDEX($F$20:$F$23,MATCH(D32,$B$20:$B$23,0))+INDEX($G$20:$G$23,MATCH(D32,$B$20:$B$23,0))*E32)/I32,0),
ROUNDDOWN((INDEX($C$20:$C$23,MATCH(D32,$B$20:$B$23,0))+INDEX($D$20:$D$23,MATCH(D32,$B$20:$B$23,0))*E32)/I32,0))</f>
        <v>100</v>
      </c>
      <c r="G32" s="54">
        <f t="shared" ref="G32:G95" si="2">ROUNDUP(F32*$C$25,0)*I32</f>
        <v>25</v>
      </c>
      <c r="H32" s="54">
        <f t="shared" ref="H32:H92" si="3">R32/(S32/1000)</f>
        <v>60</v>
      </c>
      <c r="I32" s="54">
        <v>1</v>
      </c>
      <c r="J32" s="54">
        <v>0</v>
      </c>
      <c r="L32" s="54">
        <f t="shared" si="0"/>
        <v>2</v>
      </c>
      <c r="M32" s="54">
        <v>0</v>
      </c>
      <c r="N32" s="54">
        <v>0</v>
      </c>
      <c r="O32" s="54">
        <v>0</v>
      </c>
      <c r="P32" s="54">
        <v>8</v>
      </c>
      <c r="R32" s="54">
        <f t="shared" ref="R32:R95" si="4">ROUNDUP(IF($J32=0,
INDEX($C$4:$C$13,MATCH(R$30,$B$4:$B$13,0))
*(($F32)
*(L32/(SUM($L32:$P32)))),
INDEX($D$4:$D$13,MATCH(R$30,$B$4:$B$13,0))
*(($F32)
*(L32/(SUM($L32:$P32))))),-1)
*S32/1000</f>
        <v>60</v>
      </c>
      <c r="S32" s="54">
        <v>1000</v>
      </c>
      <c r="T32" s="54">
        <f t="shared" ref="T32:T92" si="5">N32*5</f>
        <v>0</v>
      </c>
      <c r="U32" s="54">
        <v>10</v>
      </c>
      <c r="V32" s="54">
        <f t="shared" ref="V32:V95" si="6">ROUNDUP(IF($J32=0,INDEX($C$4:$C$13,MATCH(V$30,$B$4:$B$13,0))*($F32*(P32/(SUM($L32:$P32)))),INDEX($D$4:$D$13,MATCH(V$30,$B$4:$B$13,0))*($F32*(P32/(SUM($L32:$P32))))),-1)</f>
        <v>2000</v>
      </c>
      <c r="W32" s="54"/>
      <c r="X32" s="54">
        <v>3</v>
      </c>
      <c r="Y32" s="54">
        <v>2</v>
      </c>
      <c r="Z32" s="52"/>
      <c r="AA32" s="54">
        <f t="shared" ref="AA32:AA95" si="7">ROUNDDOWN(IF(2000&lt;B32&lt;10000,
INDEX($G$20:$G$23,MATCH($D32,$B$20:$B$23,0))*(X32/SUM($X32:$Y32))/I32*
IF($J32=0,INDEX($C$4:$C$13,MATCH(AA$30,$B$4:$B$13,0)),INDEX($D$4:$D$13,MATCH(AA$30,$B$4:$B$13,0))),
INDEX($D$20:$D$23,MATCH($D32,$B$20:$B$23,0))*(X32/SUM($X32:$Y32))/I32*
IF($J32=0,INDEX($C$4:$C$13,MATCH(AA$30,$B$4:$B$13,0)),INDEX($D$4:$D$13,MATCH(AA$30,$B$4:$B$13,0))))
/I32*S32/1000,0)</f>
        <v>180</v>
      </c>
      <c r="AB32" s="54">
        <f t="shared" ref="AB32:AB95" si="8">ROUNDDOWN(IF(2000&lt;B32&lt;10000,INDEX($G$20:$G$23,MATCH($D32,$B$20:$B$23,0))*(Y32/SUM($X32:$Y32))*
IF($J32=0,INDEX($C$4:$C$13,MATCH(AB$30,$B$4:$B$13,0)),INDEX($D$4:$D$13,MATCH(AB$30,$B$4:$B$13,0))),INDEX($D$20:$D$23,MATCH($D32,$B$20:$B$23,0))*(Y32/SUM($X32:$Y32))*
IF($J32=0,INDEX($C$4:$C$13,MATCH(AB$30,$B$4:$B$13,0)),INDEX($D$4:$D$13,MATCH(AB$30,$B$4:$B$13,0))))
/I32,0)</f>
        <v>1000</v>
      </c>
    </row>
    <row r="33" spans="1:28" ht="15.75" customHeight="1">
      <c r="A33" s="51">
        <v>1</v>
      </c>
      <c r="B33" s="54">
        <v>1003</v>
      </c>
      <c r="C33" s="68" t="s">
        <v>148</v>
      </c>
      <c r="D33" s="54">
        <v>1</v>
      </c>
      <c r="E33" s="54">
        <v>0</v>
      </c>
      <c r="F33" s="54">
        <f t="shared" si="1"/>
        <v>100</v>
      </c>
      <c r="G33" s="54">
        <f t="shared" si="2"/>
        <v>25</v>
      </c>
      <c r="H33" s="54">
        <f t="shared" si="3"/>
        <v>150</v>
      </c>
      <c r="I33" s="54">
        <v>1</v>
      </c>
      <c r="J33" s="54">
        <v>0</v>
      </c>
      <c r="L33" s="54">
        <f t="shared" si="0"/>
        <v>5</v>
      </c>
      <c r="M33" s="54">
        <v>0</v>
      </c>
      <c r="N33" s="54">
        <v>0</v>
      </c>
      <c r="O33" s="54">
        <v>0</v>
      </c>
      <c r="P33" s="54">
        <v>5</v>
      </c>
      <c r="R33" s="54">
        <f t="shared" si="4"/>
        <v>150</v>
      </c>
      <c r="S33" s="54">
        <v>1000</v>
      </c>
      <c r="T33" s="54">
        <f t="shared" si="5"/>
        <v>0</v>
      </c>
      <c r="U33" s="54">
        <v>10</v>
      </c>
      <c r="V33" s="54">
        <f t="shared" si="6"/>
        <v>1250</v>
      </c>
      <c r="W33" s="54"/>
      <c r="X33" s="54">
        <v>3</v>
      </c>
      <c r="Y33" s="54">
        <v>2</v>
      </c>
      <c r="Z33" s="52"/>
      <c r="AA33" s="54">
        <f t="shared" si="7"/>
        <v>180</v>
      </c>
      <c r="AB33" s="54">
        <f t="shared" si="8"/>
        <v>1000</v>
      </c>
    </row>
    <row r="34" spans="1:28" ht="15.75" customHeight="1">
      <c r="A34" s="51">
        <v>1</v>
      </c>
      <c r="B34" s="54">
        <v>1004</v>
      </c>
      <c r="C34" s="68" t="s">
        <v>149</v>
      </c>
      <c r="D34" s="54">
        <v>1</v>
      </c>
      <c r="E34" s="54">
        <v>0</v>
      </c>
      <c r="F34" s="54">
        <f t="shared" si="1"/>
        <v>100</v>
      </c>
      <c r="G34" s="54">
        <f t="shared" si="2"/>
        <v>25</v>
      </c>
      <c r="H34" s="54">
        <f t="shared" si="3"/>
        <v>150</v>
      </c>
      <c r="I34" s="54">
        <v>1</v>
      </c>
      <c r="J34" s="54">
        <v>0</v>
      </c>
      <c r="L34" s="54">
        <f t="shared" si="0"/>
        <v>5</v>
      </c>
      <c r="M34" s="54">
        <v>0</v>
      </c>
      <c r="N34" s="54">
        <v>0</v>
      </c>
      <c r="O34" s="54">
        <v>0</v>
      </c>
      <c r="P34" s="54">
        <v>5</v>
      </c>
      <c r="R34" s="54">
        <f t="shared" si="4"/>
        <v>150</v>
      </c>
      <c r="S34" s="54">
        <v>1000</v>
      </c>
      <c r="T34" s="54">
        <f t="shared" si="5"/>
        <v>0</v>
      </c>
      <c r="U34" s="54">
        <v>10</v>
      </c>
      <c r="V34" s="54">
        <f t="shared" si="6"/>
        <v>1250</v>
      </c>
      <c r="W34" s="54"/>
      <c r="X34" s="54">
        <v>3</v>
      </c>
      <c r="Y34" s="54">
        <v>2</v>
      </c>
      <c r="Z34" s="52"/>
      <c r="AA34" s="54">
        <f t="shared" si="7"/>
        <v>180</v>
      </c>
      <c r="AB34" s="54">
        <f t="shared" si="8"/>
        <v>1000</v>
      </c>
    </row>
    <row r="35" spans="1:28" ht="15.75" customHeight="1">
      <c r="A35" s="51">
        <v>1</v>
      </c>
      <c r="B35" s="54">
        <v>1005</v>
      </c>
      <c r="C35" s="68" t="s">
        <v>150</v>
      </c>
      <c r="D35" s="54">
        <v>1</v>
      </c>
      <c r="E35" s="54">
        <v>1</v>
      </c>
      <c r="F35" s="54">
        <f t="shared" si="1"/>
        <v>200</v>
      </c>
      <c r="G35" s="54">
        <f t="shared" si="2"/>
        <v>50</v>
      </c>
      <c r="H35" s="54">
        <f t="shared" si="3"/>
        <v>360</v>
      </c>
      <c r="I35" s="54">
        <v>1</v>
      </c>
      <c r="J35" s="54">
        <v>0</v>
      </c>
      <c r="L35" s="54">
        <f t="shared" si="0"/>
        <v>6</v>
      </c>
      <c r="M35" s="54">
        <v>0</v>
      </c>
      <c r="N35" s="54">
        <v>0</v>
      </c>
      <c r="O35" s="54">
        <v>0</v>
      </c>
      <c r="P35" s="54">
        <v>4</v>
      </c>
      <c r="R35" s="54">
        <f t="shared" si="4"/>
        <v>360</v>
      </c>
      <c r="S35" s="54">
        <v>1000</v>
      </c>
      <c r="T35" s="54">
        <f t="shared" si="5"/>
        <v>0</v>
      </c>
      <c r="U35" s="54">
        <v>10</v>
      </c>
      <c r="V35" s="54">
        <f t="shared" si="6"/>
        <v>2000</v>
      </c>
      <c r="W35" s="54"/>
      <c r="X35" s="54">
        <v>3</v>
      </c>
      <c r="Y35" s="54">
        <v>2</v>
      </c>
      <c r="Z35" s="52"/>
      <c r="AA35" s="54">
        <f t="shared" si="7"/>
        <v>180</v>
      </c>
      <c r="AB35" s="54">
        <f t="shared" si="8"/>
        <v>1000</v>
      </c>
    </row>
    <row r="36" spans="1:28" ht="15.75" customHeight="1">
      <c r="A36" s="51">
        <v>1</v>
      </c>
      <c r="B36" s="54">
        <v>1006</v>
      </c>
      <c r="C36" s="68" t="s">
        <v>151</v>
      </c>
      <c r="D36" s="54">
        <v>1</v>
      </c>
      <c r="E36" s="54">
        <v>1</v>
      </c>
      <c r="F36" s="54">
        <f t="shared" si="1"/>
        <v>200</v>
      </c>
      <c r="G36" s="54">
        <f t="shared" si="2"/>
        <v>50</v>
      </c>
      <c r="H36" s="54">
        <f t="shared" si="3"/>
        <v>420</v>
      </c>
      <c r="I36" s="54">
        <v>1</v>
      </c>
      <c r="J36" s="54">
        <v>0</v>
      </c>
      <c r="L36" s="54">
        <f t="shared" si="0"/>
        <v>7</v>
      </c>
      <c r="M36" s="54">
        <v>0</v>
      </c>
      <c r="N36" s="54">
        <v>0</v>
      </c>
      <c r="O36" s="54">
        <v>0</v>
      </c>
      <c r="P36" s="54">
        <v>3</v>
      </c>
      <c r="R36" s="54">
        <f t="shared" si="4"/>
        <v>420</v>
      </c>
      <c r="S36" s="54">
        <v>1000</v>
      </c>
      <c r="T36" s="54">
        <f t="shared" si="5"/>
        <v>0</v>
      </c>
      <c r="U36" s="54">
        <v>10</v>
      </c>
      <c r="V36" s="54">
        <f t="shared" si="6"/>
        <v>1500</v>
      </c>
      <c r="W36" s="54"/>
      <c r="X36" s="54">
        <v>3</v>
      </c>
      <c r="Y36" s="54">
        <v>2</v>
      </c>
      <c r="Z36" s="52"/>
      <c r="AA36" s="54">
        <f t="shared" si="7"/>
        <v>180</v>
      </c>
      <c r="AB36" s="54">
        <f t="shared" si="8"/>
        <v>1000</v>
      </c>
    </row>
    <row r="37" spans="1:28" ht="15.75" customHeight="1">
      <c r="A37" s="51">
        <v>1</v>
      </c>
      <c r="B37" s="54">
        <v>1007</v>
      </c>
      <c r="C37" s="68" t="s">
        <v>152</v>
      </c>
      <c r="D37" s="54">
        <v>1</v>
      </c>
      <c r="E37" s="54">
        <v>1</v>
      </c>
      <c r="F37" s="54">
        <f t="shared" si="1"/>
        <v>200</v>
      </c>
      <c r="G37" s="54">
        <f t="shared" si="2"/>
        <v>50</v>
      </c>
      <c r="H37" s="54">
        <f t="shared" si="3"/>
        <v>180</v>
      </c>
      <c r="I37" s="54">
        <v>1</v>
      </c>
      <c r="J37" s="54">
        <v>0</v>
      </c>
      <c r="L37" s="54">
        <f t="shared" si="0"/>
        <v>3</v>
      </c>
      <c r="M37" s="54">
        <v>0</v>
      </c>
      <c r="N37" s="54">
        <v>0</v>
      </c>
      <c r="O37" s="54">
        <v>0</v>
      </c>
      <c r="P37" s="54">
        <v>7</v>
      </c>
      <c r="R37" s="54">
        <f t="shared" si="4"/>
        <v>180</v>
      </c>
      <c r="S37" s="54">
        <v>1000</v>
      </c>
      <c r="T37" s="54">
        <f t="shared" si="5"/>
        <v>0</v>
      </c>
      <c r="U37" s="54">
        <v>10</v>
      </c>
      <c r="V37" s="54">
        <f t="shared" si="6"/>
        <v>3500</v>
      </c>
      <c r="W37" s="54"/>
      <c r="X37" s="54">
        <v>3</v>
      </c>
      <c r="Y37" s="54">
        <v>2</v>
      </c>
      <c r="Z37" s="52"/>
      <c r="AA37" s="54">
        <f t="shared" si="7"/>
        <v>180</v>
      </c>
      <c r="AB37" s="54">
        <f t="shared" si="8"/>
        <v>1000</v>
      </c>
    </row>
    <row r="38" spans="1:28" ht="15.75" customHeight="1">
      <c r="A38" s="51">
        <v>1</v>
      </c>
      <c r="B38" s="54">
        <v>1008</v>
      </c>
      <c r="C38" s="68" t="s">
        <v>153</v>
      </c>
      <c r="D38" s="54">
        <v>1</v>
      </c>
      <c r="E38" s="54">
        <v>1</v>
      </c>
      <c r="F38" s="54">
        <f t="shared" si="1"/>
        <v>200</v>
      </c>
      <c r="G38" s="54">
        <f t="shared" si="2"/>
        <v>50</v>
      </c>
      <c r="H38" s="54">
        <f t="shared" si="3"/>
        <v>360</v>
      </c>
      <c r="I38" s="54">
        <v>1</v>
      </c>
      <c r="J38" s="54">
        <v>0</v>
      </c>
      <c r="L38" s="54">
        <f t="shared" si="0"/>
        <v>6</v>
      </c>
      <c r="M38" s="54">
        <v>0</v>
      </c>
      <c r="N38" s="54">
        <v>1</v>
      </c>
      <c r="O38" s="54">
        <v>0</v>
      </c>
      <c r="P38" s="54">
        <v>3</v>
      </c>
      <c r="R38" s="54">
        <f t="shared" si="4"/>
        <v>360</v>
      </c>
      <c r="S38" s="54">
        <v>1000</v>
      </c>
      <c r="T38" s="54">
        <f t="shared" si="5"/>
        <v>5</v>
      </c>
      <c r="U38" s="54">
        <v>10</v>
      </c>
      <c r="V38" s="54">
        <f t="shared" si="6"/>
        <v>1500</v>
      </c>
      <c r="W38" s="54"/>
      <c r="X38" s="54">
        <v>3</v>
      </c>
      <c r="Y38" s="54">
        <v>2</v>
      </c>
      <c r="Z38" s="52"/>
      <c r="AA38" s="54">
        <f t="shared" si="7"/>
        <v>180</v>
      </c>
      <c r="AB38" s="54">
        <f t="shared" si="8"/>
        <v>1000</v>
      </c>
    </row>
    <row r="39" spans="1:28" ht="15.75" customHeight="1">
      <c r="A39" s="51">
        <v>1</v>
      </c>
      <c r="B39" s="54">
        <v>1009</v>
      </c>
      <c r="C39" s="68" t="s">
        <v>154</v>
      </c>
      <c r="D39" s="54">
        <v>1</v>
      </c>
      <c r="E39" s="54">
        <v>1</v>
      </c>
      <c r="F39" s="54">
        <f t="shared" si="1"/>
        <v>200</v>
      </c>
      <c r="G39" s="54">
        <f t="shared" si="2"/>
        <v>50</v>
      </c>
      <c r="H39" s="54">
        <f t="shared" si="3"/>
        <v>360</v>
      </c>
      <c r="I39" s="54">
        <v>1</v>
      </c>
      <c r="J39" s="54">
        <v>0</v>
      </c>
      <c r="L39" s="54">
        <f t="shared" si="0"/>
        <v>6</v>
      </c>
      <c r="M39" s="54">
        <v>0</v>
      </c>
      <c r="N39" s="54">
        <v>0</v>
      </c>
      <c r="O39" s="54">
        <v>0</v>
      </c>
      <c r="P39" s="54">
        <v>4</v>
      </c>
      <c r="R39" s="54">
        <f t="shared" si="4"/>
        <v>360</v>
      </c>
      <c r="S39" s="54">
        <v>1000</v>
      </c>
      <c r="T39" s="54">
        <f t="shared" si="5"/>
        <v>0</v>
      </c>
      <c r="U39" s="54">
        <v>10</v>
      </c>
      <c r="V39" s="54">
        <f t="shared" si="6"/>
        <v>2000</v>
      </c>
      <c r="W39" s="54"/>
      <c r="X39" s="54">
        <v>3</v>
      </c>
      <c r="Y39" s="54">
        <v>2</v>
      </c>
      <c r="Z39" s="52"/>
      <c r="AA39" s="54">
        <f t="shared" si="7"/>
        <v>180</v>
      </c>
      <c r="AB39" s="54">
        <f t="shared" si="8"/>
        <v>1000</v>
      </c>
    </row>
    <row r="40" spans="1:28" ht="15.75" customHeight="1">
      <c r="A40" s="51">
        <v>1</v>
      </c>
      <c r="B40" s="54">
        <v>1010</v>
      </c>
      <c r="C40" s="68" t="s">
        <v>177</v>
      </c>
      <c r="D40" s="54">
        <v>2</v>
      </c>
      <c r="E40" s="54">
        <v>0</v>
      </c>
      <c r="F40" s="54">
        <f t="shared" si="1"/>
        <v>200</v>
      </c>
      <c r="G40" s="54">
        <f t="shared" si="2"/>
        <v>50</v>
      </c>
      <c r="H40" s="54">
        <f t="shared" si="3"/>
        <v>240</v>
      </c>
      <c r="I40" s="54">
        <v>1</v>
      </c>
      <c r="J40" s="54">
        <v>0</v>
      </c>
      <c r="L40" s="54">
        <f t="shared" si="0"/>
        <v>4</v>
      </c>
      <c r="M40" s="54">
        <v>0</v>
      </c>
      <c r="N40" s="54">
        <v>0</v>
      </c>
      <c r="O40" s="54">
        <v>0</v>
      </c>
      <c r="P40" s="54">
        <v>6</v>
      </c>
      <c r="R40" s="54">
        <f t="shared" si="4"/>
        <v>240</v>
      </c>
      <c r="S40" s="54">
        <v>1000</v>
      </c>
      <c r="T40" s="54">
        <f t="shared" si="5"/>
        <v>0</v>
      </c>
      <c r="U40" s="54">
        <v>10</v>
      </c>
      <c r="V40" s="54">
        <f t="shared" si="6"/>
        <v>3000</v>
      </c>
      <c r="W40" s="54"/>
      <c r="X40" s="54">
        <v>3</v>
      </c>
      <c r="Y40" s="54">
        <v>2</v>
      </c>
      <c r="Z40" s="52"/>
      <c r="AA40" s="54">
        <f t="shared" si="7"/>
        <v>180</v>
      </c>
      <c r="AB40" s="54">
        <f t="shared" si="8"/>
        <v>1000</v>
      </c>
    </row>
    <row r="41" spans="1:28" ht="15.75" customHeight="1">
      <c r="A41" s="51">
        <v>1</v>
      </c>
      <c r="B41" s="54">
        <v>1011</v>
      </c>
      <c r="C41" s="68" t="s">
        <v>178</v>
      </c>
      <c r="D41" s="54">
        <v>2</v>
      </c>
      <c r="E41" s="54">
        <v>0</v>
      </c>
      <c r="F41" s="54">
        <f t="shared" si="1"/>
        <v>200</v>
      </c>
      <c r="G41" s="54">
        <f t="shared" si="2"/>
        <v>50</v>
      </c>
      <c r="H41" s="54">
        <f t="shared" si="3"/>
        <v>360</v>
      </c>
      <c r="I41" s="54">
        <v>1</v>
      </c>
      <c r="J41" s="54">
        <v>0</v>
      </c>
      <c r="L41" s="54">
        <f t="shared" si="0"/>
        <v>6</v>
      </c>
      <c r="M41" s="54">
        <v>0</v>
      </c>
      <c r="N41" s="54">
        <v>0</v>
      </c>
      <c r="O41" s="54">
        <v>0</v>
      </c>
      <c r="P41" s="54">
        <v>4</v>
      </c>
      <c r="R41" s="54">
        <f t="shared" si="4"/>
        <v>360</v>
      </c>
      <c r="S41" s="54">
        <v>1000</v>
      </c>
      <c r="T41" s="54">
        <f t="shared" si="5"/>
        <v>0</v>
      </c>
      <c r="U41" s="54">
        <v>10</v>
      </c>
      <c r="V41" s="54">
        <f t="shared" si="6"/>
        <v>2000</v>
      </c>
      <c r="W41" s="54"/>
      <c r="X41" s="54">
        <v>3</v>
      </c>
      <c r="Y41" s="54">
        <v>2</v>
      </c>
      <c r="Z41" s="52"/>
      <c r="AA41" s="54">
        <f t="shared" si="7"/>
        <v>180</v>
      </c>
      <c r="AB41" s="54">
        <f t="shared" si="8"/>
        <v>1000</v>
      </c>
    </row>
    <row r="42" spans="1:28" ht="15.75" customHeight="1">
      <c r="A42" s="51">
        <v>1</v>
      </c>
      <c r="B42" s="54">
        <v>1012</v>
      </c>
      <c r="C42" s="68" t="s">
        <v>179</v>
      </c>
      <c r="D42" s="54">
        <v>2</v>
      </c>
      <c r="E42" s="54">
        <v>0</v>
      </c>
      <c r="F42" s="54">
        <f t="shared" si="1"/>
        <v>200</v>
      </c>
      <c r="G42" s="54">
        <f t="shared" si="2"/>
        <v>50</v>
      </c>
      <c r="H42" s="54">
        <f t="shared" si="3"/>
        <v>200</v>
      </c>
      <c r="I42" s="54">
        <v>1</v>
      </c>
      <c r="J42" s="54">
        <v>1</v>
      </c>
      <c r="L42" s="54">
        <f t="shared" si="0"/>
        <v>5</v>
      </c>
      <c r="M42" s="54">
        <v>0</v>
      </c>
      <c r="N42" s="54">
        <v>0</v>
      </c>
      <c r="O42" s="54">
        <v>0</v>
      </c>
      <c r="P42" s="54">
        <v>5</v>
      </c>
      <c r="R42" s="54">
        <f t="shared" si="4"/>
        <v>200</v>
      </c>
      <c r="S42" s="54">
        <v>1000</v>
      </c>
      <c r="T42" s="54">
        <f t="shared" si="5"/>
        <v>0</v>
      </c>
      <c r="U42" s="54">
        <v>10</v>
      </c>
      <c r="V42" s="54">
        <f t="shared" si="6"/>
        <v>1500</v>
      </c>
      <c r="W42" s="54"/>
      <c r="X42" s="54">
        <v>3</v>
      </c>
      <c r="Y42" s="54">
        <v>2</v>
      </c>
      <c r="Z42" s="52"/>
      <c r="AA42" s="54">
        <f t="shared" si="7"/>
        <v>120</v>
      </c>
      <c r="AB42" s="54">
        <f t="shared" si="8"/>
        <v>600</v>
      </c>
    </row>
    <row r="43" spans="1:28" ht="15.75" customHeight="1">
      <c r="A43" s="51">
        <v>1</v>
      </c>
      <c r="B43" s="54">
        <v>1013</v>
      </c>
      <c r="C43" s="68" t="s">
        <v>180</v>
      </c>
      <c r="D43" s="54">
        <v>2</v>
      </c>
      <c r="E43" s="54">
        <v>0</v>
      </c>
      <c r="F43" s="54">
        <f t="shared" si="1"/>
        <v>200</v>
      </c>
      <c r="G43" s="54">
        <f t="shared" si="2"/>
        <v>50</v>
      </c>
      <c r="H43" s="54">
        <f t="shared" si="3"/>
        <v>240</v>
      </c>
      <c r="I43" s="54">
        <v>1</v>
      </c>
      <c r="J43" s="54">
        <v>1</v>
      </c>
      <c r="L43" s="54">
        <f t="shared" si="0"/>
        <v>6</v>
      </c>
      <c r="M43" s="54">
        <v>0</v>
      </c>
      <c r="N43" s="54">
        <v>0</v>
      </c>
      <c r="O43" s="54">
        <v>0</v>
      </c>
      <c r="P43" s="54">
        <v>4</v>
      </c>
      <c r="R43" s="54">
        <f t="shared" si="4"/>
        <v>240</v>
      </c>
      <c r="S43" s="54">
        <v>1000</v>
      </c>
      <c r="T43" s="54">
        <f t="shared" si="5"/>
        <v>0</v>
      </c>
      <c r="U43" s="54">
        <v>10</v>
      </c>
      <c r="V43" s="54">
        <f t="shared" si="6"/>
        <v>1200</v>
      </c>
      <c r="W43" s="54"/>
      <c r="X43" s="54">
        <v>3</v>
      </c>
      <c r="Y43" s="54">
        <v>2</v>
      </c>
      <c r="Z43" s="52"/>
      <c r="AA43" s="54">
        <f t="shared" si="7"/>
        <v>120</v>
      </c>
      <c r="AB43" s="54">
        <f t="shared" si="8"/>
        <v>600</v>
      </c>
    </row>
    <row r="44" spans="1:28" ht="15.75" customHeight="1">
      <c r="A44" s="51">
        <v>1</v>
      </c>
      <c r="B44" s="54">
        <v>1014</v>
      </c>
      <c r="C44" s="68" t="s">
        <v>181</v>
      </c>
      <c r="D44" s="54">
        <v>2</v>
      </c>
      <c r="E44" s="54">
        <v>0</v>
      </c>
      <c r="F44" s="54">
        <f t="shared" si="1"/>
        <v>200</v>
      </c>
      <c r="G44" s="54">
        <f t="shared" si="2"/>
        <v>50</v>
      </c>
      <c r="H44" s="54">
        <f t="shared" si="3"/>
        <v>240</v>
      </c>
      <c r="I44" s="54">
        <v>1</v>
      </c>
      <c r="J44" s="54">
        <v>1</v>
      </c>
      <c r="L44" s="54">
        <f t="shared" si="0"/>
        <v>6</v>
      </c>
      <c r="M44" s="54">
        <v>0</v>
      </c>
      <c r="N44" s="54">
        <v>0</v>
      </c>
      <c r="O44" s="54">
        <v>0</v>
      </c>
      <c r="P44" s="54">
        <v>4</v>
      </c>
      <c r="R44" s="54">
        <f t="shared" si="4"/>
        <v>240</v>
      </c>
      <c r="S44" s="54">
        <v>1000</v>
      </c>
      <c r="T44" s="54">
        <f t="shared" si="5"/>
        <v>0</v>
      </c>
      <c r="U44" s="54">
        <v>10</v>
      </c>
      <c r="V44" s="54">
        <f t="shared" si="6"/>
        <v>1200</v>
      </c>
      <c r="W44" s="54"/>
      <c r="X44" s="54">
        <v>3</v>
      </c>
      <c r="Y44" s="54">
        <v>2</v>
      </c>
      <c r="Z44" s="52"/>
      <c r="AA44" s="54">
        <f t="shared" si="7"/>
        <v>120</v>
      </c>
      <c r="AB44" s="54">
        <f t="shared" si="8"/>
        <v>600</v>
      </c>
    </row>
    <row r="45" spans="1:28" ht="15.75" customHeight="1">
      <c r="A45" s="51">
        <v>1</v>
      </c>
      <c r="B45" s="54">
        <v>1015</v>
      </c>
      <c r="C45" s="68" t="s">
        <v>182</v>
      </c>
      <c r="D45" s="54">
        <v>1</v>
      </c>
      <c r="E45" s="54">
        <v>1</v>
      </c>
      <c r="F45" s="54">
        <f t="shared" si="1"/>
        <v>200</v>
      </c>
      <c r="G45" s="54">
        <f t="shared" si="2"/>
        <v>50</v>
      </c>
      <c r="H45" s="54">
        <f t="shared" si="3"/>
        <v>360</v>
      </c>
      <c r="I45" s="54">
        <v>1</v>
      </c>
      <c r="J45" s="54">
        <v>0</v>
      </c>
      <c r="L45" s="54">
        <f t="shared" si="0"/>
        <v>6</v>
      </c>
      <c r="M45" s="54">
        <v>0</v>
      </c>
      <c r="N45" s="54">
        <v>0</v>
      </c>
      <c r="O45" s="54">
        <v>0</v>
      </c>
      <c r="P45" s="54">
        <v>4</v>
      </c>
      <c r="R45" s="54">
        <f t="shared" si="4"/>
        <v>360</v>
      </c>
      <c r="S45" s="54">
        <v>1000</v>
      </c>
      <c r="T45" s="54">
        <f t="shared" si="5"/>
        <v>0</v>
      </c>
      <c r="U45" s="54">
        <v>10</v>
      </c>
      <c r="V45" s="54">
        <f t="shared" si="6"/>
        <v>2000</v>
      </c>
      <c r="W45" s="54"/>
      <c r="X45" s="54">
        <v>3</v>
      </c>
      <c r="Y45" s="54">
        <v>2</v>
      </c>
      <c r="Z45" s="52"/>
      <c r="AA45" s="54">
        <f t="shared" si="7"/>
        <v>180</v>
      </c>
      <c r="AB45" s="54">
        <f t="shared" si="8"/>
        <v>1000</v>
      </c>
    </row>
    <row r="46" spans="1:28" ht="15.75" customHeight="1">
      <c r="A46" s="51">
        <v>1</v>
      </c>
      <c r="B46" s="54">
        <v>1016</v>
      </c>
      <c r="C46" s="68" t="s">
        <v>183</v>
      </c>
      <c r="D46" s="54">
        <v>2</v>
      </c>
      <c r="E46" s="54">
        <v>1</v>
      </c>
      <c r="F46" s="54">
        <f t="shared" si="1"/>
        <v>300</v>
      </c>
      <c r="G46" s="54">
        <f t="shared" si="2"/>
        <v>75</v>
      </c>
      <c r="H46" s="54">
        <f t="shared" si="3"/>
        <v>300</v>
      </c>
      <c r="I46" s="54">
        <v>1</v>
      </c>
      <c r="J46" s="54">
        <v>1</v>
      </c>
      <c r="L46" s="54">
        <f t="shared" si="0"/>
        <v>5</v>
      </c>
      <c r="M46" s="54">
        <v>0</v>
      </c>
      <c r="N46" s="54">
        <v>0</v>
      </c>
      <c r="O46" s="54">
        <v>0</v>
      </c>
      <c r="P46" s="54">
        <v>5</v>
      </c>
      <c r="R46" s="54">
        <f t="shared" si="4"/>
        <v>300</v>
      </c>
      <c r="S46" s="54">
        <v>1000</v>
      </c>
      <c r="T46" s="54">
        <f t="shared" si="5"/>
        <v>0</v>
      </c>
      <c r="U46" s="54">
        <v>10</v>
      </c>
      <c r="V46" s="54">
        <f t="shared" si="6"/>
        <v>2250</v>
      </c>
      <c r="W46" s="54"/>
      <c r="X46" s="54">
        <v>3</v>
      </c>
      <c r="Y46" s="54">
        <v>2</v>
      </c>
      <c r="Z46" s="52"/>
      <c r="AA46" s="54">
        <f t="shared" si="7"/>
        <v>120</v>
      </c>
      <c r="AB46" s="54">
        <f t="shared" si="8"/>
        <v>600</v>
      </c>
    </row>
    <row r="47" spans="1:28" ht="15.75" customHeight="1">
      <c r="A47" s="51">
        <v>1</v>
      </c>
      <c r="B47" s="54">
        <v>1051</v>
      </c>
      <c r="C47" s="68" t="s">
        <v>216</v>
      </c>
      <c r="D47" s="54">
        <v>3</v>
      </c>
      <c r="E47" s="54">
        <v>0</v>
      </c>
      <c r="F47" s="54">
        <f t="shared" si="1"/>
        <v>270</v>
      </c>
      <c r="G47" s="54">
        <f t="shared" si="2"/>
        <v>68</v>
      </c>
      <c r="H47" s="54">
        <f t="shared" si="3"/>
        <v>380</v>
      </c>
      <c r="I47" s="54">
        <v>1</v>
      </c>
      <c r="J47" s="54">
        <v>1</v>
      </c>
      <c r="L47" s="54">
        <f t="shared" si="0"/>
        <v>7</v>
      </c>
      <c r="M47" s="54">
        <v>0</v>
      </c>
      <c r="N47" s="54">
        <v>0</v>
      </c>
      <c r="O47" s="54">
        <v>0</v>
      </c>
      <c r="P47" s="54">
        <v>3</v>
      </c>
      <c r="R47" s="54">
        <f t="shared" si="4"/>
        <v>380</v>
      </c>
      <c r="S47" s="54">
        <v>1000</v>
      </c>
      <c r="T47" s="54">
        <f t="shared" si="5"/>
        <v>0</v>
      </c>
      <c r="U47" s="54">
        <v>10</v>
      </c>
      <c r="V47" s="54">
        <f t="shared" si="6"/>
        <v>1220</v>
      </c>
      <c r="W47" s="54"/>
      <c r="X47" s="54">
        <v>3</v>
      </c>
      <c r="Y47" s="54">
        <v>2</v>
      </c>
      <c r="Z47" s="52"/>
      <c r="AA47" s="54">
        <f t="shared" si="7"/>
        <v>120</v>
      </c>
      <c r="AB47" s="54">
        <f t="shared" si="8"/>
        <v>600</v>
      </c>
    </row>
    <row r="48" spans="1:28" ht="15.75" customHeight="1">
      <c r="A48" s="51">
        <v>1</v>
      </c>
      <c r="B48" s="54">
        <v>1052</v>
      </c>
      <c r="C48" s="68" t="s">
        <v>217</v>
      </c>
      <c r="D48" s="54">
        <v>3</v>
      </c>
      <c r="E48" s="54">
        <v>0</v>
      </c>
      <c r="F48" s="54">
        <f t="shared" si="1"/>
        <v>270</v>
      </c>
      <c r="G48" s="54">
        <f t="shared" si="2"/>
        <v>68</v>
      </c>
      <c r="H48" s="54">
        <f t="shared" si="3"/>
        <v>170</v>
      </c>
      <c r="I48" s="54">
        <v>1</v>
      </c>
      <c r="J48" s="54">
        <v>0</v>
      </c>
      <c r="L48" s="54">
        <f t="shared" si="0"/>
        <v>2</v>
      </c>
      <c r="M48" s="54">
        <v>0</v>
      </c>
      <c r="N48" s="54">
        <v>0</v>
      </c>
      <c r="O48" s="54">
        <v>0</v>
      </c>
      <c r="P48" s="54">
        <v>8</v>
      </c>
      <c r="R48" s="54">
        <f t="shared" si="4"/>
        <v>170</v>
      </c>
      <c r="S48" s="54">
        <v>1000</v>
      </c>
      <c r="T48" s="54">
        <f t="shared" si="5"/>
        <v>0</v>
      </c>
      <c r="U48" s="54">
        <v>10</v>
      </c>
      <c r="V48" s="54">
        <f t="shared" si="6"/>
        <v>5400</v>
      </c>
      <c r="W48" s="54"/>
      <c r="X48" s="54">
        <v>3</v>
      </c>
      <c r="Y48" s="54">
        <v>2</v>
      </c>
      <c r="Z48" s="52"/>
      <c r="AA48" s="54">
        <f t="shared" si="7"/>
        <v>180</v>
      </c>
      <c r="AB48" s="54">
        <f t="shared" si="8"/>
        <v>1000</v>
      </c>
    </row>
    <row r="49" spans="1:28" ht="15.75" customHeight="1">
      <c r="A49" s="51">
        <v>1</v>
      </c>
      <c r="B49" s="54">
        <v>1053</v>
      </c>
      <c r="C49" s="68" t="s">
        <v>218</v>
      </c>
      <c r="D49" s="54">
        <v>3</v>
      </c>
      <c r="E49" s="54">
        <v>0</v>
      </c>
      <c r="F49" s="54">
        <f t="shared" si="1"/>
        <v>270</v>
      </c>
      <c r="G49" s="54">
        <f t="shared" si="2"/>
        <v>68</v>
      </c>
      <c r="H49" s="54">
        <f t="shared" si="3"/>
        <v>410</v>
      </c>
      <c r="I49" s="54">
        <v>1</v>
      </c>
      <c r="J49" s="54">
        <v>0</v>
      </c>
      <c r="L49" s="54">
        <f t="shared" si="0"/>
        <v>5</v>
      </c>
      <c r="M49" s="54">
        <v>0</v>
      </c>
      <c r="N49" s="54">
        <v>0</v>
      </c>
      <c r="O49" s="54">
        <v>0</v>
      </c>
      <c r="P49" s="54">
        <v>5</v>
      </c>
      <c r="R49" s="54">
        <f t="shared" si="4"/>
        <v>410</v>
      </c>
      <c r="S49" s="54">
        <v>1000</v>
      </c>
      <c r="T49" s="54">
        <f t="shared" si="5"/>
        <v>0</v>
      </c>
      <c r="U49" s="54">
        <v>10</v>
      </c>
      <c r="V49" s="54">
        <f t="shared" si="6"/>
        <v>3380</v>
      </c>
      <c r="W49" s="54"/>
      <c r="X49" s="54">
        <v>3</v>
      </c>
      <c r="Y49" s="54">
        <v>2</v>
      </c>
      <c r="Z49" s="52"/>
      <c r="AA49" s="54">
        <f t="shared" si="7"/>
        <v>180</v>
      </c>
      <c r="AB49" s="54">
        <f t="shared" si="8"/>
        <v>1000</v>
      </c>
    </row>
    <row r="50" spans="1:28" ht="15.75" customHeight="1">
      <c r="A50" s="51">
        <v>1</v>
      </c>
      <c r="B50" s="54">
        <v>1054</v>
      </c>
      <c r="C50" s="68" t="s">
        <v>219</v>
      </c>
      <c r="D50" s="54">
        <v>3</v>
      </c>
      <c r="E50" s="54">
        <v>0</v>
      </c>
      <c r="F50" s="54">
        <f t="shared" si="1"/>
        <v>270</v>
      </c>
      <c r="G50" s="54">
        <f t="shared" si="2"/>
        <v>68</v>
      </c>
      <c r="H50" s="54">
        <f t="shared" si="3"/>
        <v>410</v>
      </c>
      <c r="I50" s="54">
        <v>1</v>
      </c>
      <c r="J50" s="54">
        <v>0</v>
      </c>
      <c r="L50" s="54">
        <f t="shared" si="0"/>
        <v>5</v>
      </c>
      <c r="M50" s="54">
        <v>0</v>
      </c>
      <c r="N50" s="54">
        <v>0</v>
      </c>
      <c r="O50" s="54">
        <v>0</v>
      </c>
      <c r="P50" s="54">
        <v>5</v>
      </c>
      <c r="R50" s="54">
        <f t="shared" si="4"/>
        <v>410</v>
      </c>
      <c r="S50" s="54">
        <v>1000</v>
      </c>
      <c r="T50" s="54">
        <f t="shared" si="5"/>
        <v>0</v>
      </c>
      <c r="U50" s="54">
        <v>10</v>
      </c>
      <c r="V50" s="54">
        <f t="shared" si="6"/>
        <v>3380</v>
      </c>
      <c r="W50" s="54"/>
      <c r="X50" s="54">
        <v>3</v>
      </c>
      <c r="Y50" s="54">
        <v>2</v>
      </c>
      <c r="Z50" s="52"/>
      <c r="AA50" s="54">
        <f t="shared" si="7"/>
        <v>180</v>
      </c>
      <c r="AB50" s="54">
        <f t="shared" si="8"/>
        <v>1000</v>
      </c>
    </row>
    <row r="51" spans="1:28" ht="15.75" customHeight="1">
      <c r="A51" s="51">
        <v>1</v>
      </c>
      <c r="B51" s="54">
        <v>1055</v>
      </c>
      <c r="C51" s="68" t="s">
        <v>220</v>
      </c>
      <c r="D51" s="54">
        <v>3</v>
      </c>
      <c r="E51" s="54">
        <v>1</v>
      </c>
      <c r="F51" s="54">
        <f t="shared" si="1"/>
        <v>370</v>
      </c>
      <c r="G51" s="54">
        <f t="shared" si="2"/>
        <v>93</v>
      </c>
      <c r="H51" s="54">
        <f t="shared" si="3"/>
        <v>670</v>
      </c>
      <c r="I51" s="54">
        <v>1</v>
      </c>
      <c r="J51" s="54">
        <v>0</v>
      </c>
      <c r="L51" s="54">
        <f t="shared" si="0"/>
        <v>6</v>
      </c>
      <c r="M51" s="54">
        <v>0</v>
      </c>
      <c r="N51" s="54">
        <v>0</v>
      </c>
      <c r="O51" s="54">
        <v>0</v>
      </c>
      <c r="P51" s="54">
        <v>4</v>
      </c>
      <c r="R51" s="54">
        <f t="shared" si="4"/>
        <v>670</v>
      </c>
      <c r="S51" s="54">
        <v>1000</v>
      </c>
      <c r="T51" s="54">
        <f t="shared" si="5"/>
        <v>0</v>
      </c>
      <c r="U51" s="54">
        <v>10</v>
      </c>
      <c r="V51" s="54">
        <f t="shared" si="6"/>
        <v>3700</v>
      </c>
      <c r="W51" s="54"/>
      <c r="X51" s="54">
        <v>3</v>
      </c>
      <c r="Y51" s="54">
        <v>2</v>
      </c>
      <c r="Z51" s="52"/>
      <c r="AA51" s="54">
        <f t="shared" si="7"/>
        <v>180</v>
      </c>
      <c r="AB51" s="54">
        <f t="shared" si="8"/>
        <v>1000</v>
      </c>
    </row>
    <row r="52" spans="1:28" ht="15.75" customHeight="1">
      <c r="A52" s="51">
        <v>1</v>
      </c>
      <c r="B52" s="54">
        <v>1056</v>
      </c>
      <c r="C52" s="68" t="s">
        <v>221</v>
      </c>
      <c r="D52" s="54">
        <v>3</v>
      </c>
      <c r="E52" s="54">
        <v>1</v>
      </c>
      <c r="F52" s="54">
        <f t="shared" si="1"/>
        <v>370</v>
      </c>
      <c r="G52" s="54">
        <f t="shared" si="2"/>
        <v>93</v>
      </c>
      <c r="H52" s="54">
        <f t="shared" si="3"/>
        <v>780</v>
      </c>
      <c r="I52" s="54">
        <v>1</v>
      </c>
      <c r="J52" s="54">
        <v>0</v>
      </c>
      <c r="L52" s="54">
        <f t="shared" si="0"/>
        <v>7</v>
      </c>
      <c r="M52" s="54">
        <v>0</v>
      </c>
      <c r="N52" s="54">
        <v>0</v>
      </c>
      <c r="O52" s="54">
        <v>0</v>
      </c>
      <c r="P52" s="54">
        <v>3</v>
      </c>
      <c r="R52" s="54">
        <f t="shared" si="4"/>
        <v>780</v>
      </c>
      <c r="S52" s="54">
        <v>1000</v>
      </c>
      <c r="T52" s="54">
        <f t="shared" si="5"/>
        <v>0</v>
      </c>
      <c r="U52" s="54">
        <v>10</v>
      </c>
      <c r="V52" s="54">
        <f t="shared" si="6"/>
        <v>2780</v>
      </c>
      <c r="W52" s="54"/>
      <c r="X52" s="54">
        <v>3</v>
      </c>
      <c r="Y52" s="54">
        <v>2</v>
      </c>
      <c r="Z52" s="52"/>
      <c r="AA52" s="54">
        <f t="shared" si="7"/>
        <v>180</v>
      </c>
      <c r="AB52" s="54">
        <f t="shared" si="8"/>
        <v>1000</v>
      </c>
    </row>
    <row r="53" spans="1:28" ht="15.75" customHeight="1">
      <c r="A53" s="51">
        <v>1</v>
      </c>
      <c r="B53" s="54">
        <v>1057</v>
      </c>
      <c r="C53" s="68" t="s">
        <v>222</v>
      </c>
      <c r="D53" s="54">
        <v>3</v>
      </c>
      <c r="E53" s="54">
        <v>1</v>
      </c>
      <c r="F53" s="54">
        <f t="shared" si="1"/>
        <v>370</v>
      </c>
      <c r="G53" s="54">
        <f t="shared" si="2"/>
        <v>93</v>
      </c>
      <c r="H53" s="54">
        <f t="shared" si="3"/>
        <v>340</v>
      </c>
      <c r="I53" s="54">
        <v>1</v>
      </c>
      <c r="J53" s="54">
        <v>0</v>
      </c>
      <c r="L53" s="54">
        <f t="shared" si="0"/>
        <v>3</v>
      </c>
      <c r="M53" s="54">
        <v>0</v>
      </c>
      <c r="N53" s="54">
        <v>0</v>
      </c>
      <c r="O53" s="54">
        <v>0</v>
      </c>
      <c r="P53" s="54">
        <v>7</v>
      </c>
      <c r="R53" s="54">
        <f t="shared" si="4"/>
        <v>340</v>
      </c>
      <c r="S53" s="54">
        <v>1000</v>
      </c>
      <c r="T53" s="54">
        <f t="shared" si="5"/>
        <v>0</v>
      </c>
      <c r="U53" s="54">
        <v>10</v>
      </c>
      <c r="V53" s="54">
        <f t="shared" si="6"/>
        <v>6480</v>
      </c>
      <c r="W53" s="54"/>
      <c r="X53" s="54">
        <v>3</v>
      </c>
      <c r="Y53" s="54">
        <v>2</v>
      </c>
      <c r="Z53" s="52"/>
      <c r="AA53" s="54">
        <f t="shared" si="7"/>
        <v>180</v>
      </c>
      <c r="AB53" s="54">
        <f t="shared" si="8"/>
        <v>1000</v>
      </c>
    </row>
    <row r="54" spans="1:28" ht="15.75" customHeight="1">
      <c r="A54" s="51">
        <v>1</v>
      </c>
      <c r="B54" s="54">
        <v>1058</v>
      </c>
      <c r="C54" s="68" t="s">
        <v>223</v>
      </c>
      <c r="D54" s="54">
        <v>3</v>
      </c>
      <c r="E54" s="54">
        <v>1</v>
      </c>
      <c r="F54" s="54">
        <f t="shared" si="1"/>
        <v>370</v>
      </c>
      <c r="G54" s="54">
        <f t="shared" si="2"/>
        <v>93</v>
      </c>
      <c r="H54" s="54">
        <f t="shared" si="3"/>
        <v>670</v>
      </c>
      <c r="I54" s="54">
        <v>1</v>
      </c>
      <c r="J54" s="54">
        <v>0</v>
      </c>
      <c r="L54" s="54">
        <f t="shared" si="0"/>
        <v>6</v>
      </c>
      <c r="M54" s="54">
        <v>0</v>
      </c>
      <c r="N54" s="54">
        <v>1</v>
      </c>
      <c r="O54" s="54">
        <v>0</v>
      </c>
      <c r="P54" s="54">
        <v>3</v>
      </c>
      <c r="R54" s="54">
        <f t="shared" si="4"/>
        <v>670</v>
      </c>
      <c r="S54" s="54">
        <v>1000</v>
      </c>
      <c r="T54" s="54">
        <f t="shared" si="5"/>
        <v>5</v>
      </c>
      <c r="U54" s="54">
        <v>10</v>
      </c>
      <c r="V54" s="54">
        <f t="shared" si="6"/>
        <v>2780</v>
      </c>
      <c r="W54" s="54"/>
      <c r="X54" s="54">
        <v>3</v>
      </c>
      <c r="Y54" s="54">
        <v>2</v>
      </c>
      <c r="Z54" s="52"/>
      <c r="AA54" s="54">
        <f t="shared" si="7"/>
        <v>180</v>
      </c>
      <c r="AB54" s="54">
        <f t="shared" si="8"/>
        <v>1000</v>
      </c>
    </row>
    <row r="55" spans="1:28" ht="15.75" customHeight="1">
      <c r="A55" s="51">
        <v>1</v>
      </c>
      <c r="B55" s="54">
        <v>1059</v>
      </c>
      <c r="C55" s="68" t="s">
        <v>224</v>
      </c>
      <c r="D55" s="54">
        <v>3</v>
      </c>
      <c r="E55" s="54">
        <v>1</v>
      </c>
      <c r="F55" s="54">
        <f t="shared" si="1"/>
        <v>370</v>
      </c>
      <c r="G55" s="54">
        <f t="shared" si="2"/>
        <v>93</v>
      </c>
      <c r="H55" s="54">
        <f t="shared" si="3"/>
        <v>670</v>
      </c>
      <c r="I55" s="54">
        <v>1</v>
      </c>
      <c r="J55" s="54">
        <v>0</v>
      </c>
      <c r="L55" s="54">
        <f t="shared" si="0"/>
        <v>6</v>
      </c>
      <c r="M55" s="54">
        <v>0</v>
      </c>
      <c r="N55" s="54">
        <v>0</v>
      </c>
      <c r="O55" s="54">
        <v>0</v>
      </c>
      <c r="P55" s="54">
        <v>4</v>
      </c>
      <c r="R55" s="54">
        <f t="shared" si="4"/>
        <v>670</v>
      </c>
      <c r="S55" s="54">
        <v>1000</v>
      </c>
      <c r="T55" s="54">
        <f t="shared" si="5"/>
        <v>0</v>
      </c>
      <c r="U55" s="54">
        <v>10</v>
      </c>
      <c r="V55" s="54">
        <f t="shared" si="6"/>
        <v>3700</v>
      </c>
      <c r="W55" s="54"/>
      <c r="X55" s="54">
        <v>3</v>
      </c>
      <c r="Y55" s="54">
        <v>2</v>
      </c>
      <c r="Z55" s="52"/>
      <c r="AA55" s="54">
        <f t="shared" si="7"/>
        <v>180</v>
      </c>
      <c r="AB55" s="54">
        <f t="shared" si="8"/>
        <v>1000</v>
      </c>
    </row>
    <row r="56" spans="1:28" ht="15.75" customHeight="1">
      <c r="A56" s="51">
        <v>1</v>
      </c>
      <c r="B56" s="54">
        <v>1060</v>
      </c>
      <c r="C56" s="68" t="s">
        <v>225</v>
      </c>
      <c r="D56" s="54">
        <v>4</v>
      </c>
      <c r="E56" s="54">
        <v>0</v>
      </c>
      <c r="F56" s="54">
        <f t="shared" si="1"/>
        <v>350</v>
      </c>
      <c r="G56" s="54">
        <f t="shared" si="2"/>
        <v>88</v>
      </c>
      <c r="H56" s="54">
        <f t="shared" si="3"/>
        <v>420</v>
      </c>
      <c r="I56" s="54">
        <v>1</v>
      </c>
      <c r="J56" s="54">
        <v>0</v>
      </c>
      <c r="L56" s="54">
        <f t="shared" si="0"/>
        <v>4</v>
      </c>
      <c r="M56" s="54">
        <v>0</v>
      </c>
      <c r="N56" s="54">
        <v>0</v>
      </c>
      <c r="O56" s="54">
        <v>0</v>
      </c>
      <c r="P56" s="54">
        <v>6</v>
      </c>
      <c r="R56" s="54">
        <f t="shared" si="4"/>
        <v>420</v>
      </c>
      <c r="S56" s="54">
        <v>1000</v>
      </c>
      <c r="T56" s="54">
        <f t="shared" si="5"/>
        <v>0</v>
      </c>
      <c r="U56" s="54">
        <v>10</v>
      </c>
      <c r="V56" s="54">
        <f t="shared" si="6"/>
        <v>5250</v>
      </c>
      <c r="W56" s="54"/>
      <c r="X56" s="54">
        <v>3</v>
      </c>
      <c r="Y56" s="54">
        <v>2</v>
      </c>
      <c r="Z56" s="52"/>
      <c r="AA56" s="54">
        <f t="shared" si="7"/>
        <v>180</v>
      </c>
      <c r="AB56" s="54">
        <f t="shared" si="8"/>
        <v>1000</v>
      </c>
    </row>
    <row r="57" spans="1:28" ht="15.75" customHeight="1">
      <c r="A57" s="51">
        <v>1</v>
      </c>
      <c r="B57" s="54">
        <v>1061</v>
      </c>
      <c r="C57" s="68" t="s">
        <v>226</v>
      </c>
      <c r="D57" s="54">
        <v>4</v>
      </c>
      <c r="E57" s="54">
        <v>0</v>
      </c>
      <c r="F57" s="54">
        <f t="shared" si="1"/>
        <v>350</v>
      </c>
      <c r="G57" s="54">
        <f t="shared" si="2"/>
        <v>88</v>
      </c>
      <c r="H57" s="54">
        <f t="shared" si="3"/>
        <v>630</v>
      </c>
      <c r="I57" s="54">
        <v>1</v>
      </c>
      <c r="J57" s="54">
        <v>0</v>
      </c>
      <c r="L57" s="54">
        <f t="shared" si="0"/>
        <v>6</v>
      </c>
      <c r="M57" s="54">
        <v>0</v>
      </c>
      <c r="N57" s="54">
        <v>0</v>
      </c>
      <c r="O57" s="54">
        <v>0</v>
      </c>
      <c r="P57" s="54">
        <v>4</v>
      </c>
      <c r="R57" s="54">
        <f t="shared" si="4"/>
        <v>630</v>
      </c>
      <c r="S57" s="54">
        <v>1000</v>
      </c>
      <c r="T57" s="54">
        <f t="shared" si="5"/>
        <v>0</v>
      </c>
      <c r="U57" s="54">
        <v>10</v>
      </c>
      <c r="V57" s="54">
        <f t="shared" si="6"/>
        <v>3500</v>
      </c>
      <c r="W57" s="54"/>
      <c r="X57" s="54">
        <v>3</v>
      </c>
      <c r="Y57" s="54">
        <v>2</v>
      </c>
      <c r="Z57" s="52"/>
      <c r="AA57" s="54">
        <f t="shared" si="7"/>
        <v>180</v>
      </c>
      <c r="AB57" s="54">
        <f t="shared" si="8"/>
        <v>1000</v>
      </c>
    </row>
    <row r="58" spans="1:28" ht="15.75" customHeight="1">
      <c r="A58" s="51">
        <v>1</v>
      </c>
      <c r="B58" s="54">
        <v>1062</v>
      </c>
      <c r="C58" s="68" t="s">
        <v>227</v>
      </c>
      <c r="D58" s="54">
        <v>4</v>
      </c>
      <c r="E58" s="54">
        <v>0</v>
      </c>
      <c r="F58" s="54">
        <f t="shared" si="1"/>
        <v>350</v>
      </c>
      <c r="G58" s="54">
        <f t="shared" si="2"/>
        <v>88</v>
      </c>
      <c r="H58" s="54">
        <f t="shared" si="3"/>
        <v>350</v>
      </c>
      <c r="I58" s="54">
        <v>1</v>
      </c>
      <c r="J58" s="54">
        <v>1</v>
      </c>
      <c r="L58" s="54">
        <f t="shared" si="0"/>
        <v>5</v>
      </c>
      <c r="M58" s="54">
        <v>0</v>
      </c>
      <c r="N58" s="54">
        <v>0</v>
      </c>
      <c r="O58" s="54">
        <v>0</v>
      </c>
      <c r="P58" s="54">
        <v>5</v>
      </c>
      <c r="R58" s="54">
        <f t="shared" si="4"/>
        <v>350</v>
      </c>
      <c r="S58" s="54">
        <v>1000</v>
      </c>
      <c r="T58" s="54">
        <f t="shared" si="5"/>
        <v>0</v>
      </c>
      <c r="U58" s="54">
        <v>10</v>
      </c>
      <c r="V58" s="54">
        <f t="shared" si="6"/>
        <v>2630</v>
      </c>
      <c r="W58" s="54"/>
      <c r="X58" s="54">
        <v>3</v>
      </c>
      <c r="Y58" s="54">
        <v>2</v>
      </c>
      <c r="Z58" s="52"/>
      <c r="AA58" s="54">
        <f t="shared" si="7"/>
        <v>120</v>
      </c>
      <c r="AB58" s="54">
        <f t="shared" si="8"/>
        <v>600</v>
      </c>
    </row>
    <row r="59" spans="1:28" ht="15.75" customHeight="1">
      <c r="A59" s="51">
        <v>1</v>
      </c>
      <c r="B59" s="54">
        <v>1063</v>
      </c>
      <c r="C59" s="68" t="s">
        <v>228</v>
      </c>
      <c r="D59" s="54">
        <v>4</v>
      </c>
      <c r="E59" s="54">
        <v>0</v>
      </c>
      <c r="F59" s="54">
        <f t="shared" si="1"/>
        <v>350</v>
      </c>
      <c r="G59" s="54">
        <f t="shared" si="2"/>
        <v>88</v>
      </c>
      <c r="H59" s="54">
        <f t="shared" si="3"/>
        <v>420</v>
      </c>
      <c r="I59" s="54">
        <v>1</v>
      </c>
      <c r="J59" s="54">
        <v>1</v>
      </c>
      <c r="L59" s="54">
        <f t="shared" si="0"/>
        <v>6</v>
      </c>
      <c r="M59" s="54">
        <v>0</v>
      </c>
      <c r="N59" s="54">
        <v>0</v>
      </c>
      <c r="O59" s="54">
        <v>0</v>
      </c>
      <c r="P59" s="54">
        <v>4</v>
      </c>
      <c r="R59" s="54">
        <f t="shared" si="4"/>
        <v>420</v>
      </c>
      <c r="S59" s="54">
        <v>1000</v>
      </c>
      <c r="T59" s="54">
        <f t="shared" si="5"/>
        <v>0</v>
      </c>
      <c r="U59" s="54">
        <v>10</v>
      </c>
      <c r="V59" s="54">
        <f t="shared" si="6"/>
        <v>2100</v>
      </c>
      <c r="W59" s="54"/>
      <c r="X59" s="54">
        <v>3</v>
      </c>
      <c r="Y59" s="54">
        <v>2</v>
      </c>
      <c r="Z59" s="52"/>
      <c r="AA59" s="54">
        <f t="shared" si="7"/>
        <v>120</v>
      </c>
      <c r="AB59" s="54">
        <f t="shared" si="8"/>
        <v>600</v>
      </c>
    </row>
    <row r="60" spans="1:28" ht="15.75" customHeight="1">
      <c r="A60" s="51">
        <v>1</v>
      </c>
      <c r="B60" s="101">
        <v>1064</v>
      </c>
      <c r="C60" s="102" t="s">
        <v>229</v>
      </c>
      <c r="D60" s="101">
        <v>4</v>
      </c>
      <c r="E60" s="101">
        <v>1</v>
      </c>
      <c r="F60" s="54">
        <f t="shared" si="1"/>
        <v>450</v>
      </c>
      <c r="G60" s="54">
        <f t="shared" si="2"/>
        <v>113</v>
      </c>
      <c r="H60" s="101">
        <f t="shared" si="3"/>
        <v>540</v>
      </c>
      <c r="I60" s="101">
        <v>1</v>
      </c>
      <c r="J60" s="101">
        <v>1</v>
      </c>
      <c r="L60" s="101">
        <f t="shared" si="0"/>
        <v>6</v>
      </c>
      <c r="M60" s="101">
        <v>0</v>
      </c>
      <c r="N60" s="101">
        <v>0</v>
      </c>
      <c r="O60" s="101">
        <v>0</v>
      </c>
      <c r="P60" s="101">
        <v>4</v>
      </c>
      <c r="R60" s="54">
        <f t="shared" si="4"/>
        <v>540</v>
      </c>
      <c r="S60" s="101">
        <v>1000</v>
      </c>
      <c r="T60" s="101">
        <f t="shared" si="5"/>
        <v>0</v>
      </c>
      <c r="U60" s="101">
        <v>10</v>
      </c>
      <c r="V60" s="54">
        <f t="shared" si="6"/>
        <v>2700</v>
      </c>
      <c r="W60" s="101"/>
      <c r="X60" s="101">
        <v>3</v>
      </c>
      <c r="Y60" s="101">
        <v>2</v>
      </c>
      <c r="Z60" s="52"/>
      <c r="AA60" s="54">
        <f t="shared" si="7"/>
        <v>120</v>
      </c>
      <c r="AB60" s="54">
        <f t="shared" si="8"/>
        <v>600</v>
      </c>
    </row>
    <row r="61" spans="1:28" ht="15.75" customHeight="1">
      <c r="A61" s="51">
        <v>1</v>
      </c>
      <c r="B61" s="104">
        <v>1065</v>
      </c>
      <c r="C61" s="105" t="s">
        <v>230</v>
      </c>
      <c r="D61" s="104">
        <v>4</v>
      </c>
      <c r="E61" s="104">
        <v>1</v>
      </c>
      <c r="F61" s="54">
        <f t="shared" si="1"/>
        <v>450</v>
      </c>
      <c r="G61" s="54">
        <f t="shared" si="2"/>
        <v>113</v>
      </c>
      <c r="H61" s="104">
        <f t="shared" si="3"/>
        <v>540</v>
      </c>
      <c r="I61" s="104">
        <v>1</v>
      </c>
      <c r="J61" s="104">
        <v>0</v>
      </c>
      <c r="L61" s="104">
        <f t="shared" si="0"/>
        <v>4</v>
      </c>
      <c r="M61" s="104">
        <v>0</v>
      </c>
      <c r="N61" s="104">
        <v>2</v>
      </c>
      <c r="O61" s="104">
        <v>0</v>
      </c>
      <c r="P61" s="104">
        <v>4</v>
      </c>
      <c r="Q61" s="107"/>
      <c r="R61" s="54">
        <f t="shared" si="4"/>
        <v>540</v>
      </c>
      <c r="S61" s="104">
        <v>1000</v>
      </c>
      <c r="T61" s="104">
        <f t="shared" si="5"/>
        <v>10</v>
      </c>
      <c r="U61" s="104">
        <v>10</v>
      </c>
      <c r="V61" s="54">
        <f t="shared" si="6"/>
        <v>4500</v>
      </c>
      <c r="W61" s="104"/>
      <c r="X61" s="104">
        <v>3</v>
      </c>
      <c r="Y61" s="104">
        <v>2</v>
      </c>
      <c r="Z61" s="104"/>
      <c r="AA61" s="54">
        <f t="shared" si="7"/>
        <v>180</v>
      </c>
      <c r="AB61" s="54">
        <f t="shared" si="8"/>
        <v>1000</v>
      </c>
    </row>
    <row r="62" spans="1:28" s="111" customFormat="1" ht="15.75" customHeight="1" thickBot="1">
      <c r="A62" s="111">
        <v>1</v>
      </c>
      <c r="B62" s="112">
        <v>1066</v>
      </c>
      <c r="C62" s="117" t="s">
        <v>231</v>
      </c>
      <c r="D62" s="112">
        <v>4</v>
      </c>
      <c r="E62" s="112">
        <v>1</v>
      </c>
      <c r="F62" s="54">
        <f t="shared" si="1"/>
        <v>450</v>
      </c>
      <c r="G62" s="54">
        <f t="shared" si="2"/>
        <v>113</v>
      </c>
      <c r="H62" s="112">
        <f t="shared" si="3"/>
        <v>270</v>
      </c>
      <c r="I62" s="112">
        <v>1</v>
      </c>
      <c r="J62" s="112">
        <v>1</v>
      </c>
      <c r="K62" s="114"/>
      <c r="L62" s="112">
        <f t="shared" si="0"/>
        <v>3</v>
      </c>
      <c r="M62" s="112">
        <v>0</v>
      </c>
      <c r="N62" s="112">
        <v>2</v>
      </c>
      <c r="O62" s="112">
        <v>0</v>
      </c>
      <c r="P62" s="112">
        <v>5</v>
      </c>
      <c r="Q62" s="115"/>
      <c r="R62" s="54">
        <f t="shared" si="4"/>
        <v>270</v>
      </c>
      <c r="S62" s="112">
        <v>1000</v>
      </c>
      <c r="T62" s="112">
        <f t="shared" si="5"/>
        <v>10</v>
      </c>
      <c r="U62" s="112">
        <v>10</v>
      </c>
      <c r="V62" s="54">
        <f t="shared" si="6"/>
        <v>3380</v>
      </c>
      <c r="W62" s="112"/>
      <c r="X62" s="112">
        <v>3</v>
      </c>
      <c r="Y62" s="112">
        <v>2</v>
      </c>
      <c r="Z62" s="112"/>
      <c r="AA62" s="54">
        <f t="shared" si="7"/>
        <v>120</v>
      </c>
      <c r="AB62" s="54">
        <f t="shared" si="8"/>
        <v>600</v>
      </c>
    </row>
    <row r="63" spans="1:28" ht="15.75" customHeight="1" thickTop="1">
      <c r="A63" s="51">
        <v>1</v>
      </c>
      <c r="B63" s="108">
        <v>11001</v>
      </c>
      <c r="C63" s="116" t="s">
        <v>400</v>
      </c>
      <c r="D63" s="108">
        <v>1</v>
      </c>
      <c r="E63" s="108">
        <v>0</v>
      </c>
      <c r="F63" s="54">
        <f t="shared" si="1"/>
        <v>100</v>
      </c>
      <c r="G63" s="54">
        <f t="shared" si="2"/>
        <v>25</v>
      </c>
      <c r="H63" s="108">
        <f t="shared" si="3"/>
        <v>180</v>
      </c>
      <c r="I63" s="108">
        <v>1</v>
      </c>
      <c r="J63" s="108">
        <v>0</v>
      </c>
      <c r="K63" s="57"/>
      <c r="L63" s="54">
        <f t="shared" ref="L63:L64" si="9">10-SUM(M63:P63)</f>
        <v>6</v>
      </c>
      <c r="M63" s="54">
        <v>0</v>
      </c>
      <c r="N63" s="54">
        <v>0</v>
      </c>
      <c r="O63" s="54">
        <v>0</v>
      </c>
      <c r="P63" s="54">
        <v>4</v>
      </c>
      <c r="R63" s="54">
        <f t="shared" si="4"/>
        <v>180</v>
      </c>
      <c r="S63" s="54">
        <v>1000</v>
      </c>
      <c r="T63" s="54">
        <f t="shared" ref="T63:T64" si="10">N63*5</f>
        <v>0</v>
      </c>
      <c r="U63" s="54">
        <v>10</v>
      </c>
      <c r="V63" s="54">
        <f t="shared" si="6"/>
        <v>1000</v>
      </c>
      <c r="W63" s="54"/>
      <c r="X63" s="54">
        <v>3</v>
      </c>
      <c r="Y63" s="54">
        <v>2</v>
      </c>
      <c r="Z63" s="52"/>
      <c r="AA63" s="54">
        <f t="shared" si="7"/>
        <v>180</v>
      </c>
      <c r="AB63" s="54">
        <f t="shared" si="8"/>
        <v>1000</v>
      </c>
    </row>
    <row r="64" spans="1:28" ht="15.75" customHeight="1">
      <c r="A64" s="51">
        <v>1</v>
      </c>
      <c r="B64" s="104">
        <v>11002</v>
      </c>
      <c r="C64" s="106" t="s">
        <v>401</v>
      </c>
      <c r="D64" s="104">
        <v>1</v>
      </c>
      <c r="E64" s="104">
        <v>0</v>
      </c>
      <c r="F64" s="54">
        <f t="shared" si="1"/>
        <v>100</v>
      </c>
      <c r="G64" s="54">
        <f t="shared" si="2"/>
        <v>25</v>
      </c>
      <c r="H64" s="104">
        <f t="shared" si="3"/>
        <v>140</v>
      </c>
      <c r="I64" s="104">
        <v>1</v>
      </c>
      <c r="J64" s="104">
        <v>1</v>
      </c>
      <c r="K64" s="57"/>
      <c r="L64" s="54">
        <f t="shared" si="9"/>
        <v>7</v>
      </c>
      <c r="M64" s="54">
        <v>0</v>
      </c>
      <c r="N64" s="54">
        <v>1</v>
      </c>
      <c r="O64" s="54">
        <v>0</v>
      </c>
      <c r="P64" s="54">
        <v>2</v>
      </c>
      <c r="R64" s="54">
        <f t="shared" si="4"/>
        <v>140</v>
      </c>
      <c r="S64" s="54">
        <v>1000</v>
      </c>
      <c r="T64" s="54">
        <f t="shared" si="10"/>
        <v>5</v>
      </c>
      <c r="U64" s="54">
        <v>10</v>
      </c>
      <c r="V64" s="54">
        <f t="shared" si="6"/>
        <v>300</v>
      </c>
      <c r="W64" s="54"/>
      <c r="X64" s="54">
        <v>3</v>
      </c>
      <c r="Y64" s="54">
        <v>2</v>
      </c>
      <c r="Z64" s="52"/>
      <c r="AA64" s="54">
        <f t="shared" si="7"/>
        <v>120</v>
      </c>
      <c r="AB64" s="54">
        <f t="shared" si="8"/>
        <v>600</v>
      </c>
    </row>
    <row r="65" spans="1:28" ht="15.75" customHeight="1">
      <c r="A65" s="51">
        <v>1</v>
      </c>
      <c r="B65" s="104">
        <v>11003</v>
      </c>
      <c r="C65" s="106" t="s">
        <v>402</v>
      </c>
      <c r="D65" s="104">
        <v>1</v>
      </c>
      <c r="E65" s="104">
        <v>0</v>
      </c>
      <c r="F65" s="54">
        <f t="shared" si="1"/>
        <v>100</v>
      </c>
      <c r="G65" s="54">
        <f t="shared" si="2"/>
        <v>25</v>
      </c>
      <c r="H65" s="104">
        <f t="shared" si="3"/>
        <v>180</v>
      </c>
      <c r="I65" s="104">
        <v>1</v>
      </c>
      <c r="J65" s="104">
        <v>0</v>
      </c>
      <c r="K65" s="57"/>
      <c r="L65" s="54">
        <f t="shared" ref="L65:L74" si="11">10-SUM(M65:P65)</f>
        <v>6</v>
      </c>
      <c r="M65" s="54">
        <v>0</v>
      </c>
      <c r="N65" s="54">
        <v>0</v>
      </c>
      <c r="O65" s="54">
        <v>0</v>
      </c>
      <c r="P65" s="54">
        <v>4</v>
      </c>
      <c r="R65" s="54">
        <f t="shared" si="4"/>
        <v>180</v>
      </c>
      <c r="S65" s="54">
        <v>1000</v>
      </c>
      <c r="T65" s="54">
        <f t="shared" ref="T65:T74" si="12">N65*5</f>
        <v>0</v>
      </c>
      <c r="U65" s="54">
        <v>10</v>
      </c>
      <c r="V65" s="54">
        <f t="shared" si="6"/>
        <v>1000</v>
      </c>
      <c r="W65" s="54"/>
      <c r="X65" s="54">
        <v>3</v>
      </c>
      <c r="Y65" s="54">
        <v>2</v>
      </c>
      <c r="Z65" s="52"/>
      <c r="AA65" s="54">
        <f t="shared" si="7"/>
        <v>180</v>
      </c>
      <c r="AB65" s="54">
        <f t="shared" si="8"/>
        <v>1000</v>
      </c>
    </row>
    <row r="66" spans="1:28" ht="15.75" customHeight="1">
      <c r="A66" s="51">
        <v>1</v>
      </c>
      <c r="B66" s="104">
        <v>11004</v>
      </c>
      <c r="C66" s="106" t="s">
        <v>403</v>
      </c>
      <c r="D66" s="104">
        <v>1</v>
      </c>
      <c r="E66" s="104">
        <v>1</v>
      </c>
      <c r="F66" s="54">
        <f t="shared" si="1"/>
        <v>200</v>
      </c>
      <c r="G66" s="54">
        <f t="shared" si="2"/>
        <v>50</v>
      </c>
      <c r="H66" s="104">
        <f t="shared" si="3"/>
        <v>240</v>
      </c>
      <c r="I66" s="104">
        <v>1</v>
      </c>
      <c r="J66" s="104">
        <v>1</v>
      </c>
      <c r="K66" s="57"/>
      <c r="L66" s="54">
        <f t="shared" si="11"/>
        <v>6</v>
      </c>
      <c r="M66" s="54">
        <v>0</v>
      </c>
      <c r="N66" s="54">
        <v>0</v>
      </c>
      <c r="O66" s="54">
        <v>0</v>
      </c>
      <c r="P66" s="54">
        <v>4</v>
      </c>
      <c r="R66" s="54">
        <f t="shared" si="4"/>
        <v>240</v>
      </c>
      <c r="S66" s="54">
        <v>1000</v>
      </c>
      <c r="T66" s="54">
        <f t="shared" si="12"/>
        <v>0</v>
      </c>
      <c r="U66" s="54">
        <v>10</v>
      </c>
      <c r="V66" s="54">
        <f t="shared" si="6"/>
        <v>1200</v>
      </c>
      <c r="W66" s="54"/>
      <c r="X66" s="54">
        <v>3</v>
      </c>
      <c r="Y66" s="54">
        <v>2</v>
      </c>
      <c r="Z66" s="52"/>
      <c r="AA66" s="54">
        <f t="shared" si="7"/>
        <v>120</v>
      </c>
      <c r="AB66" s="54">
        <f t="shared" si="8"/>
        <v>600</v>
      </c>
    </row>
    <row r="67" spans="1:28" ht="15.75" customHeight="1">
      <c r="A67" s="51">
        <v>1</v>
      </c>
      <c r="B67" s="104">
        <v>11005</v>
      </c>
      <c r="C67" s="106" t="s">
        <v>404</v>
      </c>
      <c r="D67" s="104">
        <v>1</v>
      </c>
      <c r="E67" s="104">
        <v>0</v>
      </c>
      <c r="F67" s="54">
        <f t="shared" si="1"/>
        <v>100</v>
      </c>
      <c r="G67" s="54">
        <f t="shared" si="2"/>
        <v>25</v>
      </c>
      <c r="H67" s="104">
        <f t="shared" si="3"/>
        <v>180</v>
      </c>
      <c r="I67" s="104">
        <v>1</v>
      </c>
      <c r="J67" s="104">
        <v>0</v>
      </c>
      <c r="K67" s="57"/>
      <c r="L67" s="54">
        <f t="shared" si="11"/>
        <v>6</v>
      </c>
      <c r="M67" s="54">
        <v>0</v>
      </c>
      <c r="N67" s="54">
        <v>0</v>
      </c>
      <c r="O67" s="54">
        <v>0</v>
      </c>
      <c r="P67" s="54">
        <v>4</v>
      </c>
      <c r="R67" s="54">
        <f t="shared" si="4"/>
        <v>180</v>
      </c>
      <c r="S67" s="54">
        <v>1000</v>
      </c>
      <c r="T67" s="54">
        <f t="shared" si="12"/>
        <v>0</v>
      </c>
      <c r="U67" s="54">
        <v>10</v>
      </c>
      <c r="V67" s="54">
        <f t="shared" si="6"/>
        <v>1000</v>
      </c>
      <c r="W67" s="54"/>
      <c r="X67" s="54">
        <v>3</v>
      </c>
      <c r="Y67" s="54">
        <v>2</v>
      </c>
      <c r="Z67" s="52"/>
      <c r="AA67" s="54">
        <f t="shared" si="7"/>
        <v>180</v>
      </c>
      <c r="AB67" s="54">
        <f t="shared" si="8"/>
        <v>1000</v>
      </c>
    </row>
    <row r="68" spans="1:28" ht="15.75" customHeight="1">
      <c r="A68" s="51">
        <v>1</v>
      </c>
      <c r="B68" s="104">
        <v>11006</v>
      </c>
      <c r="C68" s="106" t="s">
        <v>405</v>
      </c>
      <c r="D68" s="104">
        <v>1</v>
      </c>
      <c r="E68" s="104">
        <v>0</v>
      </c>
      <c r="F68" s="54">
        <f t="shared" si="1"/>
        <v>100</v>
      </c>
      <c r="G68" s="54">
        <f t="shared" si="2"/>
        <v>25</v>
      </c>
      <c r="H68" s="104">
        <f t="shared" si="3"/>
        <v>180</v>
      </c>
      <c r="I68" s="104">
        <v>1</v>
      </c>
      <c r="J68" s="104">
        <v>0</v>
      </c>
      <c r="K68" s="57"/>
      <c r="L68" s="54">
        <f t="shared" si="11"/>
        <v>6</v>
      </c>
      <c r="M68" s="54">
        <v>0</v>
      </c>
      <c r="N68" s="54">
        <v>0</v>
      </c>
      <c r="O68" s="54">
        <v>0</v>
      </c>
      <c r="P68" s="54">
        <v>4</v>
      </c>
      <c r="R68" s="54">
        <f>ROUNDUP(IF($J68=0,
INDEX($C$4:$C$13,MATCH(R$30,$B$4:$B$13,0))
*(($F68)
*(L68/(SUM($L68:$P68)))),
INDEX($D$4:$D$13,MATCH(R$30,$B$4:$B$13,0))
*(($F68)
*(L68/(SUM($L68:$P68))))),-1)
*S68/1000</f>
        <v>180</v>
      </c>
      <c r="S68" s="54">
        <v>1000</v>
      </c>
      <c r="T68" s="54">
        <f t="shared" si="12"/>
        <v>0</v>
      </c>
      <c r="U68" s="54">
        <v>10</v>
      </c>
      <c r="V68" s="54">
        <f t="shared" si="6"/>
        <v>1000</v>
      </c>
      <c r="W68" s="54"/>
      <c r="X68" s="54">
        <v>3</v>
      </c>
      <c r="Y68" s="54">
        <v>2</v>
      </c>
      <c r="Z68" s="52"/>
      <c r="AA68" s="54">
        <f t="shared" si="7"/>
        <v>180</v>
      </c>
      <c r="AB68" s="54">
        <f t="shared" si="8"/>
        <v>1000</v>
      </c>
    </row>
    <row r="69" spans="1:28" ht="15.75" customHeight="1">
      <c r="A69" s="51">
        <v>1</v>
      </c>
      <c r="B69" s="104">
        <v>11007</v>
      </c>
      <c r="C69" s="106" t="s">
        <v>406</v>
      </c>
      <c r="D69" s="104">
        <v>1</v>
      </c>
      <c r="E69" s="104">
        <v>0</v>
      </c>
      <c r="F69" s="54">
        <f t="shared" si="1"/>
        <v>100</v>
      </c>
      <c r="G69" s="54">
        <f t="shared" si="2"/>
        <v>25</v>
      </c>
      <c r="H69" s="104">
        <f t="shared" si="3"/>
        <v>180</v>
      </c>
      <c r="I69" s="104">
        <v>1</v>
      </c>
      <c r="J69" s="104">
        <v>0</v>
      </c>
      <c r="K69" s="57"/>
      <c r="L69" s="54">
        <f t="shared" si="11"/>
        <v>6</v>
      </c>
      <c r="M69" s="54">
        <v>0</v>
      </c>
      <c r="N69" s="54">
        <v>0</v>
      </c>
      <c r="O69" s="54">
        <v>0</v>
      </c>
      <c r="P69" s="54">
        <v>4</v>
      </c>
      <c r="R69" s="54">
        <f t="shared" si="4"/>
        <v>180</v>
      </c>
      <c r="S69" s="54">
        <v>1000</v>
      </c>
      <c r="T69" s="54">
        <f t="shared" si="12"/>
        <v>0</v>
      </c>
      <c r="U69" s="54">
        <v>10</v>
      </c>
      <c r="V69" s="54">
        <f t="shared" si="6"/>
        <v>1000</v>
      </c>
      <c r="W69" s="54"/>
      <c r="X69" s="54">
        <v>3</v>
      </c>
      <c r="Y69" s="54">
        <v>2</v>
      </c>
      <c r="Z69" s="52"/>
      <c r="AA69" s="54">
        <f t="shared" si="7"/>
        <v>180</v>
      </c>
      <c r="AB69" s="54">
        <f t="shared" si="8"/>
        <v>1000</v>
      </c>
    </row>
    <row r="70" spans="1:28" ht="15.75" customHeight="1">
      <c r="A70" s="51">
        <v>1</v>
      </c>
      <c r="B70" s="104">
        <v>11008</v>
      </c>
      <c r="C70" s="106" t="s">
        <v>407</v>
      </c>
      <c r="D70" s="104">
        <v>1</v>
      </c>
      <c r="E70" s="104">
        <v>0</v>
      </c>
      <c r="F70" s="54">
        <f t="shared" si="1"/>
        <v>100</v>
      </c>
      <c r="G70" s="54">
        <f t="shared" si="2"/>
        <v>25</v>
      </c>
      <c r="H70" s="104">
        <f t="shared" si="3"/>
        <v>180</v>
      </c>
      <c r="I70" s="104">
        <v>1</v>
      </c>
      <c r="J70" s="104">
        <v>0</v>
      </c>
      <c r="K70" s="57"/>
      <c r="L70" s="54">
        <f t="shared" si="11"/>
        <v>6</v>
      </c>
      <c r="M70" s="54">
        <v>0</v>
      </c>
      <c r="N70" s="54">
        <v>0</v>
      </c>
      <c r="O70" s="54">
        <v>0</v>
      </c>
      <c r="P70" s="54">
        <v>4</v>
      </c>
      <c r="R70" s="54">
        <f t="shared" si="4"/>
        <v>180</v>
      </c>
      <c r="S70" s="54">
        <v>1000</v>
      </c>
      <c r="T70" s="54">
        <f t="shared" si="12"/>
        <v>0</v>
      </c>
      <c r="U70" s="54">
        <v>10</v>
      </c>
      <c r="V70" s="54">
        <f t="shared" si="6"/>
        <v>1000</v>
      </c>
      <c r="W70" s="54"/>
      <c r="X70" s="54">
        <v>3</v>
      </c>
      <c r="Y70" s="54">
        <v>2</v>
      </c>
      <c r="Z70" s="52"/>
      <c r="AA70" s="54">
        <f t="shared" si="7"/>
        <v>180</v>
      </c>
      <c r="AB70" s="54">
        <f t="shared" si="8"/>
        <v>1000</v>
      </c>
    </row>
    <row r="71" spans="1:28" ht="15.75" customHeight="1">
      <c r="A71" s="51">
        <v>1</v>
      </c>
      <c r="B71" s="104">
        <v>11009</v>
      </c>
      <c r="C71" s="106" t="s">
        <v>211</v>
      </c>
      <c r="D71" s="104">
        <v>1</v>
      </c>
      <c r="E71" s="104">
        <v>0</v>
      </c>
      <c r="F71" s="54">
        <f t="shared" si="1"/>
        <v>100</v>
      </c>
      <c r="G71" s="54">
        <f t="shared" si="2"/>
        <v>25</v>
      </c>
      <c r="H71" s="104">
        <f t="shared" si="3"/>
        <v>180</v>
      </c>
      <c r="I71" s="104">
        <v>1</v>
      </c>
      <c r="J71" s="104">
        <v>0</v>
      </c>
      <c r="K71" s="57"/>
      <c r="L71" s="54">
        <f t="shared" si="11"/>
        <v>6</v>
      </c>
      <c r="M71" s="54">
        <v>0</v>
      </c>
      <c r="N71" s="54">
        <v>0</v>
      </c>
      <c r="O71" s="54">
        <v>0</v>
      </c>
      <c r="P71" s="54">
        <v>4</v>
      </c>
      <c r="R71" s="54">
        <f t="shared" si="4"/>
        <v>180</v>
      </c>
      <c r="S71" s="54">
        <v>1000</v>
      </c>
      <c r="T71" s="54">
        <f t="shared" si="12"/>
        <v>0</v>
      </c>
      <c r="U71" s="54">
        <v>10</v>
      </c>
      <c r="V71" s="54">
        <f t="shared" si="6"/>
        <v>1000</v>
      </c>
      <c r="W71" s="54"/>
      <c r="X71" s="54">
        <v>3</v>
      </c>
      <c r="Y71" s="54">
        <v>2</v>
      </c>
      <c r="Z71" s="52"/>
      <c r="AA71" s="54">
        <f t="shared" si="7"/>
        <v>180</v>
      </c>
      <c r="AB71" s="54">
        <f t="shared" si="8"/>
        <v>1000</v>
      </c>
    </row>
    <row r="72" spans="1:28" ht="15.75" customHeight="1">
      <c r="A72" s="51">
        <v>1</v>
      </c>
      <c r="B72" s="104">
        <v>11010</v>
      </c>
      <c r="C72" s="106" t="s">
        <v>408</v>
      </c>
      <c r="D72" s="104">
        <v>1</v>
      </c>
      <c r="E72" s="104">
        <v>0</v>
      </c>
      <c r="F72" s="54">
        <f t="shared" si="1"/>
        <v>100</v>
      </c>
      <c r="G72" s="54">
        <f t="shared" si="2"/>
        <v>25</v>
      </c>
      <c r="H72" s="104">
        <f t="shared" si="3"/>
        <v>180</v>
      </c>
      <c r="I72" s="104">
        <v>1</v>
      </c>
      <c r="J72" s="104">
        <v>0</v>
      </c>
      <c r="K72" s="57"/>
      <c r="L72" s="54">
        <f t="shared" si="11"/>
        <v>6</v>
      </c>
      <c r="M72" s="54">
        <v>0</v>
      </c>
      <c r="N72" s="54">
        <v>0</v>
      </c>
      <c r="O72" s="54">
        <v>0</v>
      </c>
      <c r="P72" s="54">
        <v>4</v>
      </c>
      <c r="R72" s="54">
        <f t="shared" si="4"/>
        <v>180</v>
      </c>
      <c r="S72" s="54">
        <v>1000</v>
      </c>
      <c r="T72" s="54">
        <f t="shared" si="12"/>
        <v>0</v>
      </c>
      <c r="U72" s="54">
        <v>10</v>
      </c>
      <c r="V72" s="54">
        <f t="shared" si="6"/>
        <v>1000</v>
      </c>
      <c r="W72" s="54"/>
      <c r="X72" s="54">
        <v>3</v>
      </c>
      <c r="Y72" s="54">
        <v>2</v>
      </c>
      <c r="Z72" s="52"/>
      <c r="AA72" s="54">
        <f t="shared" si="7"/>
        <v>180</v>
      </c>
      <c r="AB72" s="54">
        <f t="shared" si="8"/>
        <v>1000</v>
      </c>
    </row>
    <row r="73" spans="1:28" ht="15.75" customHeight="1">
      <c r="A73" s="51">
        <v>1</v>
      </c>
      <c r="B73" s="104">
        <v>11011</v>
      </c>
      <c r="C73" s="106" t="s">
        <v>409</v>
      </c>
      <c r="D73" s="104">
        <v>1</v>
      </c>
      <c r="E73" s="104">
        <v>0</v>
      </c>
      <c r="F73" s="54">
        <f t="shared" si="1"/>
        <v>100</v>
      </c>
      <c r="G73" s="54">
        <f t="shared" si="2"/>
        <v>25</v>
      </c>
      <c r="H73" s="104">
        <f t="shared" si="3"/>
        <v>180</v>
      </c>
      <c r="I73" s="104">
        <v>1</v>
      </c>
      <c r="J73" s="104">
        <v>0</v>
      </c>
      <c r="K73" s="57"/>
      <c r="L73" s="54">
        <f t="shared" si="11"/>
        <v>6</v>
      </c>
      <c r="M73" s="54">
        <v>0</v>
      </c>
      <c r="N73" s="54">
        <v>0</v>
      </c>
      <c r="O73" s="54">
        <v>0</v>
      </c>
      <c r="P73" s="54">
        <v>4</v>
      </c>
      <c r="R73" s="54">
        <f t="shared" si="4"/>
        <v>180</v>
      </c>
      <c r="S73" s="54">
        <v>1000</v>
      </c>
      <c r="T73" s="54">
        <f t="shared" si="12"/>
        <v>0</v>
      </c>
      <c r="U73" s="54">
        <v>10</v>
      </c>
      <c r="V73" s="54">
        <f t="shared" si="6"/>
        <v>1000</v>
      </c>
      <c r="W73" s="54"/>
      <c r="X73" s="54">
        <v>3</v>
      </c>
      <c r="Y73" s="54">
        <v>2</v>
      </c>
      <c r="Z73" s="52"/>
      <c r="AA73" s="54">
        <f t="shared" si="7"/>
        <v>180</v>
      </c>
      <c r="AB73" s="54">
        <f t="shared" si="8"/>
        <v>1000</v>
      </c>
    </row>
    <row r="74" spans="1:28" s="111" customFormat="1" ht="15.75" customHeight="1" thickBot="1">
      <c r="A74" s="111">
        <v>1</v>
      </c>
      <c r="B74" s="112">
        <v>11012</v>
      </c>
      <c r="C74" s="113" t="s">
        <v>410</v>
      </c>
      <c r="D74" s="112">
        <v>1</v>
      </c>
      <c r="E74" s="112">
        <v>0</v>
      </c>
      <c r="F74" s="54">
        <f t="shared" si="1"/>
        <v>100</v>
      </c>
      <c r="G74" s="54">
        <f t="shared" si="2"/>
        <v>25</v>
      </c>
      <c r="H74" s="112">
        <f t="shared" si="3"/>
        <v>180</v>
      </c>
      <c r="I74" s="112">
        <v>1</v>
      </c>
      <c r="J74" s="112">
        <v>0</v>
      </c>
      <c r="K74" s="114"/>
      <c r="L74" s="118">
        <f t="shared" si="11"/>
        <v>6</v>
      </c>
      <c r="M74" s="118">
        <v>0</v>
      </c>
      <c r="N74" s="118">
        <v>0</v>
      </c>
      <c r="O74" s="118">
        <v>0</v>
      </c>
      <c r="P74" s="118">
        <v>4</v>
      </c>
      <c r="R74" s="54">
        <f t="shared" si="4"/>
        <v>180</v>
      </c>
      <c r="S74" s="118">
        <v>1000</v>
      </c>
      <c r="T74" s="118">
        <f t="shared" si="12"/>
        <v>0</v>
      </c>
      <c r="U74" s="118">
        <v>10</v>
      </c>
      <c r="V74" s="54">
        <f t="shared" si="6"/>
        <v>1000</v>
      </c>
      <c r="W74" s="118"/>
      <c r="X74" s="118">
        <v>3</v>
      </c>
      <c r="Y74" s="118">
        <v>2</v>
      </c>
      <c r="Z74" s="119"/>
      <c r="AA74" s="54">
        <f t="shared" si="7"/>
        <v>180</v>
      </c>
      <c r="AB74" s="54">
        <f t="shared" si="8"/>
        <v>1000</v>
      </c>
    </row>
    <row r="75" spans="1:28" ht="15.75" customHeight="1" thickTop="1">
      <c r="A75" s="51">
        <v>1</v>
      </c>
      <c r="B75" s="108">
        <v>2001</v>
      </c>
      <c r="C75" s="109" t="s">
        <v>335</v>
      </c>
      <c r="D75" s="108">
        <v>1</v>
      </c>
      <c r="E75" s="108">
        <v>0</v>
      </c>
      <c r="F75" s="54">
        <f>IF(AND(2000&lt;B75,B75&lt;10000),ROUNDDOWN((INDEX($F$20:$F$23,MATCH(D75,$B$20:$B$23,0))+INDEX($G$20:$G$23,MATCH(D75,$B$20:$B$23,0))*E75)/I75,0),
ROUNDDOWN((INDEX($C$20:$C$23,MATCH(D75,$B$20:$B$23,0))+INDEX($D$20:$D$23,MATCH(D75,$B$20:$B$23,0))*E75)/I75,0))</f>
        <v>120</v>
      </c>
      <c r="G75" s="54">
        <f>ROUNDUP(F75*$C$25,0)*I75</f>
        <v>150</v>
      </c>
      <c r="H75" s="108">
        <f t="shared" si="3"/>
        <v>150</v>
      </c>
      <c r="I75" s="108">
        <v>5</v>
      </c>
      <c r="J75" s="108">
        <v>0</v>
      </c>
      <c r="L75" s="108">
        <f t="shared" ref="L75:L92" si="13">10-SUM(M75:P75)</f>
        <v>4</v>
      </c>
      <c r="M75" s="108">
        <v>0</v>
      </c>
      <c r="N75" s="108">
        <v>1</v>
      </c>
      <c r="O75" s="108">
        <v>0</v>
      </c>
      <c r="P75" s="108">
        <v>5</v>
      </c>
      <c r="Q75" s="110"/>
      <c r="R75" s="54">
        <f t="shared" si="4"/>
        <v>150</v>
      </c>
      <c r="S75" s="108">
        <v>1000</v>
      </c>
      <c r="T75" s="108">
        <f t="shared" si="5"/>
        <v>5</v>
      </c>
      <c r="U75" s="108">
        <v>10</v>
      </c>
      <c r="V75" s="54">
        <f t="shared" si="6"/>
        <v>1500</v>
      </c>
      <c r="W75" s="108"/>
      <c r="X75" s="108">
        <v>3</v>
      </c>
      <c r="Y75" s="108">
        <v>2</v>
      </c>
      <c r="Z75" s="108"/>
      <c r="AA75" s="54">
        <f t="shared" si="7"/>
        <v>7</v>
      </c>
      <c r="AB75" s="54">
        <f t="shared" si="8"/>
        <v>200</v>
      </c>
    </row>
    <row r="76" spans="1:28" ht="15.75" customHeight="1">
      <c r="A76" s="51">
        <v>1</v>
      </c>
      <c r="B76" s="55">
        <v>2002</v>
      </c>
      <c r="C76" s="103" t="s">
        <v>334</v>
      </c>
      <c r="D76" s="55">
        <v>1</v>
      </c>
      <c r="E76" s="55">
        <v>0</v>
      </c>
      <c r="F76" s="54">
        <f t="shared" si="1"/>
        <v>150</v>
      </c>
      <c r="G76" s="54">
        <f t="shared" si="2"/>
        <v>152</v>
      </c>
      <c r="H76" s="55">
        <f t="shared" si="3"/>
        <v>150</v>
      </c>
      <c r="I76" s="55">
        <v>4</v>
      </c>
      <c r="J76" s="55">
        <v>1</v>
      </c>
      <c r="L76" s="104">
        <f t="shared" si="13"/>
        <v>5</v>
      </c>
      <c r="M76" s="104">
        <v>0</v>
      </c>
      <c r="N76" s="104">
        <v>1</v>
      </c>
      <c r="O76" s="104">
        <v>0</v>
      </c>
      <c r="P76" s="104">
        <v>4</v>
      </c>
      <c r="Q76" s="107"/>
      <c r="R76" s="54">
        <f t="shared" si="4"/>
        <v>75</v>
      </c>
      <c r="S76" s="104">
        <v>500</v>
      </c>
      <c r="T76" s="104">
        <f t="shared" si="5"/>
        <v>5</v>
      </c>
      <c r="U76" s="104">
        <v>10</v>
      </c>
      <c r="V76" s="54">
        <f t="shared" si="6"/>
        <v>900</v>
      </c>
      <c r="W76" s="104"/>
      <c r="X76" s="104">
        <v>3</v>
      </c>
      <c r="Y76" s="104">
        <v>2</v>
      </c>
      <c r="Z76" s="104"/>
      <c r="AA76" s="54">
        <f t="shared" si="7"/>
        <v>3</v>
      </c>
      <c r="AB76" s="54">
        <f t="shared" si="8"/>
        <v>150</v>
      </c>
    </row>
    <row r="77" spans="1:28" ht="15.75" customHeight="1">
      <c r="A77" s="51">
        <v>1</v>
      </c>
      <c r="B77" s="54">
        <v>2003</v>
      </c>
      <c r="C77" s="53" t="s">
        <v>333</v>
      </c>
      <c r="D77" s="54">
        <v>1</v>
      </c>
      <c r="E77" s="54">
        <v>0</v>
      </c>
      <c r="F77" s="54">
        <f t="shared" si="1"/>
        <v>120</v>
      </c>
      <c r="G77" s="54">
        <f t="shared" si="2"/>
        <v>150</v>
      </c>
      <c r="H77" s="54">
        <f t="shared" si="3"/>
        <v>110</v>
      </c>
      <c r="I77" s="54">
        <v>5</v>
      </c>
      <c r="J77" s="54">
        <v>0</v>
      </c>
      <c r="L77" s="55">
        <f t="shared" si="13"/>
        <v>3</v>
      </c>
      <c r="M77" s="55">
        <v>0</v>
      </c>
      <c r="N77" s="55">
        <v>1</v>
      </c>
      <c r="O77" s="55">
        <v>0</v>
      </c>
      <c r="P77" s="55">
        <v>6</v>
      </c>
      <c r="R77" s="54">
        <f t="shared" si="4"/>
        <v>110</v>
      </c>
      <c r="S77" s="55">
        <v>1000</v>
      </c>
      <c r="T77" s="55">
        <f t="shared" si="5"/>
        <v>5</v>
      </c>
      <c r="U77" s="55">
        <v>10</v>
      </c>
      <c r="V77" s="54">
        <f t="shared" si="6"/>
        <v>1800</v>
      </c>
      <c r="W77" s="55"/>
      <c r="X77" s="55">
        <v>3</v>
      </c>
      <c r="Y77" s="55">
        <v>2</v>
      </c>
      <c r="Z77" s="52"/>
      <c r="AA77" s="54">
        <f t="shared" si="7"/>
        <v>7</v>
      </c>
      <c r="AB77" s="54">
        <f t="shared" si="8"/>
        <v>200</v>
      </c>
    </row>
    <row r="78" spans="1:28" ht="15.75" customHeight="1">
      <c r="A78" s="51">
        <v>1</v>
      </c>
      <c r="B78" s="54">
        <v>2004</v>
      </c>
      <c r="C78" s="65" t="s">
        <v>332</v>
      </c>
      <c r="D78" s="54">
        <v>1</v>
      </c>
      <c r="E78" s="54">
        <v>0</v>
      </c>
      <c r="F78" s="54">
        <f t="shared" si="1"/>
        <v>150</v>
      </c>
      <c r="G78" s="54">
        <f t="shared" si="2"/>
        <v>152</v>
      </c>
      <c r="H78" s="54">
        <f t="shared" si="3"/>
        <v>120.00000000000001</v>
      </c>
      <c r="I78" s="54">
        <v>4</v>
      </c>
      <c r="J78" s="54">
        <v>1</v>
      </c>
      <c r="L78" s="54">
        <f t="shared" si="13"/>
        <v>4</v>
      </c>
      <c r="M78" s="54">
        <v>0</v>
      </c>
      <c r="N78" s="54">
        <v>1</v>
      </c>
      <c r="O78" s="54">
        <v>0</v>
      </c>
      <c r="P78" s="54">
        <v>5</v>
      </c>
      <c r="R78" s="54">
        <f t="shared" si="4"/>
        <v>84</v>
      </c>
      <c r="S78" s="54">
        <v>700</v>
      </c>
      <c r="T78" s="54">
        <f t="shared" si="5"/>
        <v>5</v>
      </c>
      <c r="U78" s="54">
        <v>10</v>
      </c>
      <c r="V78" s="54">
        <f t="shared" si="6"/>
        <v>1130</v>
      </c>
      <c r="W78" s="54"/>
      <c r="X78" s="54">
        <v>3</v>
      </c>
      <c r="Y78" s="54">
        <v>2</v>
      </c>
      <c r="Z78" s="52"/>
      <c r="AA78" s="54">
        <f t="shared" si="7"/>
        <v>5</v>
      </c>
      <c r="AB78" s="54">
        <f t="shared" si="8"/>
        <v>150</v>
      </c>
    </row>
    <row r="79" spans="1:28" ht="15.75" customHeight="1">
      <c r="A79" s="51">
        <v>1</v>
      </c>
      <c r="B79" s="54">
        <v>2005</v>
      </c>
      <c r="C79" s="65" t="s">
        <v>331</v>
      </c>
      <c r="D79" s="54">
        <v>1</v>
      </c>
      <c r="E79" s="54">
        <v>0</v>
      </c>
      <c r="F79" s="54">
        <f t="shared" si="1"/>
        <v>200</v>
      </c>
      <c r="G79" s="54">
        <f t="shared" si="2"/>
        <v>150</v>
      </c>
      <c r="H79" s="54">
        <f t="shared" si="3"/>
        <v>200</v>
      </c>
      <c r="I79" s="54">
        <v>3</v>
      </c>
      <c r="J79" s="54">
        <v>1</v>
      </c>
      <c r="L79" s="54">
        <f t="shared" si="13"/>
        <v>5</v>
      </c>
      <c r="M79" s="54">
        <v>0</v>
      </c>
      <c r="N79" s="54">
        <v>1</v>
      </c>
      <c r="O79" s="54">
        <v>0</v>
      </c>
      <c r="P79" s="54">
        <v>4</v>
      </c>
      <c r="R79" s="54">
        <f t="shared" si="4"/>
        <v>200</v>
      </c>
      <c r="S79" s="54">
        <v>1000</v>
      </c>
      <c r="T79" s="54">
        <f t="shared" si="5"/>
        <v>5</v>
      </c>
      <c r="U79" s="54">
        <v>10</v>
      </c>
      <c r="V79" s="54">
        <f t="shared" si="6"/>
        <v>1200</v>
      </c>
      <c r="W79" s="54"/>
      <c r="X79" s="54">
        <v>3</v>
      </c>
      <c r="Y79" s="54">
        <v>2</v>
      </c>
      <c r="Z79" s="52"/>
      <c r="AA79" s="54">
        <f t="shared" si="7"/>
        <v>13</v>
      </c>
      <c r="AB79" s="54">
        <f t="shared" si="8"/>
        <v>200</v>
      </c>
    </row>
    <row r="80" spans="1:28" ht="15.75" customHeight="1">
      <c r="A80" s="51">
        <v>1</v>
      </c>
      <c r="B80" s="54">
        <v>2006</v>
      </c>
      <c r="C80" s="53" t="s">
        <v>330</v>
      </c>
      <c r="D80" s="54">
        <v>1</v>
      </c>
      <c r="E80" s="54">
        <v>0</v>
      </c>
      <c r="F80" s="54">
        <f t="shared" si="1"/>
        <v>120</v>
      </c>
      <c r="G80" s="54">
        <f t="shared" si="2"/>
        <v>150</v>
      </c>
      <c r="H80" s="54">
        <f t="shared" si="3"/>
        <v>290</v>
      </c>
      <c r="I80" s="54">
        <v>5</v>
      </c>
      <c r="J80" s="54">
        <v>0</v>
      </c>
      <c r="L80" s="54">
        <f t="shared" si="13"/>
        <v>8</v>
      </c>
      <c r="M80" s="54">
        <v>0</v>
      </c>
      <c r="N80" s="54">
        <v>1</v>
      </c>
      <c r="O80" s="54">
        <v>0</v>
      </c>
      <c r="P80" s="54">
        <v>1</v>
      </c>
      <c r="R80" s="54">
        <f t="shared" si="4"/>
        <v>290</v>
      </c>
      <c r="S80" s="54">
        <v>1000</v>
      </c>
      <c r="T80" s="54">
        <f t="shared" si="5"/>
        <v>5</v>
      </c>
      <c r="U80" s="54">
        <v>10</v>
      </c>
      <c r="V80" s="54">
        <f t="shared" si="6"/>
        <v>300</v>
      </c>
      <c r="W80" s="54"/>
      <c r="X80" s="54">
        <v>3</v>
      </c>
      <c r="Y80" s="54">
        <v>2</v>
      </c>
      <c r="Z80" s="52"/>
      <c r="AA80" s="54">
        <f t="shared" si="7"/>
        <v>7</v>
      </c>
      <c r="AB80" s="54">
        <f t="shared" si="8"/>
        <v>200</v>
      </c>
    </row>
    <row r="81" spans="1:28" ht="15.75" customHeight="1">
      <c r="A81" s="51">
        <v>1</v>
      </c>
      <c r="B81" s="54">
        <v>2007</v>
      </c>
      <c r="C81" s="53" t="s">
        <v>329</v>
      </c>
      <c r="D81" s="54">
        <v>1</v>
      </c>
      <c r="E81" s="54">
        <v>0</v>
      </c>
      <c r="F81" s="54">
        <f>IF(AND(2000&lt;B81,B81&lt;10000),ROUNDDOWN((INDEX($F$20:$F$23,MATCH(D81,$B$20:$B$23,0))+INDEX($G$20:$G$23,MATCH(D81,$B$20:$B$23,0))*E81)/I81,0),
ROUNDDOWN((INDEX($C$20:$C$23,MATCH(D81,$B$20:$B$23,0))+INDEX($D$20:$D$23,MATCH(D81,$B$20:$B$23,0))*E81)/I81,0))</f>
        <v>200</v>
      </c>
      <c r="G81" s="54">
        <f t="shared" si="2"/>
        <v>150</v>
      </c>
      <c r="H81" s="54">
        <f t="shared" si="3"/>
        <v>60</v>
      </c>
      <c r="I81" s="54">
        <v>3</v>
      </c>
      <c r="J81" s="54">
        <v>0</v>
      </c>
      <c r="L81" s="54">
        <f t="shared" si="13"/>
        <v>1</v>
      </c>
      <c r="M81" s="54">
        <v>0</v>
      </c>
      <c r="N81" s="54">
        <v>0</v>
      </c>
      <c r="O81" s="54">
        <v>0</v>
      </c>
      <c r="P81" s="54">
        <v>9</v>
      </c>
      <c r="R81" s="54">
        <f t="shared" si="4"/>
        <v>60</v>
      </c>
      <c r="S81" s="54">
        <v>1000</v>
      </c>
      <c r="T81" s="54">
        <f t="shared" si="5"/>
        <v>0</v>
      </c>
      <c r="U81" s="54">
        <v>10</v>
      </c>
      <c r="V81" s="54">
        <f t="shared" si="6"/>
        <v>4500</v>
      </c>
      <c r="W81" s="54"/>
      <c r="X81" s="54">
        <v>3</v>
      </c>
      <c r="Y81" s="54">
        <v>2</v>
      </c>
      <c r="Z81" s="52"/>
      <c r="AA81" s="54">
        <f t="shared" si="7"/>
        <v>20</v>
      </c>
      <c r="AB81" s="54">
        <f t="shared" si="8"/>
        <v>333</v>
      </c>
    </row>
    <row r="82" spans="1:28" ht="15.75" customHeight="1">
      <c r="A82" s="51">
        <v>1</v>
      </c>
      <c r="B82" s="54">
        <v>2008</v>
      </c>
      <c r="C82" s="53" t="s">
        <v>328</v>
      </c>
      <c r="D82" s="54">
        <v>1</v>
      </c>
      <c r="E82" s="54">
        <v>0</v>
      </c>
      <c r="F82" s="54">
        <f t="shared" si="1"/>
        <v>200</v>
      </c>
      <c r="G82" s="54">
        <f t="shared" si="2"/>
        <v>150</v>
      </c>
      <c r="H82" s="54">
        <f t="shared" si="3"/>
        <v>300</v>
      </c>
      <c r="I82" s="54">
        <v>3</v>
      </c>
      <c r="J82" s="54">
        <v>0</v>
      </c>
      <c r="L82" s="54">
        <f t="shared" si="13"/>
        <v>5</v>
      </c>
      <c r="M82" s="54">
        <v>0</v>
      </c>
      <c r="N82" s="54">
        <v>1</v>
      </c>
      <c r="O82" s="54">
        <v>0</v>
      </c>
      <c r="P82" s="54">
        <v>4</v>
      </c>
      <c r="R82" s="54">
        <f t="shared" si="4"/>
        <v>300</v>
      </c>
      <c r="S82" s="54">
        <v>1000</v>
      </c>
      <c r="T82" s="54">
        <f t="shared" si="5"/>
        <v>5</v>
      </c>
      <c r="U82" s="54">
        <v>10</v>
      </c>
      <c r="V82" s="54">
        <f t="shared" si="6"/>
        <v>2000</v>
      </c>
      <c r="W82" s="54"/>
      <c r="X82" s="54">
        <v>3</v>
      </c>
      <c r="Y82" s="54">
        <v>2</v>
      </c>
      <c r="Z82" s="52"/>
      <c r="AA82" s="54">
        <f t="shared" si="7"/>
        <v>20</v>
      </c>
      <c r="AB82" s="54">
        <f t="shared" si="8"/>
        <v>333</v>
      </c>
    </row>
    <row r="83" spans="1:28" ht="15.75" customHeight="1">
      <c r="A83" s="51">
        <v>1</v>
      </c>
      <c r="B83" s="54">
        <v>2009</v>
      </c>
      <c r="C83" s="53" t="s">
        <v>327</v>
      </c>
      <c r="D83" s="54">
        <v>3</v>
      </c>
      <c r="E83" s="54">
        <v>0</v>
      </c>
      <c r="F83" s="54">
        <f t="shared" si="1"/>
        <v>800</v>
      </c>
      <c r="G83" s="54">
        <f t="shared" si="2"/>
        <v>200</v>
      </c>
      <c r="H83" s="54">
        <f t="shared" si="3"/>
        <v>800</v>
      </c>
      <c r="I83" s="54">
        <v>1</v>
      </c>
      <c r="J83" s="54">
        <v>1</v>
      </c>
      <c r="L83" s="54">
        <f t="shared" si="13"/>
        <v>5</v>
      </c>
      <c r="M83" s="54">
        <v>0</v>
      </c>
      <c r="N83" s="54">
        <v>1</v>
      </c>
      <c r="O83" s="54">
        <v>0</v>
      </c>
      <c r="P83" s="54">
        <v>4</v>
      </c>
      <c r="R83" s="54">
        <f t="shared" si="4"/>
        <v>400</v>
      </c>
      <c r="S83" s="54">
        <v>500</v>
      </c>
      <c r="T83" s="54">
        <f t="shared" si="5"/>
        <v>5</v>
      </c>
      <c r="U83" s="54">
        <v>10</v>
      </c>
      <c r="V83" s="54">
        <f t="shared" si="6"/>
        <v>4800</v>
      </c>
      <c r="W83" s="54"/>
      <c r="X83" s="54">
        <v>3</v>
      </c>
      <c r="Y83" s="54">
        <v>2</v>
      </c>
      <c r="Z83" s="52"/>
      <c r="AA83" s="54">
        <f t="shared" si="7"/>
        <v>60</v>
      </c>
      <c r="AB83" s="54">
        <f t="shared" si="8"/>
        <v>600</v>
      </c>
    </row>
    <row r="84" spans="1:28" ht="15.75" customHeight="1">
      <c r="A84" s="51">
        <v>1</v>
      </c>
      <c r="B84" s="54">
        <v>2010</v>
      </c>
      <c r="C84" s="53" t="s">
        <v>326</v>
      </c>
      <c r="D84" s="54">
        <v>3</v>
      </c>
      <c r="E84" s="54">
        <v>0</v>
      </c>
      <c r="F84" s="54">
        <f t="shared" si="1"/>
        <v>800</v>
      </c>
      <c r="G84" s="54">
        <f t="shared" si="2"/>
        <v>200</v>
      </c>
      <c r="H84" s="54">
        <f t="shared" si="3"/>
        <v>480</v>
      </c>
      <c r="I84" s="54">
        <v>1</v>
      </c>
      <c r="J84" s="54">
        <v>1</v>
      </c>
      <c r="L84" s="54">
        <f t="shared" si="13"/>
        <v>3</v>
      </c>
      <c r="M84" s="54">
        <v>0</v>
      </c>
      <c r="N84" s="54">
        <v>1</v>
      </c>
      <c r="O84" s="54">
        <v>0</v>
      </c>
      <c r="P84" s="54">
        <v>6</v>
      </c>
      <c r="R84" s="54">
        <f t="shared" si="4"/>
        <v>120</v>
      </c>
      <c r="S84" s="54">
        <v>250</v>
      </c>
      <c r="T84" s="54">
        <f t="shared" si="5"/>
        <v>5</v>
      </c>
      <c r="U84" s="54">
        <v>10</v>
      </c>
      <c r="V84" s="54">
        <f t="shared" si="6"/>
        <v>7200</v>
      </c>
      <c r="W84" s="54"/>
      <c r="X84" s="54">
        <v>3</v>
      </c>
      <c r="Y84" s="54">
        <v>2</v>
      </c>
      <c r="Z84" s="52"/>
      <c r="AA84" s="54">
        <f t="shared" si="7"/>
        <v>30</v>
      </c>
      <c r="AB84" s="54">
        <f t="shared" si="8"/>
        <v>600</v>
      </c>
    </row>
    <row r="85" spans="1:28" ht="15.75" customHeight="1">
      <c r="A85" s="51">
        <v>1</v>
      </c>
      <c r="B85" s="54">
        <v>2011</v>
      </c>
      <c r="C85" s="53" t="s">
        <v>325</v>
      </c>
      <c r="D85" s="54">
        <v>3</v>
      </c>
      <c r="E85" s="54">
        <v>0</v>
      </c>
      <c r="F85" s="54">
        <f t="shared" si="1"/>
        <v>800</v>
      </c>
      <c r="G85" s="54">
        <f t="shared" si="2"/>
        <v>200</v>
      </c>
      <c r="H85" s="54">
        <f t="shared" si="3"/>
        <v>640</v>
      </c>
      <c r="I85" s="54">
        <v>1</v>
      </c>
      <c r="J85" s="54">
        <v>1</v>
      </c>
      <c r="L85" s="54">
        <f t="shared" si="13"/>
        <v>4</v>
      </c>
      <c r="M85" s="54">
        <v>0</v>
      </c>
      <c r="N85" s="54">
        <v>1</v>
      </c>
      <c r="O85" s="54">
        <v>0</v>
      </c>
      <c r="P85" s="54">
        <v>5</v>
      </c>
      <c r="R85" s="54">
        <f t="shared" si="4"/>
        <v>512</v>
      </c>
      <c r="S85" s="54">
        <v>800</v>
      </c>
      <c r="T85" s="54">
        <f t="shared" si="5"/>
        <v>5</v>
      </c>
      <c r="U85" s="54">
        <v>10</v>
      </c>
      <c r="V85" s="54">
        <f t="shared" si="6"/>
        <v>6000</v>
      </c>
      <c r="W85" s="54"/>
      <c r="X85" s="54">
        <v>3</v>
      </c>
      <c r="Y85" s="54">
        <v>2</v>
      </c>
      <c r="Z85" s="52"/>
      <c r="AA85" s="54">
        <f t="shared" si="7"/>
        <v>96</v>
      </c>
      <c r="AB85" s="54">
        <f t="shared" si="8"/>
        <v>600</v>
      </c>
    </row>
    <row r="86" spans="1:28" ht="15.75" customHeight="1">
      <c r="A86" s="51">
        <v>1</v>
      </c>
      <c r="B86" s="54">
        <v>2012</v>
      </c>
      <c r="C86" s="53" t="s">
        <v>184</v>
      </c>
      <c r="D86" s="54">
        <v>2</v>
      </c>
      <c r="E86" s="54">
        <v>0</v>
      </c>
      <c r="F86" s="54">
        <f t="shared" si="1"/>
        <v>233</v>
      </c>
      <c r="G86" s="54">
        <f t="shared" si="2"/>
        <v>177</v>
      </c>
      <c r="H86" s="54">
        <f t="shared" si="3"/>
        <v>280</v>
      </c>
      <c r="I86" s="54">
        <v>3</v>
      </c>
      <c r="J86" s="54">
        <v>1</v>
      </c>
      <c r="L86" s="54">
        <f t="shared" si="13"/>
        <v>6</v>
      </c>
      <c r="M86" s="54">
        <v>0</v>
      </c>
      <c r="N86" s="54">
        <v>1</v>
      </c>
      <c r="O86" s="54">
        <v>0</v>
      </c>
      <c r="P86" s="54">
        <v>3</v>
      </c>
      <c r="R86" s="54">
        <f>ROUNDUP(IF($J86=0,
INDEX($C$4:$C$13,MATCH(R$30,$B$4:$B$13,0))
*(($F86)
*(L86/(SUM($L86:$P86)))),
INDEX($D$4:$D$13,MATCH(R$30,$B$4:$B$13,0))
*(($F86)
*(L86/(SUM($L86:$P86))))),-1)
*S86/1000</f>
        <v>168</v>
      </c>
      <c r="S86" s="54">
        <v>600</v>
      </c>
      <c r="T86" s="54">
        <f t="shared" si="5"/>
        <v>5</v>
      </c>
      <c r="U86" s="54">
        <v>10</v>
      </c>
      <c r="V86" s="54">
        <f t="shared" si="6"/>
        <v>1050</v>
      </c>
      <c r="W86" s="54"/>
      <c r="X86" s="54">
        <v>3</v>
      </c>
      <c r="Y86" s="54">
        <v>2</v>
      </c>
      <c r="Z86" s="52"/>
      <c r="AA86" s="54">
        <f t="shared" si="7"/>
        <v>8</v>
      </c>
      <c r="AB86" s="54">
        <f t="shared" si="8"/>
        <v>200</v>
      </c>
    </row>
    <row r="87" spans="1:28" ht="15.75" customHeight="1">
      <c r="A87" s="51">
        <v>1</v>
      </c>
      <c r="B87" s="54">
        <v>2013</v>
      </c>
      <c r="C87" s="53" t="s">
        <v>185</v>
      </c>
      <c r="D87" s="54">
        <v>2</v>
      </c>
      <c r="E87" s="54">
        <v>0</v>
      </c>
      <c r="F87" s="54">
        <f t="shared" si="1"/>
        <v>233</v>
      </c>
      <c r="G87" s="54">
        <f t="shared" si="2"/>
        <v>177</v>
      </c>
      <c r="H87" s="54">
        <f t="shared" si="3"/>
        <v>280</v>
      </c>
      <c r="I87" s="54">
        <v>3</v>
      </c>
      <c r="J87" s="54">
        <v>0</v>
      </c>
      <c r="L87" s="54">
        <f t="shared" si="13"/>
        <v>4</v>
      </c>
      <c r="M87" s="54">
        <v>0</v>
      </c>
      <c r="N87" s="54">
        <v>1</v>
      </c>
      <c r="O87" s="54">
        <v>0</v>
      </c>
      <c r="P87" s="54">
        <v>5</v>
      </c>
      <c r="R87" s="54">
        <f t="shared" si="4"/>
        <v>280</v>
      </c>
      <c r="S87" s="54">
        <v>1000</v>
      </c>
      <c r="T87" s="54">
        <f t="shared" si="5"/>
        <v>5</v>
      </c>
      <c r="U87" s="54">
        <v>10</v>
      </c>
      <c r="V87" s="54">
        <f t="shared" si="6"/>
        <v>2920</v>
      </c>
      <c r="W87" s="54"/>
      <c r="X87" s="54">
        <v>3</v>
      </c>
      <c r="Y87" s="54">
        <v>2</v>
      </c>
      <c r="Z87" s="52"/>
      <c r="AA87" s="54">
        <f t="shared" si="7"/>
        <v>20</v>
      </c>
      <c r="AB87" s="54">
        <f t="shared" si="8"/>
        <v>333</v>
      </c>
    </row>
    <row r="88" spans="1:28" ht="15.75" customHeight="1">
      <c r="A88" s="51">
        <v>1</v>
      </c>
      <c r="B88" s="54">
        <v>2014</v>
      </c>
      <c r="C88" s="53" t="s">
        <v>186</v>
      </c>
      <c r="D88" s="54">
        <v>2</v>
      </c>
      <c r="E88" s="54">
        <v>0</v>
      </c>
      <c r="F88" s="54">
        <f t="shared" si="1"/>
        <v>175</v>
      </c>
      <c r="G88" s="54">
        <f t="shared" si="2"/>
        <v>176</v>
      </c>
      <c r="H88" s="54">
        <f t="shared" si="3"/>
        <v>320</v>
      </c>
      <c r="I88" s="54">
        <v>4</v>
      </c>
      <c r="J88" s="54">
        <v>0</v>
      </c>
      <c r="L88" s="54">
        <f t="shared" si="13"/>
        <v>6</v>
      </c>
      <c r="M88" s="54">
        <v>0</v>
      </c>
      <c r="N88" s="54">
        <v>1</v>
      </c>
      <c r="O88" s="54">
        <v>0</v>
      </c>
      <c r="P88" s="54">
        <v>3</v>
      </c>
      <c r="R88" s="54">
        <f t="shared" si="4"/>
        <v>128</v>
      </c>
      <c r="S88" s="54">
        <v>400</v>
      </c>
      <c r="T88" s="54">
        <f t="shared" si="5"/>
        <v>5</v>
      </c>
      <c r="U88" s="54">
        <v>10</v>
      </c>
      <c r="V88" s="54">
        <f t="shared" si="6"/>
        <v>1320</v>
      </c>
      <c r="W88" s="54"/>
      <c r="X88" s="54">
        <v>3</v>
      </c>
      <c r="Y88" s="54">
        <v>2</v>
      </c>
      <c r="Z88" s="52"/>
      <c r="AA88" s="54">
        <f t="shared" si="7"/>
        <v>4</v>
      </c>
      <c r="AB88" s="54">
        <f t="shared" si="8"/>
        <v>250</v>
      </c>
    </row>
    <row r="89" spans="1:28" ht="15.75" customHeight="1">
      <c r="A89" s="51">
        <v>1</v>
      </c>
      <c r="B89" s="54">
        <v>2015</v>
      </c>
      <c r="C89" s="53" t="s">
        <v>187</v>
      </c>
      <c r="D89" s="54">
        <v>3</v>
      </c>
      <c r="E89" s="54">
        <v>0</v>
      </c>
      <c r="F89" s="54">
        <f t="shared" si="1"/>
        <v>400</v>
      </c>
      <c r="G89" s="54">
        <f t="shared" si="2"/>
        <v>200</v>
      </c>
      <c r="H89" s="54">
        <f t="shared" si="3"/>
        <v>320</v>
      </c>
      <c r="I89" s="54">
        <v>2</v>
      </c>
      <c r="J89" s="54">
        <v>1</v>
      </c>
      <c r="L89" s="54">
        <f t="shared" si="13"/>
        <v>4</v>
      </c>
      <c r="M89" s="54">
        <v>0</v>
      </c>
      <c r="N89" s="54">
        <v>1</v>
      </c>
      <c r="O89" s="54">
        <v>0</v>
      </c>
      <c r="P89" s="54">
        <v>5</v>
      </c>
      <c r="R89" s="54">
        <f t="shared" si="4"/>
        <v>320</v>
      </c>
      <c r="S89" s="54">
        <v>1000</v>
      </c>
      <c r="T89" s="54">
        <f t="shared" si="5"/>
        <v>5</v>
      </c>
      <c r="U89" s="54">
        <v>10</v>
      </c>
      <c r="V89" s="54">
        <f t="shared" si="6"/>
        <v>3000</v>
      </c>
      <c r="W89" s="54"/>
      <c r="X89" s="54">
        <v>3</v>
      </c>
      <c r="Y89" s="54">
        <v>2</v>
      </c>
      <c r="Z89" s="52"/>
      <c r="AA89" s="54">
        <f t="shared" si="7"/>
        <v>30</v>
      </c>
      <c r="AB89" s="54">
        <f t="shared" si="8"/>
        <v>300</v>
      </c>
    </row>
    <row r="90" spans="1:28" ht="15.75" customHeight="1">
      <c r="A90" s="51">
        <v>1</v>
      </c>
      <c r="B90" s="54">
        <v>2016</v>
      </c>
      <c r="C90" s="53" t="s">
        <v>188</v>
      </c>
      <c r="D90" s="54">
        <v>3</v>
      </c>
      <c r="E90" s="54">
        <v>0</v>
      </c>
      <c r="F90" s="54">
        <f t="shared" si="1"/>
        <v>400</v>
      </c>
      <c r="G90" s="54">
        <f t="shared" si="2"/>
        <v>200</v>
      </c>
      <c r="H90" s="54">
        <f t="shared" si="3"/>
        <v>120</v>
      </c>
      <c r="I90" s="54">
        <v>2</v>
      </c>
      <c r="J90" s="54">
        <v>0</v>
      </c>
      <c r="L90" s="54">
        <f t="shared" si="13"/>
        <v>1</v>
      </c>
      <c r="M90" s="54">
        <v>0</v>
      </c>
      <c r="N90" s="54">
        <v>2</v>
      </c>
      <c r="O90" s="54">
        <v>0</v>
      </c>
      <c r="P90" s="54">
        <v>7</v>
      </c>
      <c r="R90" s="54">
        <f t="shared" si="4"/>
        <v>120</v>
      </c>
      <c r="S90" s="54">
        <v>1000</v>
      </c>
      <c r="T90" s="54">
        <f t="shared" si="5"/>
        <v>10</v>
      </c>
      <c r="U90" s="54">
        <v>10</v>
      </c>
      <c r="V90" s="54">
        <f t="shared" si="6"/>
        <v>7000</v>
      </c>
      <c r="W90" s="54"/>
      <c r="X90" s="54">
        <v>3</v>
      </c>
      <c r="Y90" s="54">
        <v>2</v>
      </c>
      <c r="Z90" s="52"/>
      <c r="AA90" s="54">
        <f t="shared" si="7"/>
        <v>45</v>
      </c>
      <c r="AB90" s="54">
        <f t="shared" si="8"/>
        <v>500</v>
      </c>
    </row>
    <row r="91" spans="1:28" ht="15.75" customHeight="1">
      <c r="A91" s="51">
        <v>1</v>
      </c>
      <c r="B91" s="54">
        <v>2017</v>
      </c>
      <c r="C91" s="53" t="s">
        <v>189</v>
      </c>
      <c r="D91" s="54">
        <v>4</v>
      </c>
      <c r="E91" s="54">
        <v>0</v>
      </c>
      <c r="F91" s="54">
        <f t="shared" si="1"/>
        <v>900</v>
      </c>
      <c r="G91" s="54">
        <f t="shared" si="2"/>
        <v>225</v>
      </c>
      <c r="H91" s="54">
        <f t="shared" si="3"/>
        <v>1080</v>
      </c>
      <c r="I91" s="54">
        <v>1</v>
      </c>
      <c r="J91" s="54">
        <v>0</v>
      </c>
      <c r="L91" s="54">
        <f t="shared" si="13"/>
        <v>4</v>
      </c>
      <c r="M91" s="54">
        <v>0</v>
      </c>
      <c r="N91" s="54">
        <v>2</v>
      </c>
      <c r="O91" s="54">
        <v>0</v>
      </c>
      <c r="P91" s="54">
        <v>4</v>
      </c>
      <c r="R91" s="54">
        <f t="shared" si="4"/>
        <v>1080</v>
      </c>
      <c r="S91" s="54">
        <v>1000</v>
      </c>
      <c r="T91" s="54">
        <f t="shared" si="5"/>
        <v>10</v>
      </c>
      <c r="U91" s="54">
        <v>10</v>
      </c>
      <c r="V91" s="54">
        <f t="shared" si="6"/>
        <v>9000</v>
      </c>
      <c r="W91" s="54"/>
      <c r="X91" s="54">
        <v>3</v>
      </c>
      <c r="Y91" s="54">
        <v>2</v>
      </c>
      <c r="Z91" s="52"/>
      <c r="AA91" s="54">
        <f t="shared" si="7"/>
        <v>180</v>
      </c>
      <c r="AB91" s="54">
        <f t="shared" si="8"/>
        <v>1000</v>
      </c>
    </row>
    <row r="92" spans="1:28" ht="15.75" customHeight="1">
      <c r="A92" s="51">
        <v>1</v>
      </c>
      <c r="B92" s="54">
        <v>2018</v>
      </c>
      <c r="C92" s="53" t="s">
        <v>190</v>
      </c>
      <c r="D92" s="54">
        <v>4</v>
      </c>
      <c r="E92" s="54">
        <v>0</v>
      </c>
      <c r="F92" s="54">
        <f t="shared" si="1"/>
        <v>900</v>
      </c>
      <c r="G92" s="54">
        <f t="shared" si="2"/>
        <v>225</v>
      </c>
      <c r="H92" s="54">
        <f t="shared" si="3"/>
        <v>720</v>
      </c>
      <c r="I92" s="54">
        <v>1</v>
      </c>
      <c r="J92" s="54">
        <v>1</v>
      </c>
      <c r="L92" s="54">
        <f t="shared" si="13"/>
        <v>4</v>
      </c>
      <c r="M92" s="54">
        <v>0</v>
      </c>
      <c r="N92" s="54">
        <v>1</v>
      </c>
      <c r="O92" s="54">
        <v>0</v>
      </c>
      <c r="P92" s="54">
        <v>5</v>
      </c>
      <c r="R92" s="54">
        <f t="shared" si="4"/>
        <v>864</v>
      </c>
      <c r="S92" s="54">
        <v>1200</v>
      </c>
      <c r="T92" s="54">
        <f t="shared" si="5"/>
        <v>5</v>
      </c>
      <c r="U92" s="54">
        <v>10</v>
      </c>
      <c r="V92" s="54">
        <f t="shared" si="6"/>
        <v>6750</v>
      </c>
      <c r="W92" s="54"/>
      <c r="X92" s="54">
        <v>3</v>
      </c>
      <c r="Y92" s="54">
        <v>2</v>
      </c>
      <c r="Z92" s="52"/>
      <c r="AA92" s="54">
        <f t="shared" si="7"/>
        <v>144</v>
      </c>
      <c r="AB92" s="54">
        <f t="shared" si="8"/>
        <v>600</v>
      </c>
    </row>
    <row r="93" spans="1:28" ht="15.75" customHeight="1">
      <c r="A93" s="51">
        <v>1</v>
      </c>
      <c r="B93" s="54">
        <v>2019</v>
      </c>
      <c r="C93" s="53" t="s">
        <v>390</v>
      </c>
      <c r="D93" s="54">
        <v>1</v>
      </c>
      <c r="E93" s="54">
        <v>0</v>
      </c>
      <c r="F93" s="54">
        <f>IF(AND(2000&lt;B93,B93&lt;10000),ROUNDDOWN((INDEX($F$20:$F$23,MATCH(D93,$B$20:$B$23,0))+INDEX($G$20:$G$23,MATCH(D93,$B$20:$B$23,0))*E93)/I93,0),
ROUNDDOWN((INDEX($C$20:$C$23,MATCH(D93,$B$20:$B$23,0))+INDEX($D$20:$D$23,MATCH(D93,$B$20:$B$23,0))*E93)/I93,0))</f>
        <v>120</v>
      </c>
      <c r="G93" s="54">
        <f t="shared" si="2"/>
        <v>150</v>
      </c>
      <c r="H93" s="54">
        <f t="shared" ref="H93:H101" si="14">R93/(S93/1000)</f>
        <v>220</v>
      </c>
      <c r="I93" s="54">
        <v>5</v>
      </c>
      <c r="J93" s="54">
        <v>0</v>
      </c>
      <c r="L93" s="54">
        <f t="shared" ref="L93:L101" si="15">10-SUM(M93:P93)</f>
        <v>6</v>
      </c>
      <c r="M93" s="54">
        <v>0</v>
      </c>
      <c r="N93" s="54">
        <v>1</v>
      </c>
      <c r="O93" s="54">
        <v>0</v>
      </c>
      <c r="P93" s="54">
        <v>3</v>
      </c>
      <c r="R93" s="54">
        <f t="shared" si="4"/>
        <v>176</v>
      </c>
      <c r="S93" s="54">
        <v>800</v>
      </c>
      <c r="T93" s="54">
        <f t="shared" ref="T93:T101" si="16">N93*5</f>
        <v>5</v>
      </c>
      <c r="U93" s="54">
        <v>10</v>
      </c>
      <c r="V93" s="54">
        <f t="shared" si="6"/>
        <v>900</v>
      </c>
      <c r="W93" s="54"/>
      <c r="X93" s="54">
        <v>3</v>
      </c>
      <c r="Y93" s="54">
        <v>2</v>
      </c>
      <c r="Z93" s="52"/>
      <c r="AA93" s="54">
        <f t="shared" si="7"/>
        <v>5</v>
      </c>
      <c r="AB93" s="54">
        <f t="shared" si="8"/>
        <v>200</v>
      </c>
    </row>
    <row r="94" spans="1:28" ht="15.75" customHeight="1">
      <c r="A94" s="51">
        <v>1</v>
      </c>
      <c r="B94" s="54">
        <v>2020</v>
      </c>
      <c r="C94" s="53" t="s">
        <v>391</v>
      </c>
      <c r="D94" s="54">
        <v>1</v>
      </c>
      <c r="E94" s="54">
        <v>0</v>
      </c>
      <c r="F94" s="54">
        <f t="shared" si="1"/>
        <v>120</v>
      </c>
      <c r="G94" s="54">
        <f t="shared" si="2"/>
        <v>150</v>
      </c>
      <c r="H94" s="54">
        <f t="shared" si="14"/>
        <v>220</v>
      </c>
      <c r="I94" s="54">
        <v>5</v>
      </c>
      <c r="J94" s="54">
        <v>0</v>
      </c>
      <c r="L94" s="54">
        <f t="shared" si="15"/>
        <v>6</v>
      </c>
      <c r="M94" s="54">
        <v>0</v>
      </c>
      <c r="N94" s="54">
        <v>1</v>
      </c>
      <c r="O94" s="54">
        <v>0</v>
      </c>
      <c r="P94" s="54">
        <v>3</v>
      </c>
      <c r="R94" s="54">
        <f t="shared" si="4"/>
        <v>198</v>
      </c>
      <c r="S94" s="54">
        <v>900</v>
      </c>
      <c r="T94" s="54">
        <f t="shared" si="16"/>
        <v>5</v>
      </c>
      <c r="U94" s="54">
        <v>10</v>
      </c>
      <c r="V94" s="54">
        <f t="shared" si="6"/>
        <v>900</v>
      </c>
      <c r="W94" s="54"/>
      <c r="X94" s="54">
        <v>3</v>
      </c>
      <c r="Y94" s="54">
        <v>2</v>
      </c>
      <c r="Z94" s="52"/>
      <c r="AA94" s="54">
        <f t="shared" si="7"/>
        <v>6</v>
      </c>
      <c r="AB94" s="54">
        <f t="shared" si="8"/>
        <v>200</v>
      </c>
    </row>
    <row r="95" spans="1:28" ht="15.75" customHeight="1">
      <c r="A95" s="51">
        <v>1</v>
      </c>
      <c r="B95" s="54">
        <v>2021</v>
      </c>
      <c r="C95" s="53" t="s">
        <v>392</v>
      </c>
      <c r="D95" s="54">
        <v>1</v>
      </c>
      <c r="E95" s="54">
        <v>0</v>
      </c>
      <c r="F95" s="54">
        <f t="shared" si="1"/>
        <v>150</v>
      </c>
      <c r="G95" s="54">
        <f t="shared" si="2"/>
        <v>152</v>
      </c>
      <c r="H95" s="54">
        <f t="shared" si="14"/>
        <v>150</v>
      </c>
      <c r="I95" s="54">
        <v>4</v>
      </c>
      <c r="J95" s="54">
        <v>1</v>
      </c>
      <c r="L95" s="54">
        <f t="shared" si="15"/>
        <v>5</v>
      </c>
      <c r="M95" s="54">
        <v>0</v>
      </c>
      <c r="N95" s="54">
        <v>1</v>
      </c>
      <c r="O95" s="54">
        <v>0</v>
      </c>
      <c r="P95" s="54">
        <v>4</v>
      </c>
      <c r="R95" s="54">
        <f t="shared" si="4"/>
        <v>90</v>
      </c>
      <c r="S95" s="54">
        <v>600</v>
      </c>
      <c r="T95" s="54">
        <f t="shared" si="16"/>
        <v>5</v>
      </c>
      <c r="U95" s="54">
        <v>10</v>
      </c>
      <c r="V95" s="54">
        <f t="shared" si="6"/>
        <v>900</v>
      </c>
      <c r="W95" s="54"/>
      <c r="X95" s="54">
        <v>3</v>
      </c>
      <c r="Y95" s="54">
        <v>2</v>
      </c>
      <c r="Z95" s="52"/>
      <c r="AA95" s="54">
        <f t="shared" si="7"/>
        <v>4</v>
      </c>
      <c r="AB95" s="54">
        <f t="shared" si="8"/>
        <v>150</v>
      </c>
    </row>
    <row r="96" spans="1:28" ht="15.75" customHeight="1">
      <c r="A96" s="51">
        <v>1</v>
      </c>
      <c r="B96" s="54">
        <v>2022</v>
      </c>
      <c r="C96" s="53" t="s">
        <v>393</v>
      </c>
      <c r="D96" s="54">
        <v>1</v>
      </c>
      <c r="E96" s="54">
        <v>0</v>
      </c>
      <c r="F96" s="54">
        <f>IF(AND(2000&lt;B96,B96&lt;10000),ROUNDDOWN((INDEX($F$20:$F$23,MATCH(D96,$B$20:$B$23,0))+INDEX($G$20:$G$23,MATCH(D96,$B$20:$B$23,0))*E96)/I96,0),
ROUNDDOWN((INDEX($C$20:$C$23,MATCH(D96,$B$20:$B$23,0))+INDEX($D$20:$D$23,MATCH(D96,$B$20:$B$23,0))*E96)/I96,0))</f>
        <v>150</v>
      </c>
      <c r="G96" s="54">
        <f t="shared" ref="G96:G105" si="17">ROUNDUP(F96*$C$25,0)*I96</f>
        <v>152</v>
      </c>
      <c r="H96" s="54">
        <f t="shared" si="14"/>
        <v>150</v>
      </c>
      <c r="I96" s="54">
        <v>4</v>
      </c>
      <c r="J96" s="54">
        <v>1</v>
      </c>
      <c r="L96" s="54">
        <f t="shared" si="15"/>
        <v>5</v>
      </c>
      <c r="M96" s="54">
        <v>0</v>
      </c>
      <c r="N96" s="54">
        <v>1</v>
      </c>
      <c r="O96" s="54">
        <v>0</v>
      </c>
      <c r="P96" s="54">
        <v>4</v>
      </c>
      <c r="R96" s="54">
        <f t="shared" ref="R96:R106" si="18">ROUNDUP(IF($J96=0,
INDEX($C$4:$C$13,MATCH(R$30,$B$4:$B$13,0))
*(($F96)
*(L96/(SUM($L96:$P96)))),
INDEX($D$4:$D$13,MATCH(R$30,$B$4:$B$13,0))
*(($F96)
*(L96/(SUM($L96:$P96))))),-1)
*S96/1000</f>
        <v>105</v>
      </c>
      <c r="S96" s="54">
        <v>700</v>
      </c>
      <c r="T96" s="54">
        <f t="shared" si="16"/>
        <v>5</v>
      </c>
      <c r="U96" s="54">
        <v>10</v>
      </c>
      <c r="V96" s="54">
        <f t="shared" ref="V96:V106" si="19">ROUNDUP(IF($J96=0,INDEX($C$4:$C$13,MATCH(V$30,$B$4:$B$13,0))*($F96*(P96/(SUM($L96:$P96)))),INDEX($D$4:$D$13,MATCH(V$30,$B$4:$B$13,0))*($F96*(P96/(SUM($L96:$P96))))),-1)</f>
        <v>900</v>
      </c>
      <c r="W96" s="54"/>
      <c r="X96" s="54">
        <v>3</v>
      </c>
      <c r="Y96" s="54">
        <v>2</v>
      </c>
      <c r="Z96" s="52"/>
      <c r="AA96" s="54">
        <f t="shared" ref="AA96:AA106" si="20">ROUNDDOWN(IF(2000&lt;B96&lt;10000,
INDEX($G$20:$G$23,MATCH($D96,$B$20:$B$23,0))*(X96/SUM($X96:$Y96))/I96*
IF($J96=0,INDEX($C$4:$C$13,MATCH(AA$30,$B$4:$B$13,0)),INDEX($D$4:$D$13,MATCH(AA$30,$B$4:$B$13,0))),
INDEX($D$20:$D$23,MATCH($D96,$B$20:$B$23,0))*(X96/SUM($X96:$Y96))/I96*
IF($J96=0,INDEX($C$4:$C$13,MATCH(AA$30,$B$4:$B$13,0)),INDEX($D$4:$D$13,MATCH(AA$30,$B$4:$B$13,0))))
/I96*S96/1000,0)</f>
        <v>5</v>
      </c>
      <c r="AB96" s="54">
        <f t="shared" ref="AB96:AB105" si="21">ROUNDDOWN(IF(2000&lt;B96&lt;10000,INDEX($G$20:$G$23,MATCH($D96,$B$20:$B$23,0))*(Y96/SUM($X96:$Y96))*
IF($J96=0,INDEX($C$4:$C$13,MATCH(AB$30,$B$4:$B$13,0)),INDEX($D$4:$D$13,MATCH(AB$30,$B$4:$B$13,0))),INDEX($D$20:$D$23,MATCH($D96,$B$20:$B$23,0))*(Y96/SUM($X96:$Y96))*
IF($J96=0,INDEX($C$4:$C$13,MATCH(AB$30,$B$4:$B$13,0)),INDEX($D$4:$D$13,MATCH(AB$30,$B$4:$B$13,0))))
/I96,0)</f>
        <v>150</v>
      </c>
    </row>
    <row r="97" spans="1:28" ht="15.75" customHeight="1">
      <c r="A97" s="51">
        <v>1</v>
      </c>
      <c r="B97" s="54">
        <v>2023</v>
      </c>
      <c r="C97" s="53" t="s">
        <v>394</v>
      </c>
      <c r="D97" s="54">
        <v>3</v>
      </c>
      <c r="E97" s="54">
        <v>0</v>
      </c>
      <c r="F97" s="54">
        <f t="shared" ref="F97:F105" si="22">IF(AND(2000&lt;B97,B97&lt;10000),ROUNDDOWN((INDEX($F$20:$F$23,MATCH(D97,$B$20:$B$23,0))+INDEX($G$20:$G$23,MATCH(D97,$B$20:$B$23,0))*E97)/I97,0),
ROUNDDOWN((INDEX($C$20:$C$23,MATCH(D97,$B$20:$B$23,0))+INDEX($D$20:$D$23,MATCH(D97,$B$20:$B$23,0))*E97)/I97,0))</f>
        <v>160</v>
      </c>
      <c r="G97" s="54">
        <f t="shared" si="17"/>
        <v>200</v>
      </c>
      <c r="H97" s="54">
        <f t="shared" si="14"/>
        <v>240</v>
      </c>
      <c r="I97" s="54">
        <v>5</v>
      </c>
      <c r="J97" s="54">
        <v>0</v>
      </c>
      <c r="L97" s="54">
        <f t="shared" si="15"/>
        <v>5</v>
      </c>
      <c r="M97" s="54">
        <v>0</v>
      </c>
      <c r="N97" s="54">
        <v>1</v>
      </c>
      <c r="O97" s="54">
        <v>0</v>
      </c>
      <c r="P97" s="54">
        <v>4</v>
      </c>
      <c r="R97" s="54">
        <f t="shared" si="18"/>
        <v>240</v>
      </c>
      <c r="S97" s="54">
        <v>1000</v>
      </c>
      <c r="T97" s="54">
        <f t="shared" si="16"/>
        <v>5</v>
      </c>
      <c r="U97" s="54">
        <v>10</v>
      </c>
      <c r="V97" s="54">
        <f t="shared" si="19"/>
        <v>1600</v>
      </c>
      <c r="W97" s="54"/>
      <c r="X97" s="54">
        <v>3</v>
      </c>
      <c r="Y97" s="54">
        <v>2</v>
      </c>
      <c r="Z97" s="52"/>
      <c r="AA97" s="54">
        <f t="shared" si="20"/>
        <v>7</v>
      </c>
      <c r="AB97" s="54">
        <f t="shared" si="21"/>
        <v>200</v>
      </c>
    </row>
    <row r="98" spans="1:28" ht="15.75" customHeight="1">
      <c r="A98" s="51">
        <v>1</v>
      </c>
      <c r="B98" s="54">
        <v>2024</v>
      </c>
      <c r="C98" s="53" t="s">
        <v>395</v>
      </c>
      <c r="D98" s="54">
        <v>3</v>
      </c>
      <c r="E98" s="54">
        <v>0</v>
      </c>
      <c r="F98" s="54">
        <f t="shared" si="22"/>
        <v>200</v>
      </c>
      <c r="G98" s="54">
        <f t="shared" si="17"/>
        <v>200</v>
      </c>
      <c r="H98" s="54">
        <f t="shared" si="14"/>
        <v>200</v>
      </c>
      <c r="I98" s="54">
        <v>4</v>
      </c>
      <c r="J98" s="54">
        <v>1</v>
      </c>
      <c r="L98" s="54">
        <f t="shared" si="15"/>
        <v>5</v>
      </c>
      <c r="M98" s="54">
        <v>0</v>
      </c>
      <c r="N98" s="54">
        <v>1</v>
      </c>
      <c r="O98" s="54">
        <v>0</v>
      </c>
      <c r="P98" s="54">
        <v>4</v>
      </c>
      <c r="R98" s="54">
        <f t="shared" si="18"/>
        <v>120</v>
      </c>
      <c r="S98" s="54">
        <v>600</v>
      </c>
      <c r="T98" s="54">
        <f t="shared" si="16"/>
        <v>5</v>
      </c>
      <c r="U98" s="54">
        <v>10</v>
      </c>
      <c r="V98" s="54">
        <f t="shared" si="19"/>
        <v>1200</v>
      </c>
      <c r="W98" s="54"/>
      <c r="X98" s="54">
        <v>3</v>
      </c>
      <c r="Y98" s="54">
        <v>2</v>
      </c>
      <c r="Z98" s="52"/>
      <c r="AA98" s="54">
        <f t="shared" si="20"/>
        <v>4</v>
      </c>
      <c r="AB98" s="54">
        <f t="shared" si="21"/>
        <v>150</v>
      </c>
    </row>
    <row r="99" spans="1:28" ht="15.75" customHeight="1">
      <c r="A99" s="51">
        <v>1</v>
      </c>
      <c r="B99" s="54">
        <v>2025</v>
      </c>
      <c r="C99" s="53" t="s">
        <v>396</v>
      </c>
      <c r="D99" s="54">
        <v>3</v>
      </c>
      <c r="E99" s="54">
        <v>0</v>
      </c>
      <c r="F99" s="54">
        <f t="shared" si="22"/>
        <v>266</v>
      </c>
      <c r="G99" s="54">
        <f t="shared" si="17"/>
        <v>201</v>
      </c>
      <c r="H99" s="54">
        <f t="shared" si="14"/>
        <v>220</v>
      </c>
      <c r="I99" s="54">
        <v>3</v>
      </c>
      <c r="J99" s="54">
        <v>1</v>
      </c>
      <c r="L99" s="54">
        <f t="shared" si="15"/>
        <v>4</v>
      </c>
      <c r="M99" s="54">
        <v>0</v>
      </c>
      <c r="N99" s="54">
        <v>1</v>
      </c>
      <c r="O99" s="54">
        <v>0</v>
      </c>
      <c r="P99" s="54">
        <v>5</v>
      </c>
      <c r="R99" s="54">
        <f t="shared" si="18"/>
        <v>66</v>
      </c>
      <c r="S99" s="54">
        <v>300</v>
      </c>
      <c r="T99" s="54">
        <f t="shared" si="16"/>
        <v>5</v>
      </c>
      <c r="U99" s="54">
        <v>10</v>
      </c>
      <c r="V99" s="54">
        <f t="shared" si="19"/>
        <v>2000</v>
      </c>
      <c r="W99" s="54"/>
      <c r="X99" s="54">
        <v>3</v>
      </c>
      <c r="Y99" s="54">
        <v>2</v>
      </c>
      <c r="Z99" s="52"/>
      <c r="AA99" s="54">
        <f t="shared" si="20"/>
        <v>4</v>
      </c>
      <c r="AB99" s="54">
        <f t="shared" si="21"/>
        <v>200</v>
      </c>
    </row>
    <row r="100" spans="1:28" ht="15.75" customHeight="1">
      <c r="A100" s="51">
        <v>1</v>
      </c>
      <c r="B100" s="54">
        <v>2026</v>
      </c>
      <c r="C100" s="53" t="s">
        <v>397</v>
      </c>
      <c r="D100" s="54">
        <v>2</v>
      </c>
      <c r="E100" s="54">
        <v>0</v>
      </c>
      <c r="F100" s="54">
        <f t="shared" si="22"/>
        <v>233</v>
      </c>
      <c r="G100" s="54">
        <f t="shared" si="17"/>
        <v>177</v>
      </c>
      <c r="H100" s="54">
        <f t="shared" si="14"/>
        <v>100</v>
      </c>
      <c r="I100" s="54">
        <v>3</v>
      </c>
      <c r="J100" s="54">
        <v>1</v>
      </c>
      <c r="L100" s="54">
        <f t="shared" si="15"/>
        <v>2</v>
      </c>
      <c r="M100" s="54">
        <v>0</v>
      </c>
      <c r="N100" s="54">
        <v>1</v>
      </c>
      <c r="O100" s="54">
        <v>0</v>
      </c>
      <c r="P100" s="54">
        <v>7</v>
      </c>
      <c r="R100" s="54">
        <f t="shared" si="18"/>
        <v>80</v>
      </c>
      <c r="S100" s="54">
        <v>800</v>
      </c>
      <c r="T100" s="54">
        <f t="shared" si="16"/>
        <v>5</v>
      </c>
      <c r="U100" s="54">
        <v>10</v>
      </c>
      <c r="V100" s="54">
        <f t="shared" si="19"/>
        <v>2450</v>
      </c>
      <c r="W100" s="54"/>
      <c r="X100" s="54">
        <v>3</v>
      </c>
      <c r="Y100" s="54">
        <v>2</v>
      </c>
      <c r="Z100" s="52"/>
      <c r="AA100" s="54">
        <f t="shared" si="20"/>
        <v>10</v>
      </c>
      <c r="AB100" s="54">
        <f t="shared" si="21"/>
        <v>200</v>
      </c>
    </row>
    <row r="101" spans="1:28" ht="15.75" customHeight="1">
      <c r="A101" s="51">
        <v>1</v>
      </c>
      <c r="B101" s="54">
        <v>2027</v>
      </c>
      <c r="C101" s="53" t="s">
        <v>398</v>
      </c>
      <c r="D101" s="54">
        <v>2</v>
      </c>
      <c r="E101" s="54">
        <v>0</v>
      </c>
      <c r="F101" s="54">
        <f t="shared" si="22"/>
        <v>233</v>
      </c>
      <c r="G101" s="54">
        <f t="shared" si="17"/>
        <v>177</v>
      </c>
      <c r="H101" s="54">
        <f t="shared" si="14"/>
        <v>100</v>
      </c>
      <c r="I101" s="54">
        <v>3</v>
      </c>
      <c r="J101" s="54">
        <v>1</v>
      </c>
      <c r="L101" s="54">
        <f t="shared" si="15"/>
        <v>2</v>
      </c>
      <c r="M101" s="54">
        <v>0</v>
      </c>
      <c r="N101" s="54">
        <v>1</v>
      </c>
      <c r="O101" s="54">
        <v>0</v>
      </c>
      <c r="P101" s="54">
        <v>7</v>
      </c>
      <c r="R101" s="54">
        <f t="shared" si="18"/>
        <v>80</v>
      </c>
      <c r="S101" s="54">
        <v>800</v>
      </c>
      <c r="T101" s="54">
        <f t="shared" si="16"/>
        <v>5</v>
      </c>
      <c r="U101" s="54">
        <v>10</v>
      </c>
      <c r="V101" s="54">
        <f t="shared" si="19"/>
        <v>2450</v>
      </c>
      <c r="W101" s="54"/>
      <c r="X101" s="54">
        <v>3</v>
      </c>
      <c r="Y101" s="54">
        <v>2</v>
      </c>
      <c r="Z101" s="52"/>
      <c r="AA101" s="54">
        <f t="shared" si="20"/>
        <v>10</v>
      </c>
      <c r="AB101" s="54">
        <f t="shared" si="21"/>
        <v>200</v>
      </c>
    </row>
    <row r="102" spans="1:28" ht="15.75" customHeight="1">
      <c r="A102" s="51">
        <v>1</v>
      </c>
      <c r="B102" s="54">
        <v>2028</v>
      </c>
      <c r="C102" s="53" t="s">
        <v>399</v>
      </c>
      <c r="D102" s="54">
        <v>2</v>
      </c>
      <c r="E102" s="54">
        <v>0</v>
      </c>
      <c r="F102" s="54">
        <f t="shared" si="22"/>
        <v>233</v>
      </c>
      <c r="G102" s="54">
        <f t="shared" si="17"/>
        <v>177</v>
      </c>
      <c r="H102" s="54">
        <f t="shared" ref="H102:H105" si="23">R102/(S102/1000)</f>
        <v>100</v>
      </c>
      <c r="I102" s="54">
        <v>3</v>
      </c>
      <c r="J102" s="54">
        <v>1</v>
      </c>
      <c r="L102" s="54">
        <f t="shared" ref="L102:L105" si="24">10-SUM(M102:P102)</f>
        <v>2</v>
      </c>
      <c r="M102" s="54">
        <v>0</v>
      </c>
      <c r="N102" s="54">
        <v>1</v>
      </c>
      <c r="O102" s="54">
        <v>0</v>
      </c>
      <c r="P102" s="54">
        <v>7</v>
      </c>
      <c r="R102" s="54">
        <f t="shared" si="18"/>
        <v>80</v>
      </c>
      <c r="S102" s="54">
        <v>800</v>
      </c>
      <c r="T102" s="54">
        <f t="shared" ref="T102:T105" si="25">N102*5</f>
        <v>5</v>
      </c>
      <c r="U102" s="54">
        <v>10</v>
      </c>
      <c r="V102" s="54">
        <f t="shared" si="19"/>
        <v>2450</v>
      </c>
      <c r="W102" s="54"/>
      <c r="X102" s="54">
        <v>3</v>
      </c>
      <c r="Y102" s="54">
        <v>2</v>
      </c>
      <c r="Z102" s="52"/>
      <c r="AA102" s="54">
        <f t="shared" si="20"/>
        <v>10</v>
      </c>
      <c r="AB102" s="54">
        <f t="shared" si="21"/>
        <v>200</v>
      </c>
    </row>
    <row r="103" spans="1:28" ht="15.75" customHeight="1">
      <c r="A103" s="51">
        <v>1</v>
      </c>
      <c r="B103" s="54">
        <v>2029</v>
      </c>
      <c r="C103" s="53" t="s">
        <v>413</v>
      </c>
      <c r="D103" s="54">
        <v>2</v>
      </c>
      <c r="E103" s="54">
        <v>0</v>
      </c>
      <c r="F103" s="54">
        <f t="shared" si="22"/>
        <v>140</v>
      </c>
      <c r="G103" s="54">
        <f t="shared" si="17"/>
        <v>175</v>
      </c>
      <c r="H103" s="54">
        <f t="shared" si="23"/>
        <v>210</v>
      </c>
      <c r="I103" s="54">
        <v>5</v>
      </c>
      <c r="J103" s="54">
        <v>0</v>
      </c>
      <c r="L103" s="54">
        <f t="shared" si="24"/>
        <v>5</v>
      </c>
      <c r="M103" s="54">
        <v>0</v>
      </c>
      <c r="N103" s="54">
        <v>1</v>
      </c>
      <c r="O103" s="54">
        <v>0</v>
      </c>
      <c r="P103" s="54">
        <v>4</v>
      </c>
      <c r="R103" s="54">
        <f t="shared" si="18"/>
        <v>189</v>
      </c>
      <c r="S103" s="54">
        <v>900</v>
      </c>
      <c r="T103" s="54">
        <f t="shared" si="25"/>
        <v>5</v>
      </c>
      <c r="U103" s="54">
        <v>10</v>
      </c>
      <c r="V103" s="54">
        <f t="shared" si="19"/>
        <v>1400</v>
      </c>
      <c r="W103" s="54"/>
      <c r="X103" s="54">
        <v>3</v>
      </c>
      <c r="Y103" s="54">
        <v>2</v>
      </c>
      <c r="Z103" s="52"/>
      <c r="AA103" s="54">
        <f t="shared" si="20"/>
        <v>6</v>
      </c>
      <c r="AB103" s="54">
        <f t="shared" si="21"/>
        <v>200</v>
      </c>
    </row>
    <row r="104" spans="1:28" ht="15.75" customHeight="1">
      <c r="A104" s="51">
        <v>1</v>
      </c>
      <c r="B104" s="54">
        <v>2030</v>
      </c>
      <c r="C104" s="53" t="s">
        <v>414</v>
      </c>
      <c r="D104" s="54">
        <v>2</v>
      </c>
      <c r="E104" s="54">
        <v>0</v>
      </c>
      <c r="F104" s="54">
        <f t="shared" si="22"/>
        <v>175</v>
      </c>
      <c r="G104" s="54">
        <f t="shared" si="17"/>
        <v>176</v>
      </c>
      <c r="H104" s="54">
        <f t="shared" si="23"/>
        <v>180</v>
      </c>
      <c r="I104" s="54">
        <v>4</v>
      </c>
      <c r="J104" s="54">
        <v>1</v>
      </c>
      <c r="L104" s="54">
        <f t="shared" si="24"/>
        <v>5</v>
      </c>
      <c r="M104" s="54">
        <v>0</v>
      </c>
      <c r="N104" s="54">
        <v>1</v>
      </c>
      <c r="O104" s="54">
        <v>0</v>
      </c>
      <c r="P104" s="54">
        <v>4</v>
      </c>
      <c r="R104" s="54">
        <f t="shared" si="18"/>
        <v>144</v>
      </c>
      <c r="S104" s="54">
        <v>800</v>
      </c>
      <c r="T104" s="54">
        <f t="shared" si="25"/>
        <v>5</v>
      </c>
      <c r="U104" s="54">
        <v>10</v>
      </c>
      <c r="V104" s="54">
        <f t="shared" si="19"/>
        <v>1050</v>
      </c>
      <c r="W104" s="54"/>
      <c r="X104" s="54">
        <v>3</v>
      </c>
      <c r="Y104" s="54">
        <v>2</v>
      </c>
      <c r="Z104" s="52"/>
      <c r="AA104" s="54">
        <f t="shared" si="20"/>
        <v>6</v>
      </c>
      <c r="AB104" s="54">
        <f t="shared" si="21"/>
        <v>150</v>
      </c>
    </row>
    <row r="105" spans="1:28" ht="15.75" customHeight="1">
      <c r="A105" s="51">
        <v>1</v>
      </c>
      <c r="B105" s="54">
        <v>2031</v>
      </c>
      <c r="C105" s="53" t="s">
        <v>415</v>
      </c>
      <c r="D105" s="54">
        <v>2</v>
      </c>
      <c r="E105" s="54">
        <v>0</v>
      </c>
      <c r="F105" s="54">
        <f t="shared" si="22"/>
        <v>233</v>
      </c>
      <c r="G105" s="54">
        <f t="shared" si="17"/>
        <v>177</v>
      </c>
      <c r="H105" s="54">
        <f t="shared" si="23"/>
        <v>189.99999999999997</v>
      </c>
      <c r="I105" s="54">
        <v>3</v>
      </c>
      <c r="J105" s="54">
        <v>1</v>
      </c>
      <c r="L105" s="54">
        <f t="shared" si="24"/>
        <v>4</v>
      </c>
      <c r="M105" s="54">
        <v>0</v>
      </c>
      <c r="N105" s="54">
        <v>1</v>
      </c>
      <c r="O105" s="54">
        <v>0</v>
      </c>
      <c r="P105" s="54">
        <v>5</v>
      </c>
      <c r="R105" s="54">
        <f t="shared" si="18"/>
        <v>209</v>
      </c>
      <c r="S105" s="54">
        <v>1100</v>
      </c>
      <c r="T105" s="54">
        <f t="shared" si="25"/>
        <v>5</v>
      </c>
      <c r="U105" s="54">
        <v>10</v>
      </c>
      <c r="V105" s="54">
        <f t="shared" si="19"/>
        <v>1750</v>
      </c>
      <c r="W105" s="54"/>
      <c r="X105" s="54">
        <v>3</v>
      </c>
      <c r="Y105" s="54">
        <v>2</v>
      </c>
      <c r="Z105" s="52"/>
      <c r="AA105" s="54">
        <f t="shared" si="20"/>
        <v>14</v>
      </c>
      <c r="AB105" s="54">
        <f t="shared" si="21"/>
        <v>200</v>
      </c>
    </row>
    <row r="106" spans="1:28" ht="15.75" customHeight="1">
      <c r="A106" s="51">
        <v>1</v>
      </c>
      <c r="B106" s="54">
        <v>20001</v>
      </c>
      <c r="C106" s="51" t="s">
        <v>420</v>
      </c>
      <c r="D106" s="54">
        <v>4</v>
      </c>
      <c r="E106" s="54">
        <v>0</v>
      </c>
      <c r="F106" s="54">
        <f t="shared" ref="F106" si="26">IF(AND(2000&lt;B106,B106&lt;10000),ROUNDDOWN((INDEX($F$20:$F$23,MATCH(D106,$B$20:$B$23,0))+INDEX($G$20:$G$23,MATCH(D106,$B$20:$B$23,0))*E106)/I106,0),
ROUNDDOWN((INDEX($C$20:$C$23,MATCH(D106,$B$20:$B$23,0))+INDEX($D$20:$D$23,MATCH(D106,$B$20:$B$23,0))*E106)/I106,0))</f>
        <v>350</v>
      </c>
      <c r="G106" s="54">
        <f t="shared" ref="G106" si="27">ROUNDUP(F106*$C$25,0)*I106</f>
        <v>88</v>
      </c>
      <c r="H106" s="54">
        <f t="shared" ref="H106" si="28">R106/(S106/1000)</f>
        <v>530</v>
      </c>
      <c r="I106" s="54">
        <v>1</v>
      </c>
      <c r="J106" s="54">
        <v>0</v>
      </c>
      <c r="L106" s="54">
        <f t="shared" ref="L106" si="29">10-SUM(M106:P106)</f>
        <v>5</v>
      </c>
      <c r="M106" s="54">
        <v>0</v>
      </c>
      <c r="N106" s="54">
        <v>0</v>
      </c>
      <c r="O106" s="54">
        <v>0</v>
      </c>
      <c r="P106" s="54">
        <v>5</v>
      </c>
      <c r="R106" s="54">
        <f t="shared" si="18"/>
        <v>530</v>
      </c>
      <c r="S106" s="54">
        <v>1000</v>
      </c>
      <c r="T106" s="54">
        <f t="shared" ref="T106" si="30">N106*5</f>
        <v>0</v>
      </c>
      <c r="U106" s="54">
        <v>10</v>
      </c>
      <c r="V106" s="54">
        <f t="shared" si="19"/>
        <v>4380</v>
      </c>
      <c r="W106" s="54"/>
      <c r="X106" s="54">
        <v>3</v>
      </c>
      <c r="Y106" s="54">
        <v>2</v>
      </c>
      <c r="Z106" s="52"/>
      <c r="AA106" s="54">
        <f t="shared" si="20"/>
        <v>180</v>
      </c>
      <c r="AB106" s="54">
        <f t="shared" ref="AB106" si="31">ROUNDDOWN(IF(2000&lt;B106&lt;10000,INDEX($G$20:$G$23,MATCH($D106,$B$20:$B$23,0))*(Y106/SUM($X106:$Y106))*
IF($J106=0,INDEX($C$4:$C$13,MATCH(AB$30,$B$4:$B$13,0)),INDEX($D$4:$D$13,MATCH(AB$30,$B$4:$B$13,0))),INDEX($D$20:$D$23,MATCH($D106,$B$20:$B$23,0))*(Y106/SUM($X106:$Y106))*
IF($J106=0,INDEX($C$4:$C$13,MATCH(AB$30,$B$4:$B$13,0)),INDEX($D$4:$D$13,MATCH(AB$30,$B$4:$B$13,0))))
/I106,0)</f>
        <v>1000</v>
      </c>
    </row>
  </sheetData>
  <phoneticPr fontId="2" type="noConversion"/>
  <conditionalFormatting sqref="J2:J106">
    <cfRule type="expression" dxfId="1" priority="2">
      <formula>NOT(ISERROR(SEARCH((1),(J2))))</formula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1C4587"/>
    <outlinePr summaryBelow="0" summaryRight="0"/>
  </sheetPr>
  <dimension ref="A1:U137"/>
  <sheetViews>
    <sheetView showGridLines="0" zoomScale="85" zoomScaleNormal="85" workbookViewId="0">
      <selection activeCell="C4" sqref="C4:C23"/>
    </sheetView>
  </sheetViews>
  <sheetFormatPr defaultColWidth="12.5703125" defaultRowHeight="15.75" customHeight="1"/>
  <cols>
    <col min="1" max="2" width="9.28515625" style="79" customWidth="1"/>
    <col min="3" max="3" width="22.140625" style="79" customWidth="1"/>
    <col min="4" max="4" width="33" style="79" customWidth="1"/>
    <col min="5" max="5" width="12.85546875" style="79" customWidth="1"/>
    <col min="6" max="6" width="19.28515625" style="79" customWidth="1"/>
    <col min="7" max="11" width="18.5703125" style="79" customWidth="1"/>
    <col min="12" max="13" width="12.5703125" style="79"/>
    <col min="14" max="14" width="13.85546875" style="79" customWidth="1"/>
    <col min="15" max="16384" width="12.5703125" style="79"/>
  </cols>
  <sheetData>
    <row r="1" spans="1:21" ht="13.5">
      <c r="A1" s="78">
        <v>1</v>
      </c>
      <c r="B1" s="78">
        <v>2</v>
      </c>
      <c r="C1" s="78">
        <v>3</v>
      </c>
      <c r="D1" s="78">
        <v>4</v>
      </c>
      <c r="E1" s="78">
        <v>5</v>
      </c>
      <c r="F1" s="78">
        <v>6</v>
      </c>
      <c r="G1" s="78">
        <v>7</v>
      </c>
      <c r="H1" s="78">
        <v>7</v>
      </c>
      <c r="I1" s="78">
        <v>7</v>
      </c>
      <c r="J1" s="78">
        <v>7</v>
      </c>
      <c r="K1" s="78">
        <v>7</v>
      </c>
      <c r="L1" s="78">
        <v>7</v>
      </c>
      <c r="M1" s="78">
        <v>7</v>
      </c>
      <c r="N1" s="78">
        <v>7</v>
      </c>
      <c r="O1" s="78">
        <v>7</v>
      </c>
      <c r="P1" s="78">
        <v>7</v>
      </c>
      <c r="Q1" s="78">
        <v>13</v>
      </c>
      <c r="R1" s="78">
        <v>14</v>
      </c>
      <c r="S1" s="78">
        <v>15</v>
      </c>
      <c r="T1" s="78">
        <v>16</v>
      </c>
      <c r="U1" s="78">
        <v>17</v>
      </c>
    </row>
    <row r="2" spans="1:21" ht="13.5">
      <c r="A2" s="78">
        <v>1</v>
      </c>
      <c r="B2" s="78">
        <v>1</v>
      </c>
      <c r="C2" s="78">
        <v>1</v>
      </c>
      <c r="D2" s="78">
        <v>1</v>
      </c>
      <c r="E2" s="78">
        <v>1</v>
      </c>
      <c r="F2" s="78">
        <v>1</v>
      </c>
      <c r="G2" s="78">
        <v>1</v>
      </c>
      <c r="H2" s="78">
        <v>1</v>
      </c>
      <c r="I2" s="78">
        <v>1</v>
      </c>
      <c r="J2" s="78">
        <v>1</v>
      </c>
      <c r="K2" s="78">
        <v>1</v>
      </c>
      <c r="L2" s="78"/>
      <c r="M2" s="78">
        <v>1</v>
      </c>
      <c r="N2" s="78">
        <v>1</v>
      </c>
      <c r="O2" s="78">
        <v>1</v>
      </c>
      <c r="P2" s="78">
        <v>1</v>
      </c>
      <c r="Q2" s="78">
        <v>1</v>
      </c>
      <c r="R2" s="78">
        <v>1</v>
      </c>
      <c r="S2" s="78">
        <v>1</v>
      </c>
      <c r="T2" s="78">
        <v>1</v>
      </c>
      <c r="U2" s="78">
        <v>1</v>
      </c>
    </row>
    <row r="3" spans="1:21" ht="13.5">
      <c r="A3" s="78">
        <v>1</v>
      </c>
      <c r="B3" s="80" t="s">
        <v>371</v>
      </c>
      <c r="C3" s="80" t="s">
        <v>374</v>
      </c>
      <c r="D3" s="80" t="s">
        <v>373</v>
      </c>
      <c r="E3" s="80" t="s">
        <v>372</v>
      </c>
      <c r="F3" s="80" t="s">
        <v>362</v>
      </c>
      <c r="G3" s="84" t="s">
        <v>383</v>
      </c>
      <c r="H3" s="85" t="s">
        <v>384</v>
      </c>
      <c r="I3" s="89" t="s">
        <v>389</v>
      </c>
    </row>
    <row r="4" spans="1:21" ht="13.5">
      <c r="A4" s="78">
        <v>1</v>
      </c>
      <c r="B4" s="81">
        <v>1</v>
      </c>
      <c r="C4" s="81">
        <f t="shared" ref="C4:C23" si="0">SUMIF($B$28:$B$137,B4,$C$28:$C$137)</f>
        <v>200</v>
      </c>
      <c r="D4" s="81">
        <v>100</v>
      </c>
      <c r="E4" s="81">
        <v>1</v>
      </c>
      <c r="F4" s="81">
        <f t="shared" ref="F4:F23" si="1">SUMIF($B$28:$B$137,B4,$E$28:$E$137)</f>
        <v>8</v>
      </c>
      <c r="G4" s="81">
        <f>SUMIF($B$28:$B$137,B4,$G$28:$G$137)</f>
        <v>6000</v>
      </c>
      <c r="H4" s="81">
        <f>SUMIF($B$28:$B$137,B4,$H$28:$H$137)</f>
        <v>1150</v>
      </c>
      <c r="I4" s="81" t="str">
        <f t="shared" ref="I4:I23" si="2">IF(G4/$P$14&lt;$Q$14/H4,"이김","짐")</f>
        <v>짐</v>
      </c>
    </row>
    <row r="5" spans="1:21" ht="13.5">
      <c r="A5" s="78">
        <v>1</v>
      </c>
      <c r="B5" s="81">
        <v>2</v>
      </c>
      <c r="C5" s="81">
        <f t="shared" si="0"/>
        <v>225</v>
      </c>
      <c r="D5" s="81">
        <f>ROUNDDOWN(D4*1.25,0)</f>
        <v>125</v>
      </c>
      <c r="E5" s="81">
        <v>1</v>
      </c>
      <c r="F5" s="81">
        <f t="shared" si="1"/>
        <v>9</v>
      </c>
      <c r="G5" s="81">
        <f t="shared" ref="G5:G23" si="3">SUMIF($B$28:$B$137,B5,$G$28:$G$137)</f>
        <v>9550</v>
      </c>
      <c r="H5" s="81">
        <f t="shared" ref="H5:H23" si="4">SUMIF($B$28:$B$137,B5,$H$28:$H$137)</f>
        <v>1130</v>
      </c>
      <c r="I5" s="81" t="str">
        <f t="shared" si="2"/>
        <v>짐</v>
      </c>
    </row>
    <row r="6" spans="1:21" ht="13.5">
      <c r="A6" s="78">
        <v>1</v>
      </c>
      <c r="B6" s="81">
        <v>3</v>
      </c>
      <c r="C6" s="81">
        <f t="shared" si="0"/>
        <v>300</v>
      </c>
      <c r="D6" s="81">
        <f t="shared" ref="D6:D23" si="5">ROUNDDOWN(D5*1.25,0)</f>
        <v>156</v>
      </c>
      <c r="E6" s="81">
        <v>1</v>
      </c>
      <c r="F6" s="81">
        <f t="shared" si="1"/>
        <v>12</v>
      </c>
      <c r="G6" s="81">
        <f t="shared" si="3"/>
        <v>14050</v>
      </c>
      <c r="H6" s="81">
        <f t="shared" si="4"/>
        <v>1490</v>
      </c>
      <c r="I6" s="81" t="str">
        <f t="shared" si="2"/>
        <v>짐</v>
      </c>
    </row>
    <row r="7" spans="1:21" ht="13.5">
      <c r="A7" s="78">
        <v>1</v>
      </c>
      <c r="B7" s="81">
        <v>4</v>
      </c>
      <c r="C7" s="81">
        <f t="shared" si="0"/>
        <v>375</v>
      </c>
      <c r="D7" s="81">
        <f t="shared" si="5"/>
        <v>195</v>
      </c>
      <c r="E7" s="81">
        <v>1</v>
      </c>
      <c r="F7" s="81">
        <f t="shared" si="1"/>
        <v>15</v>
      </c>
      <c r="G7" s="81">
        <f t="shared" si="3"/>
        <v>14500</v>
      </c>
      <c r="H7" s="81">
        <f t="shared" si="4"/>
        <v>1700</v>
      </c>
      <c r="I7" s="81" t="str">
        <f t="shared" si="2"/>
        <v>짐</v>
      </c>
      <c r="K7" s="88" t="s">
        <v>380</v>
      </c>
      <c r="L7" s="88" t="s">
        <v>380</v>
      </c>
      <c r="M7" s="88" t="s">
        <v>381</v>
      </c>
      <c r="N7" s="88" t="s">
        <v>416</v>
      </c>
      <c r="O7" s="88" t="s">
        <v>385</v>
      </c>
      <c r="P7" s="88" t="s">
        <v>386</v>
      </c>
      <c r="Q7" s="88" t="s">
        <v>387</v>
      </c>
      <c r="R7" s="88" t="s">
        <v>382</v>
      </c>
    </row>
    <row r="8" spans="1:21" ht="13.5">
      <c r="A8" s="78">
        <v>1</v>
      </c>
      <c r="B8" s="81">
        <v>5</v>
      </c>
      <c r="C8" s="81">
        <f>SUMIF($B$28:$B$137,B8,$C$28:$C$137)</f>
        <v>600</v>
      </c>
      <c r="D8" s="81">
        <f t="shared" si="5"/>
        <v>243</v>
      </c>
      <c r="E8" s="81">
        <v>1</v>
      </c>
      <c r="F8" s="81">
        <f t="shared" si="1"/>
        <v>12</v>
      </c>
      <c r="G8" s="81">
        <f t="shared" si="3"/>
        <v>24000</v>
      </c>
      <c r="H8" s="81">
        <f t="shared" si="4"/>
        <v>4320</v>
      </c>
      <c r="I8" s="81" t="str">
        <f t="shared" si="2"/>
        <v>짐</v>
      </c>
      <c r="K8" s="87" t="s">
        <v>335</v>
      </c>
      <c r="L8" s="87">
        <f>INDEX(ref_Unit_Balance!$B$31:$B$1048576,MATCH(ref_Stage_Balance!K8,ref_Unit_Balance!$C$31:$C$1048576,0))</f>
        <v>2001</v>
      </c>
      <c r="M8" s="87">
        <v>1</v>
      </c>
      <c r="N8" s="87">
        <f>INDEX(ref_Unit_Balance!$D$31:$D$1048576,MATCH(ref_Stage_Balance!L8,ref_Unit_Balance!$B$31:$B$1048576,0))</f>
        <v>1</v>
      </c>
      <c r="O8" s="87">
        <f>IFERROR(INDEX(ref_Unit_Balance!$I:$I,MATCH(L8,ref_Unit_Balance!B:B,0)),"0")</f>
        <v>5</v>
      </c>
      <c r="P8" s="87">
        <f>IFERROR(INDEX(ref_Unit_Balance!$R:$R,MATCH(L8,ref_Unit_Balance!B:B,0))*O8+(INDEX(ref_Unit_Balance!$AA:$AA,MATCH(L8,ref_Unit_Balance!B:B,0))*(M8)*O8),0)</f>
        <v>785</v>
      </c>
      <c r="Q8" s="87">
        <f>INDEX(ref_Unit_Balance!$V:$V,MATCH(L8,ref_Unit_Balance!B:B,0))*O8+(INDEX(ref_Unit_Balance!$AB:$AB,MATCH(L8,ref_Unit_Balance!B:B,0))*(M8)*O8)</f>
        <v>8500</v>
      </c>
      <c r="R8" s="87">
        <f>INDEX(ref_Unit_Balance!$G:$G,MATCH(L8,ref_Unit_Balance!B:B,0))+
(INDEX(ref_Unit_Balance!$G$20:$G$23,MATCH(ref_Stage_Balance!N8,ref_Unit_Balance!$B$20:$B$23,0))*(M8)*ref_Unit_Balance!$C$25)</f>
        <v>200</v>
      </c>
    </row>
    <row r="9" spans="1:21" ht="13.5">
      <c r="A9" s="78">
        <v>1</v>
      </c>
      <c r="B9" s="81">
        <v>6</v>
      </c>
      <c r="C9" s="81">
        <f t="shared" si="0"/>
        <v>550</v>
      </c>
      <c r="D9" s="81">
        <f t="shared" si="5"/>
        <v>303</v>
      </c>
      <c r="E9" s="81">
        <v>2</v>
      </c>
      <c r="F9" s="81">
        <f t="shared" si="1"/>
        <v>19</v>
      </c>
      <c r="G9" s="81">
        <f t="shared" si="3"/>
        <v>22750</v>
      </c>
      <c r="H9" s="81">
        <f t="shared" si="4"/>
        <v>3280</v>
      </c>
      <c r="I9" s="81" t="str">
        <f t="shared" si="2"/>
        <v>짐</v>
      </c>
      <c r="K9" s="87"/>
      <c r="L9" s="87"/>
      <c r="M9" s="87"/>
      <c r="N9" s="87"/>
      <c r="O9" s="87"/>
      <c r="P9" s="87"/>
      <c r="Q9" s="87"/>
      <c r="R9" s="87"/>
    </row>
    <row r="10" spans="1:21" ht="13.5">
      <c r="A10" s="78">
        <v>1</v>
      </c>
      <c r="B10" s="81">
        <v>7</v>
      </c>
      <c r="C10" s="81">
        <f t="shared" si="0"/>
        <v>750</v>
      </c>
      <c r="D10" s="81">
        <f t="shared" si="5"/>
        <v>378</v>
      </c>
      <c r="E10" s="81">
        <v>2</v>
      </c>
      <c r="F10" s="81">
        <f t="shared" si="1"/>
        <v>24</v>
      </c>
      <c r="G10" s="81">
        <f t="shared" si="3"/>
        <v>30950</v>
      </c>
      <c r="H10" s="81">
        <f t="shared" si="4"/>
        <v>4590</v>
      </c>
      <c r="I10" s="81" t="str">
        <f t="shared" si="2"/>
        <v>짐</v>
      </c>
      <c r="K10" s="87"/>
      <c r="L10" s="87"/>
      <c r="M10" s="87"/>
      <c r="N10" s="87"/>
      <c r="O10" s="87"/>
      <c r="P10" s="87"/>
      <c r="Q10" s="87"/>
      <c r="R10" s="87"/>
    </row>
    <row r="11" spans="1:21" ht="13.5">
      <c r="A11" s="78">
        <v>1</v>
      </c>
      <c r="B11" s="81">
        <v>8</v>
      </c>
      <c r="C11" s="81">
        <f t="shared" si="0"/>
        <v>1125</v>
      </c>
      <c r="D11" s="81">
        <f t="shared" si="5"/>
        <v>472</v>
      </c>
      <c r="E11" s="81">
        <v>2</v>
      </c>
      <c r="F11" s="81">
        <f t="shared" si="1"/>
        <v>25</v>
      </c>
      <c r="G11" s="81">
        <f t="shared" si="3"/>
        <v>48750</v>
      </c>
      <c r="H11" s="81">
        <f t="shared" si="4"/>
        <v>7650</v>
      </c>
      <c r="I11" s="81" t="str">
        <f t="shared" si="2"/>
        <v>짐</v>
      </c>
      <c r="K11" s="87"/>
      <c r="L11" s="87"/>
      <c r="M11" s="87"/>
      <c r="N11" s="87"/>
      <c r="O11" s="87"/>
      <c r="P11" s="87"/>
      <c r="Q11" s="87"/>
      <c r="R11" s="87"/>
    </row>
    <row r="12" spans="1:21" ht="13.5">
      <c r="A12" s="78">
        <v>1</v>
      </c>
      <c r="B12" s="81">
        <v>9</v>
      </c>
      <c r="C12" s="81">
        <f t="shared" si="0"/>
        <v>1200</v>
      </c>
      <c r="D12" s="81">
        <f t="shared" si="5"/>
        <v>590</v>
      </c>
      <c r="E12" s="81">
        <v>2</v>
      </c>
      <c r="F12" s="81">
        <f t="shared" si="1"/>
        <v>24</v>
      </c>
      <c r="G12" s="81">
        <f t="shared" si="3"/>
        <v>48000</v>
      </c>
      <c r="H12" s="81">
        <f t="shared" si="4"/>
        <v>8640</v>
      </c>
      <c r="I12" s="81" t="str">
        <f t="shared" si="2"/>
        <v>짐</v>
      </c>
      <c r="K12" s="87"/>
      <c r="L12" s="87"/>
      <c r="M12" s="87"/>
      <c r="N12" s="87"/>
      <c r="O12" s="87"/>
      <c r="P12" s="87"/>
      <c r="Q12" s="87"/>
      <c r="R12" s="87"/>
    </row>
    <row r="13" spans="1:21" ht="13.5">
      <c r="A13" s="78">
        <v>1</v>
      </c>
      <c r="B13" s="81">
        <v>10</v>
      </c>
      <c r="C13" s="81">
        <f t="shared" si="0"/>
        <v>1300</v>
      </c>
      <c r="D13" s="81">
        <f t="shared" si="5"/>
        <v>737</v>
      </c>
      <c r="E13" s="81">
        <v>2</v>
      </c>
      <c r="F13" s="81">
        <f t="shared" si="1"/>
        <v>37</v>
      </c>
      <c r="G13" s="81">
        <f t="shared" si="3"/>
        <v>61300</v>
      </c>
      <c r="H13" s="81">
        <f t="shared" si="4"/>
        <v>6760</v>
      </c>
      <c r="I13" s="81" t="str">
        <f t="shared" si="2"/>
        <v>짐</v>
      </c>
      <c r="K13" s="87"/>
      <c r="L13" s="87"/>
      <c r="M13" s="87"/>
      <c r="N13" s="87"/>
      <c r="O13" s="87"/>
      <c r="P13" s="87"/>
      <c r="Q13" s="87"/>
      <c r="R13" s="87"/>
    </row>
    <row r="14" spans="1:21" ht="13.5">
      <c r="A14" s="78">
        <v>1</v>
      </c>
      <c r="B14" s="81">
        <v>11</v>
      </c>
      <c r="C14" s="81">
        <f t="shared" si="0"/>
        <v>1275</v>
      </c>
      <c r="D14" s="81">
        <f t="shared" si="5"/>
        <v>921</v>
      </c>
      <c r="E14" s="81">
        <v>3</v>
      </c>
      <c r="F14" s="81">
        <f t="shared" si="1"/>
        <v>23</v>
      </c>
      <c r="G14" s="81">
        <f t="shared" si="3"/>
        <v>32850</v>
      </c>
      <c r="H14" s="81">
        <f t="shared" si="4"/>
        <v>5820</v>
      </c>
      <c r="I14" s="81" t="str">
        <f t="shared" si="2"/>
        <v>짐</v>
      </c>
      <c r="K14" s="86"/>
      <c r="L14" s="86"/>
      <c r="M14" s="86"/>
      <c r="N14" s="86"/>
      <c r="O14" s="86" t="s">
        <v>388</v>
      </c>
      <c r="P14" s="87">
        <f>SUM(P8:P13)</f>
        <v>785</v>
      </c>
      <c r="Q14" s="87">
        <f t="shared" ref="Q14:R14" si="6">SUM(Q8:Q13)</f>
        <v>8500</v>
      </c>
      <c r="R14" s="87">
        <f t="shared" si="6"/>
        <v>200</v>
      </c>
    </row>
    <row r="15" spans="1:21" ht="13.5">
      <c r="A15" s="78">
        <v>1</v>
      </c>
      <c r="B15" s="81">
        <v>12</v>
      </c>
      <c r="C15" s="81">
        <f t="shared" si="0"/>
        <v>1700</v>
      </c>
      <c r="D15" s="81">
        <f t="shared" si="5"/>
        <v>1151</v>
      </c>
      <c r="E15" s="81">
        <v>3</v>
      </c>
      <c r="F15" s="81">
        <f t="shared" si="1"/>
        <v>34</v>
      </c>
      <c r="G15" s="81">
        <f t="shared" si="3"/>
        <v>73000</v>
      </c>
      <c r="H15" s="81">
        <f t="shared" si="4"/>
        <v>10040</v>
      </c>
      <c r="I15" s="81" t="str">
        <f t="shared" si="2"/>
        <v>짐</v>
      </c>
    </row>
    <row r="16" spans="1:21" ht="13.5">
      <c r="A16" s="78">
        <v>1</v>
      </c>
      <c r="B16" s="81">
        <v>13</v>
      </c>
      <c r="C16" s="81">
        <f t="shared" si="0"/>
        <v>2225</v>
      </c>
      <c r="D16" s="81">
        <f t="shared" si="5"/>
        <v>1438</v>
      </c>
      <c r="E16" s="81">
        <v>3</v>
      </c>
      <c r="F16" s="81">
        <f t="shared" si="1"/>
        <v>58</v>
      </c>
      <c r="G16" s="81">
        <f t="shared" si="3"/>
        <v>82150</v>
      </c>
      <c r="H16" s="81">
        <f t="shared" si="4"/>
        <v>11320</v>
      </c>
      <c r="I16" s="81" t="str">
        <f t="shared" si="2"/>
        <v>짐</v>
      </c>
    </row>
    <row r="17" spans="1:9" ht="13.5">
      <c r="A17" s="78">
        <v>1</v>
      </c>
      <c r="B17" s="81">
        <v>14</v>
      </c>
      <c r="C17" s="81">
        <f t="shared" si="0"/>
        <v>3000</v>
      </c>
      <c r="D17" s="81">
        <f t="shared" si="5"/>
        <v>1797</v>
      </c>
      <c r="E17" s="81">
        <v>3</v>
      </c>
      <c r="F17" s="81">
        <f t="shared" si="1"/>
        <v>60</v>
      </c>
      <c r="G17" s="81">
        <f t="shared" si="3"/>
        <v>122000</v>
      </c>
      <c r="H17" s="81">
        <f t="shared" si="4"/>
        <v>17040</v>
      </c>
      <c r="I17" s="81" t="str">
        <f t="shared" si="2"/>
        <v>짐</v>
      </c>
    </row>
    <row r="18" spans="1:9" ht="13.5">
      <c r="A18" s="78">
        <v>1</v>
      </c>
      <c r="B18" s="81">
        <v>15</v>
      </c>
      <c r="C18" s="81">
        <f t="shared" si="0"/>
        <v>3250</v>
      </c>
      <c r="D18" s="81">
        <f t="shared" si="5"/>
        <v>2246</v>
      </c>
      <c r="E18" s="81">
        <v>3</v>
      </c>
      <c r="F18" s="81">
        <f t="shared" si="1"/>
        <v>60</v>
      </c>
      <c r="G18" s="81">
        <f t="shared" si="3"/>
        <v>90500</v>
      </c>
      <c r="H18" s="81">
        <f t="shared" si="4"/>
        <v>16200</v>
      </c>
      <c r="I18" s="81" t="str">
        <f t="shared" si="2"/>
        <v>짐</v>
      </c>
    </row>
    <row r="19" spans="1:9" ht="13.5">
      <c r="A19" s="78">
        <v>1</v>
      </c>
      <c r="B19" s="81">
        <v>16</v>
      </c>
      <c r="C19" s="81">
        <f t="shared" si="0"/>
        <v>4025</v>
      </c>
      <c r="D19" s="81">
        <f t="shared" si="5"/>
        <v>2807</v>
      </c>
      <c r="E19" s="81">
        <v>3</v>
      </c>
      <c r="F19" s="81">
        <f t="shared" si="1"/>
        <v>50</v>
      </c>
      <c r="G19" s="81">
        <f t="shared" si="3"/>
        <v>171280</v>
      </c>
      <c r="H19" s="81">
        <f t="shared" si="4"/>
        <v>24820</v>
      </c>
      <c r="I19" s="81" t="str">
        <f t="shared" si="2"/>
        <v>짐</v>
      </c>
    </row>
    <row r="20" spans="1:9" ht="13.5">
      <c r="A20" s="78">
        <v>1</v>
      </c>
      <c r="B20" s="81">
        <v>17</v>
      </c>
      <c r="C20" s="81">
        <f t="shared" si="0"/>
        <v>4737</v>
      </c>
      <c r="D20" s="81">
        <f t="shared" si="5"/>
        <v>3508</v>
      </c>
      <c r="E20" s="81">
        <v>3</v>
      </c>
      <c r="F20" s="81">
        <f t="shared" si="1"/>
        <v>59</v>
      </c>
      <c r="G20" s="81">
        <f t="shared" si="3"/>
        <v>201870</v>
      </c>
      <c r="H20" s="81">
        <f t="shared" si="4"/>
        <v>25420</v>
      </c>
      <c r="I20" s="81" t="str">
        <f t="shared" si="2"/>
        <v>짐</v>
      </c>
    </row>
    <row r="21" spans="1:9" ht="13.5">
      <c r="A21" s="78">
        <v>1</v>
      </c>
      <c r="B21" s="81">
        <v>18</v>
      </c>
      <c r="C21" s="81">
        <f t="shared" si="0"/>
        <v>6281</v>
      </c>
      <c r="D21" s="81">
        <f t="shared" si="5"/>
        <v>4385</v>
      </c>
      <c r="E21" s="81">
        <v>3</v>
      </c>
      <c r="F21" s="81">
        <f t="shared" si="1"/>
        <v>77</v>
      </c>
      <c r="G21" s="81">
        <f t="shared" si="3"/>
        <v>250980</v>
      </c>
      <c r="H21" s="81">
        <f t="shared" si="4"/>
        <v>35370</v>
      </c>
      <c r="I21" s="81" t="str">
        <f t="shared" si="2"/>
        <v>짐</v>
      </c>
    </row>
    <row r="22" spans="1:9" ht="13.5">
      <c r="A22" s="78">
        <v>1</v>
      </c>
      <c r="B22" s="81">
        <v>19</v>
      </c>
      <c r="C22" s="81">
        <f t="shared" si="0"/>
        <v>6416</v>
      </c>
      <c r="D22" s="81">
        <f t="shared" si="5"/>
        <v>5481</v>
      </c>
      <c r="E22" s="81">
        <v>3</v>
      </c>
      <c r="F22" s="81">
        <f t="shared" si="1"/>
        <v>67</v>
      </c>
      <c r="G22" s="81">
        <f t="shared" si="3"/>
        <v>191850</v>
      </c>
      <c r="H22" s="81">
        <f t="shared" si="4"/>
        <v>32040</v>
      </c>
      <c r="I22" s="81" t="str">
        <f t="shared" si="2"/>
        <v>짐</v>
      </c>
    </row>
    <row r="23" spans="1:9" ht="13.5">
      <c r="A23" s="78">
        <v>1</v>
      </c>
      <c r="B23" s="81">
        <v>20</v>
      </c>
      <c r="C23" s="81">
        <f t="shared" si="0"/>
        <v>7482</v>
      </c>
      <c r="D23" s="81">
        <f t="shared" si="5"/>
        <v>6851</v>
      </c>
      <c r="E23" s="81">
        <v>4</v>
      </c>
      <c r="F23" s="81">
        <f t="shared" si="1"/>
        <v>89</v>
      </c>
      <c r="G23" s="81">
        <f t="shared" si="3"/>
        <v>309700</v>
      </c>
      <c r="H23" s="81">
        <f t="shared" si="4"/>
        <v>35600</v>
      </c>
      <c r="I23" s="81" t="str">
        <f t="shared" si="2"/>
        <v>짐</v>
      </c>
    </row>
    <row r="24" spans="1:9" ht="13.5">
      <c r="A24" s="78">
        <v>1</v>
      </c>
      <c r="F24" s="83"/>
    </row>
    <row r="25" spans="1:9" ht="13.5">
      <c r="A25" s="78">
        <v>1</v>
      </c>
      <c r="F25" s="83"/>
    </row>
    <row r="26" spans="1:9" ht="13.5">
      <c r="A26" s="78">
        <v>1</v>
      </c>
      <c r="F26" s="83"/>
    </row>
    <row r="27" spans="1:9" ht="13.5">
      <c r="A27" s="78">
        <v>1</v>
      </c>
      <c r="B27" s="80" t="s">
        <v>371</v>
      </c>
      <c r="C27" s="80" t="s">
        <v>341</v>
      </c>
      <c r="D27" s="80" t="s">
        <v>370</v>
      </c>
      <c r="E27" s="80" t="s">
        <v>369</v>
      </c>
      <c r="F27" s="80" t="s">
        <v>368</v>
      </c>
      <c r="G27" s="84" t="s">
        <v>383</v>
      </c>
      <c r="H27" s="85" t="s">
        <v>384</v>
      </c>
      <c r="I27" s="78"/>
    </row>
    <row r="28" spans="1:9" ht="13.5">
      <c r="A28" s="78">
        <v>1</v>
      </c>
      <c r="B28" s="81">
        <v>1</v>
      </c>
      <c r="C28" s="81">
        <f>INDEX(ref_Unit_Balance!$G:$G,MATCH(D28,ref_Unit_Balance!B:B,0))*E28</f>
        <v>75</v>
      </c>
      <c r="D28" s="81">
        <f t="array" ref="D28">INDEX(ref_Unit_Balance!$B:$B,MATCH(F28,ref_Unit_Balance!C:C,0))</f>
        <v>1004</v>
      </c>
      <c r="E28" s="81">
        <v>3</v>
      </c>
      <c r="F28" s="82" t="s">
        <v>149</v>
      </c>
      <c r="G28" s="81">
        <f>INDEX(ref_Unit_Balance!$V:$V,MATCH(D28,ref_Unit_Balance!B:B,0))*E28</f>
        <v>3750</v>
      </c>
      <c r="H28" s="81">
        <f>INDEX(ref_Unit_Balance!$R:$R,MATCH(D28,ref_Unit_Balance!B:B,0))*E28</f>
        <v>450</v>
      </c>
    </row>
    <row r="29" spans="1:9" ht="13.5">
      <c r="A29" s="78">
        <v>1</v>
      </c>
      <c r="B29" s="81">
        <v>1</v>
      </c>
      <c r="C29" s="81">
        <f>INDEX(ref_Unit_Balance!$G:$G,MATCH(D29,ref_Unit_Balance!B:B,0))*E29</f>
        <v>125</v>
      </c>
      <c r="D29" s="81">
        <f t="array" ref="D29">INDEX(ref_Unit_Balance!$B:$B,MATCH(F29,ref_Unit_Balance!C:C,0))</f>
        <v>1001</v>
      </c>
      <c r="E29" s="81">
        <v>5</v>
      </c>
      <c r="F29" s="82" t="s">
        <v>146</v>
      </c>
      <c r="G29" s="81">
        <f>INDEX(ref_Unit_Balance!$V:$V,MATCH(D29,ref_Unit_Balance!B:B,0))*E29</f>
        <v>2250</v>
      </c>
      <c r="H29" s="81">
        <f>INDEX(ref_Unit_Balance!$R:$R,MATCH(D29,ref_Unit_Balance!B:B,0))*E29</f>
        <v>700</v>
      </c>
    </row>
    <row r="30" spans="1:9" ht="13.5">
      <c r="A30" s="78">
        <v>1</v>
      </c>
      <c r="B30" s="81">
        <v>2</v>
      </c>
      <c r="C30" s="81">
        <f>INDEX(ref_Unit_Balance!$G:$G,MATCH(D30,ref_Unit_Balance!B:B,0))*E30</f>
        <v>75</v>
      </c>
      <c r="D30" s="81">
        <f t="array" ref="D30">IFERROR(INDEX(ref_Unit_Balance!$B:$B,MATCH(F30,ref_Unit_Balance!C:C,0)),0)</f>
        <v>1004</v>
      </c>
      <c r="E30" s="81">
        <v>3</v>
      </c>
      <c r="F30" s="82" t="s">
        <v>149</v>
      </c>
      <c r="G30" s="81">
        <f>INDEX(ref_Unit_Balance!$V:$V,MATCH(D30,ref_Unit_Balance!B:B,0))*E30</f>
        <v>3750</v>
      </c>
      <c r="H30" s="81">
        <f>INDEX(ref_Unit_Balance!$R:$R,MATCH(D30,ref_Unit_Balance!B:B,0))*E30</f>
        <v>450</v>
      </c>
    </row>
    <row r="31" spans="1:9" ht="13.5">
      <c r="A31" s="78">
        <v>1</v>
      </c>
      <c r="B31" s="81">
        <v>2</v>
      </c>
      <c r="C31" s="81">
        <f>INDEX(ref_Unit_Balance!$G:$G,MATCH(D31,ref_Unit_Balance!B:B,0))*E31</f>
        <v>100</v>
      </c>
      <c r="D31" s="81">
        <f t="array" ref="D31">IFERROR(INDEX(ref_Unit_Balance!$B:$B,MATCH(F31,ref_Unit_Balance!C:C,0)),0)</f>
        <v>1001</v>
      </c>
      <c r="E31" s="81">
        <v>4</v>
      </c>
      <c r="F31" s="82" t="s">
        <v>146</v>
      </c>
      <c r="G31" s="81">
        <f>INDEX(ref_Unit_Balance!$V:$V,MATCH(D31,ref_Unit_Balance!B:B,0))*E31</f>
        <v>1800</v>
      </c>
      <c r="H31" s="81">
        <f>INDEX(ref_Unit_Balance!$R:$R,MATCH(D31,ref_Unit_Balance!B:B,0))*E31</f>
        <v>560</v>
      </c>
    </row>
    <row r="32" spans="1:9" ht="13.5">
      <c r="A32" s="78">
        <v>1</v>
      </c>
      <c r="B32" s="81">
        <v>2</v>
      </c>
      <c r="C32" s="81">
        <f>INDEX(ref_Unit_Balance!$G:$G,MATCH(D32,ref_Unit_Balance!B:B,0))*E32</f>
        <v>50</v>
      </c>
      <c r="D32" s="81">
        <f t="array" ref="D32">IFERROR(INDEX(ref_Unit_Balance!$B:$B,MATCH(F32,ref_Unit_Balance!C:C,0)),0)</f>
        <v>1002</v>
      </c>
      <c r="E32" s="81">
        <v>2</v>
      </c>
      <c r="F32" s="82" t="s">
        <v>147</v>
      </c>
      <c r="G32" s="81">
        <f>INDEX(ref_Unit_Balance!$V:$V,MATCH(D32,ref_Unit_Balance!B:B,0))*E32</f>
        <v>4000</v>
      </c>
      <c r="H32" s="81">
        <f>INDEX(ref_Unit_Balance!$R:$R,MATCH(D32,ref_Unit_Balance!B:B,0))*E32</f>
        <v>120</v>
      </c>
    </row>
    <row r="33" spans="1:8" ht="13.5">
      <c r="A33" s="78">
        <v>1</v>
      </c>
      <c r="B33" s="81">
        <v>3</v>
      </c>
      <c r="C33" s="81">
        <f>INDEX(ref_Unit_Balance!$G:$G,MATCH(D33,ref_Unit_Balance!B:B,0))*E33</f>
        <v>75</v>
      </c>
      <c r="D33" s="81">
        <f t="array" ref="D33">IFERROR(INDEX(ref_Unit_Balance!$B:$B,MATCH(F33,ref_Unit_Balance!C:C,0)),0)</f>
        <v>1004</v>
      </c>
      <c r="E33" s="81">
        <v>3</v>
      </c>
      <c r="F33" s="82" t="s">
        <v>149</v>
      </c>
      <c r="G33" s="81">
        <f>INDEX(ref_Unit_Balance!$V:$V,MATCH(D33,ref_Unit_Balance!B:B,0))*E33</f>
        <v>3750</v>
      </c>
      <c r="H33" s="81">
        <f>INDEX(ref_Unit_Balance!$R:$R,MATCH(D33,ref_Unit_Balance!B:B,0))*E33</f>
        <v>450</v>
      </c>
    </row>
    <row r="34" spans="1:8" ht="13.5">
      <c r="A34" s="78">
        <v>1</v>
      </c>
      <c r="B34" s="81">
        <v>3</v>
      </c>
      <c r="C34" s="81">
        <f>INDEX(ref_Unit_Balance!$G:$G,MATCH(D34,ref_Unit_Balance!B:B,0))*E34</f>
        <v>50</v>
      </c>
      <c r="D34" s="81">
        <f t="array" ref="D34">IFERROR(INDEX(ref_Unit_Balance!$B:$B,MATCH(F34,ref_Unit_Balance!C:C,0)),0)</f>
        <v>1003</v>
      </c>
      <c r="E34" s="81">
        <v>2</v>
      </c>
      <c r="F34" s="82" t="s">
        <v>148</v>
      </c>
      <c r="G34" s="81">
        <f>INDEX(ref_Unit_Balance!$V:$V,MATCH(D34,ref_Unit_Balance!B:B,0))*E34</f>
        <v>2500</v>
      </c>
      <c r="H34" s="81">
        <f>INDEX(ref_Unit_Balance!$R:$R,MATCH(D34,ref_Unit_Balance!B:B,0))*E34</f>
        <v>300</v>
      </c>
    </row>
    <row r="35" spans="1:8" ht="13.5">
      <c r="A35" s="78">
        <v>1</v>
      </c>
      <c r="B35" s="81">
        <v>3</v>
      </c>
      <c r="C35" s="81">
        <f>INDEX(ref_Unit_Balance!$G:$G,MATCH(D35,ref_Unit_Balance!B:B,0))*E35</f>
        <v>75</v>
      </c>
      <c r="D35" s="81">
        <f t="array" ref="D35">IFERROR(INDEX(ref_Unit_Balance!$B:$B,MATCH(F35,ref_Unit_Balance!C:C,0)),0)</f>
        <v>1002</v>
      </c>
      <c r="E35" s="81">
        <v>3</v>
      </c>
      <c r="F35" s="82" t="s">
        <v>147</v>
      </c>
      <c r="G35" s="81">
        <f>INDEX(ref_Unit_Balance!$V:$V,MATCH(D35,ref_Unit_Balance!B:B,0))*E35</f>
        <v>6000</v>
      </c>
      <c r="H35" s="81">
        <f>INDEX(ref_Unit_Balance!$R:$R,MATCH(D35,ref_Unit_Balance!B:B,0))*E35</f>
        <v>180</v>
      </c>
    </row>
    <row r="36" spans="1:8" ht="13.5">
      <c r="A36" s="78">
        <v>1</v>
      </c>
      <c r="B36" s="81">
        <v>3</v>
      </c>
      <c r="C36" s="81">
        <f>INDEX(ref_Unit_Balance!$G:$G,MATCH(D36,ref_Unit_Balance!B:B,0))*E36</f>
        <v>100</v>
      </c>
      <c r="D36" s="81">
        <f t="array" ref="D36">IFERROR(INDEX(ref_Unit_Balance!$B:$B,MATCH(F36,ref_Unit_Balance!C:C,0)),0)</f>
        <v>1001</v>
      </c>
      <c r="E36" s="81">
        <v>4</v>
      </c>
      <c r="F36" s="82" t="s">
        <v>146</v>
      </c>
      <c r="G36" s="81">
        <f>INDEX(ref_Unit_Balance!$V:$V,MATCH(D36,ref_Unit_Balance!B:B,0))*E36</f>
        <v>1800</v>
      </c>
      <c r="H36" s="81">
        <f>INDEX(ref_Unit_Balance!$R:$R,MATCH(D36,ref_Unit_Balance!B:B,0))*E36</f>
        <v>560</v>
      </c>
    </row>
    <row r="37" spans="1:8" ht="13.5">
      <c r="A37" s="78">
        <v>1</v>
      </c>
      <c r="B37" s="81">
        <v>4</v>
      </c>
      <c r="C37" s="81">
        <f>INDEX(ref_Unit_Balance!$G:$G,MATCH(D37,ref_Unit_Balance!B:B,0))*E37</f>
        <v>250</v>
      </c>
      <c r="D37" s="81">
        <f t="array" ref="D37">IFERROR(INDEX(ref_Unit_Balance!$B:$B,MATCH(F37,ref_Unit_Balance!C:C,0)),0)</f>
        <v>1001</v>
      </c>
      <c r="E37" s="81">
        <v>10</v>
      </c>
      <c r="F37" s="82" t="s">
        <v>146</v>
      </c>
      <c r="G37" s="81">
        <f>INDEX(ref_Unit_Balance!$V:$V,MATCH(D37,ref_Unit_Balance!B:B,0))*E37</f>
        <v>4500</v>
      </c>
      <c r="H37" s="81">
        <f>INDEX(ref_Unit_Balance!$R:$R,MATCH(D37,ref_Unit_Balance!B:B,0))*E37</f>
        <v>1400</v>
      </c>
    </row>
    <row r="38" spans="1:8" ht="13.5">
      <c r="A38" s="78">
        <v>1</v>
      </c>
      <c r="B38" s="81">
        <v>4</v>
      </c>
      <c r="C38" s="81">
        <f>INDEX(ref_Unit_Balance!$G:$G,MATCH(D38,ref_Unit_Balance!B:B,0))*E38</f>
        <v>125</v>
      </c>
      <c r="D38" s="81">
        <f t="array" ref="D38">IFERROR(INDEX(ref_Unit_Balance!$B:$B,MATCH(F38,ref_Unit_Balance!C:C,0)),0)</f>
        <v>1002</v>
      </c>
      <c r="E38" s="81">
        <v>5</v>
      </c>
      <c r="F38" s="82" t="s">
        <v>147</v>
      </c>
      <c r="G38" s="81">
        <f>INDEX(ref_Unit_Balance!$V:$V,MATCH(D38,ref_Unit_Balance!B:B,0))*E38</f>
        <v>10000</v>
      </c>
      <c r="H38" s="81">
        <f>INDEX(ref_Unit_Balance!$R:$R,MATCH(D38,ref_Unit_Balance!B:B,0))*E38</f>
        <v>300</v>
      </c>
    </row>
    <row r="39" spans="1:8" ht="13.5">
      <c r="A39" s="78">
        <v>1</v>
      </c>
      <c r="B39" s="81">
        <v>5</v>
      </c>
      <c r="C39" s="81">
        <f>INDEX(ref_Unit_Balance!$G:$G,MATCH(D39,ref_Unit_Balance!B:B,0))*E39</f>
        <v>600</v>
      </c>
      <c r="D39" s="81">
        <f t="array" ref="D39">IFERROR(INDEX(ref_Unit_Balance!$B:$B,MATCH(F39,ref_Unit_Balance!C:C,0)),0)</f>
        <v>1005</v>
      </c>
      <c r="E39" s="81">
        <v>12</v>
      </c>
      <c r="F39" s="82" t="s">
        <v>150</v>
      </c>
      <c r="G39" s="81">
        <f>INDEX(ref_Unit_Balance!$V:$V,MATCH(D39,ref_Unit_Balance!B:B,0))*E39</f>
        <v>24000</v>
      </c>
      <c r="H39" s="81">
        <f>INDEX(ref_Unit_Balance!$R:$R,MATCH(D39,ref_Unit_Balance!B:B,0))*E39</f>
        <v>4320</v>
      </c>
    </row>
    <row r="40" spans="1:8" ht="13.5">
      <c r="A40" s="78">
        <v>1</v>
      </c>
      <c r="B40" s="81">
        <v>6</v>
      </c>
      <c r="C40" s="81">
        <f>INDEX(ref_Unit_Balance!$G:$G,MATCH(D40,ref_Unit_Balance!B:B,0))*E40</f>
        <v>50</v>
      </c>
      <c r="D40" s="81">
        <f>IFERROR(INDEX(ref_Unit_Balance!$B:$B,MATCH(F40,ref_Unit_Balance!C:C,0)),0)</f>
        <v>1008</v>
      </c>
      <c r="E40" s="81">
        <v>1</v>
      </c>
      <c r="F40" s="82" t="s">
        <v>153</v>
      </c>
      <c r="G40" s="81">
        <f>INDEX(ref_Unit_Balance!$V:$V,MATCH(D40,ref_Unit_Balance!B:B,0))*E40</f>
        <v>1500</v>
      </c>
      <c r="H40" s="81">
        <f>INDEX(ref_Unit_Balance!$R:$R,MATCH(D40,ref_Unit_Balance!B:B,0))*E40</f>
        <v>360</v>
      </c>
    </row>
    <row r="41" spans="1:8" ht="13.5">
      <c r="A41" s="78">
        <v>1</v>
      </c>
      <c r="B41" s="81">
        <v>6</v>
      </c>
      <c r="C41" s="81">
        <f>INDEX(ref_Unit_Balance!$G:$G,MATCH(D41,ref_Unit_Balance!B:B,0))*E41</f>
        <v>125</v>
      </c>
      <c r="D41" s="81">
        <f>IFERROR(INDEX(ref_Unit_Balance!$B:$B,MATCH(F41,ref_Unit_Balance!C:C,0)),0)</f>
        <v>1004</v>
      </c>
      <c r="E41" s="81">
        <v>5</v>
      </c>
      <c r="F41" s="82" t="s">
        <v>149</v>
      </c>
      <c r="G41" s="81">
        <f>INDEX(ref_Unit_Balance!$V:$V,MATCH(D41,ref_Unit_Balance!B:B,0))*E41</f>
        <v>6250</v>
      </c>
      <c r="H41" s="81">
        <f>INDEX(ref_Unit_Balance!$R:$R,MATCH(D41,ref_Unit_Balance!B:B,0))*E41</f>
        <v>750</v>
      </c>
    </row>
    <row r="42" spans="1:8" ht="13.5">
      <c r="A42" s="78">
        <v>1</v>
      </c>
      <c r="B42" s="81">
        <v>6</v>
      </c>
      <c r="C42" s="81">
        <f>INDEX(ref_Unit_Balance!$G:$G,MATCH(D42,ref_Unit_Balance!B:B,0))*E42</f>
        <v>75</v>
      </c>
      <c r="D42" s="81">
        <f>IFERROR(INDEX(ref_Unit_Balance!$B:$B,MATCH(F42,ref_Unit_Balance!C:C,0)),0)</f>
        <v>1002</v>
      </c>
      <c r="E42" s="81">
        <v>3</v>
      </c>
      <c r="F42" s="82" t="s">
        <v>147</v>
      </c>
      <c r="G42" s="81">
        <f>INDEX(ref_Unit_Balance!$V:$V,MATCH(D42,ref_Unit_Balance!B:B,0))*E42</f>
        <v>6000</v>
      </c>
      <c r="H42" s="81">
        <f>INDEX(ref_Unit_Balance!$R:$R,MATCH(D42,ref_Unit_Balance!B:B,0))*E42</f>
        <v>180</v>
      </c>
    </row>
    <row r="43" spans="1:8" ht="13.5">
      <c r="A43" s="78">
        <v>1</v>
      </c>
      <c r="B43" s="81">
        <v>6</v>
      </c>
      <c r="C43" s="81">
        <f>INDEX(ref_Unit_Balance!$G:$G,MATCH(D43,ref_Unit_Balance!B:B,0))*E43</f>
        <v>75</v>
      </c>
      <c r="D43" s="81">
        <f>IFERROR(INDEX(ref_Unit_Balance!$B:$B,MATCH(F43,ref_Unit_Balance!C:C,0)),0)</f>
        <v>1003</v>
      </c>
      <c r="E43" s="81">
        <v>3</v>
      </c>
      <c r="F43" s="82" t="s">
        <v>148</v>
      </c>
      <c r="G43" s="81">
        <f>INDEX(ref_Unit_Balance!$V:$V,MATCH(D43,ref_Unit_Balance!B:B,0))*E43</f>
        <v>3750</v>
      </c>
      <c r="H43" s="81">
        <f>INDEX(ref_Unit_Balance!$R:$R,MATCH(D43,ref_Unit_Balance!B:B,0))*E43</f>
        <v>450</v>
      </c>
    </row>
    <row r="44" spans="1:8" ht="13.5">
      <c r="A44" s="78">
        <v>1</v>
      </c>
      <c r="B44" s="81">
        <v>6</v>
      </c>
      <c r="C44" s="81">
        <f>INDEX(ref_Unit_Balance!$G:$G,MATCH(D44,ref_Unit_Balance!B:B,0))*E44</f>
        <v>125</v>
      </c>
      <c r="D44" s="81">
        <f>IFERROR(INDEX(ref_Unit_Balance!$B:$B,MATCH(F44,ref_Unit_Balance!C:C,0)),0)</f>
        <v>1001</v>
      </c>
      <c r="E44" s="81">
        <v>5</v>
      </c>
      <c r="F44" s="82" t="s">
        <v>146</v>
      </c>
      <c r="G44" s="81">
        <f>INDEX(ref_Unit_Balance!$V:$V,MATCH(D44,ref_Unit_Balance!B:B,0))*E44</f>
        <v>2250</v>
      </c>
      <c r="H44" s="81">
        <f>INDEX(ref_Unit_Balance!$R:$R,MATCH(D44,ref_Unit_Balance!B:B,0))*E44</f>
        <v>700</v>
      </c>
    </row>
    <row r="45" spans="1:8" ht="13.5">
      <c r="A45" s="78">
        <v>1</v>
      </c>
      <c r="B45" s="81">
        <v>6</v>
      </c>
      <c r="C45" s="81">
        <f>INDEX(ref_Unit_Balance!$G:$G,MATCH(D45,ref_Unit_Balance!B:B,0))*E45</f>
        <v>100</v>
      </c>
      <c r="D45" s="81">
        <f>IFERROR(INDEX(ref_Unit_Balance!$B:$B,MATCH(F45,ref_Unit_Balance!C:C,0)),0)</f>
        <v>1006</v>
      </c>
      <c r="E45" s="81">
        <v>2</v>
      </c>
      <c r="F45" s="82" t="s">
        <v>151</v>
      </c>
      <c r="G45" s="81">
        <f>INDEX(ref_Unit_Balance!$V:$V,MATCH(D45,ref_Unit_Balance!B:B,0))*E45</f>
        <v>3000</v>
      </c>
      <c r="H45" s="81">
        <f>INDEX(ref_Unit_Balance!$R:$R,MATCH(D45,ref_Unit_Balance!B:B,0))*E45</f>
        <v>840</v>
      </c>
    </row>
    <row r="46" spans="1:8" ht="13.5">
      <c r="A46" s="78">
        <v>1</v>
      </c>
      <c r="B46" s="81">
        <v>7</v>
      </c>
      <c r="C46" s="81">
        <f>INDEX(ref_Unit_Balance!$G:$G,MATCH(D46,ref_Unit_Balance!B:B,0))*E46</f>
        <v>200</v>
      </c>
      <c r="D46" s="81">
        <f>IFERROR(INDEX(ref_Unit_Balance!$B:$B,MATCH(F46,ref_Unit_Balance!C:C,0)),0)</f>
        <v>1005</v>
      </c>
      <c r="E46" s="81">
        <v>4</v>
      </c>
      <c r="F46" s="82" t="s">
        <v>150</v>
      </c>
      <c r="G46" s="81">
        <f>INDEX(ref_Unit_Balance!$V:$V,MATCH(D46,ref_Unit_Balance!B:B,0))*E46</f>
        <v>8000</v>
      </c>
      <c r="H46" s="81">
        <f>INDEX(ref_Unit_Balance!$R:$R,MATCH(D46,ref_Unit_Balance!B:B,0))*E46</f>
        <v>1440</v>
      </c>
    </row>
    <row r="47" spans="1:8" ht="13.5">
      <c r="A47" s="78">
        <v>1</v>
      </c>
      <c r="B47" s="81">
        <v>7</v>
      </c>
      <c r="C47" s="81">
        <f>INDEX(ref_Unit_Balance!$G:$G,MATCH(D47,ref_Unit_Balance!B:B,0))*E47</f>
        <v>50</v>
      </c>
      <c r="D47" s="81">
        <f>IFERROR(INDEX(ref_Unit_Balance!$B:$B,MATCH(F47,ref_Unit_Balance!C:C,0)),0)</f>
        <v>1008</v>
      </c>
      <c r="E47" s="81">
        <v>1</v>
      </c>
      <c r="F47" s="82" t="s">
        <v>153</v>
      </c>
      <c r="G47" s="81">
        <f>INDEX(ref_Unit_Balance!$V:$V,MATCH(D47,ref_Unit_Balance!B:B,0))*E47</f>
        <v>1500</v>
      </c>
      <c r="H47" s="81">
        <f>INDEX(ref_Unit_Balance!$R:$R,MATCH(D47,ref_Unit_Balance!B:B,0))*E47</f>
        <v>360</v>
      </c>
    </row>
    <row r="48" spans="1:8" ht="13.5">
      <c r="A48" s="78">
        <v>1</v>
      </c>
      <c r="B48" s="81">
        <v>7</v>
      </c>
      <c r="C48" s="81">
        <f>INDEX(ref_Unit_Balance!$G:$G,MATCH(D48,ref_Unit_Balance!B:B,0))*E48</f>
        <v>125</v>
      </c>
      <c r="D48" s="81">
        <f>IFERROR(INDEX(ref_Unit_Balance!$B:$B,MATCH(F48,ref_Unit_Balance!C:C,0)),0)</f>
        <v>1004</v>
      </c>
      <c r="E48" s="81">
        <v>5</v>
      </c>
      <c r="F48" s="82" t="s">
        <v>149</v>
      </c>
      <c r="G48" s="81">
        <f>INDEX(ref_Unit_Balance!$V:$V,MATCH(D48,ref_Unit_Balance!B:B,0))*E48</f>
        <v>6250</v>
      </c>
      <c r="H48" s="81">
        <f>INDEX(ref_Unit_Balance!$R:$R,MATCH(D48,ref_Unit_Balance!B:B,0))*E48</f>
        <v>750</v>
      </c>
    </row>
    <row r="49" spans="1:8" ht="13.5">
      <c r="A49" s="78">
        <v>1</v>
      </c>
      <c r="B49" s="81">
        <v>7</v>
      </c>
      <c r="C49" s="81">
        <f>INDEX(ref_Unit_Balance!$G:$G,MATCH(D49,ref_Unit_Balance!B:B,0))*E49</f>
        <v>75</v>
      </c>
      <c r="D49" s="81">
        <f>IFERROR(INDEX(ref_Unit_Balance!$B:$B,MATCH(F49,ref_Unit_Balance!C:C,0)),0)</f>
        <v>1002</v>
      </c>
      <c r="E49" s="81">
        <v>3</v>
      </c>
      <c r="F49" s="82" t="s">
        <v>147</v>
      </c>
      <c r="G49" s="81">
        <f>INDEX(ref_Unit_Balance!$V:$V,MATCH(D49,ref_Unit_Balance!B:B,0))*E49</f>
        <v>6000</v>
      </c>
      <c r="H49" s="81">
        <f>INDEX(ref_Unit_Balance!$R:$R,MATCH(D49,ref_Unit_Balance!B:B,0))*E49</f>
        <v>180</v>
      </c>
    </row>
    <row r="50" spans="1:8" ht="13.5">
      <c r="A50" s="78">
        <v>1</v>
      </c>
      <c r="B50" s="81">
        <v>7</v>
      </c>
      <c r="C50" s="81">
        <f>INDEX(ref_Unit_Balance!$G:$G,MATCH(D50,ref_Unit_Balance!B:B,0))*E50</f>
        <v>100</v>
      </c>
      <c r="D50" s="81">
        <f>IFERROR(INDEX(ref_Unit_Balance!$B:$B,MATCH(F50,ref_Unit_Balance!C:C,0)),0)</f>
        <v>1003</v>
      </c>
      <c r="E50" s="81">
        <v>4</v>
      </c>
      <c r="F50" s="82" t="s">
        <v>148</v>
      </c>
      <c r="G50" s="81">
        <f>INDEX(ref_Unit_Balance!$V:$V,MATCH(D50,ref_Unit_Balance!B:B,0))*E50</f>
        <v>5000</v>
      </c>
      <c r="H50" s="81">
        <f>INDEX(ref_Unit_Balance!$R:$R,MATCH(D50,ref_Unit_Balance!B:B,0))*E50</f>
        <v>600</v>
      </c>
    </row>
    <row r="51" spans="1:8" ht="13.5">
      <c r="A51" s="78">
        <v>1</v>
      </c>
      <c r="B51" s="81">
        <v>7</v>
      </c>
      <c r="C51" s="81">
        <f>INDEX(ref_Unit_Balance!$G:$G,MATCH(D51,ref_Unit_Balance!B:B,0))*E51</f>
        <v>150</v>
      </c>
      <c r="D51" s="81">
        <f>IFERROR(INDEX(ref_Unit_Balance!$B:$B,MATCH(F51,ref_Unit_Balance!C:C,0)),0)</f>
        <v>1001</v>
      </c>
      <c r="E51" s="81">
        <v>6</v>
      </c>
      <c r="F51" s="82" t="s">
        <v>146</v>
      </c>
      <c r="G51" s="81">
        <f>INDEX(ref_Unit_Balance!$V:$V,MATCH(D51,ref_Unit_Balance!B:B,0))*E51</f>
        <v>2700</v>
      </c>
      <c r="H51" s="81">
        <f>INDEX(ref_Unit_Balance!$R:$R,MATCH(D51,ref_Unit_Balance!B:B,0))*E51</f>
        <v>840</v>
      </c>
    </row>
    <row r="52" spans="1:8" ht="13.5">
      <c r="A52" s="78">
        <v>1</v>
      </c>
      <c r="B52" s="81">
        <v>7</v>
      </c>
      <c r="C52" s="81">
        <f>INDEX(ref_Unit_Balance!$G:$G,MATCH(D52,ref_Unit_Balance!B:B,0))*E52</f>
        <v>50</v>
      </c>
      <c r="D52" s="81">
        <f>IFERROR(INDEX(ref_Unit_Balance!$B:$B,MATCH(F52,ref_Unit_Balance!C:C,0)),0)</f>
        <v>1006</v>
      </c>
      <c r="E52" s="81">
        <v>1</v>
      </c>
      <c r="F52" s="82" t="s">
        <v>151</v>
      </c>
      <c r="G52" s="81">
        <f>INDEX(ref_Unit_Balance!$V:$V,MATCH(D52,ref_Unit_Balance!B:B,0))*E52</f>
        <v>1500</v>
      </c>
      <c r="H52" s="81">
        <f>INDEX(ref_Unit_Balance!$R:$R,MATCH(D52,ref_Unit_Balance!B:B,0))*E52</f>
        <v>420</v>
      </c>
    </row>
    <row r="53" spans="1:8" ht="13.5">
      <c r="A53" s="78">
        <v>1</v>
      </c>
      <c r="B53" s="81">
        <v>8</v>
      </c>
      <c r="C53" s="81">
        <f>INDEX(ref_Unit_Balance!$G:$G,MATCH(D53,ref_Unit_Balance!B:B,0))*E53</f>
        <v>250</v>
      </c>
      <c r="D53" s="81">
        <f>IFERROR(INDEX(ref_Unit_Balance!$B:$B,MATCH(F53,ref_Unit_Balance!C:C,0)),0)</f>
        <v>1007</v>
      </c>
      <c r="E53" s="81">
        <v>5</v>
      </c>
      <c r="F53" s="82" t="s">
        <v>152</v>
      </c>
      <c r="G53" s="81">
        <f>INDEX(ref_Unit_Balance!$V:$V,MATCH(D53,ref_Unit_Balance!B:B,0))*E53</f>
        <v>17500</v>
      </c>
      <c r="H53" s="81">
        <f>INDEX(ref_Unit_Balance!$R:$R,MATCH(D53,ref_Unit_Balance!B:B,0))*E53</f>
        <v>900</v>
      </c>
    </row>
    <row r="54" spans="1:8" ht="13.5">
      <c r="A54" s="78">
        <v>1</v>
      </c>
      <c r="B54" s="81">
        <v>8</v>
      </c>
      <c r="C54" s="81">
        <f>INDEX(ref_Unit_Balance!$G:$G,MATCH(D54,ref_Unit_Balance!B:B,0))*E54</f>
        <v>500</v>
      </c>
      <c r="D54" s="81">
        <f>IFERROR(INDEX(ref_Unit_Balance!$B:$B,MATCH(F54,ref_Unit_Balance!C:C,0)),0)</f>
        <v>1006</v>
      </c>
      <c r="E54" s="81">
        <v>10</v>
      </c>
      <c r="F54" s="82" t="s">
        <v>151</v>
      </c>
      <c r="G54" s="81">
        <f>INDEX(ref_Unit_Balance!$V:$V,MATCH(D54,ref_Unit_Balance!B:B,0))*E54</f>
        <v>15000</v>
      </c>
      <c r="H54" s="81">
        <f>INDEX(ref_Unit_Balance!$R:$R,MATCH(D54,ref_Unit_Balance!B:B,0))*E54</f>
        <v>4200</v>
      </c>
    </row>
    <row r="55" spans="1:8" ht="13.5">
      <c r="A55" s="78">
        <v>1</v>
      </c>
      <c r="B55" s="81">
        <v>8</v>
      </c>
      <c r="C55" s="81">
        <f>INDEX(ref_Unit_Balance!$G:$G,MATCH(D55,ref_Unit_Balance!B:B,0))*E55</f>
        <v>250</v>
      </c>
      <c r="D55" s="81">
        <f>IFERROR(INDEX(ref_Unit_Balance!$B:$B,MATCH(F55,ref_Unit_Balance!C:C,0)),0)</f>
        <v>1005</v>
      </c>
      <c r="E55" s="81">
        <v>5</v>
      </c>
      <c r="F55" s="82" t="s">
        <v>150</v>
      </c>
      <c r="G55" s="81">
        <f>INDEX(ref_Unit_Balance!$V:$V,MATCH(D55,ref_Unit_Balance!B:B,0))*E55</f>
        <v>10000</v>
      </c>
      <c r="H55" s="81">
        <f>INDEX(ref_Unit_Balance!$R:$R,MATCH(D55,ref_Unit_Balance!B:B,0))*E55</f>
        <v>1800</v>
      </c>
    </row>
    <row r="56" spans="1:8" ht="13.5">
      <c r="A56" s="78">
        <v>1</v>
      </c>
      <c r="B56" s="81">
        <v>8</v>
      </c>
      <c r="C56" s="81">
        <f>INDEX(ref_Unit_Balance!$G:$G,MATCH(D56,ref_Unit_Balance!B:B,0))*E56</f>
        <v>125</v>
      </c>
      <c r="D56" s="81">
        <f>IFERROR(INDEX(ref_Unit_Balance!$B:$B,MATCH(F56,ref_Unit_Balance!C:C,0)),0)</f>
        <v>1004</v>
      </c>
      <c r="E56" s="81">
        <v>5</v>
      </c>
      <c r="F56" s="82" t="s">
        <v>149</v>
      </c>
      <c r="G56" s="81">
        <f>INDEX(ref_Unit_Balance!$V:$V,MATCH(D56,ref_Unit_Balance!B:B,0))*E56</f>
        <v>6250</v>
      </c>
      <c r="H56" s="81">
        <f>INDEX(ref_Unit_Balance!$R:$R,MATCH(D56,ref_Unit_Balance!B:B,0))*E56</f>
        <v>750</v>
      </c>
    </row>
    <row r="57" spans="1:8" ht="13.5">
      <c r="A57" s="78">
        <v>1</v>
      </c>
      <c r="B57" s="81">
        <v>9</v>
      </c>
      <c r="C57" s="81">
        <f>INDEX(ref_Unit_Balance!$G:$G,MATCH(D57,ref_Unit_Balance!B:B,0))*E57</f>
        <v>1200</v>
      </c>
      <c r="D57" s="81">
        <f>IFERROR(INDEX(ref_Unit_Balance!$B:$B,MATCH(F57,ref_Unit_Balance!C:C,0)),0)</f>
        <v>1009</v>
      </c>
      <c r="E57" s="81">
        <v>24</v>
      </c>
      <c r="F57" s="82" t="s">
        <v>154</v>
      </c>
      <c r="G57" s="81">
        <f>INDEX(ref_Unit_Balance!$V:$V,MATCH(D57,ref_Unit_Balance!B:B,0))*E57</f>
        <v>48000</v>
      </c>
      <c r="H57" s="81">
        <f>INDEX(ref_Unit_Balance!$R:$R,MATCH(D57,ref_Unit_Balance!B:B,0))*E57</f>
        <v>8640</v>
      </c>
    </row>
    <row r="58" spans="1:8" ht="13.5">
      <c r="A58" s="78">
        <v>1</v>
      </c>
      <c r="B58" s="81">
        <v>10</v>
      </c>
      <c r="C58" s="81">
        <f>INDEX(ref_Unit_Balance!$G:$G,MATCH(D58,ref_Unit_Balance!B:B,0))*E58</f>
        <v>750</v>
      </c>
      <c r="D58" s="81">
        <f>IFERROR(INDEX(ref_Unit_Balance!$B:$B,MATCH(F58,ref_Unit_Balance!C:C,0)),0)</f>
        <v>1010</v>
      </c>
      <c r="E58" s="81">
        <v>15</v>
      </c>
      <c r="F58" s="82" t="s">
        <v>177</v>
      </c>
      <c r="G58" s="81">
        <f>INDEX(ref_Unit_Balance!$V:$V,MATCH(D58,ref_Unit_Balance!B:B,0))*E58</f>
        <v>45000</v>
      </c>
      <c r="H58" s="81">
        <f>INDEX(ref_Unit_Balance!$R:$R,MATCH(D58,ref_Unit_Balance!B:B,0))*E58</f>
        <v>3600</v>
      </c>
    </row>
    <row r="59" spans="1:8" ht="13.5">
      <c r="A59" s="78">
        <v>1</v>
      </c>
      <c r="B59" s="81">
        <v>10</v>
      </c>
      <c r="C59" s="81">
        <f>INDEX(ref_Unit_Balance!$G:$G,MATCH(D59,ref_Unit_Balance!B:B,0))*E59</f>
        <v>200</v>
      </c>
      <c r="D59" s="81">
        <f>IFERROR(INDEX(ref_Unit_Balance!$B:$B,MATCH(F59,ref_Unit_Balance!C:C,0)),0)</f>
        <v>1004</v>
      </c>
      <c r="E59" s="81">
        <v>8</v>
      </c>
      <c r="F59" s="82" t="s">
        <v>149</v>
      </c>
      <c r="G59" s="81">
        <f>INDEX(ref_Unit_Balance!$V:$V,MATCH(D59,ref_Unit_Balance!B:B,0))*E59</f>
        <v>10000</v>
      </c>
      <c r="H59" s="81">
        <f>INDEX(ref_Unit_Balance!$R:$R,MATCH(D59,ref_Unit_Balance!B:B,0))*E59</f>
        <v>1200</v>
      </c>
    </row>
    <row r="60" spans="1:8" ht="13.5">
      <c r="A60" s="78">
        <v>1</v>
      </c>
      <c r="B60" s="81">
        <v>10</v>
      </c>
      <c r="C60" s="81">
        <f>INDEX(ref_Unit_Balance!$G:$G,MATCH(D60,ref_Unit_Balance!B:B,0))*E60</f>
        <v>350</v>
      </c>
      <c r="D60" s="81">
        <f>IFERROR(INDEX(ref_Unit_Balance!$B:$B,MATCH(F60,ref_Unit_Balance!C:C,0)),0)</f>
        <v>1001</v>
      </c>
      <c r="E60" s="81">
        <v>14</v>
      </c>
      <c r="F60" s="82" t="s">
        <v>146</v>
      </c>
      <c r="G60" s="81">
        <f>INDEX(ref_Unit_Balance!$V:$V,MATCH(D60,ref_Unit_Balance!B:B,0))*E60</f>
        <v>6300</v>
      </c>
      <c r="H60" s="81">
        <f>INDEX(ref_Unit_Balance!$R:$R,MATCH(D60,ref_Unit_Balance!B:B,0))*E60</f>
        <v>1960</v>
      </c>
    </row>
    <row r="61" spans="1:8" ht="13.5">
      <c r="A61" s="78">
        <v>1</v>
      </c>
      <c r="B61" s="81">
        <v>11</v>
      </c>
      <c r="C61" s="81">
        <f>INDEX(ref_Unit_Balance!$G:$G,MATCH(D61,ref_Unit_Balance!B:B,0))*E61</f>
        <v>450</v>
      </c>
      <c r="D61" s="81">
        <f>IFERROR(INDEX(ref_Unit_Balance!$B:$B,MATCH(F61,ref_Unit_Balance!C:C,0)),0)</f>
        <v>1013</v>
      </c>
      <c r="E61" s="81">
        <v>9</v>
      </c>
      <c r="F61" s="82" t="s">
        <v>180</v>
      </c>
      <c r="G61" s="81">
        <f>INDEX(ref_Unit_Balance!$V:$V,MATCH(D61,ref_Unit_Balance!B:B,0))*E61</f>
        <v>10800</v>
      </c>
      <c r="H61" s="81">
        <f>INDEX(ref_Unit_Balance!$R:$R,MATCH(D61,ref_Unit_Balance!B:B,0))*E61</f>
        <v>2160</v>
      </c>
    </row>
    <row r="62" spans="1:8" ht="13.5">
      <c r="A62" s="78">
        <v>1</v>
      </c>
      <c r="B62" s="81">
        <v>11</v>
      </c>
      <c r="C62" s="81">
        <f>INDEX(ref_Unit_Balance!$G:$G,MATCH(D62,ref_Unit_Balance!B:B,0))*E62</f>
        <v>450</v>
      </c>
      <c r="D62" s="81">
        <f>IFERROR(INDEX(ref_Unit_Balance!$B:$B,MATCH(F62,ref_Unit_Balance!C:C,0)),0)</f>
        <v>1014</v>
      </c>
      <c r="E62" s="81">
        <v>9</v>
      </c>
      <c r="F62" s="82" t="s">
        <v>181</v>
      </c>
      <c r="G62" s="81">
        <f>INDEX(ref_Unit_Balance!$V:$V,MATCH(D62,ref_Unit_Balance!B:B,0))*E62</f>
        <v>10800</v>
      </c>
      <c r="H62" s="81">
        <f>INDEX(ref_Unit_Balance!$R:$R,MATCH(D62,ref_Unit_Balance!B:B,0))*E62</f>
        <v>2160</v>
      </c>
    </row>
    <row r="63" spans="1:8" ht="13.5">
      <c r="A63" s="78">
        <v>1</v>
      </c>
      <c r="B63" s="81">
        <v>11</v>
      </c>
      <c r="C63" s="81">
        <f>INDEX(ref_Unit_Balance!$G:$G,MATCH(D63,ref_Unit_Balance!B:B,0))*E63</f>
        <v>375</v>
      </c>
      <c r="D63" s="81">
        <f>IFERROR(INDEX(ref_Unit_Balance!$B:$B,MATCH(F63,ref_Unit_Balance!C:C,0)),0)</f>
        <v>1016</v>
      </c>
      <c r="E63" s="81">
        <v>5</v>
      </c>
      <c r="F63" s="82" t="s">
        <v>183</v>
      </c>
      <c r="G63" s="81">
        <f>INDEX(ref_Unit_Balance!$V:$V,MATCH(D63,ref_Unit_Balance!B:B,0))*E63</f>
        <v>11250</v>
      </c>
      <c r="H63" s="81">
        <f>INDEX(ref_Unit_Balance!$R:$R,MATCH(D63,ref_Unit_Balance!B:B,0))*E63</f>
        <v>1500</v>
      </c>
    </row>
    <row r="64" spans="1:8" ht="13.5">
      <c r="A64" s="78">
        <v>1</v>
      </c>
      <c r="B64" s="81">
        <v>12</v>
      </c>
      <c r="C64" s="81">
        <f>INDEX(ref_Unit_Balance!$G:$G,MATCH(D64,ref_Unit_Balance!B:B,0))*E64</f>
        <v>350</v>
      </c>
      <c r="D64" s="81">
        <f>IFERROR(INDEX(ref_Unit_Balance!$B:$B,MATCH(F64,ref_Unit_Balance!C:C,0)),0)</f>
        <v>1010</v>
      </c>
      <c r="E64" s="81">
        <v>7</v>
      </c>
      <c r="F64" s="82" t="s">
        <v>177</v>
      </c>
      <c r="G64" s="81">
        <f>INDEX(ref_Unit_Balance!$V:$V,MATCH(D64,ref_Unit_Balance!B:B,0))*E64</f>
        <v>21000</v>
      </c>
      <c r="H64" s="81">
        <f>INDEX(ref_Unit_Balance!$R:$R,MATCH(D64,ref_Unit_Balance!B:B,0))*E64</f>
        <v>1680</v>
      </c>
    </row>
    <row r="65" spans="1:8" ht="13.5">
      <c r="A65" s="78">
        <v>1</v>
      </c>
      <c r="B65" s="81">
        <v>12</v>
      </c>
      <c r="C65" s="81">
        <f>INDEX(ref_Unit_Balance!$G:$G,MATCH(D65,ref_Unit_Balance!B:B,0))*E65</f>
        <v>350</v>
      </c>
      <c r="D65" s="81">
        <f>IFERROR(INDEX(ref_Unit_Balance!$B:$B,MATCH(F65,ref_Unit_Balance!C:C,0)),0)</f>
        <v>1012</v>
      </c>
      <c r="E65" s="81">
        <v>7</v>
      </c>
      <c r="F65" s="82" t="s">
        <v>179</v>
      </c>
      <c r="G65" s="81">
        <f>INDEX(ref_Unit_Balance!$V:$V,MATCH(D65,ref_Unit_Balance!B:B,0))*E65</f>
        <v>10500</v>
      </c>
      <c r="H65" s="81">
        <f>INDEX(ref_Unit_Balance!$R:$R,MATCH(D65,ref_Unit_Balance!B:B,0))*E65</f>
        <v>1400</v>
      </c>
    </row>
    <row r="66" spans="1:8" ht="13.5">
      <c r="A66" s="78">
        <v>1</v>
      </c>
      <c r="B66" s="81">
        <v>12</v>
      </c>
      <c r="C66" s="81">
        <f>INDEX(ref_Unit_Balance!$G:$G,MATCH(D66,ref_Unit_Balance!B:B,0))*E66</f>
        <v>350</v>
      </c>
      <c r="D66" s="81">
        <f>IFERROR(INDEX(ref_Unit_Balance!$B:$B,MATCH(F66,ref_Unit_Balance!C:C,0)),0)</f>
        <v>1011</v>
      </c>
      <c r="E66" s="81">
        <v>7</v>
      </c>
      <c r="F66" s="82" t="s">
        <v>178</v>
      </c>
      <c r="G66" s="81">
        <f>INDEX(ref_Unit_Balance!$V:$V,MATCH(D66,ref_Unit_Balance!B:B,0))*E66</f>
        <v>14000</v>
      </c>
      <c r="H66" s="81">
        <f>INDEX(ref_Unit_Balance!$R:$R,MATCH(D66,ref_Unit_Balance!B:B,0))*E66</f>
        <v>2520</v>
      </c>
    </row>
    <row r="67" spans="1:8" ht="13.5">
      <c r="A67" s="78">
        <v>1</v>
      </c>
      <c r="B67" s="81">
        <v>12</v>
      </c>
      <c r="C67" s="81">
        <f>INDEX(ref_Unit_Balance!$G:$G,MATCH(D67,ref_Unit_Balance!B:B,0))*E67</f>
        <v>50</v>
      </c>
      <c r="D67" s="81">
        <f>IFERROR(INDEX(ref_Unit_Balance!$B:$B,MATCH(F67,ref_Unit_Balance!C:C,0)),0)</f>
        <v>1008</v>
      </c>
      <c r="E67" s="81">
        <v>1</v>
      </c>
      <c r="F67" s="82" t="s">
        <v>153</v>
      </c>
      <c r="G67" s="81">
        <f>INDEX(ref_Unit_Balance!$V:$V,MATCH(D67,ref_Unit_Balance!B:B,0))*E67</f>
        <v>1500</v>
      </c>
      <c r="H67" s="81">
        <f>INDEX(ref_Unit_Balance!$R:$R,MATCH(D67,ref_Unit_Balance!B:B,0))*E67</f>
        <v>360</v>
      </c>
    </row>
    <row r="68" spans="1:8" ht="13.5">
      <c r="A68" s="78">
        <v>1</v>
      </c>
      <c r="B68" s="81">
        <v>12</v>
      </c>
      <c r="C68" s="81">
        <f>INDEX(ref_Unit_Balance!$G:$G,MATCH(D68,ref_Unit_Balance!B:B,0))*E68</f>
        <v>250</v>
      </c>
      <c r="D68" s="81">
        <f>IFERROR(INDEX(ref_Unit_Balance!$B:$B,MATCH(F68,ref_Unit_Balance!C:C,0)),0)</f>
        <v>1006</v>
      </c>
      <c r="E68" s="81">
        <v>5</v>
      </c>
      <c r="F68" s="82" t="s">
        <v>151</v>
      </c>
      <c r="G68" s="81">
        <f>INDEX(ref_Unit_Balance!$V:$V,MATCH(D68,ref_Unit_Balance!B:B,0))*E68</f>
        <v>7500</v>
      </c>
      <c r="H68" s="81">
        <f>INDEX(ref_Unit_Balance!$R:$R,MATCH(D68,ref_Unit_Balance!B:B,0))*E68</f>
        <v>2100</v>
      </c>
    </row>
    <row r="69" spans="1:8" ht="13.5">
      <c r="A69" s="78">
        <v>1</v>
      </c>
      <c r="B69" s="81">
        <v>12</v>
      </c>
      <c r="C69" s="81">
        <f>INDEX(ref_Unit_Balance!$G:$G,MATCH(D69,ref_Unit_Balance!B:B,0))*E69</f>
        <v>200</v>
      </c>
      <c r="D69" s="81">
        <f>IFERROR(INDEX(ref_Unit_Balance!$B:$B,MATCH(F69,ref_Unit_Balance!C:C,0)),0)</f>
        <v>1009</v>
      </c>
      <c r="E69" s="81">
        <v>4</v>
      </c>
      <c r="F69" s="82" t="s">
        <v>154</v>
      </c>
      <c r="G69" s="81">
        <f>INDEX(ref_Unit_Balance!$V:$V,MATCH(D69,ref_Unit_Balance!B:B,0))*E69</f>
        <v>8000</v>
      </c>
      <c r="H69" s="81">
        <f>INDEX(ref_Unit_Balance!$R:$R,MATCH(D69,ref_Unit_Balance!B:B,0))*E69</f>
        <v>1440</v>
      </c>
    </row>
    <row r="70" spans="1:8" ht="13.5">
      <c r="A70" s="78">
        <v>1</v>
      </c>
      <c r="B70" s="81">
        <v>12</v>
      </c>
      <c r="C70" s="81">
        <f>INDEX(ref_Unit_Balance!$G:$G,MATCH(D70,ref_Unit_Balance!B:B,0))*E70</f>
        <v>150</v>
      </c>
      <c r="D70" s="81">
        <f>IFERROR(INDEX(ref_Unit_Balance!$B:$B,MATCH(F70,ref_Unit_Balance!C:C,0)),0)</f>
        <v>1007</v>
      </c>
      <c r="E70" s="81">
        <v>3</v>
      </c>
      <c r="F70" s="82" t="s">
        <v>152</v>
      </c>
      <c r="G70" s="81">
        <f>INDEX(ref_Unit_Balance!$V:$V,MATCH(D70,ref_Unit_Balance!B:B,0))*E70</f>
        <v>10500</v>
      </c>
      <c r="H70" s="81">
        <f>INDEX(ref_Unit_Balance!$R:$R,MATCH(D70,ref_Unit_Balance!B:B,0))*E70</f>
        <v>540</v>
      </c>
    </row>
    <row r="71" spans="1:8" ht="13.5">
      <c r="A71" s="78">
        <v>1</v>
      </c>
      <c r="B71" s="81">
        <v>13</v>
      </c>
      <c r="C71" s="81">
        <f>INDEX(ref_Unit_Balance!$G:$G,MATCH(D71,ref_Unit_Balance!B:B,0))*E71</f>
        <v>250</v>
      </c>
      <c r="D71" s="81">
        <f>IFERROR(INDEX(ref_Unit_Balance!$B:$B,MATCH(F71,ref_Unit_Balance!C:C,0)),0)</f>
        <v>1013</v>
      </c>
      <c r="E71" s="81">
        <v>5</v>
      </c>
      <c r="F71" s="82" t="s">
        <v>180</v>
      </c>
      <c r="G71" s="81">
        <f>INDEX(ref_Unit_Balance!$V:$V,MATCH(D71,ref_Unit_Balance!B:B,0))*E71</f>
        <v>6000</v>
      </c>
      <c r="H71" s="81">
        <f>INDEX(ref_Unit_Balance!$R:$R,MATCH(D71,ref_Unit_Balance!B:B,0))*E71</f>
        <v>1200</v>
      </c>
    </row>
    <row r="72" spans="1:8" ht="13.5">
      <c r="A72" s="78">
        <v>1</v>
      </c>
      <c r="B72" s="81">
        <v>13</v>
      </c>
      <c r="C72" s="81">
        <f>INDEX(ref_Unit_Balance!$G:$G,MATCH(D72,ref_Unit_Balance!B:B,0))*E72</f>
        <v>250</v>
      </c>
      <c r="D72" s="81">
        <f>IFERROR(INDEX(ref_Unit_Balance!$B:$B,MATCH(F72,ref_Unit_Balance!C:C,0)),0)</f>
        <v>1014</v>
      </c>
      <c r="E72" s="81">
        <v>5</v>
      </c>
      <c r="F72" s="82" t="s">
        <v>181</v>
      </c>
      <c r="G72" s="81">
        <f>INDEX(ref_Unit_Balance!$V:$V,MATCH(D72,ref_Unit_Balance!B:B,0))*E72</f>
        <v>6000</v>
      </c>
      <c r="H72" s="81">
        <f>INDEX(ref_Unit_Balance!$R:$R,MATCH(D72,ref_Unit_Balance!B:B,0))*E72</f>
        <v>1200</v>
      </c>
    </row>
    <row r="73" spans="1:8" ht="13.5">
      <c r="A73" s="78">
        <v>1</v>
      </c>
      <c r="B73" s="81">
        <v>13</v>
      </c>
      <c r="C73" s="81">
        <f>INDEX(ref_Unit_Balance!$G:$G,MATCH(D73,ref_Unit_Balance!B:B,0))*E73</f>
        <v>225</v>
      </c>
      <c r="D73" s="81">
        <f>IFERROR(INDEX(ref_Unit_Balance!$B:$B,MATCH(F73,ref_Unit_Balance!C:C,0)),0)</f>
        <v>1016</v>
      </c>
      <c r="E73" s="81">
        <v>3</v>
      </c>
      <c r="F73" s="82" t="s">
        <v>183</v>
      </c>
      <c r="G73" s="81">
        <f>INDEX(ref_Unit_Balance!$V:$V,MATCH(D73,ref_Unit_Balance!B:B,0))*E73</f>
        <v>6750</v>
      </c>
      <c r="H73" s="81">
        <f>INDEX(ref_Unit_Balance!$R:$R,MATCH(D73,ref_Unit_Balance!B:B,0))*E73</f>
        <v>900</v>
      </c>
    </row>
    <row r="74" spans="1:8" ht="13.5">
      <c r="A74" s="78">
        <v>1</v>
      </c>
      <c r="B74" s="81">
        <v>13</v>
      </c>
      <c r="C74" s="81">
        <f>INDEX(ref_Unit_Balance!$G:$G,MATCH(D74,ref_Unit_Balance!B:B,0))*E74</f>
        <v>150</v>
      </c>
      <c r="D74" s="81">
        <f>IFERROR(INDEX(ref_Unit_Balance!$B:$B,MATCH(F74,ref_Unit_Balance!C:C,0)),0)</f>
        <v>1004</v>
      </c>
      <c r="E74" s="81">
        <v>6</v>
      </c>
      <c r="F74" s="82" t="s">
        <v>149</v>
      </c>
      <c r="G74" s="81">
        <f>INDEX(ref_Unit_Balance!$V:$V,MATCH(D74,ref_Unit_Balance!B:B,0))*E74</f>
        <v>7500</v>
      </c>
      <c r="H74" s="81">
        <f>INDEX(ref_Unit_Balance!$R:$R,MATCH(D74,ref_Unit_Balance!B:B,0))*E74</f>
        <v>900</v>
      </c>
    </row>
    <row r="75" spans="1:8" ht="13.5">
      <c r="A75" s="78">
        <v>1</v>
      </c>
      <c r="B75" s="81">
        <v>13</v>
      </c>
      <c r="C75" s="81">
        <f>INDEX(ref_Unit_Balance!$G:$G,MATCH(D75,ref_Unit_Balance!B:B,0))*E75</f>
        <v>200</v>
      </c>
      <c r="D75" s="81">
        <f>IFERROR(INDEX(ref_Unit_Balance!$B:$B,MATCH(F75,ref_Unit_Balance!C:C,0)),0)</f>
        <v>1003</v>
      </c>
      <c r="E75" s="81">
        <v>8</v>
      </c>
      <c r="F75" s="82" t="s">
        <v>148</v>
      </c>
      <c r="G75" s="81">
        <f>INDEX(ref_Unit_Balance!$V:$V,MATCH(D75,ref_Unit_Balance!B:B,0))*E75</f>
        <v>10000</v>
      </c>
      <c r="H75" s="81">
        <f>INDEX(ref_Unit_Balance!$R:$R,MATCH(D75,ref_Unit_Balance!B:B,0))*E75</f>
        <v>1200</v>
      </c>
    </row>
    <row r="76" spans="1:8" ht="13.5">
      <c r="A76" s="78">
        <v>1</v>
      </c>
      <c r="B76" s="81">
        <v>13</v>
      </c>
      <c r="C76" s="81">
        <f>INDEX(ref_Unit_Balance!$G:$G,MATCH(D76,ref_Unit_Balance!B:B,0))*E76</f>
        <v>100</v>
      </c>
      <c r="D76" s="81">
        <f>IFERROR(INDEX(ref_Unit_Balance!$B:$B,MATCH(F76,ref_Unit_Balance!C:C,0)),0)</f>
        <v>1002</v>
      </c>
      <c r="E76" s="81">
        <v>4</v>
      </c>
      <c r="F76" s="82" t="s">
        <v>147</v>
      </c>
      <c r="G76" s="81">
        <f>INDEX(ref_Unit_Balance!$V:$V,MATCH(D76,ref_Unit_Balance!B:B,0))*E76</f>
        <v>8000</v>
      </c>
      <c r="H76" s="81">
        <f>INDEX(ref_Unit_Balance!$R:$R,MATCH(D76,ref_Unit_Balance!B:B,0))*E76</f>
        <v>240</v>
      </c>
    </row>
    <row r="77" spans="1:8" ht="13.5">
      <c r="A77" s="78">
        <v>1</v>
      </c>
      <c r="B77" s="81">
        <v>13</v>
      </c>
      <c r="C77" s="81">
        <f>INDEX(ref_Unit_Balance!$G:$G,MATCH(D77,ref_Unit_Balance!B:B,0))*E77</f>
        <v>300</v>
      </c>
      <c r="D77" s="81">
        <f>IFERROR(INDEX(ref_Unit_Balance!$B:$B,MATCH(F77,ref_Unit_Balance!C:C,0)),0)</f>
        <v>1001</v>
      </c>
      <c r="E77" s="81">
        <v>12</v>
      </c>
      <c r="F77" s="82" t="s">
        <v>146</v>
      </c>
      <c r="G77" s="81">
        <f>INDEX(ref_Unit_Balance!$V:$V,MATCH(D77,ref_Unit_Balance!B:B,0))*E77</f>
        <v>5400</v>
      </c>
      <c r="H77" s="81">
        <f>INDEX(ref_Unit_Balance!$R:$R,MATCH(D77,ref_Unit_Balance!B:B,0))*E77</f>
        <v>1680</v>
      </c>
    </row>
    <row r="78" spans="1:8" ht="13.5">
      <c r="A78" s="78">
        <v>1</v>
      </c>
      <c r="B78" s="81">
        <v>13</v>
      </c>
      <c r="C78" s="81">
        <f>INDEX(ref_Unit_Balance!$G:$G,MATCH(D78,ref_Unit_Balance!B:B,0))*E78</f>
        <v>250</v>
      </c>
      <c r="D78" s="81">
        <f>IFERROR(INDEX(ref_Unit_Balance!$B:$B,MATCH(F78,ref_Unit_Balance!C:C,0)),0)</f>
        <v>1012</v>
      </c>
      <c r="E78" s="81">
        <v>5</v>
      </c>
      <c r="F78" s="82" t="s">
        <v>179</v>
      </c>
      <c r="G78" s="81">
        <f>INDEX(ref_Unit_Balance!$V:$V,MATCH(D78,ref_Unit_Balance!B:B,0))*E78</f>
        <v>7500</v>
      </c>
      <c r="H78" s="81">
        <f>INDEX(ref_Unit_Balance!$R:$R,MATCH(D78,ref_Unit_Balance!B:B,0))*E78</f>
        <v>1000</v>
      </c>
    </row>
    <row r="79" spans="1:8" ht="13.5">
      <c r="A79" s="78">
        <v>1</v>
      </c>
      <c r="B79" s="81">
        <v>13</v>
      </c>
      <c r="C79" s="81">
        <f>INDEX(ref_Unit_Balance!$G:$G,MATCH(D79,ref_Unit_Balance!B:B,0))*E79</f>
        <v>250</v>
      </c>
      <c r="D79" s="81">
        <f>IFERROR(INDEX(ref_Unit_Balance!$B:$B,MATCH(F79,ref_Unit_Balance!C:C,0)),0)</f>
        <v>1011</v>
      </c>
      <c r="E79" s="81">
        <v>5</v>
      </c>
      <c r="F79" s="82" t="s">
        <v>178</v>
      </c>
      <c r="G79" s="81">
        <f>INDEX(ref_Unit_Balance!$V:$V,MATCH(D79,ref_Unit_Balance!B:B,0))*E79</f>
        <v>10000</v>
      </c>
      <c r="H79" s="81">
        <f>INDEX(ref_Unit_Balance!$R:$R,MATCH(D79,ref_Unit_Balance!B:B,0))*E79</f>
        <v>1800</v>
      </c>
    </row>
    <row r="80" spans="1:8" ht="13.5">
      <c r="A80" s="78">
        <v>1</v>
      </c>
      <c r="B80" s="81">
        <v>13</v>
      </c>
      <c r="C80" s="81">
        <f>INDEX(ref_Unit_Balance!$G:$G,MATCH(D80,ref_Unit_Balance!B:B,0))*E80</f>
        <v>250</v>
      </c>
      <c r="D80" s="81">
        <f>IFERROR(INDEX(ref_Unit_Balance!$B:$B,MATCH(F80,ref_Unit_Balance!C:C,0)),0)</f>
        <v>1010</v>
      </c>
      <c r="E80" s="81">
        <v>5</v>
      </c>
      <c r="F80" s="82" t="s">
        <v>177</v>
      </c>
      <c r="G80" s="81">
        <f>INDEX(ref_Unit_Balance!$V:$V,MATCH(D80,ref_Unit_Balance!B:B,0))*E80</f>
        <v>15000</v>
      </c>
      <c r="H80" s="81">
        <f>INDEX(ref_Unit_Balance!$R:$R,MATCH(D80,ref_Unit_Balance!B:B,0))*E80</f>
        <v>1200</v>
      </c>
    </row>
    <row r="81" spans="1:8" ht="13.5">
      <c r="A81" s="78">
        <v>1</v>
      </c>
      <c r="B81" s="81">
        <v>14</v>
      </c>
      <c r="C81" s="81">
        <f>INDEX(ref_Unit_Balance!$G:$G,MATCH(D81,ref_Unit_Balance!B:B,0))*E81</f>
        <v>300</v>
      </c>
      <c r="D81" s="81">
        <f>IFERROR(INDEX(ref_Unit_Balance!$B:$B,MATCH(F81,ref_Unit_Balance!C:C,0)),0)</f>
        <v>1007</v>
      </c>
      <c r="E81" s="81">
        <v>6</v>
      </c>
      <c r="F81" s="82" t="s">
        <v>152</v>
      </c>
      <c r="G81" s="81">
        <f>INDEX(ref_Unit_Balance!$V:$V,MATCH(D81,ref_Unit_Balance!B:B,0))*E81</f>
        <v>21000</v>
      </c>
      <c r="H81" s="81">
        <f>INDEX(ref_Unit_Balance!$R:$R,MATCH(D81,ref_Unit_Balance!B:B,0))*E81</f>
        <v>1080</v>
      </c>
    </row>
    <row r="82" spans="1:8" ht="13.5">
      <c r="A82" s="78">
        <v>1</v>
      </c>
      <c r="B82" s="81">
        <v>14</v>
      </c>
      <c r="C82" s="81">
        <f>INDEX(ref_Unit_Balance!$G:$G,MATCH(D82,ref_Unit_Balance!B:B,0))*E82</f>
        <v>200</v>
      </c>
      <c r="D82" s="81">
        <f>IFERROR(INDEX(ref_Unit_Balance!$B:$B,MATCH(F82,ref_Unit_Balance!C:C,0)),0)</f>
        <v>1006</v>
      </c>
      <c r="E82" s="81">
        <v>4</v>
      </c>
      <c r="F82" s="82" t="s">
        <v>151</v>
      </c>
      <c r="G82" s="81">
        <f>INDEX(ref_Unit_Balance!$V:$V,MATCH(D82,ref_Unit_Balance!B:B,0))*E82</f>
        <v>6000</v>
      </c>
      <c r="H82" s="81">
        <f>INDEX(ref_Unit_Balance!$R:$R,MATCH(D82,ref_Unit_Balance!B:B,0))*E82</f>
        <v>1680</v>
      </c>
    </row>
    <row r="83" spans="1:8" ht="13.5">
      <c r="A83" s="78">
        <v>1</v>
      </c>
      <c r="B83" s="81">
        <v>14</v>
      </c>
      <c r="C83" s="81">
        <f>INDEX(ref_Unit_Balance!$G:$G,MATCH(D83,ref_Unit_Balance!B:B,0))*E83</f>
        <v>500</v>
      </c>
      <c r="D83" s="81">
        <f>IFERROR(INDEX(ref_Unit_Balance!$B:$B,MATCH(F83,ref_Unit_Balance!C:C,0)),0)</f>
        <v>1009</v>
      </c>
      <c r="E83" s="81">
        <v>10</v>
      </c>
      <c r="F83" s="82" t="s">
        <v>154</v>
      </c>
      <c r="G83" s="81">
        <f>INDEX(ref_Unit_Balance!$V:$V,MATCH(D83,ref_Unit_Balance!B:B,0))*E83</f>
        <v>20000</v>
      </c>
      <c r="H83" s="81">
        <f>INDEX(ref_Unit_Balance!$R:$R,MATCH(D83,ref_Unit_Balance!B:B,0))*E83</f>
        <v>3600</v>
      </c>
    </row>
    <row r="84" spans="1:8" ht="13.5">
      <c r="A84" s="78">
        <v>1</v>
      </c>
      <c r="B84" s="81">
        <v>14</v>
      </c>
      <c r="C84" s="81">
        <f>INDEX(ref_Unit_Balance!$G:$G,MATCH(D84,ref_Unit_Balance!B:B,0))*E84</f>
        <v>450</v>
      </c>
      <c r="D84" s="81">
        <f>IFERROR(INDEX(ref_Unit_Balance!$B:$B,MATCH(F84,ref_Unit_Balance!C:C,0)),0)</f>
        <v>1012</v>
      </c>
      <c r="E84" s="81">
        <v>9</v>
      </c>
      <c r="F84" s="82" t="s">
        <v>179</v>
      </c>
      <c r="G84" s="81">
        <f>INDEX(ref_Unit_Balance!$V:$V,MATCH(D84,ref_Unit_Balance!B:B,0))*E84</f>
        <v>13500</v>
      </c>
      <c r="H84" s="81">
        <f>INDEX(ref_Unit_Balance!$R:$R,MATCH(D84,ref_Unit_Balance!B:B,0))*E84</f>
        <v>1800</v>
      </c>
    </row>
    <row r="85" spans="1:8" ht="13.5">
      <c r="A85" s="78">
        <v>1</v>
      </c>
      <c r="B85" s="81">
        <v>14</v>
      </c>
      <c r="C85" s="81">
        <f>INDEX(ref_Unit_Balance!$G:$G,MATCH(D85,ref_Unit_Balance!B:B,0))*E85</f>
        <v>450</v>
      </c>
      <c r="D85" s="81">
        <f>IFERROR(INDEX(ref_Unit_Balance!$B:$B,MATCH(F85,ref_Unit_Balance!C:C,0)),0)</f>
        <v>1011</v>
      </c>
      <c r="E85" s="81">
        <v>9</v>
      </c>
      <c r="F85" s="82" t="s">
        <v>178</v>
      </c>
      <c r="G85" s="81">
        <f>INDEX(ref_Unit_Balance!$V:$V,MATCH(D85,ref_Unit_Balance!B:B,0))*E85</f>
        <v>18000</v>
      </c>
      <c r="H85" s="81">
        <f>INDEX(ref_Unit_Balance!$R:$R,MATCH(D85,ref_Unit_Balance!B:B,0))*E85</f>
        <v>3240</v>
      </c>
    </row>
    <row r="86" spans="1:8" ht="13.5">
      <c r="A86" s="78">
        <v>1</v>
      </c>
      <c r="B86" s="81">
        <v>14</v>
      </c>
      <c r="C86" s="81">
        <f>INDEX(ref_Unit_Balance!$G:$G,MATCH(D86,ref_Unit_Balance!B:B,0))*E86</f>
        <v>450</v>
      </c>
      <c r="D86" s="81">
        <f>IFERROR(INDEX(ref_Unit_Balance!$B:$B,MATCH(F86,ref_Unit_Balance!C:C,0)),0)</f>
        <v>1010</v>
      </c>
      <c r="E86" s="81">
        <v>9</v>
      </c>
      <c r="F86" s="82" t="s">
        <v>177</v>
      </c>
      <c r="G86" s="81">
        <f>INDEX(ref_Unit_Balance!$V:$V,MATCH(D86,ref_Unit_Balance!B:B,0))*E86</f>
        <v>27000</v>
      </c>
      <c r="H86" s="81">
        <f>INDEX(ref_Unit_Balance!$R:$R,MATCH(D86,ref_Unit_Balance!B:B,0))*E86</f>
        <v>2160</v>
      </c>
    </row>
    <row r="87" spans="1:8" ht="13.5">
      <c r="A87" s="78">
        <v>1</v>
      </c>
      <c r="B87" s="81">
        <v>14</v>
      </c>
      <c r="C87" s="81">
        <f>INDEX(ref_Unit_Balance!$G:$G,MATCH(D87,ref_Unit_Balance!B:B,0))*E87</f>
        <v>150</v>
      </c>
      <c r="D87" s="81">
        <f>IFERROR(INDEX(ref_Unit_Balance!$B:$B,MATCH(F87,ref_Unit_Balance!C:C,0)),0)</f>
        <v>1008</v>
      </c>
      <c r="E87" s="81">
        <v>3</v>
      </c>
      <c r="F87" s="82" t="s">
        <v>153</v>
      </c>
      <c r="G87" s="81">
        <f>INDEX(ref_Unit_Balance!$V:$V,MATCH(D87,ref_Unit_Balance!B:B,0))*E87</f>
        <v>4500</v>
      </c>
      <c r="H87" s="81">
        <f>INDEX(ref_Unit_Balance!$R:$R,MATCH(D87,ref_Unit_Balance!B:B,0))*E87</f>
        <v>1080</v>
      </c>
    </row>
    <row r="88" spans="1:8" ht="13.5">
      <c r="A88" s="78">
        <v>1</v>
      </c>
      <c r="B88" s="81">
        <v>14</v>
      </c>
      <c r="C88" s="81">
        <f>INDEX(ref_Unit_Balance!$G:$G,MATCH(D88,ref_Unit_Balance!B:B,0))*E88</f>
        <v>250</v>
      </c>
      <c r="D88" s="81">
        <f>IFERROR(INDEX(ref_Unit_Balance!$B:$B,MATCH(F88,ref_Unit_Balance!C:C,0)),0)</f>
        <v>1013</v>
      </c>
      <c r="E88" s="81">
        <v>5</v>
      </c>
      <c r="F88" s="82" t="s">
        <v>180</v>
      </c>
      <c r="G88" s="81">
        <f>INDEX(ref_Unit_Balance!$V:$V,MATCH(D88,ref_Unit_Balance!B:B,0))*E88</f>
        <v>6000</v>
      </c>
      <c r="H88" s="81">
        <f>INDEX(ref_Unit_Balance!$R:$R,MATCH(D88,ref_Unit_Balance!B:B,0))*E88</f>
        <v>1200</v>
      </c>
    </row>
    <row r="89" spans="1:8" ht="13.5">
      <c r="A89" s="78">
        <v>1</v>
      </c>
      <c r="B89" s="81">
        <v>14</v>
      </c>
      <c r="C89" s="81">
        <f>INDEX(ref_Unit_Balance!$G:$G,MATCH(D89,ref_Unit_Balance!B:B,0))*E89</f>
        <v>250</v>
      </c>
      <c r="D89" s="81">
        <f>IFERROR(INDEX(ref_Unit_Balance!$B:$B,MATCH(F89,ref_Unit_Balance!C:C,0)),0)</f>
        <v>1014</v>
      </c>
      <c r="E89" s="81">
        <v>5</v>
      </c>
      <c r="F89" s="82" t="s">
        <v>181</v>
      </c>
      <c r="G89" s="81">
        <f>INDEX(ref_Unit_Balance!$V:$V,MATCH(D89,ref_Unit_Balance!B:B,0))*E89</f>
        <v>6000</v>
      </c>
      <c r="H89" s="81">
        <f>INDEX(ref_Unit_Balance!$R:$R,MATCH(D89,ref_Unit_Balance!B:B,0))*E89</f>
        <v>1200</v>
      </c>
    </row>
    <row r="90" spans="1:8" ht="13.5">
      <c r="A90" s="78">
        <v>1</v>
      </c>
      <c r="B90" s="81">
        <v>15</v>
      </c>
      <c r="C90" s="81">
        <f>INDEX(ref_Unit_Balance!$G:$G,MATCH(D90,ref_Unit_Balance!B:B,0))*E90</f>
        <v>1000</v>
      </c>
      <c r="D90" s="81">
        <f>IFERROR(INDEX(ref_Unit_Balance!$B:$B,MATCH(F90,ref_Unit_Balance!C:C,0)),0)</f>
        <v>1013</v>
      </c>
      <c r="E90" s="81">
        <v>20</v>
      </c>
      <c r="F90" s="82" t="s">
        <v>180</v>
      </c>
      <c r="G90" s="81">
        <f>INDEX(ref_Unit_Balance!$V:$V,MATCH(D90,ref_Unit_Balance!B:B,0))*E90</f>
        <v>24000</v>
      </c>
      <c r="H90" s="81">
        <f>INDEX(ref_Unit_Balance!$R:$R,MATCH(D90,ref_Unit_Balance!B:B,0))*E90</f>
        <v>4800</v>
      </c>
    </row>
    <row r="91" spans="1:8" ht="13.5">
      <c r="A91" s="78">
        <v>1</v>
      </c>
      <c r="B91" s="81">
        <v>15</v>
      </c>
      <c r="C91" s="81">
        <f>INDEX(ref_Unit_Balance!$G:$G,MATCH(D91,ref_Unit_Balance!B:B,0))*E91</f>
        <v>1000</v>
      </c>
      <c r="D91" s="81">
        <f>IFERROR(INDEX(ref_Unit_Balance!$B:$B,MATCH(F91,ref_Unit_Balance!C:C,0)),0)</f>
        <v>1014</v>
      </c>
      <c r="E91" s="81">
        <v>20</v>
      </c>
      <c r="F91" s="82" t="s">
        <v>181</v>
      </c>
      <c r="G91" s="81">
        <f>INDEX(ref_Unit_Balance!$V:$V,MATCH(D91,ref_Unit_Balance!B:B,0))*E91</f>
        <v>24000</v>
      </c>
      <c r="H91" s="81">
        <f>INDEX(ref_Unit_Balance!$R:$R,MATCH(D91,ref_Unit_Balance!B:B,0))*E91</f>
        <v>4800</v>
      </c>
    </row>
    <row r="92" spans="1:8" ht="13.5">
      <c r="A92" s="78">
        <v>1</v>
      </c>
      <c r="B92" s="81">
        <v>15</v>
      </c>
      <c r="C92" s="81">
        <f>INDEX(ref_Unit_Balance!$G:$G,MATCH(D92,ref_Unit_Balance!B:B,0))*E92</f>
        <v>750</v>
      </c>
      <c r="D92" s="81">
        <f>IFERROR(INDEX(ref_Unit_Balance!$B:$B,MATCH(F92,ref_Unit_Balance!C:C,0)),0)</f>
        <v>1016</v>
      </c>
      <c r="E92" s="81">
        <v>10</v>
      </c>
      <c r="F92" s="82" t="s">
        <v>183</v>
      </c>
      <c r="G92" s="81">
        <f>INDEX(ref_Unit_Balance!$V:$V,MATCH(D92,ref_Unit_Balance!B:B,0))*E92</f>
        <v>22500</v>
      </c>
      <c r="H92" s="81">
        <f>INDEX(ref_Unit_Balance!$R:$R,MATCH(D92,ref_Unit_Balance!B:B,0))*E92</f>
        <v>3000</v>
      </c>
    </row>
    <row r="93" spans="1:8" ht="13.5">
      <c r="A93" s="78">
        <v>1</v>
      </c>
      <c r="B93" s="81">
        <v>15</v>
      </c>
      <c r="C93" s="81">
        <f>INDEX(ref_Unit_Balance!$G:$G,MATCH(D93,ref_Unit_Balance!B:B,0))*E93</f>
        <v>500</v>
      </c>
      <c r="D93" s="81">
        <f>IFERROR(INDEX(ref_Unit_Balance!$B:$B,MATCH(F93,ref_Unit_Balance!C:C,0)),0)</f>
        <v>1009</v>
      </c>
      <c r="E93" s="81">
        <v>10</v>
      </c>
      <c r="F93" s="82" t="s">
        <v>154</v>
      </c>
      <c r="G93" s="81">
        <f>INDEX(ref_Unit_Balance!$V:$V,MATCH(D93,ref_Unit_Balance!B:B,0))*E93</f>
        <v>20000</v>
      </c>
      <c r="H93" s="81">
        <f>INDEX(ref_Unit_Balance!$R:$R,MATCH(D93,ref_Unit_Balance!B:B,0))*E93</f>
        <v>3600</v>
      </c>
    </row>
    <row r="94" spans="1:8" ht="13.5">
      <c r="A94" s="78">
        <v>1</v>
      </c>
      <c r="B94" s="81">
        <v>16</v>
      </c>
      <c r="C94" s="81">
        <f>INDEX(ref_Unit_Balance!$G:$G,MATCH(D94,ref_Unit_Balance!B:B,0))*E94</f>
        <v>680</v>
      </c>
      <c r="D94" s="81">
        <f>IFERROR(INDEX(ref_Unit_Balance!$B:$B,MATCH(F94,ref_Unit_Balance!C:C,0)),0)</f>
        <v>1051</v>
      </c>
      <c r="E94" s="81">
        <v>10</v>
      </c>
      <c r="F94" s="82" t="s">
        <v>216</v>
      </c>
      <c r="G94" s="81">
        <f>INDEX(ref_Unit_Balance!$V:$V,MATCH(D94,ref_Unit_Balance!B:B,0))*E94</f>
        <v>12200</v>
      </c>
      <c r="H94" s="81">
        <f>INDEX(ref_Unit_Balance!$R:$R,MATCH(D94,ref_Unit_Balance!B:B,0))*E94</f>
        <v>3800</v>
      </c>
    </row>
    <row r="95" spans="1:8" ht="13.5">
      <c r="A95" s="78">
        <v>1</v>
      </c>
      <c r="B95" s="81">
        <v>16</v>
      </c>
      <c r="C95" s="81">
        <f>INDEX(ref_Unit_Balance!$G:$G,MATCH(D95,ref_Unit_Balance!B:B,0))*E95</f>
        <v>272</v>
      </c>
      <c r="D95" s="81">
        <f>IFERROR(INDEX(ref_Unit_Balance!$B:$B,MATCH(F95,ref_Unit_Balance!C:C,0)),0)</f>
        <v>1053</v>
      </c>
      <c r="E95" s="81">
        <v>4</v>
      </c>
      <c r="F95" s="82" t="s">
        <v>218</v>
      </c>
      <c r="G95" s="81">
        <f>INDEX(ref_Unit_Balance!$V:$V,MATCH(D95,ref_Unit_Balance!B:B,0))*E95</f>
        <v>13520</v>
      </c>
      <c r="H95" s="81">
        <f>INDEX(ref_Unit_Balance!$R:$R,MATCH(D95,ref_Unit_Balance!B:B,0))*E95</f>
        <v>1640</v>
      </c>
    </row>
    <row r="96" spans="1:8" ht="13.5">
      <c r="A96" s="78">
        <v>1</v>
      </c>
      <c r="B96" s="81">
        <v>16</v>
      </c>
      <c r="C96" s="81">
        <f>INDEX(ref_Unit_Balance!$G:$G,MATCH(D96,ref_Unit_Balance!B:B,0))*E96</f>
        <v>408</v>
      </c>
      <c r="D96" s="81">
        <f>IFERROR(INDEX(ref_Unit_Balance!$B:$B,MATCH(F96,ref_Unit_Balance!C:C,0)),0)</f>
        <v>1052</v>
      </c>
      <c r="E96" s="81">
        <v>6</v>
      </c>
      <c r="F96" s="82" t="s">
        <v>217</v>
      </c>
      <c r="G96" s="81">
        <f>INDEX(ref_Unit_Balance!$V:$V,MATCH(D96,ref_Unit_Balance!B:B,0))*E96</f>
        <v>32400</v>
      </c>
      <c r="H96" s="81">
        <f>INDEX(ref_Unit_Balance!$R:$R,MATCH(D96,ref_Unit_Balance!B:B,0))*E96</f>
        <v>1020</v>
      </c>
    </row>
    <row r="97" spans="1:8" ht="13.5">
      <c r="A97" s="78">
        <v>1</v>
      </c>
      <c r="B97" s="81">
        <v>16</v>
      </c>
      <c r="C97" s="81">
        <f>INDEX(ref_Unit_Balance!$G:$G,MATCH(D97,ref_Unit_Balance!B:B,0))*E97</f>
        <v>340</v>
      </c>
      <c r="D97" s="81">
        <f>IFERROR(INDEX(ref_Unit_Balance!$B:$B,MATCH(F97,ref_Unit_Balance!C:C,0)),0)</f>
        <v>1054</v>
      </c>
      <c r="E97" s="81">
        <v>5</v>
      </c>
      <c r="F97" s="82" t="s">
        <v>219</v>
      </c>
      <c r="G97" s="81">
        <f>INDEX(ref_Unit_Balance!$V:$V,MATCH(D97,ref_Unit_Balance!B:B,0))*E97</f>
        <v>16900</v>
      </c>
      <c r="H97" s="81">
        <f>INDEX(ref_Unit_Balance!$R:$R,MATCH(D97,ref_Unit_Balance!B:B,0))*E97</f>
        <v>2050</v>
      </c>
    </row>
    <row r="98" spans="1:8" ht="13.5">
      <c r="A98" s="78">
        <v>1</v>
      </c>
      <c r="B98" s="81">
        <v>16</v>
      </c>
      <c r="C98" s="81">
        <f>INDEX(ref_Unit_Balance!$G:$G,MATCH(D98,ref_Unit_Balance!B:B,0))*E98</f>
        <v>558</v>
      </c>
      <c r="D98" s="81">
        <f>IFERROR(INDEX(ref_Unit_Balance!$B:$B,MATCH(F98,ref_Unit_Balance!C:C,0)),0)</f>
        <v>1055</v>
      </c>
      <c r="E98" s="81">
        <v>6</v>
      </c>
      <c r="F98" s="82" t="s">
        <v>220</v>
      </c>
      <c r="G98" s="81">
        <f>INDEX(ref_Unit_Balance!$V:$V,MATCH(D98,ref_Unit_Balance!B:B,0))*E98</f>
        <v>22200</v>
      </c>
      <c r="H98" s="81">
        <f>INDEX(ref_Unit_Balance!$R:$R,MATCH(D98,ref_Unit_Balance!B:B,0))*E98</f>
        <v>4020</v>
      </c>
    </row>
    <row r="99" spans="1:8" ht="13.5">
      <c r="A99" s="78">
        <v>1</v>
      </c>
      <c r="B99" s="81">
        <v>16</v>
      </c>
      <c r="C99" s="81">
        <f>INDEX(ref_Unit_Balance!$G:$G,MATCH(D99,ref_Unit_Balance!B:B,0))*E99</f>
        <v>372</v>
      </c>
      <c r="D99" s="81">
        <f>IFERROR(INDEX(ref_Unit_Balance!$B:$B,MATCH(F99,ref_Unit_Balance!C:C,0)),0)</f>
        <v>1057</v>
      </c>
      <c r="E99" s="81">
        <v>4</v>
      </c>
      <c r="F99" s="82" t="s">
        <v>222</v>
      </c>
      <c r="G99" s="81">
        <f>INDEX(ref_Unit_Balance!$V:$V,MATCH(D99,ref_Unit_Balance!B:B,0))*E99</f>
        <v>25920</v>
      </c>
      <c r="H99" s="81">
        <f>INDEX(ref_Unit_Balance!$R:$R,MATCH(D99,ref_Unit_Balance!B:B,0))*E99</f>
        <v>1360</v>
      </c>
    </row>
    <row r="100" spans="1:8" ht="13.5">
      <c r="A100" s="78">
        <v>1</v>
      </c>
      <c r="B100" s="81">
        <v>16</v>
      </c>
      <c r="C100" s="81">
        <f>INDEX(ref_Unit_Balance!$G:$G,MATCH(D100,ref_Unit_Balance!B:B,0))*E100</f>
        <v>744</v>
      </c>
      <c r="D100" s="81">
        <f>IFERROR(INDEX(ref_Unit_Balance!$B:$B,MATCH(F100,ref_Unit_Balance!C:C,0)),0)</f>
        <v>1056</v>
      </c>
      <c r="E100" s="81">
        <v>8</v>
      </c>
      <c r="F100" s="82" t="s">
        <v>221</v>
      </c>
      <c r="G100" s="81">
        <f>INDEX(ref_Unit_Balance!$V:$V,MATCH(D100,ref_Unit_Balance!B:B,0))*E100</f>
        <v>22240</v>
      </c>
      <c r="H100" s="81">
        <f>INDEX(ref_Unit_Balance!$R:$R,MATCH(D100,ref_Unit_Balance!B:B,0))*E100</f>
        <v>6240</v>
      </c>
    </row>
    <row r="101" spans="1:8" ht="13.5">
      <c r="A101" s="78">
        <v>1</v>
      </c>
      <c r="B101" s="81">
        <v>16</v>
      </c>
      <c r="C101" s="81">
        <f>INDEX(ref_Unit_Balance!$G:$G,MATCH(D101,ref_Unit_Balance!B:B,0))*E101</f>
        <v>651</v>
      </c>
      <c r="D101" s="81">
        <f>IFERROR(INDEX(ref_Unit_Balance!$B:$B,MATCH(F101,ref_Unit_Balance!C:C,0)),0)</f>
        <v>1059</v>
      </c>
      <c r="E101" s="81">
        <v>7</v>
      </c>
      <c r="F101" s="82" t="s">
        <v>224</v>
      </c>
      <c r="G101" s="81">
        <f>INDEX(ref_Unit_Balance!$V:$V,MATCH(D101,ref_Unit_Balance!B:B,0))*E101</f>
        <v>25900</v>
      </c>
      <c r="H101" s="81">
        <f>INDEX(ref_Unit_Balance!$R:$R,MATCH(D101,ref_Unit_Balance!B:B,0))*E101</f>
        <v>4690</v>
      </c>
    </row>
    <row r="102" spans="1:8" ht="13.5">
      <c r="A102" s="78">
        <v>1</v>
      </c>
      <c r="B102" s="81">
        <v>17</v>
      </c>
      <c r="C102" s="81">
        <f>INDEX(ref_Unit_Balance!$G:$G,MATCH(D102,ref_Unit_Balance!B:B,0))*E102</f>
        <v>930</v>
      </c>
      <c r="D102" s="81">
        <f>IFERROR(INDEX(ref_Unit_Balance!$B:$B,MATCH(F102,ref_Unit_Balance!C:C,0)),0)</f>
        <v>1059</v>
      </c>
      <c r="E102" s="81">
        <v>10</v>
      </c>
      <c r="F102" s="82" t="s">
        <v>224</v>
      </c>
      <c r="G102" s="81">
        <f>INDEX(ref_Unit_Balance!$V:$V,MATCH(D102,ref_Unit_Balance!B:B,0))*E102</f>
        <v>37000</v>
      </c>
      <c r="H102" s="81">
        <f>INDEX(ref_Unit_Balance!$R:$R,MATCH(D102,ref_Unit_Balance!B:B,0))*E102</f>
        <v>6700</v>
      </c>
    </row>
    <row r="103" spans="1:8" ht="13.5">
      <c r="A103" s="78">
        <v>1</v>
      </c>
      <c r="B103" s="81">
        <v>17</v>
      </c>
      <c r="C103" s="81">
        <f>INDEX(ref_Unit_Balance!$G:$G,MATCH(D103,ref_Unit_Balance!B:B,0))*E103</f>
        <v>279</v>
      </c>
      <c r="D103" s="81">
        <f>IFERROR(INDEX(ref_Unit_Balance!$B:$B,MATCH(F103,ref_Unit_Balance!C:C,0)),0)</f>
        <v>1058</v>
      </c>
      <c r="E103" s="81">
        <v>3</v>
      </c>
      <c r="F103" s="82" t="s">
        <v>223</v>
      </c>
      <c r="G103" s="81">
        <f>INDEX(ref_Unit_Balance!$V:$V,MATCH(D103,ref_Unit_Balance!B:B,0))*E103</f>
        <v>8340</v>
      </c>
      <c r="H103" s="81">
        <f>INDEX(ref_Unit_Balance!$R:$R,MATCH(D103,ref_Unit_Balance!B:B,0))*E103</f>
        <v>2010</v>
      </c>
    </row>
    <row r="104" spans="1:8" ht="13.5">
      <c r="A104" s="78">
        <v>1</v>
      </c>
      <c r="B104" s="81">
        <v>17</v>
      </c>
      <c r="C104" s="81">
        <f>INDEX(ref_Unit_Balance!$G:$G,MATCH(D104,ref_Unit_Balance!B:B,0))*E104</f>
        <v>440</v>
      </c>
      <c r="D104" s="81">
        <f>IFERROR(INDEX(ref_Unit_Balance!$B:$B,MATCH(F104,ref_Unit_Balance!C:C,0)),0)</f>
        <v>1060</v>
      </c>
      <c r="E104" s="81">
        <v>5</v>
      </c>
      <c r="F104" s="82" t="s">
        <v>225</v>
      </c>
      <c r="G104" s="81">
        <f>INDEX(ref_Unit_Balance!$V:$V,MATCH(D104,ref_Unit_Balance!B:B,0))*E104</f>
        <v>26250</v>
      </c>
      <c r="H104" s="81">
        <f>INDEX(ref_Unit_Balance!$R:$R,MATCH(D104,ref_Unit_Balance!B:B,0))*E104</f>
        <v>2100</v>
      </c>
    </row>
    <row r="105" spans="1:8" ht="13.5">
      <c r="A105" s="78">
        <v>1</v>
      </c>
      <c r="B105" s="81">
        <v>17</v>
      </c>
      <c r="C105" s="81">
        <f>INDEX(ref_Unit_Balance!$G:$G,MATCH(D105,ref_Unit_Balance!B:B,0))*E105</f>
        <v>440</v>
      </c>
      <c r="D105" s="81">
        <f>IFERROR(INDEX(ref_Unit_Balance!$B:$B,MATCH(F105,ref_Unit_Balance!C:C,0)),0)</f>
        <v>1061</v>
      </c>
      <c r="E105" s="81">
        <v>5</v>
      </c>
      <c r="F105" s="82" t="s">
        <v>226</v>
      </c>
      <c r="G105" s="81">
        <f>INDEX(ref_Unit_Balance!$V:$V,MATCH(D105,ref_Unit_Balance!B:B,0))*E105</f>
        <v>17500</v>
      </c>
      <c r="H105" s="81">
        <f>INDEX(ref_Unit_Balance!$R:$R,MATCH(D105,ref_Unit_Balance!B:B,0))*E105</f>
        <v>3150</v>
      </c>
    </row>
    <row r="106" spans="1:8" ht="13.5">
      <c r="A106" s="78">
        <v>1</v>
      </c>
      <c r="B106" s="81">
        <v>17</v>
      </c>
      <c r="C106" s="81">
        <f>INDEX(ref_Unit_Balance!$G:$G,MATCH(D106,ref_Unit_Balance!B:B,0))*E106</f>
        <v>880</v>
      </c>
      <c r="D106" s="81">
        <f>IFERROR(INDEX(ref_Unit_Balance!$B:$B,MATCH(F106,ref_Unit_Balance!C:C,0)),0)</f>
        <v>1062</v>
      </c>
      <c r="E106" s="81">
        <v>10</v>
      </c>
      <c r="F106" s="82" t="s">
        <v>227</v>
      </c>
      <c r="G106" s="81">
        <f>INDEX(ref_Unit_Balance!$V:$V,MATCH(D106,ref_Unit_Balance!B:B,0))*E106</f>
        <v>26300</v>
      </c>
      <c r="H106" s="81">
        <f>INDEX(ref_Unit_Balance!$R:$R,MATCH(D106,ref_Unit_Balance!B:B,0))*E106</f>
        <v>3500</v>
      </c>
    </row>
    <row r="107" spans="1:8" ht="13.5">
      <c r="A107" s="78">
        <v>1</v>
      </c>
      <c r="B107" s="81">
        <v>17</v>
      </c>
      <c r="C107" s="81">
        <f>INDEX(ref_Unit_Balance!$G:$G,MATCH(D107,ref_Unit_Balance!B:B,0))*E107</f>
        <v>680</v>
      </c>
      <c r="D107" s="81">
        <f>IFERROR(INDEX(ref_Unit_Balance!$B:$B,MATCH(F107,ref_Unit_Balance!C:C,0)),0)</f>
        <v>1051</v>
      </c>
      <c r="E107" s="81">
        <v>10</v>
      </c>
      <c r="F107" s="82" t="s">
        <v>216</v>
      </c>
      <c r="G107" s="81">
        <f>INDEX(ref_Unit_Balance!$V:$V,MATCH(D107,ref_Unit_Balance!B:B,0))*E107</f>
        <v>12200</v>
      </c>
      <c r="H107" s="81">
        <f>INDEX(ref_Unit_Balance!$R:$R,MATCH(D107,ref_Unit_Balance!B:B,0))*E107</f>
        <v>3800</v>
      </c>
    </row>
    <row r="108" spans="1:8" ht="13.5">
      <c r="A108" s="78">
        <v>1</v>
      </c>
      <c r="B108" s="81">
        <v>17</v>
      </c>
      <c r="C108" s="81">
        <f>INDEX(ref_Unit_Balance!$G:$G,MATCH(D108,ref_Unit_Balance!B:B,0))*E108</f>
        <v>408</v>
      </c>
      <c r="D108" s="81">
        <f>IFERROR(INDEX(ref_Unit_Balance!$B:$B,MATCH(F108,ref_Unit_Balance!C:C,0)),0)</f>
        <v>1054</v>
      </c>
      <c r="E108" s="81">
        <v>6</v>
      </c>
      <c r="F108" s="82" t="s">
        <v>219</v>
      </c>
      <c r="G108" s="81">
        <f>INDEX(ref_Unit_Balance!$V:$V,MATCH(D108,ref_Unit_Balance!B:B,0))*E108</f>
        <v>20280</v>
      </c>
      <c r="H108" s="81">
        <f>INDEX(ref_Unit_Balance!$R:$R,MATCH(D108,ref_Unit_Balance!B:B,0))*E108</f>
        <v>2460</v>
      </c>
    </row>
    <row r="109" spans="1:8" ht="13.5">
      <c r="A109" s="78">
        <v>1</v>
      </c>
      <c r="B109" s="81">
        <v>17</v>
      </c>
      <c r="C109" s="81">
        <f>INDEX(ref_Unit_Balance!$G:$G,MATCH(D109,ref_Unit_Balance!B:B,0))*E109</f>
        <v>680</v>
      </c>
      <c r="D109" s="81">
        <f>IFERROR(INDEX(ref_Unit_Balance!$B:$B,MATCH(F109,ref_Unit_Balance!C:C,0)),0)</f>
        <v>1052</v>
      </c>
      <c r="E109" s="81">
        <v>10</v>
      </c>
      <c r="F109" s="82" t="s">
        <v>217</v>
      </c>
      <c r="G109" s="81">
        <f>INDEX(ref_Unit_Balance!$V:$V,MATCH(D109,ref_Unit_Balance!B:B,0))*E109</f>
        <v>54000</v>
      </c>
      <c r="H109" s="81">
        <f>INDEX(ref_Unit_Balance!$R:$R,MATCH(D109,ref_Unit_Balance!B:B,0))*E109</f>
        <v>1700</v>
      </c>
    </row>
    <row r="110" spans="1:8" ht="13.5">
      <c r="A110" s="78">
        <v>1</v>
      </c>
      <c r="B110" s="81">
        <v>18</v>
      </c>
      <c r="C110" s="81">
        <f>INDEX(ref_Unit_Balance!$G:$G,MATCH(D110,ref_Unit_Balance!B:B,0))*E110</f>
        <v>1700</v>
      </c>
      <c r="D110" s="81">
        <f>IFERROR(INDEX(ref_Unit_Balance!$B:$B,MATCH(F110,ref_Unit_Balance!C:C,0)),0)</f>
        <v>1051</v>
      </c>
      <c r="E110" s="81">
        <v>25</v>
      </c>
      <c r="F110" s="82" t="s">
        <v>216</v>
      </c>
      <c r="G110" s="81">
        <f>INDEX(ref_Unit_Balance!$V:$V,MATCH(D110,ref_Unit_Balance!B:B,0))*E110</f>
        <v>30500</v>
      </c>
      <c r="H110" s="81">
        <f>INDEX(ref_Unit_Balance!$R:$R,MATCH(D110,ref_Unit_Balance!B:B,0))*E110</f>
        <v>9500</v>
      </c>
    </row>
    <row r="111" spans="1:8" ht="13.5">
      <c r="A111" s="78">
        <v>1</v>
      </c>
      <c r="B111" s="81">
        <v>18</v>
      </c>
      <c r="C111" s="81">
        <f>INDEX(ref_Unit_Balance!$G:$G,MATCH(D111,ref_Unit_Balance!B:B,0))*E111</f>
        <v>465</v>
      </c>
      <c r="D111" s="81">
        <f>IFERROR(INDEX(ref_Unit_Balance!$B:$B,MATCH(F111,ref_Unit_Balance!C:C,0)),0)</f>
        <v>1058</v>
      </c>
      <c r="E111" s="81">
        <v>5</v>
      </c>
      <c r="F111" s="82" t="s">
        <v>223</v>
      </c>
      <c r="G111" s="81">
        <f>INDEX(ref_Unit_Balance!$V:$V,MATCH(D111,ref_Unit_Balance!B:B,0))*E111</f>
        <v>13900</v>
      </c>
      <c r="H111" s="81">
        <f>INDEX(ref_Unit_Balance!$R:$R,MATCH(D111,ref_Unit_Balance!B:B,0))*E111</f>
        <v>3350</v>
      </c>
    </row>
    <row r="112" spans="1:8" ht="13.5">
      <c r="A112" s="78">
        <v>1</v>
      </c>
      <c r="B112" s="81">
        <v>18</v>
      </c>
      <c r="C112" s="81">
        <f>INDEX(ref_Unit_Balance!$G:$G,MATCH(D112,ref_Unit_Balance!B:B,0))*E112</f>
        <v>930</v>
      </c>
      <c r="D112" s="81">
        <f>IFERROR(INDEX(ref_Unit_Balance!$B:$B,MATCH(F112,ref_Unit_Balance!C:C,0)),0)</f>
        <v>1056</v>
      </c>
      <c r="E112" s="81">
        <v>10</v>
      </c>
      <c r="F112" s="82" t="s">
        <v>221</v>
      </c>
      <c r="G112" s="81">
        <f>INDEX(ref_Unit_Balance!$V:$V,MATCH(D112,ref_Unit_Balance!B:B,0))*E112</f>
        <v>27800</v>
      </c>
      <c r="H112" s="81">
        <f>INDEX(ref_Unit_Balance!$R:$R,MATCH(D112,ref_Unit_Balance!B:B,0))*E112</f>
        <v>7800</v>
      </c>
    </row>
    <row r="113" spans="1:8" ht="13.5">
      <c r="A113" s="78">
        <v>1</v>
      </c>
      <c r="B113" s="81">
        <v>18</v>
      </c>
      <c r="C113" s="81">
        <f>INDEX(ref_Unit_Balance!$G:$G,MATCH(D113,ref_Unit_Balance!B:B,0))*E113</f>
        <v>340</v>
      </c>
      <c r="D113" s="81">
        <f>IFERROR(INDEX(ref_Unit_Balance!$B:$B,MATCH(F113,ref_Unit_Balance!C:C,0)),0)</f>
        <v>1052</v>
      </c>
      <c r="E113" s="81">
        <v>5</v>
      </c>
      <c r="F113" s="82" t="s">
        <v>217</v>
      </c>
      <c r="G113" s="81">
        <f>INDEX(ref_Unit_Balance!$V:$V,MATCH(D113,ref_Unit_Balance!B:B,0))*E113</f>
        <v>27000</v>
      </c>
      <c r="H113" s="81">
        <f>INDEX(ref_Unit_Balance!$R:$R,MATCH(D113,ref_Unit_Balance!B:B,0))*E113</f>
        <v>850</v>
      </c>
    </row>
    <row r="114" spans="1:8" ht="13.5">
      <c r="A114" s="78">
        <v>1</v>
      </c>
      <c r="B114" s="81">
        <v>18</v>
      </c>
      <c r="C114" s="81">
        <f>INDEX(ref_Unit_Balance!$G:$G,MATCH(D114,ref_Unit_Balance!B:B,0))*E114</f>
        <v>558</v>
      </c>
      <c r="D114" s="81">
        <f>IFERROR(INDEX(ref_Unit_Balance!$B:$B,MATCH(F114,ref_Unit_Balance!C:C,0)),0)</f>
        <v>1057</v>
      </c>
      <c r="E114" s="81">
        <v>6</v>
      </c>
      <c r="F114" s="82" t="s">
        <v>222</v>
      </c>
      <c r="G114" s="81">
        <f>INDEX(ref_Unit_Balance!$V:$V,MATCH(D114,ref_Unit_Balance!B:B,0))*E114</f>
        <v>38880</v>
      </c>
      <c r="H114" s="81">
        <f>INDEX(ref_Unit_Balance!$R:$R,MATCH(D114,ref_Unit_Balance!B:B,0))*E114</f>
        <v>2040</v>
      </c>
    </row>
    <row r="115" spans="1:8" ht="13.5">
      <c r="A115" s="78">
        <v>1</v>
      </c>
      <c r="B115" s="81">
        <v>18</v>
      </c>
      <c r="C115" s="81">
        <f>INDEX(ref_Unit_Balance!$G:$G,MATCH(D115,ref_Unit_Balance!B:B,0))*E115</f>
        <v>440</v>
      </c>
      <c r="D115" s="81">
        <f>IFERROR(INDEX(ref_Unit_Balance!$B:$B,MATCH(F115,ref_Unit_Balance!C:C,0)),0)</f>
        <v>1062</v>
      </c>
      <c r="E115" s="81">
        <v>5</v>
      </c>
      <c r="F115" s="82" t="s">
        <v>227</v>
      </c>
      <c r="G115" s="81">
        <f>INDEX(ref_Unit_Balance!$V:$V,MATCH(D115,ref_Unit_Balance!B:B,0))*E115</f>
        <v>13150</v>
      </c>
      <c r="H115" s="81">
        <f>INDEX(ref_Unit_Balance!$R:$R,MATCH(D115,ref_Unit_Balance!B:B,0))*E115</f>
        <v>1750</v>
      </c>
    </row>
    <row r="116" spans="1:8" ht="13.5">
      <c r="A116" s="78">
        <v>1</v>
      </c>
      <c r="B116" s="81">
        <v>18</v>
      </c>
      <c r="C116" s="81">
        <f>INDEX(ref_Unit_Balance!$G:$G,MATCH(D116,ref_Unit_Balance!B:B,0))*E116</f>
        <v>1320</v>
      </c>
      <c r="D116" s="81">
        <f>IFERROR(INDEX(ref_Unit_Balance!$B:$B,MATCH(F116,ref_Unit_Balance!C:C,0)),0)</f>
        <v>1060</v>
      </c>
      <c r="E116" s="81">
        <v>15</v>
      </c>
      <c r="F116" s="82" t="s">
        <v>225</v>
      </c>
      <c r="G116" s="81">
        <f>INDEX(ref_Unit_Balance!$V:$V,MATCH(D116,ref_Unit_Balance!B:B,0))*E116</f>
        <v>78750</v>
      </c>
      <c r="H116" s="81">
        <f>INDEX(ref_Unit_Balance!$R:$R,MATCH(D116,ref_Unit_Balance!B:B,0))*E116</f>
        <v>6300</v>
      </c>
    </row>
    <row r="117" spans="1:8" ht="13.5">
      <c r="A117" s="78">
        <v>1</v>
      </c>
      <c r="B117" s="81">
        <v>18</v>
      </c>
      <c r="C117" s="81">
        <f>INDEX(ref_Unit_Balance!$G:$G,MATCH(D117,ref_Unit_Balance!B:B,0))*E117</f>
        <v>528</v>
      </c>
      <c r="D117" s="81">
        <f>IFERROR(INDEX(ref_Unit_Balance!$B:$B,MATCH(F117,ref_Unit_Balance!C:C,0)),0)</f>
        <v>1061</v>
      </c>
      <c r="E117" s="81">
        <v>6</v>
      </c>
      <c r="F117" s="82" t="s">
        <v>226</v>
      </c>
      <c r="G117" s="81">
        <f>INDEX(ref_Unit_Balance!$V:$V,MATCH(D117,ref_Unit_Balance!B:B,0))*E117</f>
        <v>21000</v>
      </c>
      <c r="H117" s="81">
        <f>INDEX(ref_Unit_Balance!$R:$R,MATCH(D117,ref_Unit_Balance!B:B,0))*E117</f>
        <v>3780</v>
      </c>
    </row>
    <row r="118" spans="1:8" ht="13.5">
      <c r="A118" s="78">
        <v>1</v>
      </c>
      <c r="B118" s="81">
        <v>19</v>
      </c>
      <c r="C118" s="81">
        <f>INDEX(ref_Unit_Balance!$G:$G,MATCH(D118,ref_Unit_Balance!B:B,0))*E118</f>
        <v>1320</v>
      </c>
      <c r="D118" s="81">
        <f>IFERROR(INDEX(ref_Unit_Balance!$B:$B,MATCH(F118,ref_Unit_Balance!C:C,0)),0)</f>
        <v>1063</v>
      </c>
      <c r="E118" s="81">
        <v>15</v>
      </c>
      <c r="F118" s="82" t="s">
        <v>228</v>
      </c>
      <c r="G118" s="81">
        <f>INDEX(ref_Unit_Balance!$V:$V,MATCH(D118,ref_Unit_Balance!B:B,0))*E118</f>
        <v>31500</v>
      </c>
      <c r="H118" s="81">
        <f>INDEX(ref_Unit_Balance!$R:$R,MATCH(D118,ref_Unit_Balance!B:B,0))*E118</f>
        <v>6300</v>
      </c>
    </row>
    <row r="119" spans="1:8" ht="13.5">
      <c r="A119" s="78">
        <v>1</v>
      </c>
      <c r="B119" s="81">
        <v>19</v>
      </c>
      <c r="C119" s="81">
        <f>INDEX(ref_Unit_Balance!$G:$G,MATCH(D119,ref_Unit_Balance!B:B,0))*E119</f>
        <v>1695</v>
      </c>
      <c r="D119" s="81">
        <f>IFERROR(INDEX(ref_Unit_Balance!$B:$B,MATCH(F119,ref_Unit_Balance!C:C,0)),0)</f>
        <v>1064</v>
      </c>
      <c r="E119" s="81">
        <v>15</v>
      </c>
      <c r="F119" s="82" t="s">
        <v>229</v>
      </c>
      <c r="G119" s="81">
        <f>INDEX(ref_Unit_Balance!$V:$V,MATCH(D119,ref_Unit_Balance!B:B,0))*E119</f>
        <v>40500</v>
      </c>
      <c r="H119" s="81">
        <f>INDEX(ref_Unit_Balance!$R:$R,MATCH(D119,ref_Unit_Balance!B:B,0))*E119</f>
        <v>8100</v>
      </c>
    </row>
    <row r="120" spans="1:8" ht="13.5">
      <c r="A120" s="78">
        <v>1</v>
      </c>
      <c r="B120" s="81">
        <v>19</v>
      </c>
      <c r="C120" s="81">
        <f>INDEX(ref_Unit_Balance!$G:$G,MATCH(D120,ref_Unit_Balance!B:B,0))*E120</f>
        <v>1130</v>
      </c>
      <c r="D120" s="81">
        <f>IFERROR(INDEX(ref_Unit_Balance!$B:$B,MATCH(F120,ref_Unit_Balance!C:C,0)),0)</f>
        <v>1066</v>
      </c>
      <c r="E120" s="81">
        <v>10</v>
      </c>
      <c r="F120" s="82" t="s">
        <v>231</v>
      </c>
      <c r="G120" s="81">
        <f>INDEX(ref_Unit_Balance!$V:$V,MATCH(D120,ref_Unit_Balance!B:B,0))*E120</f>
        <v>33800</v>
      </c>
      <c r="H120" s="81">
        <f>INDEX(ref_Unit_Balance!$R:$R,MATCH(D120,ref_Unit_Balance!B:B,0))*E120</f>
        <v>2700</v>
      </c>
    </row>
    <row r="121" spans="1:8" ht="13.5">
      <c r="A121" s="78">
        <v>1</v>
      </c>
      <c r="B121" s="81">
        <v>19</v>
      </c>
      <c r="C121" s="81">
        <f>INDEX(ref_Unit_Balance!$G:$G,MATCH(D121,ref_Unit_Balance!B:B,0))*E121</f>
        <v>651</v>
      </c>
      <c r="D121" s="81">
        <f>IFERROR(INDEX(ref_Unit_Balance!$B:$B,MATCH(F121,ref_Unit_Balance!C:C,0)),0)</f>
        <v>1059</v>
      </c>
      <c r="E121" s="81">
        <v>7</v>
      </c>
      <c r="F121" s="82" t="s">
        <v>224</v>
      </c>
      <c r="G121" s="81">
        <f>INDEX(ref_Unit_Balance!$V:$V,MATCH(D121,ref_Unit_Balance!B:B,0))*E121</f>
        <v>25900</v>
      </c>
      <c r="H121" s="81">
        <f>INDEX(ref_Unit_Balance!$R:$R,MATCH(D121,ref_Unit_Balance!B:B,0))*E121</f>
        <v>4690</v>
      </c>
    </row>
    <row r="122" spans="1:8" ht="13.5">
      <c r="A122" s="78">
        <v>1</v>
      </c>
      <c r="B122" s="81">
        <v>19</v>
      </c>
      <c r="C122" s="81">
        <f>INDEX(ref_Unit_Balance!$G:$G,MATCH(D122,ref_Unit_Balance!B:B,0))*E122</f>
        <v>930</v>
      </c>
      <c r="D122" s="81">
        <f>IFERROR(INDEX(ref_Unit_Balance!$B:$B,MATCH(F122,ref_Unit_Balance!C:C,0)),0)</f>
        <v>1055</v>
      </c>
      <c r="E122" s="81">
        <v>10</v>
      </c>
      <c r="F122" s="82" t="s">
        <v>220</v>
      </c>
      <c r="G122" s="81">
        <f>INDEX(ref_Unit_Balance!$V:$V,MATCH(D122,ref_Unit_Balance!B:B,0))*E122</f>
        <v>37000</v>
      </c>
      <c r="H122" s="81">
        <f>INDEX(ref_Unit_Balance!$R:$R,MATCH(D122,ref_Unit_Balance!B:B,0))*E122</f>
        <v>6700</v>
      </c>
    </row>
    <row r="123" spans="1:8" ht="13.5">
      <c r="A123" s="78">
        <v>1</v>
      </c>
      <c r="B123" s="81">
        <v>19</v>
      </c>
      <c r="C123" s="81">
        <f>INDEX(ref_Unit_Balance!$G:$G,MATCH(D123,ref_Unit_Balance!B:B,0))*E123</f>
        <v>440</v>
      </c>
      <c r="D123" s="81">
        <f>IFERROR(INDEX(ref_Unit_Balance!$B:$B,MATCH(F123,ref_Unit_Balance!C:C,0)),0)</f>
        <v>1062</v>
      </c>
      <c r="E123" s="81">
        <v>5</v>
      </c>
      <c r="F123" s="82" t="s">
        <v>227</v>
      </c>
      <c r="G123" s="81">
        <f>INDEX(ref_Unit_Balance!$V:$V,MATCH(D123,ref_Unit_Balance!B:B,0))*E123</f>
        <v>13150</v>
      </c>
      <c r="H123" s="81">
        <f>INDEX(ref_Unit_Balance!$R:$R,MATCH(D123,ref_Unit_Balance!B:B,0))*E123</f>
        <v>1750</v>
      </c>
    </row>
    <row r="124" spans="1:8" ht="13.5">
      <c r="A124" s="78">
        <v>1</v>
      </c>
      <c r="B124" s="81">
        <v>19</v>
      </c>
      <c r="C124" s="81">
        <f>INDEX(ref_Unit_Balance!$G:$G,MATCH(D124,ref_Unit_Balance!B:B,0))*E124</f>
        <v>250</v>
      </c>
      <c r="D124" s="81">
        <f>IFERROR(INDEX(ref_Unit_Balance!$B:$B,MATCH(F124,ref_Unit_Balance!C:C,0)),0)</f>
        <v>1011</v>
      </c>
      <c r="E124" s="81">
        <v>5</v>
      </c>
      <c r="F124" s="82" t="s">
        <v>178</v>
      </c>
      <c r="G124" s="81">
        <f>INDEX(ref_Unit_Balance!$V:$V,MATCH(D124,ref_Unit_Balance!B:B,0))*E124</f>
        <v>10000</v>
      </c>
      <c r="H124" s="81">
        <f>INDEX(ref_Unit_Balance!$R:$R,MATCH(D124,ref_Unit_Balance!B:B,0))*E124</f>
        <v>1800</v>
      </c>
    </row>
    <row r="125" spans="1:8" ht="13.5">
      <c r="A125" s="78">
        <v>1</v>
      </c>
      <c r="B125" s="81">
        <v>20</v>
      </c>
      <c r="C125" s="81">
        <f>INDEX(ref_Unit_Balance!$G:$G,MATCH(D125,ref_Unit_Balance!B:B,0))*E125</f>
        <v>339</v>
      </c>
      <c r="D125" s="81">
        <f>IFERROR(INDEX(ref_Unit_Balance!$B:$B,MATCH(F125,ref_Unit_Balance!C:C,0)),0)</f>
        <v>1065</v>
      </c>
      <c r="E125" s="81">
        <v>3</v>
      </c>
      <c r="F125" s="82" t="s">
        <v>230</v>
      </c>
      <c r="G125" s="81">
        <f>INDEX(ref_Unit_Balance!$V:$V,MATCH(D125,ref_Unit_Balance!B:B,0))*E125</f>
        <v>13500</v>
      </c>
      <c r="H125" s="81">
        <f>INDEX(ref_Unit_Balance!$R:$R,MATCH(D125,ref_Unit_Balance!B:B,0))*E125</f>
        <v>1620</v>
      </c>
    </row>
    <row r="126" spans="1:8" ht="13.5">
      <c r="A126" s="78">
        <v>1</v>
      </c>
      <c r="B126" s="81">
        <v>20</v>
      </c>
      <c r="C126" s="81">
        <f>INDEX(ref_Unit_Balance!$G:$G,MATCH(D126,ref_Unit_Balance!B:B,0))*E126</f>
        <v>250</v>
      </c>
      <c r="D126" s="81">
        <f>IFERROR(INDEX(ref_Unit_Balance!$B:$B,MATCH(F126,ref_Unit_Balance!C:C,0)),0)</f>
        <v>1015</v>
      </c>
      <c r="E126" s="81">
        <v>5</v>
      </c>
      <c r="F126" s="82" t="s">
        <v>182</v>
      </c>
      <c r="G126" s="81">
        <f>INDEX(ref_Unit_Balance!$V:$V,MATCH(D126,ref_Unit_Balance!B:B,0))*E126</f>
        <v>10000</v>
      </c>
      <c r="H126" s="81">
        <f>INDEX(ref_Unit_Balance!$R:$R,MATCH(D126,ref_Unit_Balance!B:B,0))*E126</f>
        <v>1800</v>
      </c>
    </row>
    <row r="127" spans="1:8" ht="13.5">
      <c r="A127" s="78">
        <v>1</v>
      </c>
      <c r="B127" s="81">
        <v>20</v>
      </c>
      <c r="C127" s="81">
        <f>INDEX(ref_Unit_Balance!$G:$G,MATCH(D127,ref_Unit_Balance!B:B,0))*E127</f>
        <v>880</v>
      </c>
      <c r="D127" s="81">
        <f>IFERROR(INDEX(ref_Unit_Balance!$B:$B,MATCH(F127,ref_Unit_Balance!C:C,0)),0)</f>
        <v>1060</v>
      </c>
      <c r="E127" s="81">
        <v>10</v>
      </c>
      <c r="F127" s="82" t="s">
        <v>225</v>
      </c>
      <c r="G127" s="81">
        <f>INDEX(ref_Unit_Balance!$V:$V,MATCH(D127,ref_Unit_Balance!B:B,0))*E127</f>
        <v>52500</v>
      </c>
      <c r="H127" s="81">
        <f>INDEX(ref_Unit_Balance!$R:$R,MATCH(D127,ref_Unit_Balance!B:B,0))*E127</f>
        <v>4200</v>
      </c>
    </row>
    <row r="128" spans="1:8" ht="13.5">
      <c r="A128" s="78">
        <v>1</v>
      </c>
      <c r="B128" s="81">
        <v>20</v>
      </c>
      <c r="C128" s="81">
        <f>INDEX(ref_Unit_Balance!$G:$G,MATCH(D128,ref_Unit_Balance!B:B,0))*E128</f>
        <v>880</v>
      </c>
      <c r="D128" s="81">
        <f>IFERROR(INDEX(ref_Unit_Balance!$B:$B,MATCH(F128,ref_Unit_Balance!C:C,0)),0)</f>
        <v>1062</v>
      </c>
      <c r="E128" s="81">
        <v>10</v>
      </c>
      <c r="F128" s="82" t="s">
        <v>227</v>
      </c>
      <c r="G128" s="81">
        <f>INDEX(ref_Unit_Balance!$V:$V,MATCH(D128,ref_Unit_Balance!B:B,0))*E128</f>
        <v>26300</v>
      </c>
      <c r="H128" s="81">
        <f>INDEX(ref_Unit_Balance!$R:$R,MATCH(D128,ref_Unit_Balance!B:B,0))*E128</f>
        <v>3500</v>
      </c>
    </row>
    <row r="129" spans="1:8" ht="13.5">
      <c r="A129" s="78">
        <v>1</v>
      </c>
      <c r="B129" s="81">
        <v>20</v>
      </c>
      <c r="C129" s="81">
        <f>INDEX(ref_Unit_Balance!$G:$G,MATCH(D129,ref_Unit_Balance!B:B,0))*E129</f>
        <v>678</v>
      </c>
      <c r="D129" s="81">
        <f>IFERROR(INDEX(ref_Unit_Balance!$B:$B,MATCH(F129,ref_Unit_Balance!C:C,0)),0)</f>
        <v>1064</v>
      </c>
      <c r="E129" s="81">
        <v>6</v>
      </c>
      <c r="F129" s="82" t="s">
        <v>229</v>
      </c>
      <c r="G129" s="81">
        <f>INDEX(ref_Unit_Balance!$V:$V,MATCH(D129,ref_Unit_Balance!B:B,0))*E129</f>
        <v>16200</v>
      </c>
      <c r="H129" s="81">
        <f>INDEX(ref_Unit_Balance!$R:$R,MATCH(D129,ref_Unit_Balance!B:B,0))*E129</f>
        <v>3240</v>
      </c>
    </row>
    <row r="130" spans="1:8" ht="13.5">
      <c r="A130" s="78">
        <v>1</v>
      </c>
      <c r="B130" s="81">
        <v>20</v>
      </c>
      <c r="C130" s="81">
        <f>INDEX(ref_Unit_Balance!$G:$G,MATCH(D130,ref_Unit_Balance!B:B,0))*E130</f>
        <v>678</v>
      </c>
      <c r="D130" s="81">
        <f>IFERROR(INDEX(ref_Unit_Balance!$B:$B,MATCH(F130,ref_Unit_Balance!C:C,0)),0)</f>
        <v>1066</v>
      </c>
      <c r="E130" s="81">
        <v>6</v>
      </c>
      <c r="F130" s="82" t="s">
        <v>231</v>
      </c>
      <c r="G130" s="81">
        <f>INDEX(ref_Unit_Balance!$V:$V,MATCH(D130,ref_Unit_Balance!B:B,0))*E130</f>
        <v>20280</v>
      </c>
      <c r="H130" s="81">
        <f>INDEX(ref_Unit_Balance!$R:$R,MATCH(D130,ref_Unit_Balance!B:B,0))*E130</f>
        <v>1620</v>
      </c>
    </row>
    <row r="131" spans="1:8" ht="13.5">
      <c r="A131" s="78">
        <v>1</v>
      </c>
      <c r="B131" s="81">
        <v>20</v>
      </c>
      <c r="C131" s="81">
        <f>INDEX(ref_Unit_Balance!$G:$G,MATCH(D131,ref_Unit_Balance!B:B,0))*E131</f>
        <v>372</v>
      </c>
      <c r="D131" s="81">
        <f>IFERROR(INDEX(ref_Unit_Balance!$B:$B,MATCH(F131,ref_Unit_Balance!C:C,0)),0)</f>
        <v>1059</v>
      </c>
      <c r="E131" s="81">
        <v>4</v>
      </c>
      <c r="F131" s="82" t="s">
        <v>224</v>
      </c>
      <c r="G131" s="81">
        <f>INDEX(ref_Unit_Balance!$V:$V,MATCH(D131,ref_Unit_Balance!B:B,0))*E131</f>
        <v>14800</v>
      </c>
      <c r="H131" s="81">
        <f>INDEX(ref_Unit_Balance!$R:$R,MATCH(D131,ref_Unit_Balance!B:B,0))*E131</f>
        <v>2680</v>
      </c>
    </row>
    <row r="132" spans="1:8" ht="13.5">
      <c r="A132" s="78">
        <v>1</v>
      </c>
      <c r="B132" s="81">
        <v>20</v>
      </c>
      <c r="C132" s="81">
        <f>INDEX(ref_Unit_Balance!$G:$G,MATCH(D132,ref_Unit_Balance!B:B,0))*E132</f>
        <v>528</v>
      </c>
      <c r="D132" s="81">
        <f>IFERROR(INDEX(ref_Unit_Balance!$B:$B,MATCH(F132,ref_Unit_Balance!C:C,0)),0)</f>
        <v>1063</v>
      </c>
      <c r="E132" s="81">
        <v>6</v>
      </c>
      <c r="F132" s="82" t="s">
        <v>228</v>
      </c>
      <c r="G132" s="81">
        <f>INDEX(ref_Unit_Balance!$V:$V,MATCH(D132,ref_Unit_Balance!B:B,0))*E132</f>
        <v>12600</v>
      </c>
      <c r="H132" s="81">
        <f>INDEX(ref_Unit_Balance!$R:$R,MATCH(D132,ref_Unit_Balance!B:B,0))*E132</f>
        <v>2520</v>
      </c>
    </row>
    <row r="133" spans="1:8" ht="13.5">
      <c r="A133" s="78">
        <v>1</v>
      </c>
      <c r="B133" s="81">
        <v>20</v>
      </c>
      <c r="C133" s="81">
        <f>INDEX(ref_Unit_Balance!$G:$G,MATCH(D133,ref_Unit_Balance!B:B,0))*E133</f>
        <v>465</v>
      </c>
      <c r="D133" s="81">
        <f>IFERROR(INDEX(ref_Unit_Balance!$B:$B,MATCH(F133,ref_Unit_Balance!C:C,0)),0)</f>
        <v>1057</v>
      </c>
      <c r="E133" s="81">
        <v>5</v>
      </c>
      <c r="F133" s="82" t="s">
        <v>222</v>
      </c>
      <c r="G133" s="81">
        <f>INDEX(ref_Unit_Balance!$V:$V,MATCH(D133,ref_Unit_Balance!B:B,0))*E133</f>
        <v>32400</v>
      </c>
      <c r="H133" s="81">
        <f>INDEX(ref_Unit_Balance!$R:$R,MATCH(D133,ref_Unit_Balance!B:B,0))*E133</f>
        <v>1700</v>
      </c>
    </row>
    <row r="134" spans="1:8" ht="13.5">
      <c r="A134" s="78">
        <v>1</v>
      </c>
      <c r="B134" s="81">
        <v>20</v>
      </c>
      <c r="C134" s="81">
        <f>INDEX(ref_Unit_Balance!$G:$G,MATCH(D134,ref_Unit_Balance!B:B,0))*E134</f>
        <v>372</v>
      </c>
      <c r="D134" s="81">
        <f>IFERROR(INDEX(ref_Unit_Balance!$B:$B,MATCH(F134,ref_Unit_Balance!C:C,0)),0)</f>
        <v>1056</v>
      </c>
      <c r="E134" s="81">
        <v>4</v>
      </c>
      <c r="F134" s="82" t="s">
        <v>221</v>
      </c>
      <c r="G134" s="81">
        <f>INDEX(ref_Unit_Balance!$V:$V,MATCH(D134,ref_Unit_Balance!B:B,0))*E134</f>
        <v>11120</v>
      </c>
      <c r="H134" s="81">
        <f>INDEX(ref_Unit_Balance!$R:$R,MATCH(D134,ref_Unit_Balance!B:B,0))*E134</f>
        <v>3120</v>
      </c>
    </row>
    <row r="135" spans="1:8" ht="13.5">
      <c r="A135" s="78">
        <v>1</v>
      </c>
      <c r="B135" s="81">
        <v>20</v>
      </c>
      <c r="C135" s="81">
        <f>INDEX(ref_Unit_Balance!$G:$G,MATCH(D135,ref_Unit_Balance!B:B,0))*E135</f>
        <v>680</v>
      </c>
      <c r="D135" s="81">
        <f>IFERROR(INDEX(ref_Unit_Balance!$B:$B,MATCH(F135,ref_Unit_Balance!C:C,0)),0)</f>
        <v>1054</v>
      </c>
      <c r="E135" s="81">
        <v>10</v>
      </c>
      <c r="F135" s="82" t="s">
        <v>219</v>
      </c>
      <c r="G135" s="81">
        <f>INDEX(ref_Unit_Balance!$V:$V,MATCH(D135,ref_Unit_Balance!B:B,0))*E135</f>
        <v>33800</v>
      </c>
      <c r="H135" s="81">
        <f>INDEX(ref_Unit_Balance!$R:$R,MATCH(D135,ref_Unit_Balance!B:B,0))*E135</f>
        <v>4100</v>
      </c>
    </row>
    <row r="136" spans="1:8" ht="13.5">
      <c r="A136" s="78">
        <v>1</v>
      </c>
      <c r="B136" s="81">
        <v>20</v>
      </c>
      <c r="C136" s="81">
        <f>INDEX(ref_Unit_Balance!$G:$G,MATCH(D136,ref_Unit_Balance!B:B,0))*E136</f>
        <v>680</v>
      </c>
      <c r="D136" s="81">
        <f>IFERROR(INDEX(ref_Unit_Balance!$B:$B,MATCH(F136,ref_Unit_Balance!C:C,0)),0)</f>
        <v>1052</v>
      </c>
      <c r="E136" s="81">
        <v>10</v>
      </c>
      <c r="F136" s="82" t="s">
        <v>217</v>
      </c>
      <c r="G136" s="81">
        <f>INDEX(ref_Unit_Balance!$V:$V,MATCH(D136,ref_Unit_Balance!B:B,0))*E136</f>
        <v>54000</v>
      </c>
      <c r="H136" s="81">
        <f>INDEX(ref_Unit_Balance!$R:$R,MATCH(D136,ref_Unit_Balance!B:B,0))*E136</f>
        <v>1700</v>
      </c>
    </row>
    <row r="137" spans="1:8" ht="13.5">
      <c r="A137" s="78">
        <v>1</v>
      </c>
      <c r="B137" s="81">
        <v>20</v>
      </c>
      <c r="C137" s="81">
        <f>INDEX(ref_Unit_Balance!$G:$G,MATCH(D137,ref_Unit_Balance!B:B,0))*E137</f>
        <v>680</v>
      </c>
      <c r="D137" s="81">
        <f>IFERROR(INDEX(ref_Unit_Balance!$B:$B,MATCH(F137,ref_Unit_Balance!C:C,0)),0)</f>
        <v>1051</v>
      </c>
      <c r="E137" s="81">
        <v>10</v>
      </c>
      <c r="F137" s="82" t="s">
        <v>216</v>
      </c>
      <c r="G137" s="81">
        <f>INDEX(ref_Unit_Balance!$V:$V,MATCH(D137,ref_Unit_Balance!B:B,0))*E137</f>
        <v>12200</v>
      </c>
      <c r="H137" s="81">
        <f>INDEX(ref_Unit_Balance!$R:$R,MATCH(D137,ref_Unit_Balance!B:B,0))*E137</f>
        <v>3800</v>
      </c>
    </row>
  </sheetData>
  <phoneticPr fontId="2" type="noConversion"/>
  <conditionalFormatting sqref="B28:F137">
    <cfRule type="expression" dxfId="0" priority="4">
      <formula>MOD($B28,2)=1</formula>
    </cfRule>
  </conditionalFormatting>
  <conditionalFormatting sqref="C4:C23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{64A15221-2FD9-44BF-BD2C-1360A3FF69BF}</x14:id>
        </ext>
      </extLst>
    </cfRule>
  </conditionalFormatting>
  <conditionalFormatting sqref="G4:H23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{6E0C2D58-3B34-4C33-8A2F-7E91E7B8DF65}</x14:id>
        </ext>
      </extLst>
    </cfRule>
  </conditionalFormatting>
  <conditionalFormatting sqref="H4:H23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{1A7F06A5-A2D2-4150-AE2B-851E1B870E45}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4A15221-2FD9-44BF-BD2C-1360A3FF69BF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C4:C23</xm:sqref>
        </x14:conditionalFormatting>
        <x14:conditionalFormatting xmlns:xm="http://schemas.microsoft.com/office/excel/2006/main">
          <x14:cfRule type="dataBar" id="{6E0C2D58-3B34-4C33-8A2F-7E91E7B8DF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G4:H23</xm:sqref>
        </x14:conditionalFormatting>
        <x14:conditionalFormatting xmlns:xm="http://schemas.microsoft.com/office/excel/2006/main">
          <x14:cfRule type="dataBar" id="{1A7F06A5-A2D2-4150-AE2B-851E1B870E4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H4:H23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400-000000000000}">
          <x14:formula1>
            <xm:f>ref_Unit_Balance!$C$31:$C$62</xm:f>
          </x14:formula1>
          <xm:sqref>F28:F137</xm:sqref>
        </x14:dataValidation>
        <x14:dataValidation type="list" allowBlank="1" showInputMessage="1" showErrorMessage="1" xr:uid="{00000000-0002-0000-1400-000001000000}">
          <x14:formula1>
            <xm:f>ref_Unit_Balance!$C$75:$C$1048576</xm:f>
          </x14:formula1>
          <xm:sqref>K8:K13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ConfigTable</vt:lpstr>
      <vt:lpstr>StageInfo</vt:lpstr>
      <vt:lpstr>Localization</vt:lpstr>
      <vt:lpstr>StageRewardInfo</vt:lpstr>
      <vt:lpstr>PushReward</vt:lpstr>
      <vt:lpstr>DevilSay</vt:lpstr>
      <vt:lpstr>WorldShipReward</vt:lpstr>
      <vt:lpstr>PopupSound</vt:lpstr>
      <vt:lpstr>EnumTable</vt:lpstr>
      <vt:lpstr>WaveStage</vt:lpstr>
      <vt:lpstr>ProjectileInfo</vt:lpstr>
      <vt:lpstr>Unitinfo</vt:lpstr>
      <vt:lpstr>UnitGradeInfo</vt:lpstr>
      <vt:lpstr>GachaList</vt:lpstr>
      <vt:lpstr>TutorialInfo</vt:lpstr>
      <vt:lpstr>Level</vt:lpstr>
      <vt:lpstr>Attendance</vt:lpstr>
      <vt:lpstr>Dialogue</vt:lpstr>
      <vt:lpstr>ref_Rarity</vt:lpstr>
      <vt:lpstr>ref_Unit_Balance</vt:lpstr>
      <vt:lpstr>ref_Stage_Balance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김문창</cp:lastModifiedBy>
  <dcterms:created xsi:type="dcterms:W3CDTF">2023-03-02T06:07:43Z</dcterms:created>
  <dcterms:modified xsi:type="dcterms:W3CDTF">2024-07-17T03:04:01Z</dcterms:modified>
</cp:coreProperties>
</file>